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updateLinks="never" codeName="현재_통합_문서"/>
  <mc:AlternateContent xmlns:mc="http://schemas.openxmlformats.org/markup-compatibility/2006">
    <mc:Choice Requires="x15">
      <x15ac:absPath xmlns:x15ac="http://schemas.microsoft.com/office/spreadsheetml/2010/11/ac" url="C:\Users\11st\Desktop\업무\월결산\22년 9월\정산표\"/>
    </mc:Choice>
  </mc:AlternateContent>
  <xr:revisionPtr revIDLastSave="0" documentId="13_ncr:1_{4BBEFE92-E712-42D6-A838-ECECE851A524}" xr6:coauthVersionLast="47" xr6:coauthVersionMax="47" xr10:uidLastSave="{00000000-0000-0000-0000-000000000000}"/>
  <bookViews>
    <workbookView xWindow="-120" yWindow="-120" windowWidth="27645" windowHeight="16440" tabRatio="898" activeTab="3" xr2:uid="{00000000-000D-0000-FFFF-FFFF00000000}"/>
  </bookViews>
  <sheets>
    <sheet name="ver" sheetId="28" r:id="rId1"/>
    <sheet name="IS_WTB" sheetId="9" r:id="rId2"/>
    <sheet name="BS_WTB" sheetId="4" r:id="rId3"/>
    <sheet name="CF정산표" sheetId="15" r:id="rId4"/>
    <sheet name="DSD 현금흐름표용" sheetId="26" state="hidden" r:id="rId5"/>
    <sheet name="DSD 파일용" sheetId="25" state="hidden" r:id="rId6"/>
    <sheet name="자본변동표" sheetId="21" state="hidden" r:id="rId7"/>
    <sheet name="공시용" sheetId="11" state="hidden" r:id="rId8"/>
    <sheet name="전달용" sheetId="12" state="hidden" r:id="rId9"/>
    <sheet name="전달용(2)" sheetId="20" state="hidden" r:id="rId10"/>
    <sheet name="자본변동표_천원" sheetId="22" state="hidden" r:id="rId11"/>
    <sheet name="전사시산표(3단계)_1013" sheetId="2" r:id="rId12"/>
    <sheet name="경상연구개발비대체" sheetId="19" r:id="rId13"/>
    <sheet name="경상연구개발비(확정)" sheetId="24" r:id="rId14"/>
    <sheet name="경상연구개발비 SAP 추출 맵핑" sheetId="2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" localSheetId="3">#REF!</definedName>
    <definedName name="_">#REF!</definedName>
    <definedName name="_.4" localSheetId="3">#REF!</definedName>
    <definedName name="_.4">#REF!</definedName>
    <definedName name="_?" localSheetId="3">#REF!</definedName>
    <definedName name="_?">#REF!</definedName>
    <definedName name="_?__C" localSheetId="3">#REF!</definedName>
    <definedName name="_?__C">#REF!</definedName>
    <definedName name="__?" localSheetId="3">#REF!</definedName>
    <definedName name="__?">#REF!</definedName>
    <definedName name="__?__C" localSheetId="3">#REF!</definedName>
    <definedName name="__?__C">#REF!</definedName>
    <definedName name="___?" localSheetId="3">#REF!</definedName>
    <definedName name="___?">#REF!</definedName>
    <definedName name="___?__C" localSheetId="3">#REF!</definedName>
    <definedName name="___?__C">#REF!</definedName>
    <definedName name="____?" localSheetId="3">#REF!</definedName>
    <definedName name="____?">#REF!</definedName>
    <definedName name="____?__C" localSheetId="3">#REF!</definedName>
    <definedName name="____?__C">#REF!</definedName>
    <definedName name="_____?" localSheetId="3">#REF!</definedName>
    <definedName name="_____?">#REF!</definedName>
    <definedName name="_____?__C" localSheetId="3">#REF!</definedName>
    <definedName name="_____?__C">#REF!</definedName>
    <definedName name="______?" localSheetId="3">#REF!</definedName>
    <definedName name="______?">#REF!</definedName>
    <definedName name="______?__C" localSheetId="3">#REF!</definedName>
    <definedName name="______?__C">#REF!</definedName>
    <definedName name="_______?" localSheetId="3">#REF!</definedName>
    <definedName name="_______?">#REF!</definedName>
    <definedName name="_______?__C" localSheetId="3">#REF!</definedName>
    <definedName name="_______?__C">#REF!</definedName>
    <definedName name="________?__C" localSheetId="3">#REF!</definedName>
    <definedName name="________?__C">#REF!</definedName>
    <definedName name="_________?__C" localSheetId="3">#REF!</definedName>
    <definedName name="_________?__C">#REF!</definedName>
    <definedName name="__________?__C" localSheetId="3">#REF!</definedName>
    <definedName name="__________?__C">#REF!</definedName>
    <definedName name="________________________ARC2" hidden="1">{"'Desktop Inventory 현황'!$B$2:$O$35"}</definedName>
    <definedName name="______________________UXA5" localSheetId="3">#REF!</definedName>
    <definedName name="______________________UXA5">#REF!</definedName>
    <definedName name="___________________kwy1" hidden="1">{#N/A,#N/A,FALSE,"ALM-ASISC"}</definedName>
    <definedName name="__________________UXA5" localSheetId="3">#REF!</definedName>
    <definedName name="__________________UXA5">#REF!</definedName>
    <definedName name="_________________ARC2" hidden="1">{"'Desktop Inventory 현황'!$B$2:$O$35"}</definedName>
    <definedName name="________________ARC2" hidden="1">{"'Desktop Inventory 현황'!$B$2:$O$35"}</definedName>
    <definedName name="________________NTA1" localSheetId="3">#REF!</definedName>
    <definedName name="________________NTA1">#REF!</definedName>
    <definedName name="________________NTA2" localSheetId="3">#REF!</definedName>
    <definedName name="________________NTA2">#REF!</definedName>
    <definedName name="________________NTA3" localSheetId="3">#REF!</definedName>
    <definedName name="________________NTA3">#REF!</definedName>
    <definedName name="________________rt01" localSheetId="3">#REF!</definedName>
    <definedName name="________________rt01">#REF!</definedName>
    <definedName name="________________sem02" localSheetId="3">#REF!</definedName>
    <definedName name="________________sem02">#REF!</definedName>
    <definedName name="________________sem03" localSheetId="3">#REF!</definedName>
    <definedName name="________________sem03">#REF!</definedName>
    <definedName name="________________sem04" localSheetId="3">#REF!</definedName>
    <definedName name="________________sem04">#REF!</definedName>
    <definedName name="________________sem05" localSheetId="3">#REF!</definedName>
    <definedName name="________________sem05">#REF!</definedName>
    <definedName name="________________sem06" localSheetId="3">#REF!</definedName>
    <definedName name="________________sem06">#REF!</definedName>
    <definedName name="________________sem07" localSheetId="3">#REF!</definedName>
    <definedName name="________________sem07">#REF!</definedName>
    <definedName name="________________UXA1" localSheetId="3">#REF!</definedName>
    <definedName name="________________UXA1">#REF!</definedName>
    <definedName name="________________UXA2" localSheetId="3">#REF!</definedName>
    <definedName name="________________UXA2">#REF!</definedName>
    <definedName name="________________UXA3" localSheetId="3">#REF!</definedName>
    <definedName name="________________UXA3">#REF!</definedName>
    <definedName name="________________UXA4" localSheetId="3">#REF!</definedName>
    <definedName name="________________UXA4">#REF!</definedName>
    <definedName name="________________UXA5" localSheetId="3">#REF!</definedName>
    <definedName name="________________UXA5">#REF!</definedName>
    <definedName name="________________UXB5" localSheetId="3">#REF!</definedName>
    <definedName name="________________UXB5">#REF!</definedName>
    <definedName name="________________UXC5" localSheetId="3">#REF!</definedName>
    <definedName name="________________UXC5">#REF!</definedName>
    <definedName name="________________UXD5" localSheetId="3">#REF!</definedName>
    <definedName name="________________UXD5">#REF!</definedName>
    <definedName name="________________UXE51" localSheetId="3">#REF!</definedName>
    <definedName name="________________UXE51">#REF!</definedName>
    <definedName name="________________UXE52" localSheetId="3">#REF!</definedName>
    <definedName name="________________UXE52">#REF!</definedName>
    <definedName name="________________UXE53" localSheetId="3">#REF!</definedName>
    <definedName name="________________UXE53">#REF!</definedName>
    <definedName name="________________UXF51" localSheetId="3">#REF!</definedName>
    <definedName name="________________UXF51">#REF!</definedName>
    <definedName name="________________UXF52" localSheetId="3">#REF!</definedName>
    <definedName name="________________UXF52">#REF!</definedName>
    <definedName name="________________UXF53" localSheetId="3">#REF!</definedName>
    <definedName name="________________UXF53">#REF!</definedName>
    <definedName name="________________UXG51" localSheetId="3">#REF!</definedName>
    <definedName name="________________UXG51">#REF!</definedName>
    <definedName name="________________UXG52" localSheetId="3">#REF!</definedName>
    <definedName name="________________UXG52">#REF!</definedName>
    <definedName name="________________UXG53" localSheetId="3">#REF!</definedName>
    <definedName name="________________UXG53">#REF!</definedName>
    <definedName name="________________UXH51" localSheetId="3">#REF!</definedName>
    <definedName name="________________UXH51">#REF!</definedName>
    <definedName name="________________UXH52" localSheetId="3">#REF!</definedName>
    <definedName name="________________UXH52">#REF!</definedName>
    <definedName name="________________UXH53" localSheetId="3">#REF!</definedName>
    <definedName name="________________UXH53">#REF!</definedName>
    <definedName name="________________UXI51" localSheetId="3">#REF!</definedName>
    <definedName name="________________UXI51">#REF!</definedName>
    <definedName name="________________UXI52" localSheetId="3">#REF!</definedName>
    <definedName name="________________UXI52">#REF!</definedName>
    <definedName name="________________UXI53" localSheetId="3">#REF!</definedName>
    <definedName name="________________UXI53">#REF!</definedName>
    <definedName name="________________UXJ51" localSheetId="3">#REF!</definedName>
    <definedName name="________________UXJ51">#REF!</definedName>
    <definedName name="________________UXJ52" localSheetId="3">#REF!</definedName>
    <definedName name="________________UXJ52">#REF!</definedName>
    <definedName name="________________UXJ53" localSheetId="3">#REF!</definedName>
    <definedName name="________________UXJ53">#REF!</definedName>
    <definedName name="________________UXK51" localSheetId="3">#REF!</definedName>
    <definedName name="________________UXK51">#REF!</definedName>
    <definedName name="________________UXK52" localSheetId="3">#REF!</definedName>
    <definedName name="________________UXK52">#REF!</definedName>
    <definedName name="________________UXK53" localSheetId="3">#REF!</definedName>
    <definedName name="________________UXK53">#REF!</definedName>
    <definedName name="________________UXL51" localSheetId="3">#REF!</definedName>
    <definedName name="________________UXL51">#REF!</definedName>
    <definedName name="________________UXL52" localSheetId="3">#REF!</definedName>
    <definedName name="________________UXL52">#REF!</definedName>
    <definedName name="________________UXL53" localSheetId="3">#REF!</definedName>
    <definedName name="________________UXL53">#REF!</definedName>
    <definedName name="________________UXM51" localSheetId="3">#REF!</definedName>
    <definedName name="________________UXM51">#REF!</definedName>
    <definedName name="________________UXM52" localSheetId="3">#REF!</definedName>
    <definedName name="________________UXM52">#REF!</definedName>
    <definedName name="________________UXM53" localSheetId="3">#REF!</definedName>
    <definedName name="________________UXM53">#REF!</definedName>
    <definedName name="_______________yr2000" localSheetId="3">#REF!</definedName>
    <definedName name="_______________yr2000">#REF!</definedName>
    <definedName name="_______________yr2001" localSheetId="3">#REF!</definedName>
    <definedName name="_______________yr2001">#REF!</definedName>
    <definedName name="_____________kwy1" hidden="1">{#N/A,#N/A,FALSE,"ALM-ASISC"}</definedName>
    <definedName name="_____________NTA1" localSheetId="3">#REF!</definedName>
    <definedName name="_____________NTA1">#REF!</definedName>
    <definedName name="_____________NTA2" localSheetId="3">#REF!</definedName>
    <definedName name="_____________NTA2">#REF!</definedName>
    <definedName name="_____________NTA3" localSheetId="3">#REF!</definedName>
    <definedName name="_____________NTA3">#REF!</definedName>
    <definedName name="_____________rt01" localSheetId="3">#REF!</definedName>
    <definedName name="_____________rt01">#REF!</definedName>
    <definedName name="_____________sem02" localSheetId="3">#REF!</definedName>
    <definedName name="_____________sem02">#REF!</definedName>
    <definedName name="_____________sem03" localSheetId="3">#REF!</definedName>
    <definedName name="_____________sem03">#REF!</definedName>
    <definedName name="_____________sem04" localSheetId="3">#REF!</definedName>
    <definedName name="_____________sem04">#REF!</definedName>
    <definedName name="_____________sem05" localSheetId="3">#REF!</definedName>
    <definedName name="_____________sem05">#REF!</definedName>
    <definedName name="_____________sem06" localSheetId="3">#REF!</definedName>
    <definedName name="_____________sem06">#REF!</definedName>
    <definedName name="_____________sem07" localSheetId="3">#REF!</definedName>
    <definedName name="_____________sem07">#REF!</definedName>
    <definedName name="_____________UXA1" localSheetId="3">#REF!</definedName>
    <definedName name="_____________UXA1">#REF!</definedName>
    <definedName name="_____________UXA2" localSheetId="3">#REF!</definedName>
    <definedName name="_____________UXA2">#REF!</definedName>
    <definedName name="_____________UXA3" localSheetId="3">#REF!</definedName>
    <definedName name="_____________UXA3">#REF!</definedName>
    <definedName name="_____________UXA4" localSheetId="3">#REF!</definedName>
    <definedName name="_____________UXA4">#REF!</definedName>
    <definedName name="_____________UXB5" localSheetId="3">#REF!</definedName>
    <definedName name="_____________UXB5">#REF!</definedName>
    <definedName name="_____________UXC5" localSheetId="3">#REF!</definedName>
    <definedName name="_____________UXC5">#REF!</definedName>
    <definedName name="_____________UXD5" localSheetId="3">#REF!</definedName>
    <definedName name="_____________UXD5">#REF!</definedName>
    <definedName name="_____________UXE51" localSheetId="3">#REF!</definedName>
    <definedName name="_____________UXE51">#REF!</definedName>
    <definedName name="_____________UXE52" localSheetId="3">#REF!</definedName>
    <definedName name="_____________UXE52">#REF!</definedName>
    <definedName name="_____________UXE53" localSheetId="3">#REF!</definedName>
    <definedName name="_____________UXE53">#REF!</definedName>
    <definedName name="_____________UXF51" localSheetId="3">#REF!</definedName>
    <definedName name="_____________UXF51">#REF!</definedName>
    <definedName name="_____________UXF52" localSheetId="3">#REF!</definedName>
    <definedName name="_____________UXF52">#REF!</definedName>
    <definedName name="_____________UXF53" localSheetId="3">#REF!</definedName>
    <definedName name="_____________UXF53">#REF!</definedName>
    <definedName name="_____________UXG51" localSheetId="3">#REF!</definedName>
    <definedName name="_____________UXG51">#REF!</definedName>
    <definedName name="_____________UXG52" localSheetId="3">#REF!</definedName>
    <definedName name="_____________UXG52">#REF!</definedName>
    <definedName name="_____________UXG53" localSheetId="3">#REF!</definedName>
    <definedName name="_____________UXG53">#REF!</definedName>
    <definedName name="_____________UXH51" localSheetId="3">#REF!</definedName>
    <definedName name="_____________UXH51">#REF!</definedName>
    <definedName name="_____________UXH52" localSheetId="3">#REF!</definedName>
    <definedName name="_____________UXH52">#REF!</definedName>
    <definedName name="_____________UXH53" localSheetId="3">#REF!</definedName>
    <definedName name="_____________UXH53">#REF!</definedName>
    <definedName name="_____________UXI51" localSheetId="3">#REF!</definedName>
    <definedName name="_____________UXI51">#REF!</definedName>
    <definedName name="_____________UXI52" localSheetId="3">#REF!</definedName>
    <definedName name="_____________UXI52">#REF!</definedName>
    <definedName name="_____________UXI53" localSheetId="3">#REF!</definedName>
    <definedName name="_____________UXI53">#REF!</definedName>
    <definedName name="_____________UXJ51" localSheetId="3">#REF!</definedName>
    <definedName name="_____________UXJ51">#REF!</definedName>
    <definedName name="_____________UXJ52" localSheetId="3">#REF!</definedName>
    <definedName name="_____________UXJ52">#REF!</definedName>
    <definedName name="_____________UXJ53" localSheetId="3">#REF!</definedName>
    <definedName name="_____________UXJ53">#REF!</definedName>
    <definedName name="_____________UXK51" localSheetId="3">#REF!</definedName>
    <definedName name="_____________UXK51">#REF!</definedName>
    <definedName name="_____________UXK52" localSheetId="3">#REF!</definedName>
    <definedName name="_____________UXK52">#REF!</definedName>
    <definedName name="_____________UXK53" localSheetId="3">#REF!</definedName>
    <definedName name="_____________UXK53">#REF!</definedName>
    <definedName name="_____________UXL51" localSheetId="3">#REF!</definedName>
    <definedName name="_____________UXL51">#REF!</definedName>
    <definedName name="_____________UXL52" localSheetId="3">#REF!</definedName>
    <definedName name="_____________UXL52">#REF!</definedName>
    <definedName name="_____________UXL53" localSheetId="3">#REF!</definedName>
    <definedName name="_____________UXL53">#REF!</definedName>
    <definedName name="_____________UXM51" localSheetId="3">#REF!</definedName>
    <definedName name="_____________UXM51">#REF!</definedName>
    <definedName name="_____________UXM52" localSheetId="3">#REF!</definedName>
    <definedName name="_____________UXM52">#REF!</definedName>
    <definedName name="_____________UXM53" localSheetId="3">#REF!</definedName>
    <definedName name="_____________UXM53">#REF!</definedName>
    <definedName name="____________AAA2" localSheetId="3">#REF!</definedName>
    <definedName name="____________AAA2">#REF!</definedName>
    <definedName name="____________aaa3" localSheetId="3">#REF!</definedName>
    <definedName name="____________aaa3">#REF!</definedName>
    <definedName name="____________NTA1" localSheetId="3">#REF!</definedName>
    <definedName name="____________NTA1">#REF!</definedName>
    <definedName name="____________NTA2" localSheetId="3">#REF!</definedName>
    <definedName name="____________NTA2">#REF!</definedName>
    <definedName name="____________NTA3" localSheetId="3">#REF!</definedName>
    <definedName name="____________NTA3">#REF!</definedName>
    <definedName name="____________rt01" localSheetId="3">#REF!</definedName>
    <definedName name="____________rt01">#REF!</definedName>
    <definedName name="____________sem02" localSheetId="3">#REF!</definedName>
    <definedName name="____________sem02">#REF!</definedName>
    <definedName name="____________sem03" localSheetId="3">#REF!</definedName>
    <definedName name="____________sem03">#REF!</definedName>
    <definedName name="____________sem04" localSheetId="3">#REF!</definedName>
    <definedName name="____________sem04">#REF!</definedName>
    <definedName name="____________sem05" localSheetId="3">#REF!</definedName>
    <definedName name="____________sem05">#REF!</definedName>
    <definedName name="____________sem06" localSheetId="3">#REF!</definedName>
    <definedName name="____________sem06">#REF!</definedName>
    <definedName name="____________sem07" localSheetId="3">#REF!</definedName>
    <definedName name="____________sem07">#REF!</definedName>
    <definedName name="____________UXA1" localSheetId="3">#REF!</definedName>
    <definedName name="____________UXA1">#REF!</definedName>
    <definedName name="____________UXA2" localSheetId="3">#REF!</definedName>
    <definedName name="____________UXA2">#REF!</definedName>
    <definedName name="____________UXA3" localSheetId="3">#REF!</definedName>
    <definedName name="____________UXA3">#REF!</definedName>
    <definedName name="____________UXA4" localSheetId="3">#REF!</definedName>
    <definedName name="____________UXA4">#REF!</definedName>
    <definedName name="____________UXA5" localSheetId="3">#REF!</definedName>
    <definedName name="____________UXA5">#REF!</definedName>
    <definedName name="____________UXB5" localSheetId="3">#REF!</definedName>
    <definedName name="____________UXB5">#REF!</definedName>
    <definedName name="____________UXC5" localSheetId="3">#REF!</definedName>
    <definedName name="____________UXC5">#REF!</definedName>
    <definedName name="____________UXD5" localSheetId="3">#REF!</definedName>
    <definedName name="____________UXD5">#REF!</definedName>
    <definedName name="____________UXE51" localSheetId="3">#REF!</definedName>
    <definedName name="____________UXE51">#REF!</definedName>
    <definedName name="____________UXE52" localSheetId="3">#REF!</definedName>
    <definedName name="____________UXE52">#REF!</definedName>
    <definedName name="____________UXE53" localSheetId="3">#REF!</definedName>
    <definedName name="____________UXE53">#REF!</definedName>
    <definedName name="____________UXF51" localSheetId="3">#REF!</definedName>
    <definedName name="____________UXF51">#REF!</definedName>
    <definedName name="____________UXF52" localSheetId="3">#REF!</definedName>
    <definedName name="____________UXF52">#REF!</definedName>
    <definedName name="____________UXF53" localSheetId="3">#REF!</definedName>
    <definedName name="____________UXF53">#REF!</definedName>
    <definedName name="____________UXG51" localSheetId="3">#REF!</definedName>
    <definedName name="____________UXG51">#REF!</definedName>
    <definedName name="____________UXG52" localSheetId="3">#REF!</definedName>
    <definedName name="____________UXG52">#REF!</definedName>
    <definedName name="____________UXG53" localSheetId="3">#REF!</definedName>
    <definedName name="____________UXG53">#REF!</definedName>
    <definedName name="____________UXH51" localSheetId="3">#REF!</definedName>
    <definedName name="____________UXH51">#REF!</definedName>
    <definedName name="____________UXH52" localSheetId="3">#REF!</definedName>
    <definedName name="____________UXH52">#REF!</definedName>
    <definedName name="____________UXH53" localSheetId="3">#REF!</definedName>
    <definedName name="____________UXH53">#REF!</definedName>
    <definedName name="____________UXI51" localSheetId="3">#REF!</definedName>
    <definedName name="____________UXI51">#REF!</definedName>
    <definedName name="____________UXI52" localSheetId="3">#REF!</definedName>
    <definedName name="____________UXI52">#REF!</definedName>
    <definedName name="____________UXI53" localSheetId="3">#REF!</definedName>
    <definedName name="____________UXI53">#REF!</definedName>
    <definedName name="____________UXJ51" localSheetId="3">#REF!</definedName>
    <definedName name="____________UXJ51">#REF!</definedName>
    <definedName name="____________UXJ52" localSheetId="3">#REF!</definedName>
    <definedName name="____________UXJ52">#REF!</definedName>
    <definedName name="____________UXJ53" localSheetId="3">#REF!</definedName>
    <definedName name="____________UXJ53">#REF!</definedName>
    <definedName name="____________UXK51" localSheetId="3">#REF!</definedName>
    <definedName name="____________UXK51">#REF!</definedName>
    <definedName name="____________UXK52" localSheetId="3">#REF!</definedName>
    <definedName name="____________UXK52">#REF!</definedName>
    <definedName name="____________UXK53" localSheetId="3">#REF!</definedName>
    <definedName name="____________UXK53">#REF!</definedName>
    <definedName name="____________UXL51" localSheetId="3">#REF!</definedName>
    <definedName name="____________UXL51">#REF!</definedName>
    <definedName name="____________UXL52" localSheetId="3">#REF!</definedName>
    <definedName name="____________UXL52">#REF!</definedName>
    <definedName name="____________UXL53" localSheetId="3">#REF!</definedName>
    <definedName name="____________UXL53">#REF!</definedName>
    <definedName name="____________UXM51" localSheetId="3">#REF!</definedName>
    <definedName name="____________UXM51">#REF!</definedName>
    <definedName name="____________UXM52" localSheetId="3">#REF!</definedName>
    <definedName name="____________UXM52">#REF!</definedName>
    <definedName name="____________UXM53" localSheetId="3">#REF!</definedName>
    <definedName name="____________UXM53">#REF!</definedName>
    <definedName name="____________yr2000" localSheetId="3">#REF!</definedName>
    <definedName name="____________yr2000">#REF!</definedName>
    <definedName name="____________yr2001" localSheetId="3">#REF!</definedName>
    <definedName name="____________yr2001">#REF!</definedName>
    <definedName name="___________AAA2" localSheetId="3">#REF!</definedName>
    <definedName name="___________AAA2">#REF!</definedName>
    <definedName name="___________aaa3" localSheetId="3">#REF!</definedName>
    <definedName name="___________aaa3">#REF!</definedName>
    <definedName name="___________ARC2" hidden="1">{"'Desktop Inventory 현황'!$B$2:$O$35"}</definedName>
    <definedName name="___________fte03" localSheetId="3">#REF!</definedName>
    <definedName name="___________fte03">#REF!</definedName>
    <definedName name="___________yr2000" localSheetId="3">#REF!</definedName>
    <definedName name="___________yr2000">#REF!</definedName>
    <definedName name="___________yr2001" localSheetId="3">#REF!</definedName>
    <definedName name="___________yr2001">#REF!</definedName>
    <definedName name="__________AAA2" localSheetId="3">#REF!</definedName>
    <definedName name="__________AAA2">#REF!</definedName>
    <definedName name="__________aaa3" localSheetId="3">#REF!</definedName>
    <definedName name="__________aaa3">#REF!</definedName>
    <definedName name="__________kwy1" hidden="1">{#N/A,#N/A,FALSE,"ALM-ASISC"}</definedName>
    <definedName name="__________UXA5" localSheetId="3">#REF!</definedName>
    <definedName name="__________UXA5">#REF!</definedName>
    <definedName name="_________ARC2" hidden="1">{"'Desktop Inventory 현황'!$B$2:$O$35"}</definedName>
    <definedName name="_________fte03" localSheetId="3">#REF!</definedName>
    <definedName name="_________fte03">#REF!</definedName>
    <definedName name="_________kwy1" hidden="1">{#N/A,#N/A,FALSE,"ALM-ASISC"}</definedName>
    <definedName name="_________q1">[0]!_________q1</definedName>
    <definedName name="_________UXA5" localSheetId="3">#REF!</definedName>
    <definedName name="_________UXA5">#REF!</definedName>
    <definedName name="_________yr2000" localSheetId="3">#REF!</definedName>
    <definedName name="_________yr2000">#REF!</definedName>
    <definedName name="_________yr2001" localSheetId="3">#REF!</definedName>
    <definedName name="_________yr2001">#REF!</definedName>
    <definedName name="________AAA2" localSheetId="3">#REF!</definedName>
    <definedName name="________AAA2">#REF!</definedName>
    <definedName name="________aaa3" localSheetId="3">#REF!</definedName>
    <definedName name="________aaa3">#REF!</definedName>
    <definedName name="________ARC2" hidden="1">{"'Desktop Inventory 현황'!$B$2:$O$35"}</definedName>
    <definedName name="________kwy1" hidden="1">{#N/A,#N/A,FALSE,"ALM-ASISC"}</definedName>
    <definedName name="________MF2" localSheetId="3">#REF!</definedName>
    <definedName name="________MF2">#REF!</definedName>
    <definedName name="________NTA1" localSheetId="3">#REF!</definedName>
    <definedName name="________NTA1">#REF!</definedName>
    <definedName name="________NTA2" localSheetId="3">#REF!</definedName>
    <definedName name="________NTA2">#REF!</definedName>
    <definedName name="________NTA3" localSheetId="3">#REF!</definedName>
    <definedName name="________NTA3">#REF!</definedName>
    <definedName name="________PR1" localSheetId="3">#REF!</definedName>
    <definedName name="________PR1">#REF!</definedName>
    <definedName name="________q1">[0]!________q1</definedName>
    <definedName name="________rt01" localSheetId="3">#REF!</definedName>
    <definedName name="________rt01">#REF!</definedName>
    <definedName name="________sem02" localSheetId="3">#REF!</definedName>
    <definedName name="________sem02">#REF!</definedName>
    <definedName name="________sem03" localSheetId="3">#REF!</definedName>
    <definedName name="________sem03">#REF!</definedName>
    <definedName name="________sem04" localSheetId="3">#REF!</definedName>
    <definedName name="________sem04">#REF!</definedName>
    <definedName name="________sem05" localSheetId="3">#REF!</definedName>
    <definedName name="________sem05">#REF!</definedName>
    <definedName name="________sem06" localSheetId="3">#REF!</definedName>
    <definedName name="________sem06">#REF!</definedName>
    <definedName name="________sem07" localSheetId="3">#REF!</definedName>
    <definedName name="________sem07">#REF!</definedName>
    <definedName name="________US1" localSheetId="3">#REF!</definedName>
    <definedName name="________US1">#REF!</definedName>
    <definedName name="________UXA1" localSheetId="3">#REF!</definedName>
    <definedName name="________UXA1">#REF!</definedName>
    <definedName name="________UXA2" localSheetId="3">#REF!</definedName>
    <definedName name="________UXA2">#REF!</definedName>
    <definedName name="________UXA3" localSheetId="3">#REF!</definedName>
    <definedName name="________UXA3">#REF!</definedName>
    <definedName name="________UXA4" localSheetId="3">#REF!</definedName>
    <definedName name="________UXA4">#REF!</definedName>
    <definedName name="________UXA5" localSheetId="3">#REF!</definedName>
    <definedName name="________UXA5">#REF!</definedName>
    <definedName name="________UXB5" localSheetId="3">#REF!</definedName>
    <definedName name="________UXB5">#REF!</definedName>
    <definedName name="________UXC5" localSheetId="3">#REF!</definedName>
    <definedName name="________UXC5">#REF!</definedName>
    <definedName name="________UXD5" localSheetId="3">#REF!</definedName>
    <definedName name="________UXD5">#REF!</definedName>
    <definedName name="________UXE51" localSheetId="3">#REF!</definedName>
    <definedName name="________UXE51">#REF!</definedName>
    <definedName name="________UXE52" localSheetId="3">#REF!</definedName>
    <definedName name="________UXE52">#REF!</definedName>
    <definedName name="________UXE53" localSheetId="3">#REF!</definedName>
    <definedName name="________UXE53">#REF!</definedName>
    <definedName name="________UXF51" localSheetId="3">#REF!</definedName>
    <definedName name="________UXF51">#REF!</definedName>
    <definedName name="________UXF52" localSheetId="3">#REF!</definedName>
    <definedName name="________UXF52">#REF!</definedName>
    <definedName name="________UXF53" localSheetId="3">#REF!</definedName>
    <definedName name="________UXF53">#REF!</definedName>
    <definedName name="________UXG51" localSheetId="3">#REF!</definedName>
    <definedName name="________UXG51">#REF!</definedName>
    <definedName name="________UXG52" localSheetId="3">#REF!</definedName>
    <definedName name="________UXG52">#REF!</definedName>
    <definedName name="________UXG53" localSheetId="3">#REF!</definedName>
    <definedName name="________UXG53">#REF!</definedName>
    <definedName name="________UXH51" localSheetId="3">#REF!</definedName>
    <definedName name="________UXH51">#REF!</definedName>
    <definedName name="________UXH52" localSheetId="3">#REF!</definedName>
    <definedName name="________UXH52">#REF!</definedName>
    <definedName name="________UXH53" localSheetId="3">#REF!</definedName>
    <definedName name="________UXH53">#REF!</definedName>
    <definedName name="________UXI51" localSheetId="3">#REF!</definedName>
    <definedName name="________UXI51">#REF!</definedName>
    <definedName name="________UXI52" localSheetId="3">#REF!</definedName>
    <definedName name="________UXI52">#REF!</definedName>
    <definedName name="________UXI53" localSheetId="3">#REF!</definedName>
    <definedName name="________UXI53">#REF!</definedName>
    <definedName name="________UXJ51" localSheetId="3">#REF!</definedName>
    <definedName name="________UXJ51">#REF!</definedName>
    <definedName name="________UXJ52" localSheetId="3">#REF!</definedName>
    <definedName name="________UXJ52">#REF!</definedName>
    <definedName name="________UXJ53" localSheetId="3">#REF!</definedName>
    <definedName name="________UXJ53">#REF!</definedName>
    <definedName name="________UXK51" localSheetId="3">#REF!</definedName>
    <definedName name="________UXK51">#REF!</definedName>
    <definedName name="________UXK52" localSheetId="3">#REF!</definedName>
    <definedName name="________UXK52">#REF!</definedName>
    <definedName name="________UXK53" localSheetId="3">#REF!</definedName>
    <definedName name="________UXK53">#REF!</definedName>
    <definedName name="________UXL51" localSheetId="3">#REF!</definedName>
    <definedName name="________UXL51">#REF!</definedName>
    <definedName name="________UXL52" localSheetId="3">#REF!</definedName>
    <definedName name="________UXL52">#REF!</definedName>
    <definedName name="________UXL53" localSheetId="3">#REF!</definedName>
    <definedName name="________UXL53">#REF!</definedName>
    <definedName name="________UXM51" localSheetId="3">#REF!</definedName>
    <definedName name="________UXM51">#REF!</definedName>
    <definedName name="________UXM52" localSheetId="3">#REF!</definedName>
    <definedName name="________UXM52">#REF!</definedName>
    <definedName name="________UXM53" localSheetId="3">#REF!</definedName>
    <definedName name="________UXM53">#REF!</definedName>
    <definedName name="________xlfn.BAHTTEXT" hidden="1">#NAME?</definedName>
    <definedName name="________yr2000" localSheetId="3">#REF!</definedName>
    <definedName name="________yr2000">#REF!</definedName>
    <definedName name="________yr2001" localSheetId="3">#REF!</definedName>
    <definedName name="________yr2001">#REF!</definedName>
    <definedName name="_______08_하자보수비" localSheetId="3">#REF!</definedName>
    <definedName name="_______08_하자보수비">#REF!</definedName>
    <definedName name="_______a1" localSheetId="3">#REF!</definedName>
    <definedName name="_______a1">#REF!</definedName>
    <definedName name="_______AAA2" localSheetId="3">#REF!</definedName>
    <definedName name="_______AAA2">#REF!</definedName>
    <definedName name="_______aaa3" localSheetId="3">#REF!</definedName>
    <definedName name="_______aaa3">#REF!</definedName>
    <definedName name="_______ARC2" hidden="1">{"'Desktop Inventory 현황'!$B$2:$O$35"}</definedName>
    <definedName name="_______bs1" localSheetId="3">#REF!</definedName>
    <definedName name="_______bs1">#REF!</definedName>
    <definedName name="_______fte03" localSheetId="3">#REF!</definedName>
    <definedName name="_______fte03">#REF!</definedName>
    <definedName name="_______MF2" localSheetId="3">#REF!</definedName>
    <definedName name="_______MF2">#REF!</definedName>
    <definedName name="_______NTA1" localSheetId="3">#REF!</definedName>
    <definedName name="_______NTA1">#REF!</definedName>
    <definedName name="_______NTA2" localSheetId="3">#REF!</definedName>
    <definedName name="_______NTA2">#REF!</definedName>
    <definedName name="_______NTA3" localSheetId="3">#REF!</definedName>
    <definedName name="_______NTA3">#REF!</definedName>
    <definedName name="_______O30000" localSheetId="3">#REF!</definedName>
    <definedName name="_______O30000">#REF!</definedName>
    <definedName name="_______PR1" localSheetId="3">#REF!</definedName>
    <definedName name="_______PR1">#REF!</definedName>
    <definedName name="_______q1">#N/A</definedName>
    <definedName name="_______rt01" localSheetId="3">#REF!</definedName>
    <definedName name="_______rt01">#REF!</definedName>
    <definedName name="_______sem02" localSheetId="3">#REF!</definedName>
    <definedName name="_______sem02">#REF!</definedName>
    <definedName name="_______sem03" localSheetId="3">#REF!</definedName>
    <definedName name="_______sem03">#REF!</definedName>
    <definedName name="_______sem04" localSheetId="3">#REF!</definedName>
    <definedName name="_______sem04">#REF!</definedName>
    <definedName name="_______sem05" localSheetId="3">#REF!</definedName>
    <definedName name="_______sem05">#REF!</definedName>
    <definedName name="_______sem06" localSheetId="3">#REF!</definedName>
    <definedName name="_______sem06">#REF!</definedName>
    <definedName name="_______sem07" localSheetId="3">#REF!</definedName>
    <definedName name="_______sem07">#REF!</definedName>
    <definedName name="_______US1" localSheetId="3">#REF!</definedName>
    <definedName name="_______US1">#REF!</definedName>
    <definedName name="_______UXA1" localSheetId="3">#REF!</definedName>
    <definedName name="_______UXA1">#REF!</definedName>
    <definedName name="_______UXA2" localSheetId="3">#REF!</definedName>
    <definedName name="_______UXA2">#REF!</definedName>
    <definedName name="_______UXA3" localSheetId="3">#REF!</definedName>
    <definedName name="_______UXA3">#REF!</definedName>
    <definedName name="_______UXA4" localSheetId="3">#REF!</definedName>
    <definedName name="_______UXA4">#REF!</definedName>
    <definedName name="_______UXA5" localSheetId="3">#REF!</definedName>
    <definedName name="_______UXA5">#REF!</definedName>
    <definedName name="_______UXB5" localSheetId="3">#REF!</definedName>
    <definedName name="_______UXB5">#REF!</definedName>
    <definedName name="_______UXC5" localSheetId="3">#REF!</definedName>
    <definedName name="_______UXC5">#REF!</definedName>
    <definedName name="_______UXD5" localSheetId="3">#REF!</definedName>
    <definedName name="_______UXD5">#REF!</definedName>
    <definedName name="_______UXE51" localSheetId="3">#REF!</definedName>
    <definedName name="_______UXE51">#REF!</definedName>
    <definedName name="_______UXE52" localSheetId="3">#REF!</definedName>
    <definedName name="_______UXE52">#REF!</definedName>
    <definedName name="_______UXE53" localSheetId="3">#REF!</definedName>
    <definedName name="_______UXE53">#REF!</definedName>
    <definedName name="_______UXF51" localSheetId="3">#REF!</definedName>
    <definedName name="_______UXF51">#REF!</definedName>
    <definedName name="_______UXF52" localSheetId="3">#REF!</definedName>
    <definedName name="_______UXF52">#REF!</definedName>
    <definedName name="_______UXF53" localSheetId="3">#REF!</definedName>
    <definedName name="_______UXF53">#REF!</definedName>
    <definedName name="_______UXG51" localSheetId="3">#REF!</definedName>
    <definedName name="_______UXG51">#REF!</definedName>
    <definedName name="_______UXG52" localSheetId="3">#REF!</definedName>
    <definedName name="_______UXG52">#REF!</definedName>
    <definedName name="_______UXG53" localSheetId="3">#REF!</definedName>
    <definedName name="_______UXG53">#REF!</definedName>
    <definedName name="_______UXH51" localSheetId="3">#REF!</definedName>
    <definedName name="_______UXH51">#REF!</definedName>
    <definedName name="_______UXH52" localSheetId="3">#REF!</definedName>
    <definedName name="_______UXH52">#REF!</definedName>
    <definedName name="_______UXH53" localSheetId="3">#REF!</definedName>
    <definedName name="_______UXH53">#REF!</definedName>
    <definedName name="_______UXI51" localSheetId="3">#REF!</definedName>
    <definedName name="_______UXI51">#REF!</definedName>
    <definedName name="_______UXI52" localSheetId="3">#REF!</definedName>
    <definedName name="_______UXI52">#REF!</definedName>
    <definedName name="_______UXI53" localSheetId="3">#REF!</definedName>
    <definedName name="_______UXI53">#REF!</definedName>
    <definedName name="_______UXJ51" localSheetId="3">#REF!</definedName>
    <definedName name="_______UXJ51">#REF!</definedName>
    <definedName name="_______UXJ52" localSheetId="3">#REF!</definedName>
    <definedName name="_______UXJ52">#REF!</definedName>
    <definedName name="_______UXJ53" localSheetId="3">#REF!</definedName>
    <definedName name="_______UXJ53">#REF!</definedName>
    <definedName name="_______UXK51" localSheetId="3">#REF!</definedName>
    <definedName name="_______UXK51">#REF!</definedName>
    <definedName name="_______UXK52" localSheetId="3">#REF!</definedName>
    <definedName name="_______UXK52">#REF!</definedName>
    <definedName name="_______UXK53" localSheetId="3">#REF!</definedName>
    <definedName name="_______UXK53">#REF!</definedName>
    <definedName name="_______UXL51" localSheetId="3">#REF!</definedName>
    <definedName name="_______UXL51">#REF!</definedName>
    <definedName name="_______UXL52" localSheetId="3">#REF!</definedName>
    <definedName name="_______UXL52">#REF!</definedName>
    <definedName name="_______UXL53" localSheetId="3">#REF!</definedName>
    <definedName name="_______UXL53">#REF!</definedName>
    <definedName name="_______UXM51" localSheetId="3">#REF!</definedName>
    <definedName name="_______UXM51">#REF!</definedName>
    <definedName name="_______UXM52" localSheetId="3">#REF!</definedName>
    <definedName name="_______UXM52">#REF!</definedName>
    <definedName name="_______UXM53" localSheetId="3">#REF!</definedName>
    <definedName name="_______UXM53">#REF!</definedName>
    <definedName name="_______xlfn.BAHTTEXT" hidden="1">#NAME?</definedName>
    <definedName name="_______yr2000" localSheetId="3">#REF!</definedName>
    <definedName name="_______yr2000">#REF!</definedName>
    <definedName name="_______yr2001" localSheetId="3">#REF!</definedName>
    <definedName name="_______yr2001">#REF!</definedName>
    <definedName name="______08_하자보수비" localSheetId="3">#REF!</definedName>
    <definedName name="______08_하자보수비">#REF!</definedName>
    <definedName name="______a1" localSheetId="3">#REF!</definedName>
    <definedName name="______a1">#REF!</definedName>
    <definedName name="______AAA2" localSheetId="3">#REF!</definedName>
    <definedName name="______AAA2">#REF!</definedName>
    <definedName name="______aaa3" localSheetId="3">#REF!</definedName>
    <definedName name="______aaa3">#REF!</definedName>
    <definedName name="______ARC2" hidden="1">{"'Desktop Inventory 현황'!$B$2:$O$35"}</definedName>
    <definedName name="______bs1" localSheetId="3">#REF!</definedName>
    <definedName name="______bs1">#REF!</definedName>
    <definedName name="______fte03" localSheetId="3">#REF!</definedName>
    <definedName name="______fte03">#REF!</definedName>
    <definedName name="______kwy1" hidden="1">{#N/A,#N/A,FALSE,"ALM-ASISC"}</definedName>
    <definedName name="______MF2" localSheetId="3">#REF!</definedName>
    <definedName name="______MF2">#REF!</definedName>
    <definedName name="______NTA1" localSheetId="3">#REF!</definedName>
    <definedName name="______NTA1">#REF!</definedName>
    <definedName name="______NTA2" localSheetId="3">#REF!</definedName>
    <definedName name="______NTA2">#REF!</definedName>
    <definedName name="______NTA3" localSheetId="3">#REF!</definedName>
    <definedName name="______NTA3">#REF!</definedName>
    <definedName name="______O30000" localSheetId="3">#REF!</definedName>
    <definedName name="______O30000">#REF!</definedName>
    <definedName name="______PR1" localSheetId="3">#REF!</definedName>
    <definedName name="______PR1">#REF!</definedName>
    <definedName name="______q1">#N/A</definedName>
    <definedName name="______rt01" localSheetId="3">#REF!</definedName>
    <definedName name="______rt01">#REF!</definedName>
    <definedName name="______sem02" localSheetId="3">#REF!</definedName>
    <definedName name="______sem02">#REF!</definedName>
    <definedName name="______sem03" localSheetId="3">#REF!</definedName>
    <definedName name="______sem03">#REF!</definedName>
    <definedName name="______sem04" localSheetId="3">#REF!</definedName>
    <definedName name="______sem04">#REF!</definedName>
    <definedName name="______sem05" localSheetId="3">#REF!</definedName>
    <definedName name="______sem05">#REF!</definedName>
    <definedName name="______sem06" localSheetId="3">#REF!</definedName>
    <definedName name="______sem06">#REF!</definedName>
    <definedName name="______sem07" localSheetId="3">#REF!</definedName>
    <definedName name="______sem07">#REF!</definedName>
    <definedName name="______US1" localSheetId="3">#REF!</definedName>
    <definedName name="______US1">#REF!</definedName>
    <definedName name="______UXA1" localSheetId="3">#REF!</definedName>
    <definedName name="______UXA1">#REF!</definedName>
    <definedName name="______UXA2" localSheetId="3">#REF!</definedName>
    <definedName name="______UXA2">#REF!</definedName>
    <definedName name="______UXA3" localSheetId="3">#REF!</definedName>
    <definedName name="______UXA3">#REF!</definedName>
    <definedName name="______UXA4" localSheetId="3">#REF!</definedName>
    <definedName name="______UXA4">#REF!</definedName>
    <definedName name="______UXA5" localSheetId="3">#REF!</definedName>
    <definedName name="______UXA5">#REF!</definedName>
    <definedName name="______UXB5" localSheetId="3">#REF!</definedName>
    <definedName name="______UXB5">#REF!</definedName>
    <definedName name="______UXC5" localSheetId="3">#REF!</definedName>
    <definedName name="______UXC5">#REF!</definedName>
    <definedName name="______UXD5" localSheetId="3">#REF!</definedName>
    <definedName name="______UXD5">#REF!</definedName>
    <definedName name="______UXE51" localSheetId="3">#REF!</definedName>
    <definedName name="______UXE51">#REF!</definedName>
    <definedName name="______UXE52" localSheetId="3">#REF!</definedName>
    <definedName name="______UXE52">#REF!</definedName>
    <definedName name="______UXE53" localSheetId="3">#REF!</definedName>
    <definedName name="______UXE53">#REF!</definedName>
    <definedName name="______UXF51" localSheetId="3">#REF!</definedName>
    <definedName name="______UXF51">#REF!</definedName>
    <definedName name="______UXF52" localSheetId="3">#REF!</definedName>
    <definedName name="______UXF52">#REF!</definedName>
    <definedName name="______UXF53" localSheetId="3">#REF!</definedName>
    <definedName name="______UXF53">#REF!</definedName>
    <definedName name="______UXG51" localSheetId="3">#REF!</definedName>
    <definedName name="______UXG51">#REF!</definedName>
    <definedName name="______UXG52" localSheetId="3">#REF!</definedName>
    <definedName name="______UXG52">#REF!</definedName>
    <definedName name="______UXG53" localSheetId="3">#REF!</definedName>
    <definedName name="______UXG53">#REF!</definedName>
    <definedName name="______UXH51" localSheetId="3">#REF!</definedName>
    <definedName name="______UXH51">#REF!</definedName>
    <definedName name="______UXH52" localSheetId="3">#REF!</definedName>
    <definedName name="______UXH52">#REF!</definedName>
    <definedName name="______UXH53" localSheetId="3">#REF!</definedName>
    <definedName name="______UXH53">#REF!</definedName>
    <definedName name="______UXI51" localSheetId="3">#REF!</definedName>
    <definedName name="______UXI51">#REF!</definedName>
    <definedName name="______UXI52" localSheetId="3">#REF!</definedName>
    <definedName name="______UXI52">#REF!</definedName>
    <definedName name="______UXI53" localSheetId="3">#REF!</definedName>
    <definedName name="______UXI53">#REF!</definedName>
    <definedName name="______UXJ51" localSheetId="3">#REF!</definedName>
    <definedName name="______UXJ51">#REF!</definedName>
    <definedName name="______UXJ52" localSheetId="3">#REF!</definedName>
    <definedName name="______UXJ52">#REF!</definedName>
    <definedName name="______UXJ53" localSheetId="3">#REF!</definedName>
    <definedName name="______UXJ53">#REF!</definedName>
    <definedName name="______UXK51" localSheetId="3">#REF!</definedName>
    <definedName name="______UXK51">#REF!</definedName>
    <definedName name="______UXK52" localSheetId="3">#REF!</definedName>
    <definedName name="______UXK52">#REF!</definedName>
    <definedName name="______UXK53" localSheetId="3">#REF!</definedName>
    <definedName name="______UXK53">#REF!</definedName>
    <definedName name="______UXL51" localSheetId="3">#REF!</definedName>
    <definedName name="______UXL51">#REF!</definedName>
    <definedName name="______UXL52" localSheetId="3">#REF!</definedName>
    <definedName name="______UXL52">#REF!</definedName>
    <definedName name="______UXL53" localSheetId="3">#REF!</definedName>
    <definedName name="______UXL53">#REF!</definedName>
    <definedName name="______UXM51" localSheetId="3">#REF!</definedName>
    <definedName name="______UXM51">#REF!</definedName>
    <definedName name="______UXM52" localSheetId="3">#REF!</definedName>
    <definedName name="______UXM52">#REF!</definedName>
    <definedName name="______UXM53" localSheetId="3">#REF!</definedName>
    <definedName name="______UXM53">#REF!</definedName>
    <definedName name="______xlfn.BAHTTEXT" hidden="1">#NAME?</definedName>
    <definedName name="______yr2000" localSheetId="3">#REF!</definedName>
    <definedName name="______yr2000">#REF!</definedName>
    <definedName name="______yr2001" localSheetId="3">#REF!</definedName>
    <definedName name="______yr2001">#REF!</definedName>
    <definedName name="_____08_하자보수비" localSheetId="3">#REF!</definedName>
    <definedName name="_____08_하자보수비">#REF!</definedName>
    <definedName name="_____a1" localSheetId="3">#REF!</definedName>
    <definedName name="_____a1">#REF!</definedName>
    <definedName name="_____AAA2" localSheetId="3">#REF!</definedName>
    <definedName name="_____AAA2">#REF!</definedName>
    <definedName name="_____aaa3" localSheetId="3">#REF!</definedName>
    <definedName name="_____aaa3">#REF!</definedName>
    <definedName name="_____ARC2" hidden="1">{"'Desktop Inventory 현황'!$B$2:$O$35"}</definedName>
    <definedName name="_____bs1" localSheetId="3">#REF!</definedName>
    <definedName name="_____bs1">#REF!</definedName>
    <definedName name="_____fte03" localSheetId="3">#REF!</definedName>
    <definedName name="_____fte03">#REF!</definedName>
    <definedName name="_____kwy1" hidden="1">{#N/A,#N/A,FALSE,"ALM-ASISC"}</definedName>
    <definedName name="_____MF2" localSheetId="3">#REF!</definedName>
    <definedName name="_____MF2">#REF!</definedName>
    <definedName name="_____NTA1" localSheetId="3">#REF!</definedName>
    <definedName name="_____NTA1">#REF!</definedName>
    <definedName name="_____NTA2" localSheetId="3">#REF!</definedName>
    <definedName name="_____NTA2">#REF!</definedName>
    <definedName name="_____NTA3" localSheetId="3">#REF!</definedName>
    <definedName name="_____NTA3">#REF!</definedName>
    <definedName name="_____O30000" localSheetId="3">#REF!</definedName>
    <definedName name="_____O30000">#REF!</definedName>
    <definedName name="_____PR1" localSheetId="3">#REF!</definedName>
    <definedName name="_____PR1">#REF!</definedName>
    <definedName name="_____q1">#N/A</definedName>
    <definedName name="_____rt01" localSheetId="3">#REF!</definedName>
    <definedName name="_____rt01">#REF!</definedName>
    <definedName name="_____sem02" localSheetId="3">#REF!</definedName>
    <definedName name="_____sem02">#REF!</definedName>
    <definedName name="_____sem03" localSheetId="3">#REF!</definedName>
    <definedName name="_____sem03">#REF!</definedName>
    <definedName name="_____sem04" localSheetId="3">#REF!</definedName>
    <definedName name="_____sem04">#REF!</definedName>
    <definedName name="_____sem05" localSheetId="3">#REF!</definedName>
    <definedName name="_____sem05">#REF!</definedName>
    <definedName name="_____sem06" localSheetId="3">#REF!</definedName>
    <definedName name="_____sem06">#REF!</definedName>
    <definedName name="_____sem07" localSheetId="3">#REF!</definedName>
    <definedName name="_____sem07">#REF!</definedName>
    <definedName name="_____US1" localSheetId="3">#REF!</definedName>
    <definedName name="_____US1">#REF!</definedName>
    <definedName name="_____UXA1" localSheetId="3">#REF!</definedName>
    <definedName name="_____UXA1">#REF!</definedName>
    <definedName name="_____UXA2" localSheetId="3">#REF!</definedName>
    <definedName name="_____UXA2">#REF!</definedName>
    <definedName name="_____UXA3" localSheetId="3">#REF!</definedName>
    <definedName name="_____UXA3">#REF!</definedName>
    <definedName name="_____UXA4" localSheetId="3">#REF!</definedName>
    <definedName name="_____UXA4">#REF!</definedName>
    <definedName name="_____UXA5" localSheetId="3">#REF!</definedName>
    <definedName name="_____UXA5">#REF!</definedName>
    <definedName name="_____UXB5" localSheetId="3">#REF!</definedName>
    <definedName name="_____UXB5">#REF!</definedName>
    <definedName name="_____UXC5" localSheetId="3">#REF!</definedName>
    <definedName name="_____UXC5">#REF!</definedName>
    <definedName name="_____UXD5" localSheetId="3">#REF!</definedName>
    <definedName name="_____UXD5">#REF!</definedName>
    <definedName name="_____UXE51" localSheetId="3">#REF!</definedName>
    <definedName name="_____UXE51">#REF!</definedName>
    <definedName name="_____UXE52" localSheetId="3">#REF!</definedName>
    <definedName name="_____UXE52">#REF!</definedName>
    <definedName name="_____UXE53" localSheetId="3">#REF!</definedName>
    <definedName name="_____UXE53">#REF!</definedName>
    <definedName name="_____UXF51" localSheetId="3">#REF!</definedName>
    <definedName name="_____UXF51">#REF!</definedName>
    <definedName name="_____UXF52" localSheetId="3">#REF!</definedName>
    <definedName name="_____UXF52">#REF!</definedName>
    <definedName name="_____UXF53" localSheetId="3">#REF!</definedName>
    <definedName name="_____UXF53">#REF!</definedName>
    <definedName name="_____UXG51" localSheetId="3">#REF!</definedName>
    <definedName name="_____UXG51">#REF!</definedName>
    <definedName name="_____UXG52" localSheetId="3">#REF!</definedName>
    <definedName name="_____UXG52">#REF!</definedName>
    <definedName name="_____UXG53" localSheetId="3">#REF!</definedName>
    <definedName name="_____UXG53">#REF!</definedName>
    <definedName name="_____UXH51" localSheetId="3">#REF!</definedName>
    <definedName name="_____UXH51">#REF!</definedName>
    <definedName name="_____UXH52" localSheetId="3">#REF!</definedName>
    <definedName name="_____UXH52">#REF!</definedName>
    <definedName name="_____UXH53" localSheetId="3">#REF!</definedName>
    <definedName name="_____UXH53">#REF!</definedName>
    <definedName name="_____UXI51" localSheetId="3">#REF!</definedName>
    <definedName name="_____UXI51">#REF!</definedName>
    <definedName name="_____UXI52" localSheetId="3">#REF!</definedName>
    <definedName name="_____UXI52">#REF!</definedName>
    <definedName name="_____UXI53" localSheetId="3">#REF!</definedName>
    <definedName name="_____UXI53">#REF!</definedName>
    <definedName name="_____UXJ51" localSheetId="3">#REF!</definedName>
    <definedName name="_____UXJ51">#REF!</definedName>
    <definedName name="_____UXJ52" localSheetId="3">#REF!</definedName>
    <definedName name="_____UXJ52">#REF!</definedName>
    <definedName name="_____UXJ53" localSheetId="3">#REF!</definedName>
    <definedName name="_____UXJ53">#REF!</definedName>
    <definedName name="_____UXK51" localSheetId="3">#REF!</definedName>
    <definedName name="_____UXK51">#REF!</definedName>
    <definedName name="_____UXK52" localSheetId="3">#REF!</definedName>
    <definedName name="_____UXK52">#REF!</definedName>
    <definedName name="_____UXK53" localSheetId="3">#REF!</definedName>
    <definedName name="_____UXK53">#REF!</definedName>
    <definedName name="_____UXL51" localSheetId="3">#REF!</definedName>
    <definedName name="_____UXL51">#REF!</definedName>
    <definedName name="_____UXL52" localSheetId="3">#REF!</definedName>
    <definedName name="_____UXL52">#REF!</definedName>
    <definedName name="_____UXL53" localSheetId="3">#REF!</definedName>
    <definedName name="_____UXL53">#REF!</definedName>
    <definedName name="_____UXM51" localSheetId="3">#REF!</definedName>
    <definedName name="_____UXM51">#REF!</definedName>
    <definedName name="_____UXM52" localSheetId="3">#REF!</definedName>
    <definedName name="_____UXM52">#REF!</definedName>
    <definedName name="_____UXM53" localSheetId="3">#REF!</definedName>
    <definedName name="_____UXM53">#REF!</definedName>
    <definedName name="_____xlfn.BAHTTEXT" hidden="1">#NAME?</definedName>
    <definedName name="_____yr2000" localSheetId="3">#REF!</definedName>
    <definedName name="_____yr2000">#REF!</definedName>
    <definedName name="_____yr2001" localSheetId="3">#REF!</definedName>
    <definedName name="_____yr2001">#REF!</definedName>
    <definedName name="____08_하자보수비" localSheetId="3">#REF!</definedName>
    <definedName name="____08_하자보수비">#REF!</definedName>
    <definedName name="____a1" localSheetId="3">#REF!</definedName>
    <definedName name="____a1">#REF!</definedName>
    <definedName name="____AAA2" localSheetId="3">#REF!</definedName>
    <definedName name="____AAA2">#REF!</definedName>
    <definedName name="____aaa3" localSheetId="3">#REF!</definedName>
    <definedName name="____aaa3">#REF!</definedName>
    <definedName name="____APG1" localSheetId="3">#REF!</definedName>
    <definedName name="____APG1">#REF!</definedName>
    <definedName name="____ARC2" hidden="1">{"'Desktop Inventory 현황'!$B$2:$O$35"}</definedName>
    <definedName name="____ARE1" localSheetId="3">#REF!</definedName>
    <definedName name="____ARE1">#REF!</definedName>
    <definedName name="____ARE2" localSheetId="3">#REF!</definedName>
    <definedName name="____ARE2">#REF!</definedName>
    <definedName name="____bs1" localSheetId="3">#REF!</definedName>
    <definedName name="____bs1">#REF!</definedName>
    <definedName name="____DAT7" localSheetId="3">#REF!</definedName>
    <definedName name="____DAT7">#REF!</definedName>
    <definedName name="____fte03" localSheetId="3">#REF!</definedName>
    <definedName name="____fte03">#REF!</definedName>
    <definedName name="____INR1" localSheetId="3">#REF!</definedName>
    <definedName name="____INR1">#REF!</definedName>
    <definedName name="____INR2" localSheetId="3">#REF!</definedName>
    <definedName name="____INR2">#REF!</definedName>
    <definedName name="____kwy1" hidden="1">{#N/A,#N/A,FALSE,"ALM-ASISC"}</definedName>
    <definedName name="____LIB1" localSheetId="3">#REF!</definedName>
    <definedName name="____LIB1">#REF!</definedName>
    <definedName name="____MF2" localSheetId="3">#REF!</definedName>
    <definedName name="____MF2">#REF!</definedName>
    <definedName name="____NTA1" localSheetId="3">#REF!</definedName>
    <definedName name="____NTA1">#REF!</definedName>
    <definedName name="____NTA2" localSheetId="3">#REF!</definedName>
    <definedName name="____NTA2">#REF!</definedName>
    <definedName name="____NTA3" localSheetId="3">#REF!</definedName>
    <definedName name="____NTA3">#REF!</definedName>
    <definedName name="____O30000" localSheetId="3">#REF!</definedName>
    <definedName name="____O30000">#REF!</definedName>
    <definedName name="____ODP1" localSheetId="3">#REF!</definedName>
    <definedName name="____ODP1">#REF!</definedName>
    <definedName name="____ODP2" localSheetId="3">#REF!</definedName>
    <definedName name="____ODP2">#REF!</definedName>
    <definedName name="____ODP3" localSheetId="3">#REF!</definedName>
    <definedName name="____ODP3">#REF!</definedName>
    <definedName name="____ODP4" localSheetId="3">#REF!</definedName>
    <definedName name="____ODP4">#REF!</definedName>
    <definedName name="____ODP6" localSheetId="3">#REF!</definedName>
    <definedName name="____ODP6">#REF!</definedName>
    <definedName name="____ODP7" localSheetId="3">#REF!</definedName>
    <definedName name="____ODP7">#REF!</definedName>
    <definedName name="____ODP8" localSheetId="3">#REF!</definedName>
    <definedName name="____ODP8">#REF!</definedName>
    <definedName name="____PG5" localSheetId="3">#REF!</definedName>
    <definedName name="____PG5">#REF!</definedName>
    <definedName name="____PR1" localSheetId="3">#REF!</definedName>
    <definedName name="____PR1">#REF!</definedName>
    <definedName name="____PRE1" localSheetId="3">#REF!</definedName>
    <definedName name="____PRE1">#REF!</definedName>
    <definedName name="____PRI1" localSheetId="3">#REF!</definedName>
    <definedName name="____PRI1">#REF!</definedName>
    <definedName name="____PRI2" localSheetId="3">#REF!</definedName>
    <definedName name="____PRI2">#REF!</definedName>
    <definedName name="____q1">#N/A</definedName>
    <definedName name="____rt01" localSheetId="3">#REF!</definedName>
    <definedName name="____rt01">#REF!</definedName>
    <definedName name="____sem02" localSheetId="3">#REF!</definedName>
    <definedName name="____sem02">#REF!</definedName>
    <definedName name="____sem03" localSheetId="3">#REF!</definedName>
    <definedName name="____sem03">#REF!</definedName>
    <definedName name="____sem04" localSheetId="3">#REF!</definedName>
    <definedName name="____sem04">#REF!</definedName>
    <definedName name="____sem05" localSheetId="3">#REF!</definedName>
    <definedName name="____sem05">#REF!</definedName>
    <definedName name="____sem06" localSheetId="3">#REF!</definedName>
    <definedName name="____sem06">#REF!</definedName>
    <definedName name="____sem07" localSheetId="3">#REF!</definedName>
    <definedName name="____sem07">#REF!</definedName>
    <definedName name="____US1" localSheetId="3">#REF!</definedName>
    <definedName name="____US1">#REF!</definedName>
    <definedName name="____UXA1" localSheetId="3">#REF!</definedName>
    <definedName name="____UXA1">#REF!</definedName>
    <definedName name="____UXA2" localSheetId="3">#REF!</definedName>
    <definedName name="____UXA2">#REF!</definedName>
    <definedName name="____UXA3" localSheetId="3">#REF!</definedName>
    <definedName name="____UXA3">#REF!</definedName>
    <definedName name="____UXA4" localSheetId="3">#REF!</definedName>
    <definedName name="____UXA4">#REF!</definedName>
    <definedName name="____UXA5" localSheetId="3">#REF!</definedName>
    <definedName name="____UXA5">#REF!</definedName>
    <definedName name="____UXB5" localSheetId="3">#REF!</definedName>
    <definedName name="____UXB5">#REF!</definedName>
    <definedName name="____UXC5" localSheetId="3">#REF!</definedName>
    <definedName name="____UXC5">#REF!</definedName>
    <definedName name="____UXD5" localSheetId="3">#REF!</definedName>
    <definedName name="____UXD5">#REF!</definedName>
    <definedName name="____UXE51" localSheetId="3">#REF!</definedName>
    <definedName name="____UXE51">#REF!</definedName>
    <definedName name="____UXE52" localSheetId="3">#REF!</definedName>
    <definedName name="____UXE52">#REF!</definedName>
    <definedName name="____UXE53" localSheetId="3">#REF!</definedName>
    <definedName name="____UXE53">#REF!</definedName>
    <definedName name="____UXF51" localSheetId="3">#REF!</definedName>
    <definedName name="____UXF51">#REF!</definedName>
    <definedName name="____UXF52" localSheetId="3">#REF!</definedName>
    <definedName name="____UXF52">#REF!</definedName>
    <definedName name="____UXF53" localSheetId="3">#REF!</definedName>
    <definedName name="____UXF53">#REF!</definedName>
    <definedName name="____UXG51" localSheetId="3">#REF!</definedName>
    <definedName name="____UXG51">#REF!</definedName>
    <definedName name="____UXG52" localSheetId="3">#REF!</definedName>
    <definedName name="____UXG52">#REF!</definedName>
    <definedName name="____UXG53" localSheetId="3">#REF!</definedName>
    <definedName name="____UXG53">#REF!</definedName>
    <definedName name="____UXH51" localSheetId="3">#REF!</definedName>
    <definedName name="____UXH51">#REF!</definedName>
    <definedName name="____UXH52" localSheetId="3">#REF!</definedName>
    <definedName name="____UXH52">#REF!</definedName>
    <definedName name="____UXH53" localSheetId="3">#REF!</definedName>
    <definedName name="____UXH53">#REF!</definedName>
    <definedName name="____UXI51" localSheetId="3">#REF!</definedName>
    <definedName name="____UXI51">#REF!</definedName>
    <definedName name="____UXI52" localSheetId="3">#REF!</definedName>
    <definedName name="____UXI52">#REF!</definedName>
    <definedName name="____UXI53" localSheetId="3">#REF!</definedName>
    <definedName name="____UXI53">#REF!</definedName>
    <definedName name="____UXJ51" localSheetId="3">#REF!</definedName>
    <definedName name="____UXJ51">#REF!</definedName>
    <definedName name="____UXJ52" localSheetId="3">#REF!</definedName>
    <definedName name="____UXJ52">#REF!</definedName>
    <definedName name="____UXJ53" localSheetId="3">#REF!</definedName>
    <definedName name="____UXJ53">#REF!</definedName>
    <definedName name="____UXK51" localSheetId="3">#REF!</definedName>
    <definedName name="____UXK51">#REF!</definedName>
    <definedName name="____UXK52" localSheetId="3">#REF!</definedName>
    <definedName name="____UXK52">#REF!</definedName>
    <definedName name="____UXK53" localSheetId="3">#REF!</definedName>
    <definedName name="____UXK53">#REF!</definedName>
    <definedName name="____UXL51" localSheetId="3">#REF!</definedName>
    <definedName name="____UXL51">#REF!</definedName>
    <definedName name="____UXL52" localSheetId="3">#REF!</definedName>
    <definedName name="____UXL52">#REF!</definedName>
    <definedName name="____UXL53" localSheetId="3">#REF!</definedName>
    <definedName name="____UXL53">#REF!</definedName>
    <definedName name="____UXM51" localSheetId="3">#REF!</definedName>
    <definedName name="____UXM51">#REF!</definedName>
    <definedName name="____UXM52" localSheetId="3">#REF!</definedName>
    <definedName name="____UXM52">#REF!</definedName>
    <definedName name="____UXM53" localSheetId="3">#REF!</definedName>
    <definedName name="____UXM53">#REF!</definedName>
    <definedName name="____xlfn.BAHTTEXT" hidden="1">#NAME?</definedName>
    <definedName name="____yr2000" localSheetId="3">#REF!</definedName>
    <definedName name="____yr2000">#REF!</definedName>
    <definedName name="____yr2001" localSheetId="3">#REF!</definedName>
    <definedName name="____yr2001">#REF!</definedName>
    <definedName name="___08_하자보수비" localSheetId="3">#REF!</definedName>
    <definedName name="___08_하자보수비">#REF!</definedName>
    <definedName name="___a1" localSheetId="3">#REF!</definedName>
    <definedName name="___a1">#REF!</definedName>
    <definedName name="___A20000" localSheetId="3">#REF!</definedName>
    <definedName name="___A20000">#REF!</definedName>
    <definedName name="___aa1" hidden="1">{#N/A,#N/A,FALSE,"Aging Summary";#N/A,#N/A,FALSE,"Ratio Analysis";#N/A,#N/A,FALSE,"Test 120 Day Accts";#N/A,#N/A,FALSE,"Tickmarks"}</definedName>
    <definedName name="___aaa2" hidden="1">{#N/A,#N/A,FALSE,"Aging Summary";#N/A,#N/A,FALSE,"Ratio Analysis";#N/A,#N/A,FALSE,"Test 120 Day Accts";#N/A,#N/A,FALSE,"Tickmarks"}</definedName>
    <definedName name="___aaa3" localSheetId="3">#REF!</definedName>
    <definedName name="___aaa3">#REF!</definedName>
    <definedName name="___ADD2" localSheetId="3">#REF!</definedName>
    <definedName name="___ADD2">#REF!</definedName>
    <definedName name="___AMT13300">#N/A</definedName>
    <definedName name="___AMT13502">#N/A</definedName>
    <definedName name="___AMT41301">#N/A</definedName>
    <definedName name="___AMT85116">#N/A</definedName>
    <definedName name="___AMT85125">#N/A</definedName>
    <definedName name="___AMT86106">#N/A</definedName>
    <definedName name="___APG1" localSheetId="3">#REF!</definedName>
    <definedName name="___APG1">#REF!</definedName>
    <definedName name="___APG2" localSheetId="3">#REF!</definedName>
    <definedName name="___APG2">#REF!</definedName>
    <definedName name="___ARE1" localSheetId="3">#REF!</definedName>
    <definedName name="___ARE1">#REF!</definedName>
    <definedName name="___ARE2" localSheetId="3">#REF!</definedName>
    <definedName name="___ARE2">#REF!</definedName>
    <definedName name="___bs1" localSheetId="3">#REF!</definedName>
    <definedName name="___bs1">#REF!</definedName>
    <definedName name="___DAT5" localSheetId="3">#REF!</definedName>
    <definedName name="___DAT5">#REF!</definedName>
    <definedName name="___DAT7" localSheetId="3">#REF!</definedName>
    <definedName name="___DAT7">#REF!</definedName>
    <definedName name="___DAT8" localSheetId="3">#REF!</definedName>
    <definedName name="___DAT8">#REF!</definedName>
    <definedName name="___DCH1" localSheetId="3">#REF!</definedName>
    <definedName name="___DCH1">#REF!</definedName>
    <definedName name="___DCH2" localSheetId="3">#REF!</definedName>
    <definedName name="___DCH2">#REF!</definedName>
    <definedName name="___Div1" localSheetId="3">#REF!</definedName>
    <definedName name="___Div1">#REF!</definedName>
    <definedName name="___fax2">[0]!___fax2</definedName>
    <definedName name="___FPD1" localSheetId="3">#REF!</definedName>
    <definedName name="___FPD1">#REF!</definedName>
    <definedName name="___FPD2" localSheetId="3">#REF!</definedName>
    <definedName name="___FPD2">#REF!</definedName>
    <definedName name="___fte03" localSheetId="3">#REF!</definedName>
    <definedName name="___fte03">#REF!</definedName>
    <definedName name="___INR1" localSheetId="3">#REF!</definedName>
    <definedName name="___INR1">#REF!</definedName>
    <definedName name="___INR2" localSheetId="3">#REF!</definedName>
    <definedName name="___INR2">#REF!</definedName>
    <definedName name="___iv18000" localSheetId="3">#REF!</definedName>
    <definedName name="___iv18000">#REF!</definedName>
    <definedName name="___iz5000" localSheetId="3">#REF!</definedName>
    <definedName name="___iz5000">#REF!</definedName>
    <definedName name="__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_lbg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__LIB1" localSheetId="3">#REF!</definedName>
    <definedName name="___LIB1">#REF!</definedName>
    <definedName name="___LIB2" localSheetId="3">#REF!</definedName>
    <definedName name="___LIB2">#REF!</definedName>
    <definedName name="___lz5000" localSheetId="3">#REF!</definedName>
    <definedName name="___lz5000">#REF!</definedName>
    <definedName name="___MF2" localSheetId="3">#REF!</definedName>
    <definedName name="___MF2">#REF!</definedName>
    <definedName name="___new2">[0]!___new2</definedName>
    <definedName name="___NTA1" localSheetId="3">#REF!</definedName>
    <definedName name="___NTA1">#REF!</definedName>
    <definedName name="___NTA2" localSheetId="3">#REF!</definedName>
    <definedName name="___NTA2">#REF!</definedName>
    <definedName name="___NTA3" localSheetId="3">#REF!</definedName>
    <definedName name="___NTA3">#REF!</definedName>
    <definedName name="___O30000" localSheetId="3">#REF!</definedName>
    <definedName name="___O30000">#REF!</definedName>
    <definedName name="___ODP1" localSheetId="3">#REF!</definedName>
    <definedName name="___ODP1">#REF!</definedName>
    <definedName name="___ODP2" localSheetId="3">#REF!</definedName>
    <definedName name="___ODP2">#REF!</definedName>
    <definedName name="___ODP3" localSheetId="3">#REF!</definedName>
    <definedName name="___ODP3">#REF!</definedName>
    <definedName name="___ODP4" localSheetId="3">#REF!</definedName>
    <definedName name="___ODP4">#REF!</definedName>
    <definedName name="___ODP5" localSheetId="3">#REF!</definedName>
    <definedName name="___ODP5">#REF!</definedName>
    <definedName name="___ODP6" localSheetId="3">#REF!</definedName>
    <definedName name="___ODP6">#REF!</definedName>
    <definedName name="___ODP7" localSheetId="3">#REF!</definedName>
    <definedName name="___ODP7">#REF!</definedName>
    <definedName name="___ODP8" localSheetId="3">#REF!</definedName>
    <definedName name="___ODP8">#REF!</definedName>
    <definedName name="___OUT13300">#N/A</definedName>
    <definedName name="___OUT13502">#N/A</definedName>
    <definedName name="___OUT41301">#N/A</definedName>
    <definedName name="___OUT85116">#N/A</definedName>
    <definedName name="___OUT85125">#N/A</definedName>
    <definedName name="___OUT86106">#N/A</definedName>
    <definedName name="___PG1" localSheetId="3">#REF!</definedName>
    <definedName name="___PG1">#REF!</definedName>
    <definedName name="___PG15" localSheetId="3">#REF!</definedName>
    <definedName name="___PG15">#REF!</definedName>
    <definedName name="___PG2" localSheetId="3">#REF!</definedName>
    <definedName name="___PG2">#REF!</definedName>
    <definedName name="___PG3" localSheetId="3">#REF!</definedName>
    <definedName name="___PG3">#REF!</definedName>
    <definedName name="___PG4" localSheetId="3">#REF!</definedName>
    <definedName name="___PG4">#REF!</definedName>
    <definedName name="___PG5" localSheetId="3">#REF!</definedName>
    <definedName name="___PG5">#REF!</definedName>
    <definedName name="___PG9" localSheetId="3">#REF!</definedName>
    <definedName name="___PG9">#REF!</definedName>
    <definedName name="___pl1" localSheetId="3">#REF!</definedName>
    <definedName name="___pl1">#REF!</definedName>
    <definedName name="___pol1">[0]!___pol1</definedName>
    <definedName name="___PR1" localSheetId="3">#REF!</definedName>
    <definedName name="___PR1">#REF!</definedName>
    <definedName name="___PRE1" localSheetId="3">#REF!</definedName>
    <definedName name="___PRE1">#REF!</definedName>
    <definedName name="___PRE2" localSheetId="3">#REF!</definedName>
    <definedName name="___PRE2">#REF!</definedName>
    <definedName name="___PRI1" localSheetId="3">#REF!</definedName>
    <definedName name="___PRI1">#REF!</definedName>
    <definedName name="___PRI2" localSheetId="3">#REF!</definedName>
    <definedName name="___PRI2">#REF!</definedName>
    <definedName name="___PRT1" localSheetId="3">#REF!</definedName>
    <definedName name="___PRT1">#REF!</definedName>
    <definedName name="___PRT2" localSheetId="3">#REF!</definedName>
    <definedName name="___PRT2">#REF!</definedName>
    <definedName name="___q1">#N/A</definedName>
    <definedName name="___QRA86106">#N/A</definedName>
    <definedName name="___rt01" localSheetId="3">#REF!</definedName>
    <definedName name="___rt01">#REF!</definedName>
    <definedName name="___SE7" localSheetId="3">#REF!</definedName>
    <definedName name="___SE7">#REF!</definedName>
    <definedName name="___sem02" localSheetId="3">#REF!</definedName>
    <definedName name="___sem02">#REF!</definedName>
    <definedName name="___sem03" localSheetId="3">#REF!</definedName>
    <definedName name="___sem03">#REF!</definedName>
    <definedName name="___sem04" localSheetId="3">#REF!</definedName>
    <definedName name="___sem04">#REF!</definedName>
    <definedName name="___sem05" localSheetId="3">#REF!</definedName>
    <definedName name="___sem05">#REF!</definedName>
    <definedName name="___sem06" localSheetId="3">#REF!</definedName>
    <definedName name="___sem06">#REF!</definedName>
    <definedName name="___sem07" localSheetId="3">#REF!</definedName>
    <definedName name="___sem07">#REF!</definedName>
    <definedName name="___Sex1" localSheetId="3">#REF!</definedName>
    <definedName name="___Sex1">#REF!</definedName>
    <definedName name="___Sex2" localSheetId="3">#REF!</definedName>
    <definedName name="___Sex2">#REF!</definedName>
    <definedName name="___Sex3" localSheetId="3">#REF!</definedName>
    <definedName name="___Sex3">#REF!</definedName>
    <definedName name="___Sex4" localSheetId="3">#REF!</definedName>
    <definedName name="___Sex4">#REF!</definedName>
    <definedName name="___Sex5" localSheetId="3">#REF!</definedName>
    <definedName name="___Sex5">#REF!</definedName>
    <definedName name="___Sex6" localSheetId="3">#REF!</definedName>
    <definedName name="___Sex6">#REF!</definedName>
    <definedName name="___SUB2" localSheetId="3">#REF!</definedName>
    <definedName name="___SUB2">#REF!</definedName>
    <definedName name="___tt2">[0]!___tt2</definedName>
    <definedName name="___US1" localSheetId="3">#REF!</definedName>
    <definedName name="___US1">#REF!</definedName>
    <definedName name="___UXA1" localSheetId="3">#REF!</definedName>
    <definedName name="___UXA1">#REF!</definedName>
    <definedName name="___UXA2" localSheetId="3">#REF!</definedName>
    <definedName name="___UXA2">#REF!</definedName>
    <definedName name="___UXA3" localSheetId="3">#REF!</definedName>
    <definedName name="___UXA3">#REF!</definedName>
    <definedName name="___UXA4" localSheetId="3">#REF!</definedName>
    <definedName name="___UXA4">#REF!</definedName>
    <definedName name="___UXA5" localSheetId="3">#REF!</definedName>
    <definedName name="___UXA5">#REF!</definedName>
    <definedName name="___UXB5" localSheetId="3">#REF!</definedName>
    <definedName name="___UXB5">#REF!</definedName>
    <definedName name="___UXC5" localSheetId="3">#REF!</definedName>
    <definedName name="___UXC5">#REF!</definedName>
    <definedName name="___UXD5" localSheetId="3">#REF!</definedName>
    <definedName name="___UXD5">#REF!</definedName>
    <definedName name="___UXE51" localSheetId="3">#REF!</definedName>
    <definedName name="___UXE51">#REF!</definedName>
    <definedName name="___UXE52" localSheetId="3">#REF!</definedName>
    <definedName name="___UXE52">#REF!</definedName>
    <definedName name="___UXE53" localSheetId="3">#REF!</definedName>
    <definedName name="___UXE53">#REF!</definedName>
    <definedName name="___UXF51" localSheetId="3">#REF!</definedName>
    <definedName name="___UXF51">#REF!</definedName>
    <definedName name="___UXF52" localSheetId="3">#REF!</definedName>
    <definedName name="___UXF52">#REF!</definedName>
    <definedName name="___UXF53" localSheetId="3">#REF!</definedName>
    <definedName name="___UXF53">#REF!</definedName>
    <definedName name="___UXG51" localSheetId="3">#REF!</definedName>
    <definedName name="___UXG51">#REF!</definedName>
    <definedName name="___UXG52" localSheetId="3">#REF!</definedName>
    <definedName name="___UXG52">#REF!</definedName>
    <definedName name="___UXG53" localSheetId="3">#REF!</definedName>
    <definedName name="___UXG53">#REF!</definedName>
    <definedName name="___UXH51" localSheetId="3">#REF!</definedName>
    <definedName name="___UXH51">#REF!</definedName>
    <definedName name="___UXH52" localSheetId="3">#REF!</definedName>
    <definedName name="___UXH52">#REF!</definedName>
    <definedName name="___UXH53" localSheetId="3">#REF!</definedName>
    <definedName name="___UXH53">#REF!</definedName>
    <definedName name="___UXI51" localSheetId="3">#REF!</definedName>
    <definedName name="___UXI51">#REF!</definedName>
    <definedName name="___UXI52" localSheetId="3">#REF!</definedName>
    <definedName name="___UXI52">#REF!</definedName>
    <definedName name="___UXI53" localSheetId="3">#REF!</definedName>
    <definedName name="___UXI53">#REF!</definedName>
    <definedName name="___UXJ51" localSheetId="3">#REF!</definedName>
    <definedName name="___UXJ51">#REF!</definedName>
    <definedName name="___UXJ52" localSheetId="3">#REF!</definedName>
    <definedName name="___UXJ52">#REF!</definedName>
    <definedName name="___UXJ53" localSheetId="3">#REF!</definedName>
    <definedName name="___UXJ53">#REF!</definedName>
    <definedName name="___UXK51" localSheetId="3">#REF!</definedName>
    <definedName name="___UXK51">#REF!</definedName>
    <definedName name="___UXK52" localSheetId="3">#REF!</definedName>
    <definedName name="___UXK52">#REF!</definedName>
    <definedName name="___UXK53" localSheetId="3">#REF!</definedName>
    <definedName name="___UXK53">#REF!</definedName>
    <definedName name="___UXL51" localSheetId="3">#REF!</definedName>
    <definedName name="___UXL51">#REF!</definedName>
    <definedName name="___UXL52" localSheetId="3">#REF!</definedName>
    <definedName name="___UXL52">#REF!</definedName>
    <definedName name="___UXL53" localSheetId="3">#REF!</definedName>
    <definedName name="___UXL53">#REF!</definedName>
    <definedName name="___UXM51" localSheetId="3">#REF!</definedName>
    <definedName name="___UXM51">#REF!</definedName>
    <definedName name="___UXM52" localSheetId="3">#REF!</definedName>
    <definedName name="___UXM52">#REF!</definedName>
    <definedName name="___UXM53" localSheetId="3">#REF!</definedName>
    <definedName name="___UXM53">#REF!</definedName>
    <definedName name="___VAR13300">#N/A</definedName>
    <definedName name="___VAR13502">#N/A</definedName>
    <definedName name="___wpl2" hidden="1">{#N/A,#N/A,FALSE,"Aging Summary";#N/A,#N/A,FALSE,"Ratio Analysis";#N/A,#N/A,FALSE,"Test 120 Day Accts";#N/A,#N/A,FALSE,"Tickmarks"}</definedName>
    <definedName name="___xlfn.BAHTTEXT" hidden="1">#NAME?</definedName>
    <definedName name="___yr2000" localSheetId="3">#REF!</definedName>
    <definedName name="___yr2000">#REF!</definedName>
    <definedName name="___yr2001" localSheetId="3">#REF!</definedName>
    <definedName name="___yr2001">#REF!</definedName>
    <definedName name="___za1" localSheetId="3">#REF!</definedName>
    <definedName name="___za1">#REF!</definedName>
    <definedName name="__08_하자보수비" localSheetId="3">#REF!</definedName>
    <definedName name="__08_하자보수비">#REF!</definedName>
    <definedName name="__123Graph_A" hidden="1">[1]Trans!$B$12:$B$18</definedName>
    <definedName name="__123Graph_B" hidden="1">[1]Trans!$C$12:$C$18</definedName>
    <definedName name="__123Graph_C" hidden="1">[1]Trans!$D$12:$D$18</definedName>
    <definedName name="__123Graph_D" localSheetId="3" hidden="1">[2]FAB별!#REF!</definedName>
    <definedName name="__123Graph_D" localSheetId="1" hidden="1">[2]FAB별!#REF!</definedName>
    <definedName name="__123Graph_D" hidden="1">[2]FAB별!#REF!</definedName>
    <definedName name="__123Graph_E" hidden="1">[1]Trans!$G$12:$G$18</definedName>
    <definedName name="__A20000" localSheetId="3">#REF!</definedName>
    <definedName name="__A20000">#REF!</definedName>
    <definedName name="__aa1" hidden="1">{#N/A,#N/A,FALSE,"Aging Summary";#N/A,#N/A,FALSE,"Ratio Analysis";#N/A,#N/A,FALSE,"Test 120 Day Accts";#N/A,#N/A,FALSE,"Tickmarks"}</definedName>
    <definedName name="__aaa2" hidden="1">{#N/A,#N/A,FALSE,"Aging Summary";#N/A,#N/A,FALSE,"Ratio Analysis";#N/A,#N/A,FALSE,"Test 120 Day Accts";#N/A,#N/A,FALSE,"Tickmarks"}</definedName>
    <definedName name="__aaa3" localSheetId="3">#REF!</definedName>
    <definedName name="__aaa3">#REF!</definedName>
    <definedName name="__ADD2" localSheetId="3">#REF!</definedName>
    <definedName name="__ADD2">#REF!</definedName>
    <definedName name="__AMT13300">#N/A</definedName>
    <definedName name="__AMT13502">#N/A</definedName>
    <definedName name="__AMT41301">#N/A</definedName>
    <definedName name="__AMT85116">#N/A</definedName>
    <definedName name="__AMT85125">#N/A</definedName>
    <definedName name="__AMT86106">#N/A</definedName>
    <definedName name="__APG1" localSheetId="3">#REF!</definedName>
    <definedName name="__APG1">#REF!</definedName>
    <definedName name="__APG2" localSheetId="3">#REF!</definedName>
    <definedName name="__APG2">#REF!</definedName>
    <definedName name="__ARC2" hidden="1">{"'Desktop Inventory 현황'!$B$2:$O$35"}</definedName>
    <definedName name="__ARE1" localSheetId="3">#REF!</definedName>
    <definedName name="__ARE1">#REF!</definedName>
    <definedName name="__ARE2" localSheetId="3">#REF!</definedName>
    <definedName name="__ARE2">#REF!</definedName>
    <definedName name="__bs1" localSheetId="3">#REF!</definedName>
    <definedName name="__bs1">#REF!</definedName>
    <definedName name="__DAT5" localSheetId="3">#REF!</definedName>
    <definedName name="__DAT5">#REF!</definedName>
    <definedName name="__DAT7" localSheetId="3">#REF!</definedName>
    <definedName name="__DAT7">#REF!</definedName>
    <definedName name="__DAT8" localSheetId="3">#REF!</definedName>
    <definedName name="__DAT8">#REF!</definedName>
    <definedName name="__DCH1" localSheetId="3">#REF!</definedName>
    <definedName name="__DCH1">#REF!</definedName>
    <definedName name="__DCH2" localSheetId="3">#REF!</definedName>
    <definedName name="__DCH2">#REF!</definedName>
    <definedName name="__Div1" localSheetId="3">#REF!</definedName>
    <definedName name="__Div1">#REF!</definedName>
    <definedName name="__fax2">[0]!__fax2</definedName>
    <definedName name="__FPD1" localSheetId="3">#REF!</definedName>
    <definedName name="__FPD1">#REF!</definedName>
    <definedName name="__FPD2" localSheetId="3">#REF!</definedName>
    <definedName name="__FPD2">#REF!</definedName>
    <definedName name="__fte03" localSheetId="3">#REF!</definedName>
    <definedName name="__fte03">#REF!</definedName>
    <definedName name="__INR1" localSheetId="3">#REF!</definedName>
    <definedName name="__INR1">#REF!</definedName>
    <definedName name="__INR2" localSheetId="3">#REF!</definedName>
    <definedName name="__INR2">#REF!</definedName>
    <definedName name="__iv18000" localSheetId="3">#REF!</definedName>
    <definedName name="__iv18000">#REF!</definedName>
    <definedName name="__iz5000" localSheetId="3">#REF!</definedName>
    <definedName name="__iz5000">#REF!</definedName>
    <definedName name="_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kwy1" hidden="1">{#N/A,#N/A,FALSE,"ALM-ASISC"}</definedName>
    <definedName name="__lbg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_LIB1" localSheetId="3">#REF!</definedName>
    <definedName name="__LIB1">#REF!</definedName>
    <definedName name="__LIB2" localSheetId="3">#REF!</definedName>
    <definedName name="__LIB2">#REF!</definedName>
    <definedName name="__lz5000" localSheetId="3">#REF!</definedName>
    <definedName name="__lz5000">#REF!</definedName>
    <definedName name="__MF2" localSheetId="3">#REF!</definedName>
    <definedName name="__MF2">#REF!</definedName>
    <definedName name="__new2">[0]!__new2</definedName>
    <definedName name="__NTA1" localSheetId="3">#REF!</definedName>
    <definedName name="__NTA1">#REF!</definedName>
    <definedName name="__NTA2" localSheetId="3">#REF!</definedName>
    <definedName name="__NTA2">#REF!</definedName>
    <definedName name="__NTA3" localSheetId="3">#REF!</definedName>
    <definedName name="__NTA3">#REF!</definedName>
    <definedName name="__O30000" localSheetId="3">#REF!</definedName>
    <definedName name="__O30000">#REF!</definedName>
    <definedName name="__ODP1" localSheetId="3">#REF!</definedName>
    <definedName name="__ODP1">#REF!</definedName>
    <definedName name="__ODP2" localSheetId="3">#REF!</definedName>
    <definedName name="__ODP2">#REF!</definedName>
    <definedName name="__ODP3" localSheetId="3">#REF!</definedName>
    <definedName name="__ODP3">#REF!</definedName>
    <definedName name="__ODP4" localSheetId="3">#REF!</definedName>
    <definedName name="__ODP4">#REF!</definedName>
    <definedName name="__ODP5" localSheetId="3">#REF!</definedName>
    <definedName name="__ODP5">#REF!</definedName>
    <definedName name="__ODP6" localSheetId="3">#REF!</definedName>
    <definedName name="__ODP6">#REF!</definedName>
    <definedName name="__ODP7" localSheetId="3">#REF!</definedName>
    <definedName name="__ODP7">#REF!</definedName>
    <definedName name="__ODP8" localSheetId="3">#REF!</definedName>
    <definedName name="__ODP8">#REF!</definedName>
    <definedName name="__OUT13300">#N/A</definedName>
    <definedName name="__OUT13502">#N/A</definedName>
    <definedName name="__OUT41301">#N/A</definedName>
    <definedName name="__OUT85116">#N/A</definedName>
    <definedName name="__OUT85125">#N/A</definedName>
    <definedName name="__OUT86106">#N/A</definedName>
    <definedName name="__PG1" localSheetId="3">#REF!</definedName>
    <definedName name="__PG1">#REF!</definedName>
    <definedName name="__PG15" localSheetId="3">#REF!</definedName>
    <definedName name="__PG15">#REF!</definedName>
    <definedName name="__PG2" localSheetId="3">#REF!</definedName>
    <definedName name="__PG2">#REF!</definedName>
    <definedName name="__PG3" localSheetId="3">#REF!</definedName>
    <definedName name="__PG3">#REF!</definedName>
    <definedName name="__PG4" localSheetId="3">#REF!</definedName>
    <definedName name="__PG4">#REF!</definedName>
    <definedName name="__PG5" localSheetId="3">#REF!</definedName>
    <definedName name="__PG5">#REF!</definedName>
    <definedName name="__PG9" localSheetId="3">#REF!</definedName>
    <definedName name="__PG9">#REF!</definedName>
    <definedName name="__pl1" localSheetId="3">#REF!</definedName>
    <definedName name="__pl1">#REF!</definedName>
    <definedName name="__pol1">[0]!__pol1</definedName>
    <definedName name="__PR1" localSheetId="3">#REF!</definedName>
    <definedName name="__PR1">#REF!</definedName>
    <definedName name="__PRE1" localSheetId="3">#REF!</definedName>
    <definedName name="__PRE1">#REF!</definedName>
    <definedName name="__PRE2" localSheetId="3">#REF!</definedName>
    <definedName name="__PRE2">#REF!</definedName>
    <definedName name="__PRI1" localSheetId="3">#REF!</definedName>
    <definedName name="__PRI1">#REF!</definedName>
    <definedName name="__PRI2" localSheetId="3">#REF!</definedName>
    <definedName name="__PRI2">#REF!</definedName>
    <definedName name="__PRT1" localSheetId="3">#REF!</definedName>
    <definedName name="__PRT1">#REF!</definedName>
    <definedName name="__PRT2" localSheetId="3">#REF!</definedName>
    <definedName name="__PRT2">#REF!</definedName>
    <definedName name="__q1">#N/A</definedName>
    <definedName name="__QRA86106">#N/A</definedName>
    <definedName name="__rt01" localSheetId="3">#REF!</definedName>
    <definedName name="__rt01">#REF!</definedName>
    <definedName name="__SE7" localSheetId="3">#REF!</definedName>
    <definedName name="__SE7">#REF!</definedName>
    <definedName name="__sem02" localSheetId="3">#REF!</definedName>
    <definedName name="__sem02">#REF!</definedName>
    <definedName name="__sem03" localSheetId="3">#REF!</definedName>
    <definedName name="__sem03">#REF!</definedName>
    <definedName name="__sem04" localSheetId="3">#REF!</definedName>
    <definedName name="__sem04">#REF!</definedName>
    <definedName name="__sem05" localSheetId="3">#REF!</definedName>
    <definedName name="__sem05">#REF!</definedName>
    <definedName name="__sem06" localSheetId="3">#REF!</definedName>
    <definedName name="__sem06">#REF!</definedName>
    <definedName name="__sem07" localSheetId="3">#REF!</definedName>
    <definedName name="__sem07">#REF!</definedName>
    <definedName name="__Sex1" localSheetId="3">#REF!</definedName>
    <definedName name="__Sex1">#REF!</definedName>
    <definedName name="__Sex2" localSheetId="3">#REF!</definedName>
    <definedName name="__Sex2">#REF!</definedName>
    <definedName name="__Sex3" localSheetId="3">#REF!</definedName>
    <definedName name="__Sex3">#REF!</definedName>
    <definedName name="__Sex4" localSheetId="3">#REF!</definedName>
    <definedName name="__Sex4">#REF!</definedName>
    <definedName name="__Sex5" localSheetId="3">#REF!</definedName>
    <definedName name="__Sex5">#REF!</definedName>
    <definedName name="__Sex6" localSheetId="3">#REF!</definedName>
    <definedName name="__Sex6">#REF!</definedName>
    <definedName name="__SUB2" localSheetId="3">#REF!</definedName>
    <definedName name="__SUB2">#REF!</definedName>
    <definedName name="__tt2">[0]!__tt2</definedName>
    <definedName name="__US1" localSheetId="3">#REF!</definedName>
    <definedName name="__US1">#REF!</definedName>
    <definedName name="__UXA1" localSheetId="3">#REF!</definedName>
    <definedName name="__UXA1">#REF!</definedName>
    <definedName name="__UXA2" localSheetId="3">#REF!</definedName>
    <definedName name="__UXA2">#REF!</definedName>
    <definedName name="__UXA3" localSheetId="3">#REF!</definedName>
    <definedName name="__UXA3">#REF!</definedName>
    <definedName name="__UXA4" localSheetId="3">#REF!</definedName>
    <definedName name="__UXA4">#REF!</definedName>
    <definedName name="__UXB5" localSheetId="3">#REF!</definedName>
    <definedName name="__UXB5">#REF!</definedName>
    <definedName name="__UXC5" localSheetId="3">#REF!</definedName>
    <definedName name="__UXC5">#REF!</definedName>
    <definedName name="__UXD5" localSheetId="3">#REF!</definedName>
    <definedName name="__UXD5">#REF!</definedName>
    <definedName name="__UXE51" localSheetId="3">#REF!</definedName>
    <definedName name="__UXE51">#REF!</definedName>
    <definedName name="__UXE52" localSheetId="3">#REF!</definedName>
    <definedName name="__UXE52">#REF!</definedName>
    <definedName name="__UXE53" localSheetId="3">#REF!</definedName>
    <definedName name="__UXE53">#REF!</definedName>
    <definedName name="__UXF51" localSheetId="3">#REF!</definedName>
    <definedName name="__UXF51">#REF!</definedName>
    <definedName name="__UXF52" localSheetId="3">#REF!</definedName>
    <definedName name="__UXF52">#REF!</definedName>
    <definedName name="__UXF53" localSheetId="3">#REF!</definedName>
    <definedName name="__UXF53">#REF!</definedName>
    <definedName name="__UXG51" localSheetId="3">#REF!</definedName>
    <definedName name="__UXG51">#REF!</definedName>
    <definedName name="__UXG52" localSheetId="3">#REF!</definedName>
    <definedName name="__UXG52">#REF!</definedName>
    <definedName name="__UXG53" localSheetId="3">#REF!</definedName>
    <definedName name="__UXG53">#REF!</definedName>
    <definedName name="__UXH51" localSheetId="3">#REF!</definedName>
    <definedName name="__UXH51">#REF!</definedName>
    <definedName name="__UXH52" localSheetId="3">#REF!</definedName>
    <definedName name="__UXH52">#REF!</definedName>
    <definedName name="__UXH53" localSheetId="3">#REF!</definedName>
    <definedName name="__UXH53">#REF!</definedName>
    <definedName name="__UXI51" localSheetId="3">#REF!</definedName>
    <definedName name="__UXI51">#REF!</definedName>
    <definedName name="__UXI52" localSheetId="3">#REF!</definedName>
    <definedName name="__UXI52">#REF!</definedName>
    <definedName name="__UXI53" localSheetId="3">#REF!</definedName>
    <definedName name="__UXI53">#REF!</definedName>
    <definedName name="__UXJ51" localSheetId="3">#REF!</definedName>
    <definedName name="__UXJ51">#REF!</definedName>
    <definedName name="__UXJ52" localSheetId="3">#REF!</definedName>
    <definedName name="__UXJ52">#REF!</definedName>
    <definedName name="__UXJ53" localSheetId="3">#REF!</definedName>
    <definedName name="__UXJ53">#REF!</definedName>
    <definedName name="__UXK51" localSheetId="3">#REF!</definedName>
    <definedName name="__UXK51">#REF!</definedName>
    <definedName name="__UXK52" localSheetId="3">#REF!</definedName>
    <definedName name="__UXK52">#REF!</definedName>
    <definedName name="__UXK53" localSheetId="3">#REF!</definedName>
    <definedName name="__UXK53">#REF!</definedName>
    <definedName name="__UXL51" localSheetId="3">#REF!</definedName>
    <definedName name="__UXL51">#REF!</definedName>
    <definedName name="__UXL52" localSheetId="3">#REF!</definedName>
    <definedName name="__UXL52">#REF!</definedName>
    <definedName name="__UXL53" localSheetId="3">#REF!</definedName>
    <definedName name="__UXL53">#REF!</definedName>
    <definedName name="__UXM51" localSheetId="3">#REF!</definedName>
    <definedName name="__UXM51">#REF!</definedName>
    <definedName name="__UXM52" localSheetId="3">#REF!</definedName>
    <definedName name="__UXM52">#REF!</definedName>
    <definedName name="__UXM53" localSheetId="3">#REF!</definedName>
    <definedName name="__UXM53">#REF!</definedName>
    <definedName name="__VAR13300">#N/A</definedName>
    <definedName name="__VAR13502">#N/A</definedName>
    <definedName name="__wpl2" hidden="1">{#N/A,#N/A,FALSE,"Aging Summary";#N/A,#N/A,FALSE,"Ratio Analysis";#N/A,#N/A,FALSE,"Test 120 Day Accts";#N/A,#N/A,FALSE,"Tickmarks"}</definedName>
    <definedName name="__xlfn.BAHTTEXT" hidden="1">#NAME?</definedName>
    <definedName name="__za1" localSheetId="3">#REF!</definedName>
    <definedName name="__za1">#REF!</definedName>
    <definedName name="__개발비_건가_pjt별" localSheetId="3">#REF!</definedName>
    <definedName name="__개발비_건가_pjt별">#REF!</definedName>
    <definedName name="_06년_정직원" localSheetId="3">#REF!</definedName>
    <definedName name="_06년_정직원">#REF!</definedName>
    <definedName name="_06년_협력업체" localSheetId="3">#REF!</definedName>
    <definedName name="_06년_협력업체">#REF!</definedName>
    <definedName name="_08_하자보수비" localSheetId="3">#REF!</definedName>
    <definedName name="_08_하자보수비">#REF!</definedName>
    <definedName name="_1" localSheetId="3">#REF!</definedName>
    <definedName name="_1">#REF!</definedName>
    <definedName name="_1._예산손익계산서" localSheetId="3">#REF!</definedName>
    <definedName name="_1._예산손익계산서">#REF!</definedName>
    <definedName name="_10" localSheetId="3">#REF!</definedName>
    <definedName name="_10">#REF!</definedName>
    <definedName name="_10iv18000_" localSheetId="3">#REF!</definedName>
    <definedName name="_10iv18000_">#REF!</definedName>
    <definedName name="_10T1" localSheetId="3">#REF!</definedName>
    <definedName name="_10T1">#REF!</definedName>
    <definedName name="_10T2" localSheetId="3">#REF!</definedName>
    <definedName name="_10T2">#REF!</definedName>
    <definedName name="_11" localSheetId="3">#REF!</definedName>
    <definedName name="_11">#REF!</definedName>
    <definedName name="_12" localSheetId="3">#REF!</definedName>
    <definedName name="_12">#REF!</definedName>
    <definedName name="_12q1_">#N/A</definedName>
    <definedName name="_1990년" localSheetId="3">#REF!</definedName>
    <definedName name="_1990년">#REF!</definedName>
    <definedName name="_1999_01_29" localSheetId="3">#REF!</definedName>
    <definedName name="_1999_01_29">#REF!</definedName>
    <definedName name="_1M" localSheetId="3">#REF!</definedName>
    <definedName name="_1M">#REF!</definedName>
    <definedName name="_2" localSheetId="3">#REF!</definedName>
    <definedName name="_2">#REF!</definedName>
    <definedName name="_2._COMPLETE_THE_ATTACHED_ANALYSIS_OF_CHANGES_IN_ALL_STOCKHOLDERS__EQUITY_ACCOUNTS___SALES" localSheetId="3">#REF!</definedName>
    <definedName name="_2._COMPLETE_THE_ATTACHED_ANALYSIS_OF_CHANGES_IN_ALL_STOCKHOLDERS__EQUITY_ACCOUNTS___SALES">#REF!</definedName>
    <definedName name="_2_?__C" localSheetId="3">#REF!</definedName>
    <definedName name="_2_?__C">#REF!</definedName>
    <definedName name="_2_B1">#N/A</definedName>
    <definedName name="_2±è¸íÈ_SW" localSheetId="3">#REF!</definedName>
    <definedName name="_2±è¸íÈ_SW">#REF!</definedName>
    <definedName name="_2005년_FTE" localSheetId="3">#REF!</definedName>
    <definedName name="_2005년_FTE">#REF!</definedName>
    <definedName name="_20T1" localSheetId="3">#REF!</definedName>
    <definedName name="_20T1">#REF!</definedName>
    <definedName name="_20T2" localSheetId="3">#REF!</definedName>
    <definedName name="_20T2">#REF!</definedName>
    <definedName name="_2M" localSheetId="3">#REF!</definedName>
    <definedName name="_2M">#REF!</definedName>
    <definedName name="_3" localSheetId="3">#REF!</definedName>
    <definedName name="_3">#REF!</definedName>
    <definedName name="_3M" localSheetId="3">#REF!</definedName>
    <definedName name="_3M">#REF!</definedName>
    <definedName name="_4" localSheetId="3">#REF!</definedName>
    <definedName name="_4">#REF!</definedName>
    <definedName name="_40T1" localSheetId="3">#REF!</definedName>
    <definedName name="_40T1">#REF!</definedName>
    <definedName name="_40T2" localSheetId="3">#REF!</definedName>
    <definedName name="_40T2">#REF!</definedName>
    <definedName name="_5" localSheetId="3">#REF!</definedName>
    <definedName name="_5">#REF!</definedName>
    <definedName name="_50T1" localSheetId="3">#REF!</definedName>
    <definedName name="_50T1">#REF!</definedName>
    <definedName name="_50T2" localSheetId="3">#REF!</definedName>
    <definedName name="_50T2">#REF!</definedName>
    <definedName name="_6" localSheetId="3">#REF!</definedName>
    <definedName name="_6">#REF!</definedName>
    <definedName name="_60T1" localSheetId="3">#REF!</definedName>
    <definedName name="_60T1">#REF!</definedName>
    <definedName name="_60T2" localSheetId="3">#REF!</definedName>
    <definedName name="_60T2">#REF!</definedName>
    <definedName name="_6M" localSheetId="3">#REF!</definedName>
    <definedName name="_6M">#REF!</definedName>
    <definedName name="_7" localSheetId="3">#REF!</definedName>
    <definedName name="_7">#REF!</definedName>
    <definedName name="_70T1" localSheetId="3">#REF!</definedName>
    <definedName name="_70T1">#REF!</definedName>
    <definedName name="_70T2" localSheetId="3">#REF!</definedName>
    <definedName name="_70T2">#REF!</definedName>
    <definedName name="_7A20000_" localSheetId="3">#REF!</definedName>
    <definedName name="_7A20000_">#REF!</definedName>
    <definedName name="_8" localSheetId="3">#REF!</definedName>
    <definedName name="_8">#REF!</definedName>
    <definedName name="_8_건가_개발비" localSheetId="3">#REF!</definedName>
    <definedName name="_8_건가_개발비">#REF!</definedName>
    <definedName name="_8aa1_" hidden="1">{#N/A,#N/A,FALSE,"Aging Summary";#N/A,#N/A,FALSE,"Ratio Analysis";#N/A,#N/A,FALSE,"Test 120 Day Accts";#N/A,#N/A,FALSE,"Tickmarks"}</definedName>
    <definedName name="_9" localSheetId="3">#REF!</definedName>
    <definedName name="_9">#REF!</definedName>
    <definedName name="_90" localSheetId="3">#REF!</definedName>
    <definedName name="_90">#REF!</definedName>
    <definedName name="_90T1" localSheetId="3">#REF!</definedName>
    <definedName name="_90T1">#REF!</definedName>
    <definedName name="_90T2" localSheetId="3">#REF!</definedName>
    <definedName name="_90T2">#REF!</definedName>
    <definedName name="_a" localSheetId="3">#REF!</definedName>
    <definedName name="_a">#REF!</definedName>
    <definedName name="_A20000" localSheetId="3">#REF!</definedName>
    <definedName name="_A20000">#REF!</definedName>
    <definedName name="_aa1" hidden="1">{#N/A,#N/A,FALSE,"Aging Summary";#N/A,#N/A,FALSE,"Ratio Analysis";#N/A,#N/A,FALSE,"Test 120 Day Accts";#N/A,#N/A,FALSE,"Tickmarks"}</definedName>
    <definedName name="_aaa2" hidden="1">{#N/A,#N/A,FALSE,"Aging Summary";#N/A,#N/A,FALSE,"Ratio Analysis";#N/A,#N/A,FALSE,"Test 120 Day Accts";#N/A,#N/A,FALSE,"Tickmarks"}</definedName>
    <definedName name="_aaa3" localSheetId="3">#REF!</definedName>
    <definedName name="_aaa3">#REF!</definedName>
    <definedName name="_ADD2" localSheetId="3">#REF!</definedName>
    <definedName name="_ADD2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PG1" localSheetId="3">#REF!</definedName>
    <definedName name="_APG1">#REF!</definedName>
    <definedName name="_APG2" localSheetId="3">#REF!</definedName>
    <definedName name="_APG2">#REF!</definedName>
    <definedName name="_ARC2" hidden="1">{"'Desktop Inventory 현황'!$B$2:$O$35"}</definedName>
    <definedName name="_ARE1" localSheetId="3">#REF!</definedName>
    <definedName name="_ARE1">#REF!</definedName>
    <definedName name="_ARE2" localSheetId="3">#REF!</definedName>
    <definedName name="_ARE2">#REF!</definedName>
    <definedName name="_b" localSheetId="3">#REF!</definedName>
    <definedName name="_b">#REF!</definedName>
    <definedName name="_bs1" localSheetId="3">#REF!</definedName>
    <definedName name="_bs1">#REF!</definedName>
    <definedName name="_c" localSheetId="3">#REF!</definedName>
    <definedName name="_c">#REF!</definedName>
    <definedName name="_DAT13" localSheetId="3">#REF!</definedName>
    <definedName name="_DAT13">#REF!</definedName>
    <definedName name="_DAT5" localSheetId="3">#REF!</definedName>
    <definedName name="_DAT5">#REF!</definedName>
    <definedName name="_DAT7" localSheetId="3">#REF!</definedName>
    <definedName name="_DAT7">#REF!</definedName>
    <definedName name="_DAT8" localSheetId="3">#REF!</definedName>
    <definedName name="_DAT8">#REF!</definedName>
    <definedName name="_DCH1" localSheetId="3">#REF!</definedName>
    <definedName name="_DCH1">#REF!</definedName>
    <definedName name="_DCH2" localSheetId="3">#REF!</definedName>
    <definedName name="_DCH2">#REF!</definedName>
    <definedName name="_Div1" localSheetId="3">#REF!</definedName>
    <definedName name="_Div1">#REF!</definedName>
    <definedName name="_fax2">[0]!_fax2</definedName>
    <definedName name="_Fill" localSheetId="3" hidden="1">#REF!</definedName>
    <definedName name="_Fill" localSheetId="1" hidden="1">#REF!</definedName>
    <definedName name="_Fill" hidden="1">#REF!</definedName>
    <definedName name="_FILL1" localSheetId="3" hidden="1">#REF!</definedName>
    <definedName name="_FILL1" localSheetId="1" hidden="1">#REF!</definedName>
    <definedName name="_FILL1" hidden="1">#REF!</definedName>
    <definedName name="_xlnm._FilterDatabase" localSheetId="2" hidden="1">BS_WTB!$A$3:$AJ$295</definedName>
    <definedName name="_xlnm._FilterDatabase" localSheetId="3" hidden="1">CF정산표!$B$4:$AF$4</definedName>
    <definedName name="_xlnm._FilterDatabase" localSheetId="1" hidden="1">IS_WTB!$B$1:$AF$276</definedName>
    <definedName name="_xlnm._FilterDatabase" localSheetId="12" hidden="1">#REF!</definedName>
    <definedName name="_xlnm._FilterDatabase" localSheetId="11" hidden="1">'전사시산표(3단계)_1013'!$A$1:$O$471</definedName>
    <definedName name="_xlnm._FilterDatabase" hidden="1">#REF!</definedName>
    <definedName name="_FPD1" localSheetId="3">#REF!</definedName>
    <definedName name="_FPD1">#REF!</definedName>
    <definedName name="_FPD2" localSheetId="3">#REF!</definedName>
    <definedName name="_FPD2">#REF!</definedName>
    <definedName name="_fte03" localSheetId="3">#REF!</definedName>
    <definedName name="_fte03">#REF!</definedName>
    <definedName name="_INR1" localSheetId="3">#REF!</definedName>
    <definedName name="_INR1">#REF!</definedName>
    <definedName name="_INR2" localSheetId="3">#REF!</definedName>
    <definedName name="_INR2">#REF!</definedName>
    <definedName name="_iv18000" localSheetId="3">#REF!</definedName>
    <definedName name="_iv18000">#REF!</definedName>
    <definedName name="_iz5000" localSheetId="3">#REF!</definedName>
    <definedName name="_iz5000">#REF!</definedName>
    <definedName name="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Key1" localSheetId="3" hidden="1">#REF!</definedName>
    <definedName name="_Key1" localSheetId="1" hidden="1">#REF!</definedName>
    <definedName name="_Key1" hidden="1">#REF!</definedName>
    <definedName name="_Key2" localSheetId="3" hidden="1">#REF!</definedName>
    <definedName name="_Key2" localSheetId="1" hidden="1">#REF!</definedName>
    <definedName name="_Key2" hidden="1">#REF!</definedName>
    <definedName name="_kwy1" hidden="1">{#N/A,#N/A,FALSE,"ALM-ASISC"}</definedName>
    <definedName name="_lbg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LIB1" localSheetId="3">#REF!</definedName>
    <definedName name="_LIB1">#REF!</definedName>
    <definedName name="_LIB2" localSheetId="3">#REF!</definedName>
    <definedName name="_LIB2">#REF!</definedName>
    <definedName name="_lz5000" localSheetId="3">#REF!</definedName>
    <definedName name="_lz5000">#REF!</definedName>
    <definedName name="_M1" localSheetId="3">#REF!</definedName>
    <definedName name="_M1">#REF!</definedName>
    <definedName name="_M2" localSheetId="3">#REF!</definedName>
    <definedName name="_M2">#REF!</definedName>
    <definedName name="_M3" localSheetId="3">#REF!</definedName>
    <definedName name="_M3">#REF!</definedName>
    <definedName name="_ma67" localSheetId="3">#REF!</definedName>
    <definedName name="_ma67">#REF!</definedName>
    <definedName name="_ma71" localSheetId="3">#REF!</definedName>
    <definedName name="_ma71">#REF!</definedName>
    <definedName name="_ma74" localSheetId="3">#REF!</definedName>
    <definedName name="_ma74">#REF!</definedName>
    <definedName name="_MatInverse_Out" localSheetId="3" hidden="1">#REF!</definedName>
    <definedName name="_MatInverse_Out" hidden="1">#REF!</definedName>
    <definedName name="_MF2" localSheetId="3">#REF!</definedName>
    <definedName name="_MF2">#REF!</definedName>
    <definedName name="_new2">[0]!_new2</definedName>
    <definedName name="_NTA1" localSheetId="3">#REF!</definedName>
    <definedName name="_NTA1">#REF!</definedName>
    <definedName name="_NTA2" localSheetId="3">#REF!</definedName>
    <definedName name="_NTA2">#REF!</definedName>
    <definedName name="_NTA3" localSheetId="3">#REF!</definedName>
    <definedName name="_NTA3">#REF!</definedName>
    <definedName name="_o" localSheetId="3">#REF!</definedName>
    <definedName name="_o">#REF!</definedName>
    <definedName name="_ODP1" localSheetId="3">#REF!</definedName>
    <definedName name="_ODP1">#REF!</definedName>
    <definedName name="_ODP2" localSheetId="3">#REF!</definedName>
    <definedName name="_ODP2">#REF!</definedName>
    <definedName name="_ODP3" localSheetId="3">#REF!</definedName>
    <definedName name="_ODP3">#REF!</definedName>
    <definedName name="_ODP4" localSheetId="3">#REF!</definedName>
    <definedName name="_ODP4">#REF!</definedName>
    <definedName name="_ODP5" localSheetId="3">#REF!</definedName>
    <definedName name="_ODP5">#REF!</definedName>
    <definedName name="_ODP6" localSheetId="3">#REF!</definedName>
    <definedName name="_ODP6">#REF!</definedName>
    <definedName name="_ODP7" localSheetId="3">#REF!</definedName>
    <definedName name="_ODP7">#REF!</definedName>
    <definedName name="_ODP8" localSheetId="3">#REF!</definedName>
    <definedName name="_ODP8">#REF!</definedName>
    <definedName name="_Order1" hidden="1">255</definedName>
    <definedName name="_Order2" hidden="1">255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P1M" localSheetId="3">#REF!</definedName>
    <definedName name="_P1M">#REF!</definedName>
    <definedName name="_P2M" localSheetId="3">#REF!</definedName>
    <definedName name="_P2M">#REF!</definedName>
    <definedName name="_P3M" localSheetId="3">#REF!</definedName>
    <definedName name="_P3M">#REF!</definedName>
    <definedName name="_P6M" localSheetId="3">#REF!</definedName>
    <definedName name="_P6M">#REF!</definedName>
    <definedName name="_PG1" localSheetId="3">#REF!</definedName>
    <definedName name="_PG1">#REF!</definedName>
    <definedName name="_PG15" localSheetId="3">#REF!</definedName>
    <definedName name="_PG15">#REF!</definedName>
    <definedName name="_PG2" localSheetId="3">#REF!</definedName>
    <definedName name="_PG2">#REF!</definedName>
    <definedName name="_PG3" localSheetId="3">#REF!</definedName>
    <definedName name="_PG3">#REF!</definedName>
    <definedName name="_PG4" localSheetId="3">#REF!</definedName>
    <definedName name="_PG4">#REF!</definedName>
    <definedName name="_PG5" localSheetId="3">#REF!</definedName>
    <definedName name="_PG5">#REF!</definedName>
    <definedName name="_PG9" localSheetId="3">#REF!</definedName>
    <definedName name="_PG9">#REF!</definedName>
    <definedName name="_pl1" localSheetId="3">#REF!</definedName>
    <definedName name="_pl1">#REF!</definedName>
    <definedName name="_pol1">[0]!_pol1</definedName>
    <definedName name="_PP1" localSheetId="3">#REF!</definedName>
    <definedName name="_PP1">#REF!</definedName>
    <definedName name="_PR1" localSheetId="3">#REF!</definedName>
    <definedName name="_PR1">#REF!</definedName>
    <definedName name="_PRE1" localSheetId="3">#REF!</definedName>
    <definedName name="_PRE1">#REF!</definedName>
    <definedName name="_PRE2" localSheetId="3">#REF!</definedName>
    <definedName name="_PRE2">#REF!</definedName>
    <definedName name="_PRI1" localSheetId="3">#REF!</definedName>
    <definedName name="_PRI1">#REF!</definedName>
    <definedName name="_PRI2" localSheetId="3">#REF!</definedName>
    <definedName name="_PRI2">#REF!</definedName>
    <definedName name="_PRT1" localSheetId="3">#REF!</definedName>
    <definedName name="_PRT1">#REF!</definedName>
    <definedName name="_PRT2" localSheetId="3">#REF!</definedName>
    <definedName name="_PRT2">#REF!</definedName>
    <definedName name="_PSP" localSheetId="3">#REF!</definedName>
    <definedName name="_PSP">#REF!</definedName>
    <definedName name="_PT" localSheetId="3">#REF!</definedName>
    <definedName name="_PT">#REF!</definedName>
    <definedName name="_PTM" localSheetId="3">#REF!</definedName>
    <definedName name="_PTM">#REF!</definedName>
    <definedName name="_q1">[0]!_q1</definedName>
    <definedName name="_QQ123" localSheetId="3">#REF!</definedName>
    <definedName name="_QQ123">#REF!</definedName>
    <definedName name="_QRA86106">#N/A</definedName>
    <definedName name="_Regression_Int">1</definedName>
    <definedName name="_Report">"Sensitivity Table"</definedName>
    <definedName name="_rt01" localSheetId="3">#REF!</definedName>
    <definedName name="_rt01">#REF!</definedName>
    <definedName name="_SE7" localSheetId="3">#REF!</definedName>
    <definedName name="_SE7">#REF!</definedName>
    <definedName name="_sem02" localSheetId="3">#REF!</definedName>
    <definedName name="_sem02">#REF!</definedName>
    <definedName name="_sem03" localSheetId="3">#REF!</definedName>
    <definedName name="_sem03">#REF!</definedName>
    <definedName name="_sem04" localSheetId="3">#REF!</definedName>
    <definedName name="_sem04">#REF!</definedName>
    <definedName name="_sem05" localSheetId="3">#REF!</definedName>
    <definedName name="_sem05">#REF!</definedName>
    <definedName name="_sem06" localSheetId="3">#REF!</definedName>
    <definedName name="_sem06">#REF!</definedName>
    <definedName name="_sem07" localSheetId="3">#REF!</definedName>
    <definedName name="_sem07">#REF!</definedName>
    <definedName name="_Sex1" localSheetId="3">#REF!</definedName>
    <definedName name="_Sex1">#REF!</definedName>
    <definedName name="_Sex2" localSheetId="3">#REF!</definedName>
    <definedName name="_Sex2">#REF!</definedName>
    <definedName name="_Sex3" localSheetId="3">#REF!</definedName>
    <definedName name="_Sex3">#REF!</definedName>
    <definedName name="_Sex4" localSheetId="3">#REF!</definedName>
    <definedName name="_Sex4">#REF!</definedName>
    <definedName name="_Sex5" localSheetId="3">#REF!</definedName>
    <definedName name="_Sex5">#REF!</definedName>
    <definedName name="_Sex6" localSheetId="3">#REF!</definedName>
    <definedName name="_Sex6">#REF!</definedName>
    <definedName name="_Sort" localSheetId="3" hidden="1">#REF!</definedName>
    <definedName name="_Sort" localSheetId="1" hidden="1">#REF!</definedName>
    <definedName name="_Sort" hidden="1">#REF!</definedName>
    <definedName name="_SORT1" localSheetId="3" hidden="1">#REF!</definedName>
    <definedName name="_SORT1" localSheetId="1" hidden="1">#REF!</definedName>
    <definedName name="_SORT1" hidden="1">#REF!</definedName>
    <definedName name="_SP" localSheetId="3">#REF!</definedName>
    <definedName name="_SP">#REF!</definedName>
    <definedName name="_SSS1" localSheetId="3" hidden="1">#REF!</definedName>
    <definedName name="_SSS1" localSheetId="1" hidden="1">#REF!</definedName>
    <definedName name="_SSS1" hidden="1">#REF!</definedName>
    <definedName name="_SUB2" localSheetId="3">#REF!</definedName>
    <definedName name="_SUB2">#REF!</definedName>
    <definedName name="_T" localSheetId="3">#REF!</definedName>
    <definedName name="_T">#REF!</definedName>
    <definedName name="_TM" localSheetId="3">#REF!</definedName>
    <definedName name="_TM">#REF!</definedName>
    <definedName name="_tt2">[0]!_tt2</definedName>
    <definedName name="_US1" localSheetId="3">#REF!</definedName>
    <definedName name="_US1">#REF!</definedName>
    <definedName name="_UXA1" localSheetId="3">#REF!</definedName>
    <definedName name="_UXA1">#REF!</definedName>
    <definedName name="_UXA2" localSheetId="3">#REF!</definedName>
    <definedName name="_UXA2">#REF!</definedName>
    <definedName name="_UXA3" localSheetId="3">#REF!</definedName>
    <definedName name="_UXA3">#REF!</definedName>
    <definedName name="_UXA4" localSheetId="3">#REF!</definedName>
    <definedName name="_UXA4">#REF!</definedName>
    <definedName name="_UXA5" localSheetId="3">#REF!</definedName>
    <definedName name="_UXA5">#REF!</definedName>
    <definedName name="_UXB5" localSheetId="3">#REF!</definedName>
    <definedName name="_UXB5">#REF!</definedName>
    <definedName name="_UXC5" localSheetId="3">#REF!</definedName>
    <definedName name="_UXC5">#REF!</definedName>
    <definedName name="_UXD5" localSheetId="3">#REF!</definedName>
    <definedName name="_UXD5">#REF!</definedName>
    <definedName name="_UXE51" localSheetId="3">#REF!</definedName>
    <definedName name="_UXE51">#REF!</definedName>
    <definedName name="_UXE52" localSheetId="3">#REF!</definedName>
    <definedName name="_UXE52">#REF!</definedName>
    <definedName name="_UXE53" localSheetId="3">#REF!</definedName>
    <definedName name="_UXE53">#REF!</definedName>
    <definedName name="_UXF51" localSheetId="3">#REF!</definedName>
    <definedName name="_UXF51">#REF!</definedName>
    <definedName name="_UXF52" localSheetId="3">#REF!</definedName>
    <definedName name="_UXF52">#REF!</definedName>
    <definedName name="_UXF53" localSheetId="3">#REF!</definedName>
    <definedName name="_UXF53">#REF!</definedName>
    <definedName name="_UXG51" localSheetId="3">#REF!</definedName>
    <definedName name="_UXG51">#REF!</definedName>
    <definedName name="_UXG52" localSheetId="3">#REF!</definedName>
    <definedName name="_UXG52">#REF!</definedName>
    <definedName name="_UXG53" localSheetId="3">#REF!</definedName>
    <definedName name="_UXG53">#REF!</definedName>
    <definedName name="_UXH51" localSheetId="3">#REF!</definedName>
    <definedName name="_UXH51">#REF!</definedName>
    <definedName name="_UXH52" localSheetId="3">#REF!</definedName>
    <definedName name="_UXH52">#REF!</definedName>
    <definedName name="_UXH53" localSheetId="3">#REF!</definedName>
    <definedName name="_UXH53">#REF!</definedName>
    <definedName name="_UXI51" localSheetId="3">#REF!</definedName>
    <definedName name="_UXI51">#REF!</definedName>
    <definedName name="_UXI52" localSheetId="3">#REF!</definedName>
    <definedName name="_UXI52">#REF!</definedName>
    <definedName name="_UXI53" localSheetId="3">#REF!</definedName>
    <definedName name="_UXI53">#REF!</definedName>
    <definedName name="_UXJ51" localSheetId="3">#REF!</definedName>
    <definedName name="_UXJ51">#REF!</definedName>
    <definedName name="_UXJ52" localSheetId="3">#REF!</definedName>
    <definedName name="_UXJ52">#REF!</definedName>
    <definedName name="_UXJ53" localSheetId="3">#REF!</definedName>
    <definedName name="_UXJ53">#REF!</definedName>
    <definedName name="_UXK51" localSheetId="3">#REF!</definedName>
    <definedName name="_UXK51">#REF!</definedName>
    <definedName name="_UXK52" localSheetId="3">#REF!</definedName>
    <definedName name="_UXK52">#REF!</definedName>
    <definedName name="_UXK53" localSheetId="3">#REF!</definedName>
    <definedName name="_UXK53">#REF!</definedName>
    <definedName name="_UXL51" localSheetId="3">#REF!</definedName>
    <definedName name="_UXL51">#REF!</definedName>
    <definedName name="_UXL52" localSheetId="3">#REF!</definedName>
    <definedName name="_UXL52">#REF!</definedName>
    <definedName name="_UXL53" localSheetId="3">#REF!</definedName>
    <definedName name="_UXL53">#REF!</definedName>
    <definedName name="_UXM51" localSheetId="3">#REF!</definedName>
    <definedName name="_UXM51">#REF!</definedName>
    <definedName name="_UXM52" localSheetId="3">#REF!</definedName>
    <definedName name="_UXM52">#REF!</definedName>
    <definedName name="_UXM53" localSheetId="3">#REF!</definedName>
    <definedName name="_UXM53">#REF!</definedName>
    <definedName name="_VAR13300">#N/A</definedName>
    <definedName name="_VAR13502">#N/A</definedName>
    <definedName name="_wpl2" hidden="1">{#N/A,#N/A,FALSE,"Aging Summary";#N/A,#N/A,FALSE,"Ratio Analysis";#N/A,#N/A,FALSE,"Test 120 Day Accts";#N/A,#N/A,FALSE,"Tickmarks"}</definedName>
    <definedName name="_yr2000" localSheetId="3">#REF!</definedName>
    <definedName name="_yr2000">#REF!</definedName>
    <definedName name="_yr2001" localSheetId="3">#REF!</definedName>
    <definedName name="_yr2001">#REF!</definedName>
    <definedName name="_za1" localSheetId="3">#REF!</definedName>
    <definedName name="_za1">#REF!</definedName>
    <definedName name="_ZEBITDA_Sensitivity">{0;0;0;0;5;1;0.75;0;0;0;2;FALSE;FALSE;FALSE;FALSE;FALSE;#N/A;1;100;#N/A;#N/A;"";""}</definedName>
    <definedName name="_ZSensitivity_Table">{0;0;0;0;5;1;0.75;0;0;0;2;FALSE;FALSE;FALSE;FALSE;FALSE;#N/A;1;100;#N/A;#N/A;"";""}</definedName>
    <definedName name="_zx3" localSheetId="3">#REF!</definedName>
    <definedName name="_zx3">#REF!</definedName>
    <definedName name="_ㅇ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\0" localSheetId="3">#REF!</definedName>
    <definedName name="\0">#REF!</definedName>
    <definedName name="\1">#N/A</definedName>
    <definedName name="\2">#N/A</definedName>
    <definedName name="\3">#N/A</definedName>
    <definedName name="\4">#N/A</definedName>
    <definedName name="\5">#N/A</definedName>
    <definedName name="\6">#N/A</definedName>
    <definedName name="\a" localSheetId="3">#REF!</definedName>
    <definedName name="\a">#REF!</definedName>
    <definedName name="\B" localSheetId="3">#REF!</definedName>
    <definedName name="\B">#REF!</definedName>
    <definedName name="\C" localSheetId="3">#REF!</definedName>
    <definedName name="\C">#REF!</definedName>
    <definedName name="\D" localSheetId="3">#REF!</definedName>
    <definedName name="\D">#REF!</definedName>
    <definedName name="\E" localSheetId="3">#REF!</definedName>
    <definedName name="\E">#REF!</definedName>
    <definedName name="\F" localSheetId="3">#REF!</definedName>
    <definedName name="\F">#REF!</definedName>
    <definedName name="\G" localSheetId="3">#REF!</definedName>
    <definedName name="\G">#REF!</definedName>
    <definedName name="\h" localSheetId="3">#REF!</definedName>
    <definedName name="\h">#REF!</definedName>
    <definedName name="\i" localSheetId="3">#REF!</definedName>
    <definedName name="\i">#REF!</definedName>
    <definedName name="\j">#N/A</definedName>
    <definedName name="\k">#N/A</definedName>
    <definedName name="\M" localSheetId="3">#REF!</definedName>
    <definedName name="\M">#REF!</definedName>
    <definedName name="\P" localSheetId="3">#REF!</definedName>
    <definedName name="\P">#REF!</definedName>
    <definedName name="\R" localSheetId="3">#REF!</definedName>
    <definedName name="\R">#REF!</definedName>
    <definedName name="\s" localSheetId="3">#REF!</definedName>
    <definedName name="\s">#REF!</definedName>
    <definedName name="\T" localSheetId="3">#REF!</definedName>
    <definedName name="\T">#REF!</definedName>
    <definedName name="\U" localSheetId="3">#REF!</definedName>
    <definedName name="\U">#REF!</definedName>
    <definedName name="\v">#N/A</definedName>
    <definedName name="\W" localSheetId="3">#REF!</definedName>
    <definedName name="\W">#REF!</definedName>
    <definedName name="\X" localSheetId="3">#REF!</definedName>
    <definedName name="\X">#REF!</definedName>
    <definedName name="Ⅱ" hidden="1">{#N/A,#N/A,FALSE,"정공"}</definedName>
    <definedName name="A_1">#N/A</definedName>
    <definedName name="A_2">#N/A</definedName>
    <definedName name="A_3">#N/A</definedName>
    <definedName name="A_4">#N/A</definedName>
    <definedName name="A_5">#N/A</definedName>
    <definedName name="A_6">#N/A</definedName>
    <definedName name="A_6A">#N/A</definedName>
    <definedName name="A_7">#N/A</definedName>
    <definedName name="A_8">#N/A</definedName>
    <definedName name="A_9">#N/A</definedName>
    <definedName name="A000" localSheetId="3">#REF!</definedName>
    <definedName name="A000">#REF!</definedName>
    <definedName name="a1." localSheetId="3">#REF!</definedName>
    <definedName name="a1.">#REF!</definedName>
    <definedName name="A10.1" localSheetId="3">#REF!</definedName>
    <definedName name="A10.1">#REF!</definedName>
    <definedName name="A1misc.questions" localSheetId="3">#REF!</definedName>
    <definedName name="A1misc.questions">#REF!</definedName>
    <definedName name="aa" hidden="1">{"'Sheet1'!$A$1:$H$36"}</definedName>
    <definedName name="AA_200510_SKT" localSheetId="3">#REF!</definedName>
    <definedName name="AA_200510_SKT">#REF!</definedName>
    <definedName name="AAA" localSheetId="3" hidden="1">#REF!</definedName>
    <definedName name="AAA" localSheetId="1" hidden="1">#REF!</definedName>
    <definedName name="AAA" hidden="1">#REF!</definedName>
    <definedName name="AAAA" localSheetId="3">#REF!</definedName>
    <definedName name="AAAA">#REF!</definedName>
    <definedName name="aaaaa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AAAAAAA" localSheetId="3">[0]!BlankMacro1</definedName>
    <definedName name="AAAAAAAA" localSheetId="9">[0]!BlankMacro1</definedName>
    <definedName name="AAAAAAAA">[0]!BlankMacro1</definedName>
    <definedName name="aaaaaaaaa" localSheetId="3">#REF!</definedName>
    <definedName name="aaaaaaaaa">#REF!</definedName>
    <definedName name="aaaaaaaaaa" hidden="1">{#N/A,#N/A,FALSE,"Aging Summary";#N/A,#N/A,FALSE,"Ratio Analysis";#N/A,#N/A,FALSE,"Test 120 Day Accts";#N/A,#N/A,FALSE,"Tickmarks"}</definedName>
    <definedName name="aaaaaaaaaaa" hidden="1">{#N/A,#N/A,FALSE,"Aging Summary";#N/A,#N/A,FALSE,"Ratio Analysis";#N/A,#N/A,FALSE,"Test 120 Day Accts";#N/A,#N/A,FALSE,"Tickmarks"}</definedName>
    <definedName name="aaaaaaaaaaaaa" hidden="1">{#N/A,#N/A,FALSE,"Aging Summary";#N/A,#N/A,FALSE,"Ratio Analysis";#N/A,#N/A,FALSE,"Test 120 Day Accts";#N/A,#N/A,FALSE,"Tickmarks"}</definedName>
    <definedName name="aaaaaaaaaaaaa12" hidden="1">{#N/A,#N/A,FALSE,"Aging Summary";#N/A,#N/A,FALSE,"Ratio Analysis";#N/A,#N/A,FALSE,"Test 120 Day Accts";#N/A,#N/A,FALSE,"Tickmarks"}</definedName>
    <definedName name="AAAAS" hidden="1">{#N/A,#N/A,FALSE,"정공"}</definedName>
    <definedName name="AAAWERT" localSheetId="3">[0]!BlankMacro1</definedName>
    <definedName name="AAAWERT" localSheetId="9">[0]!BlankMacro1</definedName>
    <definedName name="AAAWERT">[0]!BlankMacro1</definedName>
    <definedName name="abbreviations" hidden="1">{"'매출'!$A$1:$I$22"}</definedName>
    <definedName name="ABC" hidden="1">{#N/A,#N/A,FALSE,"3가";#N/A,#N/A,FALSE,"3나";#N/A,#N/A,FALSE,"3다"}</definedName>
    <definedName name="abcd" localSheetId="3">#REF!</definedName>
    <definedName name="abcd">#REF!</definedName>
    <definedName name="ABCDEF" hidden="1">{#N/A,#N/A,FALSE,"정공"}</definedName>
    <definedName name="ABCD관리" hidden="1">{#N/A,#N/A,FALSE,"정공"}</definedName>
    <definedName name="ac" hidden="1">{#N/A,#N/A,FALSE,"Aging Summary";#N/A,#N/A,FALSE,"Ratio Analysis";#N/A,#N/A,FALSE,"Test 120 Day Accts";#N/A,#N/A,FALSE,"Tickmarks"}</definedName>
    <definedName name="AccessDatabase" hidden="1">"C:\MSOffice\감가상각\depreciation.mdb"</definedName>
    <definedName name="Accounts_Receivable" localSheetId="3">#REF!</definedName>
    <definedName name="Accounts_Receivable">#REF!</definedName>
    <definedName name="ACCT_CODE">#N/A</definedName>
    <definedName name="act" localSheetId="3">#REF!</definedName>
    <definedName name="act">#REF!</definedName>
    <definedName name="ACTEOH">#N/A</definedName>
    <definedName name="ad" hidden="1">{#N/A,#N/A,FALSE,"Aging Summary";#N/A,#N/A,FALSE,"Ratio Analysis";#N/A,#N/A,FALSE,"Test 120 Day Accts";#N/A,#N/A,FALSE,"Tickmarks"}</definedName>
    <definedName name="ADD" localSheetId="3">#REF!</definedName>
    <definedName name="ADD">#REF!</definedName>
    <definedName name="ADF" hidden="1">{#N/A,#N/A,FALSE,"Aging Summary";#N/A,#N/A,FALSE,"Ratio Analysis";#N/A,#N/A,FALSE,"Test 120 Day Accts";#N/A,#N/A,FALSE,"Tickmarks"}</definedName>
    <definedName name="adf3qrqer" hidden="1">{#N/A,#N/A,FALSE,"Aging Summary";#N/A,#N/A,FALSE,"Ratio Analysis";#N/A,#N/A,FALSE,"Test 120 Day Accts";#N/A,#N/A,FALSE,"Tickmarks"}</definedName>
    <definedName name="adi" hidden="1">{"'Desktop Inventory 현황'!$B$2:$O$35"}</definedName>
    <definedName name="adv_affiliates" localSheetId="3">#REF!</definedName>
    <definedName name="adv_affiliates">#REF!</definedName>
    <definedName name="adv_ahna" localSheetId="3">#REF!</definedName>
    <definedName name="adv_ahna">#REF!</definedName>
    <definedName name="adv_consol" localSheetId="3">#REF!</definedName>
    <definedName name="adv_consol">#REF!</definedName>
    <definedName name="adv_Parent" localSheetId="3">#REF!</definedName>
    <definedName name="adv_Parent">#REF!</definedName>
    <definedName name="adv_unconsol" localSheetId="3">#REF!</definedName>
    <definedName name="adv_unconsol">#REF!</definedName>
    <definedName name="AD전환인력" hidden="1">{"'Desktop Inventory 현황'!$B$2:$O$35"}</definedName>
    <definedName name="AF" hidden="1">{#N/A,#N/A,FALSE,"Aging Summary";#N/A,#N/A,FALSE,"Ratio Analysis";#N/A,#N/A,FALSE,"Test 120 Day Accts";#N/A,#N/A,FALSE,"Tickmarks"}</definedName>
    <definedName name="AFS" hidden="1">{#N/A,#N/A,FALSE,"Aging Summary";#N/A,#N/A,FALSE,"Ratio Analysis";#N/A,#N/A,FALSE,"Test 120 Day Accts";#N/A,#N/A,FALSE,"Tickmarks"}</definedName>
    <definedName name="AgeR" localSheetId="3">#REF!</definedName>
    <definedName name="AgeR">#REF!</definedName>
    <definedName name="AgeR1" localSheetId="3">#REF!</definedName>
    <definedName name="AgeR1">#REF!</definedName>
    <definedName name="AgeR2" localSheetId="3">#REF!</definedName>
    <definedName name="AgeR2">#REF!</definedName>
    <definedName name="AgeR3" localSheetId="3">#REF!</definedName>
    <definedName name="AgeR3">#REF!</definedName>
    <definedName name="AgeR4" localSheetId="3">#REF!</definedName>
    <definedName name="AgeR4">#REF!</definedName>
    <definedName name="AgeR5" localSheetId="3">#REF!</definedName>
    <definedName name="AgeR5">#REF!</definedName>
    <definedName name="AgeR6" localSheetId="3">#REF!</definedName>
    <definedName name="AgeR6">#REF!</definedName>
    <definedName name="ajdla" hidden="1">{"'Desktop Inventory 현황'!$B$2:$O$35"}</definedName>
    <definedName name="ALA" hidden="1">{#N/A,#N/A,FALSE,"Aging Summary";#N/A,#N/A,FALSE,"Ratio Analysis";#N/A,#N/A,FALSE,"Test 120 Day Accts";#N/A,#N/A,FALSE,"Tickmarks"}</definedName>
    <definedName name="ALKFAL" hidden="1">{#N/A,#N/A,FALSE,"Aging Summary";#N/A,#N/A,FALSE,"Ratio Analysis";#N/A,#N/A,FALSE,"Test 120 Day Accts";#N/A,#N/A,FALSE,"Tickmarks"}</definedName>
    <definedName name="amp" localSheetId="3">#REF!</definedName>
    <definedName name="amp">#REF!</definedName>
    <definedName name="AMS_200510" localSheetId="3">#REF!</definedName>
    <definedName name="AMS_200510">#REF!</definedName>
    <definedName name="AOCN" hidden="1">{#N/A,#N/A,FALSE,"Aging Summary";#N/A,#N/A,FALSE,"Ratio Analysis";#N/A,#N/A,FALSE,"Test 120 Day Accts";#N/A,#N/A,FALSE,"Tickmarks"}</definedName>
    <definedName name="AR" localSheetId="3">#REF!</definedName>
    <definedName name="AR">#REF!</definedName>
    <definedName name="AR_AHNA" localSheetId="3">#REF!</definedName>
    <definedName name="AR_AHNA">#REF!</definedName>
    <definedName name="AR_Cons" localSheetId="3">#REF!</definedName>
    <definedName name="AR_Cons">#REF!</definedName>
    <definedName name="AR_INTER" localSheetId="3">#REF!</definedName>
    <definedName name="AR_INTER">#REF!</definedName>
    <definedName name="AR_Parent" localSheetId="3">#REF!</definedName>
    <definedName name="AR_Parent">#REF!</definedName>
    <definedName name="AR_SNS" localSheetId="3">#REF!</definedName>
    <definedName name="AR_SNS">#REF!</definedName>
    <definedName name="AR_Unconsol" localSheetId="3">#REF!</definedName>
    <definedName name="AR_Unconsol">#REF!</definedName>
    <definedName name="ARA_Threshold" localSheetId="3">#REF!</definedName>
    <definedName name="ARA_Threshold">#REF!</definedName>
    <definedName name="ARP_Threshold" localSheetId="3">#REF!</definedName>
    <definedName name="ARP_Threshold">#REF!</definedName>
    <definedName name="ARSCC" localSheetId="3">#REF!</definedName>
    <definedName name="ARSCC">#REF!</definedName>
    <definedName name="as" localSheetId="3">[0]!BlankMacro1</definedName>
    <definedName name="as" localSheetId="9">[0]!BlankMacro1</definedName>
    <definedName name="as">[0]!BlankMacro1</definedName>
    <definedName name="AS2DocOpenMode" hidden="1">"AS2DocumentEdit"</definedName>
    <definedName name="AS2ReportLS" hidden="1">1</definedName>
    <definedName name="AS2StaticLS" localSheetId="3" hidden="1">#REF!</definedName>
    <definedName name="AS2StaticLS" hidden="1">#REF!</definedName>
    <definedName name="AS2SyncStepLS" hidden="1">0</definedName>
    <definedName name="AS2TickmarkLS" localSheetId="3" hidden="1">#REF!</definedName>
    <definedName name="AS2TickmarkLS" hidden="1">#REF!</definedName>
    <definedName name="AS2VersionLS" hidden="1">300</definedName>
    <definedName name="ascxf" hidden="1">{#N/A,#N/A,FALSE,"Aging Summary";#N/A,#N/A,FALSE,"Ratio Analysis";#N/A,#N/A,FALSE,"Test 120 Day Accts";#N/A,#N/A,FALSE,"Tickmarks"}</definedName>
    <definedName name="asdf" hidden="1">{#N/A,#N/A,FALSE,"정공"}</definedName>
    <definedName name="asdfg" localSheetId="3">[0]!BlankMacro1</definedName>
    <definedName name="asdfg" localSheetId="9">[0]!BlankMacro1</definedName>
    <definedName name="asdfg">[0]!BlankMacro1</definedName>
    <definedName name="ASIC" localSheetId="3">#REF!</definedName>
    <definedName name="ASIC">#REF!</definedName>
    <definedName name="Asset_SK케미칼" localSheetId="3">#REF!:_RjC2</definedName>
    <definedName name="Asset_SK케미칼" localSheetId="9">#REF!:_RjC2</definedName>
    <definedName name="Asset_SK케미칼">#REF!:_RjC2</definedName>
    <definedName name="asset2" localSheetId="3">#REF!</definedName>
    <definedName name="asset2">#REF!</definedName>
    <definedName name="asset3" localSheetId="3">#REF!</definedName>
    <definedName name="asset3">#REF!</definedName>
    <definedName name="ASSETBYGL" localSheetId="3">#REF!</definedName>
    <definedName name="ASSETBYGL">#REF!</definedName>
    <definedName name="ATTACH" localSheetId="3">#REF!</definedName>
    <definedName name="ATTACH">#REF!</definedName>
    <definedName name="au" localSheetId="3">#REF!</definedName>
    <definedName name="au">#REF!</definedName>
    <definedName name="aut" localSheetId="3">#REF!</definedName>
    <definedName name="aut">#REF!</definedName>
    <definedName name="AUTO" localSheetId="3">#REF!</definedName>
    <definedName name="AUTO">#REF!</definedName>
    <definedName name="average_exchange_rate" localSheetId="3">#REF!</definedName>
    <definedName name="average_exchange_rate">#REF!</definedName>
    <definedName name="AWAGE" localSheetId="3">#REF!</definedName>
    <definedName name="AWAGE">#REF!</definedName>
    <definedName name="AWLBSRTDK" localSheetId="3">#REF!</definedName>
    <definedName name="AWLBSRTDK">#REF!</definedName>
    <definedName name="axcdf" hidden="1">{#N/A,#N/A,FALSE,"정공"}</definedName>
    <definedName name="b" localSheetId="3">#REF!</definedName>
    <definedName name="b">#REF!</definedName>
    <definedName name="B_1">#N/A</definedName>
    <definedName name="B_10" localSheetId="3">#REF!</definedName>
    <definedName name="B_10">#REF!</definedName>
    <definedName name="B_2">#N/A</definedName>
    <definedName name="B_20" localSheetId="3">#REF!</definedName>
    <definedName name="B_20">#REF!</definedName>
    <definedName name="B_3">#N/A</definedName>
    <definedName name="B_40" localSheetId="3">#REF!</definedName>
    <definedName name="B_40">#REF!</definedName>
    <definedName name="B_50" localSheetId="3">#REF!</definedName>
    <definedName name="B_50">#REF!</definedName>
    <definedName name="B_60" localSheetId="3">#REF!</definedName>
    <definedName name="B_60">#REF!</definedName>
    <definedName name="B_70" localSheetId="3">#REF!</definedName>
    <definedName name="B_70">#REF!</definedName>
    <definedName name="B_90" localSheetId="3">#REF!</definedName>
    <definedName name="B_90">#REF!</definedName>
    <definedName name="B_JEMU" localSheetId="3">#REF!</definedName>
    <definedName name="B_JEMU">#REF!</definedName>
    <definedName name="B_TOTAL" localSheetId="3">#REF!</definedName>
    <definedName name="B_TOTAL">#REF!</definedName>
    <definedName name="B_TOTALT" localSheetId="3">#REF!</definedName>
    <definedName name="B_TOTALT">#REF!</definedName>
    <definedName name="b1h" localSheetId="3">#REF!</definedName>
    <definedName name="b1h">#REF!</definedName>
    <definedName name="b1l" localSheetId="3">#REF!</definedName>
    <definedName name="b1l">#REF!</definedName>
    <definedName name="b1m" localSheetId="3">#REF!</definedName>
    <definedName name="b1m">#REF!</definedName>
    <definedName name="b1s" localSheetId="3">#REF!</definedName>
    <definedName name="b1s">#REF!</definedName>
    <definedName name="b1st" localSheetId="3">#REF!</definedName>
    <definedName name="b1st">#REF!</definedName>
    <definedName name="b2h" localSheetId="3">#REF!</definedName>
    <definedName name="b2h">#REF!</definedName>
    <definedName name="b2l" localSheetId="3">#REF!</definedName>
    <definedName name="b2l">#REF!</definedName>
    <definedName name="b2m" localSheetId="3">#REF!</definedName>
    <definedName name="b2m">#REF!</definedName>
    <definedName name="b2s" localSheetId="3">#REF!</definedName>
    <definedName name="b2s">#REF!</definedName>
    <definedName name="b2st" localSheetId="3">#REF!</definedName>
    <definedName name="b2st">#REF!</definedName>
    <definedName name="b3." localSheetId="3">#REF!</definedName>
    <definedName name="b3.">#REF!</definedName>
    <definedName name="b3h" localSheetId="3">#REF!</definedName>
    <definedName name="b3h">#REF!</definedName>
    <definedName name="b3l" localSheetId="3">#REF!</definedName>
    <definedName name="b3l">#REF!</definedName>
    <definedName name="b3m" localSheetId="3">#REF!</definedName>
    <definedName name="b3m">#REF!</definedName>
    <definedName name="b3s" localSheetId="3">#REF!</definedName>
    <definedName name="b3s">#REF!</definedName>
    <definedName name="b3st" localSheetId="3">#REF!</definedName>
    <definedName name="b3st">#REF!</definedName>
    <definedName name="b4h" localSheetId="3">#REF!</definedName>
    <definedName name="b4h">#REF!</definedName>
    <definedName name="b4l" localSheetId="3">#REF!</definedName>
    <definedName name="b4l">#REF!</definedName>
    <definedName name="b4m" localSheetId="3">#REF!</definedName>
    <definedName name="b4m">#REF!</definedName>
    <definedName name="b4s" localSheetId="3">#REF!</definedName>
    <definedName name="b4s">#REF!</definedName>
    <definedName name="b4st" localSheetId="3">#REF!</definedName>
    <definedName name="b4st">#REF!</definedName>
    <definedName name="b5hb" localSheetId="3">#REF!</definedName>
    <definedName name="b5hb">#REF!</definedName>
    <definedName name="b5hg" localSheetId="3">#REF!</definedName>
    <definedName name="b5hg">#REF!</definedName>
    <definedName name="b5hs" localSheetId="3">#REF!</definedName>
    <definedName name="b5hs">#REF!</definedName>
    <definedName name="b5lb" localSheetId="3">#REF!</definedName>
    <definedName name="b5lb">#REF!</definedName>
    <definedName name="b5lg" localSheetId="3">#REF!</definedName>
    <definedName name="b5lg">#REF!</definedName>
    <definedName name="b5ls" localSheetId="3">#REF!</definedName>
    <definedName name="b5ls">#REF!</definedName>
    <definedName name="b5mb" localSheetId="3">#REF!</definedName>
    <definedName name="b5mb">#REF!</definedName>
    <definedName name="b5mg" localSheetId="3">#REF!</definedName>
    <definedName name="b5mg">#REF!</definedName>
    <definedName name="b5ms" localSheetId="3">#REF!</definedName>
    <definedName name="b5ms">#REF!</definedName>
    <definedName name="b5sb" localSheetId="3">#REF!</definedName>
    <definedName name="b5sb">#REF!</definedName>
    <definedName name="b5sg" localSheetId="3">#REF!</definedName>
    <definedName name="b5sg">#REF!</definedName>
    <definedName name="b5ss" localSheetId="3">#REF!</definedName>
    <definedName name="b5ss">#REF!</definedName>
    <definedName name="b5stb" localSheetId="3">#REF!</definedName>
    <definedName name="b5stb">#REF!</definedName>
    <definedName name="b5stg" localSheetId="3">#REF!</definedName>
    <definedName name="b5stg">#REF!</definedName>
    <definedName name="b5sts" localSheetId="3">#REF!</definedName>
    <definedName name="b5sts">#REF!</definedName>
    <definedName name="b6hb" localSheetId="3">#REF!</definedName>
    <definedName name="b6hb">#REF!</definedName>
    <definedName name="b6hg" localSheetId="3">#REF!</definedName>
    <definedName name="b6hg">#REF!</definedName>
    <definedName name="b6hs" localSheetId="3">#REF!</definedName>
    <definedName name="b6hs">#REF!</definedName>
    <definedName name="b6lb" localSheetId="3">#REF!</definedName>
    <definedName name="b6lb">#REF!</definedName>
    <definedName name="b6lg" localSheetId="3">#REF!</definedName>
    <definedName name="b6lg">#REF!</definedName>
    <definedName name="b6ls" localSheetId="3">#REF!</definedName>
    <definedName name="b6ls">#REF!</definedName>
    <definedName name="b6mb" localSheetId="3">#REF!</definedName>
    <definedName name="b6mb">#REF!</definedName>
    <definedName name="b6mg" localSheetId="3">#REF!</definedName>
    <definedName name="b6mg">#REF!</definedName>
    <definedName name="b6ms" localSheetId="3">#REF!</definedName>
    <definedName name="b6ms">#REF!</definedName>
    <definedName name="b6sb" localSheetId="3">#REF!</definedName>
    <definedName name="b6sb">#REF!</definedName>
    <definedName name="b6sg" localSheetId="3">#REF!</definedName>
    <definedName name="b6sg">#REF!</definedName>
    <definedName name="b6ss" localSheetId="3">#REF!</definedName>
    <definedName name="b6ss">#REF!</definedName>
    <definedName name="b6stb" localSheetId="3">#REF!</definedName>
    <definedName name="b6stb">#REF!</definedName>
    <definedName name="b6stg" localSheetId="3">#REF!</definedName>
    <definedName name="b6stg">#REF!</definedName>
    <definedName name="b6sts" localSheetId="3">#REF!</definedName>
    <definedName name="b6sts">#REF!</definedName>
    <definedName name="b7hb" localSheetId="3">#REF!</definedName>
    <definedName name="b7hb">#REF!</definedName>
    <definedName name="b7hg" localSheetId="3">#REF!</definedName>
    <definedName name="b7hg">#REF!</definedName>
    <definedName name="b7hs" localSheetId="3">#REF!</definedName>
    <definedName name="b7hs">#REF!</definedName>
    <definedName name="b7lb" localSheetId="3">#REF!</definedName>
    <definedName name="b7lb">#REF!</definedName>
    <definedName name="b7lg" localSheetId="3">#REF!</definedName>
    <definedName name="b7lg">#REF!</definedName>
    <definedName name="b7ls" localSheetId="3">#REF!</definedName>
    <definedName name="b7ls">#REF!</definedName>
    <definedName name="b7mb" localSheetId="3">#REF!</definedName>
    <definedName name="b7mb">#REF!</definedName>
    <definedName name="b7mg" localSheetId="3">#REF!</definedName>
    <definedName name="b7mg">#REF!</definedName>
    <definedName name="b7ms" localSheetId="3">#REF!</definedName>
    <definedName name="b7ms">#REF!</definedName>
    <definedName name="b7sb" localSheetId="3">#REF!</definedName>
    <definedName name="b7sb">#REF!</definedName>
    <definedName name="b7sg" localSheetId="3">#REF!</definedName>
    <definedName name="b7sg">#REF!</definedName>
    <definedName name="b7ss" localSheetId="3">#REF!</definedName>
    <definedName name="b7ss">#REF!</definedName>
    <definedName name="b7stb" localSheetId="3">#REF!</definedName>
    <definedName name="b7stb">#REF!</definedName>
    <definedName name="b7stg" localSheetId="3">#REF!</definedName>
    <definedName name="b7stg">#REF!</definedName>
    <definedName name="b7sts" localSheetId="3">#REF!</definedName>
    <definedName name="b7sts">#REF!</definedName>
    <definedName name="ba" hidden="1">{#N/A,#N/A,FALSE,"Aging Summary";#N/A,#N/A,FALSE,"Ratio Analysis";#N/A,#N/A,FALSE,"Test 120 Day Accts";#N/A,#N/A,FALSE,"Tickmarks"}</definedName>
    <definedName name="badmgr" localSheetId="3">#REF!</definedName>
    <definedName name="badmgr">#REF!</definedName>
    <definedName name="BAL_SHT" localSheetId="3">#REF!</definedName>
    <definedName name="BAL_SHT">#REF!</definedName>
    <definedName name="Balance_Sheet" localSheetId="3">#REF!</definedName>
    <definedName name="Balance_Sheet">#REF!</definedName>
    <definedName name="bb" hidden="1">{#N/A,#N/A,FALSE,"Aging Summary";#N/A,#N/A,FALSE,"Ratio Analysis";#N/A,#N/A,FALSE,"Test 120 Day Accts";#N/A,#N/A,FALSE,"Tickmarks"}</definedName>
    <definedName name="bbb" localSheetId="3">[0]!BlankMacro1</definedName>
    <definedName name="bbb" localSheetId="9">[0]!BlankMacro1</definedName>
    <definedName name="bbb">[0]!BlankMacro1</definedName>
    <definedName name="bbbbb" hidden="1">{#N/A,#N/A,FALSE,"Aging Summary";#N/A,#N/A,FALSE,"Ratio Analysis";#N/A,#N/A,FALSE,"Test 120 Day Accts";#N/A,#N/A,FALSE,"Tickmarks"}</definedName>
    <definedName name="bbbbbbbbbbbbbbb" hidden="1">{#N/A,#N/A,FALSE,"Aging Summary";#N/A,#N/A,FALSE,"Ratio Analysis";#N/A,#N/A,FALSE,"Test 120 Day Accts";#N/A,#N/A,FALSE,"Tickmarks"}</definedName>
    <definedName name="bdcgr" localSheetId="3">#REF!</definedName>
    <definedName name="bdcgr">#REF!</definedName>
    <definedName name="bdtgr" localSheetId="3">#REF!</definedName>
    <definedName name="bdtgr">#REF!</definedName>
    <definedName name="befcondc" localSheetId="3">#REF!</definedName>
    <definedName name="befcondc">#REF!</definedName>
    <definedName name="befcondt" localSheetId="3">#REF!</definedName>
    <definedName name="befcondt">#REF!</definedName>
    <definedName name="befconnw" localSheetId="3">#REF!</definedName>
    <definedName name="befconnw">#REF!</definedName>
    <definedName name="befmpadm" localSheetId="3">#REF!</definedName>
    <definedName name="befmpadm">#REF!</definedName>
    <definedName name="befmpdc" localSheetId="3">#REF!</definedName>
    <definedName name="befmpdc">#REF!</definedName>
    <definedName name="befmpdt" localSheetId="3">#REF!</definedName>
    <definedName name="befmpdt">#REF!</definedName>
    <definedName name="befmpnw" localSheetId="3">#REF!</definedName>
    <definedName name="befmpnw">#REF!</definedName>
    <definedName name="Beforeadjust.95" localSheetId="3">#REF!</definedName>
    <definedName name="Beforeadjust.95">#REF!</definedName>
    <definedName name="Beforeadjust.96" localSheetId="3">#REF!</definedName>
    <definedName name="Beforeadjust.96">#REF!</definedName>
    <definedName name="Beforeadjust.97" localSheetId="3">#REF!</definedName>
    <definedName name="Beforeadjust.97">#REF!</definedName>
    <definedName name="Beforeadjust.98.10" localSheetId="3">#REF!</definedName>
    <definedName name="Beforeadjust.98.10">#REF!</definedName>
    <definedName name="Beforeadjust.98.11" localSheetId="3">#REF!</definedName>
    <definedName name="Beforeadjust.98.11">#REF!</definedName>
    <definedName name="BeginofList" localSheetId="3">#REF!</definedName>
    <definedName name="BeginofList">#REF!</definedName>
    <definedName name="BG_Del" hidden="1">15</definedName>
    <definedName name="BG_Ins" hidden="1">4</definedName>
    <definedName name="BG_Mod" hidden="1">6</definedName>
    <definedName name="bit" localSheetId="3">#REF!</definedName>
    <definedName name="bit">#REF!</definedName>
    <definedName name="bleaseperiod" localSheetId="3">#REF!</definedName>
    <definedName name="bleaseperiod">#REF!</definedName>
    <definedName name="bleaserate" localSheetId="3">#REF!</definedName>
    <definedName name="bleaserate">#REF!</definedName>
    <definedName name="BMI_CARD68926." localSheetId="3">#REF!</definedName>
    <definedName name="BMI_CARD68926.">#REF!</definedName>
    <definedName name="bn" hidden="1">{#N/A,#N/A,FALSE,"Aging Summary";#N/A,#N/A,FALSE,"Ratio Analysis";#N/A,#N/A,FALSE,"Test 120 Day Accts";#N/A,#N/A,FALSE,"Tickmarks"}</definedName>
    <definedName name="bnwgr" localSheetId="3">#REF!</definedName>
    <definedName name="bnwgr">#REF!</definedName>
    <definedName name="BOH_TOTAL">#N/A</definedName>
    <definedName name="BOH_UC">#N/A</definedName>
    <definedName name="BOHAMT">#N/A</definedName>
    <definedName name="BOHQTY">#N/A</definedName>
    <definedName name="BONUS" localSheetId="3">#REF!</definedName>
    <definedName name="BONUS">#REF!</definedName>
    <definedName name="book" localSheetId="3">#REF!</definedName>
    <definedName name="book">#REF!</definedName>
    <definedName name="botcode" localSheetId="3">#REF!</definedName>
    <definedName name="botcode">#REF!</definedName>
    <definedName name="brefreshdesktop" localSheetId="3">#REF!</definedName>
    <definedName name="brefreshdesktop">#REF!</definedName>
    <definedName name="brefreshothers" localSheetId="3">#REF!</definedName>
    <definedName name="brefreshothers">#REF!</definedName>
    <definedName name="bs" hidden="1">{#N/A,#N/A,FALSE,"Aging Summary";#N/A,#N/A,FALSE,"Ratio Analysis";#N/A,#N/A,FALSE,"Test 120 Day Accts";#N/A,#N/A,FALSE,"Tickmarks"}</definedName>
    <definedName name="bs_date" localSheetId="3">#REF!</definedName>
    <definedName name="bs_date">#REF!</definedName>
    <definedName name="BS_Inp1" localSheetId="3">#REF!,#REF!,#REF!,#REF!,#REF!,#REF!,#REF!,#REF!,#REF!,#REF!,#REF!,#REF!,#REF!,#REF!,#REF!</definedName>
    <definedName name="BS_Inp1">#REF!,#REF!,#REF!,#REF!,#REF!,#REF!,#REF!,#REF!,#REF!,#REF!,#REF!,#REF!,#REF!,#REF!,#REF!</definedName>
    <definedName name="BS_Inp2" localSheetId="3">#REF!,#REF!,#REF!,#REF!,#REF!,#REF!,#REF!,#REF!,#REF!,#REF!,#REF!,#REF!,#REF!,#REF!,#REF!,#REF!,#REF!,#REF!,#REF!,#REF!,#REF!</definedName>
    <definedName name="BS_Inp2">#REF!,#REF!,#REF!,#REF!,#REF!,#REF!,#REF!,#REF!,#REF!,#REF!,#REF!,#REF!,#REF!,#REF!,#REF!,#REF!,#REF!,#REF!,#REF!,#REF!,#REF!</definedName>
    <definedName name="BS_Inp3" localSheetId="3">#REF!,#REF!,#REF!,#REF!,#REF!,#REF!,#REF!,#REF!,#REF!,#REF!,#REF!,#REF!,#REF!,#REF!,#REF!,#REF!,#REF!,#REF!,#REF!</definedName>
    <definedName name="BS_Inp3">#REF!,#REF!,#REF!,#REF!,#REF!,#REF!,#REF!,#REF!,#REF!,#REF!,#REF!,#REF!,#REF!,#REF!,#REF!,#REF!,#REF!,#REF!,#REF!</definedName>
    <definedName name="BS_Inp4" localSheetId="3">#REF!,#REF!,#REF!,#REF!,#REF!,#REF!,#REF!,#REF!,#REF!,#REF!</definedName>
    <definedName name="BS_Inp4">#REF!,#REF!,#REF!,#REF!,#REF!,#REF!,#REF!,#REF!,#REF!,#REF!</definedName>
    <definedName name="BS_T" localSheetId="3">#REF!</definedName>
    <definedName name="BS_T">#REF!</definedName>
    <definedName name="BS_일본" localSheetId="3" hidden="1">#REF!</definedName>
    <definedName name="BS_일본" localSheetId="1" hidden="1">#REF!</definedName>
    <definedName name="BS_일본" hidden="1">#REF!</definedName>
    <definedName name="BS차이내역" hidden="1">{#N/A,#N/A,FALSE,"정공"}</definedName>
    <definedName name="btedc" localSheetId="3">#REF!</definedName>
    <definedName name="btedc">#REF!</definedName>
    <definedName name="btedt" localSheetId="3">#REF!</definedName>
    <definedName name="btedt">#REF!</definedName>
    <definedName name="btenw" localSheetId="3">#REF!</definedName>
    <definedName name="btenw">#REF!</definedName>
    <definedName name="BTSINFO_991Q" localSheetId="3">#REF!</definedName>
    <definedName name="BTSINFO_991Q">#REF!</definedName>
    <definedName name="BTSINFO_992Q" localSheetId="3">#REF!</definedName>
    <definedName name="BTSINFO_992Q">#REF!</definedName>
    <definedName name="BTSINFO_팀구분" localSheetId="3">#REF!</definedName>
    <definedName name="BTSINFO_팀구분">#REF!</definedName>
    <definedName name="buff2" localSheetId="3">#REF!</definedName>
    <definedName name="buff2">#REF!</definedName>
    <definedName name="BuiltIn_Print_Area" localSheetId="3">#REF!</definedName>
    <definedName name="BuiltIn_Print_Area">#REF!</definedName>
    <definedName name="bumwi" localSheetId="3">#REF!</definedName>
    <definedName name="bumwi">#REF!</definedName>
    <definedName name="bwacc" localSheetId="3">#REF!</definedName>
    <definedName name="bwacc">#REF!</definedName>
    <definedName name="BW교육기간03" localSheetId="3">#REF!</definedName>
    <definedName name="BW교육기간03">#REF!</definedName>
    <definedName name="BW기간03" localSheetId="3">#REF!</definedName>
    <definedName name="BW기간03">#REF!</definedName>
    <definedName name="BW유통기간03" localSheetId="3">#REF!</definedName>
    <definedName name="BW유통기간03">#REF!</definedName>
    <definedName name="C_" localSheetId="3">#REF!</definedName>
    <definedName name="C_">#REF!</definedName>
    <definedName name="cache" localSheetId="3">#REF!</definedName>
    <definedName name="cache">#REF!</definedName>
    <definedName name="call_수" localSheetId="3">#REF!</definedName>
    <definedName name="call_수">#REF!</definedName>
    <definedName name="callcenter" localSheetId="3">#REF!</definedName>
    <definedName name="callcenter">#REF!</definedName>
    <definedName name="CAMPC" localSheetId="3">#REF!</definedName>
    <definedName name="CAMPC">#REF!</definedName>
    <definedName name="CAPBOH">#N/A</definedName>
    <definedName name="CAPEOH">#N/A</definedName>
    <definedName name="Capitalized_Interest" localSheetId="3">#REF!</definedName>
    <definedName name="Capitalized_Interest">#REF!</definedName>
    <definedName name="cash_fv" localSheetId="3">#REF!</definedName>
    <definedName name="cash_fv">#REF!</definedName>
    <definedName name="cash_terminal" localSheetId="3">#REF!</definedName>
    <definedName name="cash_terminal">#REF!</definedName>
    <definedName name="Category_Table" localSheetId="3">#REF!</definedName>
    <definedName name="Category_Table">#REF!</definedName>
    <definedName name="CategoryList" localSheetId="3">#REF!</definedName>
    <definedName name="CategoryList">#REF!</definedName>
    <definedName name="cba" localSheetId="3">#REF!</definedName>
    <definedName name="cba">#REF!</definedName>
    <definedName name="cbd" localSheetId="3">#REF!</definedName>
    <definedName name="cbd">#REF!</definedName>
    <definedName name="CC_Convert" localSheetId="3">#REF!</definedName>
    <definedName name="CC_Convert">#REF!</definedName>
    <definedName name="ccc" hidden="1">{#N/A,#N/A,FALSE,"Aging Summary";#N/A,#N/A,FALSE,"Ratio Analysis";#N/A,#N/A,FALSE,"Test 120 Day Accts";#N/A,#N/A,FALSE,"Tickmarks"}</definedName>
    <definedName name="CCCC" localSheetId="3">[0]!BlankMacro1</definedName>
    <definedName name="CCCC" localSheetId="9">[0]!BlankMacro1</definedName>
    <definedName name="CCCC">[0]!BlankMacro1</definedName>
    <definedName name="CC단가" localSheetId="3">#REF!</definedName>
    <definedName name="CC단가">#REF!</definedName>
    <definedName name="CD" localSheetId="3">#REF!</definedName>
    <definedName name="CD">#REF!</definedName>
    <definedName name="CDMA" localSheetId="3">#REF!</definedName>
    <definedName name="CDMA">#REF!</definedName>
    <definedName name="CENTA" localSheetId="3">#REF!</definedName>
    <definedName name="CENTA">#REF!</definedName>
    <definedName name="CENTA1" localSheetId="3">#REF!</definedName>
    <definedName name="CENTA1">#REF!</definedName>
    <definedName name="CF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cf1fc1s4" hidden="1">{#N/A,#N/A,FALSE,"Aging Summary";#N/A,#N/A,FALSE,"Ratio Analysis";#N/A,#N/A,FALSE,"Test 120 Day Accts";#N/A,#N/A,FALSE,"Tickmarks"}</definedName>
    <definedName name="CFFF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cf출력" localSheetId="3">#REF!</definedName>
    <definedName name="cf출력">#REF!</definedName>
    <definedName name="cf출력비교" localSheetId="3">#REF!</definedName>
    <definedName name="cf출력비교">#REF!</definedName>
    <definedName name="ChangeInCommonEquity" localSheetId="3">#REF!</definedName>
    <definedName name="ChangeInCommonEquity">#REF!</definedName>
    <definedName name="ChangeInConvertiblePreferredStock" localSheetId="3">#REF!</definedName>
    <definedName name="ChangeInConvertiblePreferredStock">#REF!</definedName>
    <definedName name="ChangeInDeferredCompensation" localSheetId="3">#REF!</definedName>
    <definedName name="ChangeInDeferredCompensation">#REF!</definedName>
    <definedName name="ChangeInStraightPreferredStock" localSheetId="3">#REF!</definedName>
    <definedName name="ChangeInStraightPreferredStock">#REF!</definedName>
    <definedName name="ChangeRange" localSheetId="3" hidden="1">[3]!ChangeRange</definedName>
    <definedName name="ChangeRange" localSheetId="1" hidden="1">[3]!ChangeRange</definedName>
    <definedName name="ChangeRange" localSheetId="9" hidden="1">[3]!ChangeRange</definedName>
    <definedName name="ChangeRange" hidden="1">[3]!ChangeRange</definedName>
    <definedName name="Chart_1">"Chart 1"</definedName>
    <definedName name="CHC_경기" localSheetId="3">#REF!</definedName>
    <definedName name="CHC_경기">#REF!</definedName>
    <definedName name="CHC_서울" localSheetId="3">#REF!</definedName>
    <definedName name="CHC_서울">#REF!</definedName>
    <definedName name="CHC_서울_COUNT" localSheetId="3">#REF!</definedName>
    <definedName name="CHC_서울_COUNT">#REF!</definedName>
    <definedName name="CHDDOR" localSheetId="3">#REF!</definedName>
    <definedName name="CHDDOR">#REF!</definedName>
    <definedName name="cho" localSheetId="3">[0]!BlankMacro1</definedName>
    <definedName name="cho" localSheetId="9">[0]!BlankMacro1</definedName>
    <definedName name="cho">[0]!BlankMacro1</definedName>
    <definedName name="ciperiod" localSheetId="3">#REF!</definedName>
    <definedName name="ciperiod">#REF!</definedName>
    <definedName name="ciwacc" localSheetId="3">#REF!</definedName>
    <definedName name="ciwacc">#REF!</definedName>
    <definedName name="CKDL" localSheetId="3">#REF!</definedName>
    <definedName name="CKDL">#REF!</definedName>
    <definedName name="CKFKFL" localSheetId="3">[0]!BlankMacro1</definedName>
    <definedName name="CKFKFL" localSheetId="9">[0]!BlankMacro1</definedName>
    <definedName name="CKFKFL">[0]!BlankMacro1</definedName>
    <definedName name="clôture" localSheetId="3">#REF!</definedName>
    <definedName name="clôture">#REF!</definedName>
    <definedName name="CM" localSheetId="3">#REF!</definedName>
    <definedName name="CM">#REF!</definedName>
    <definedName name="cna" localSheetId="3">#REF!</definedName>
    <definedName name="cna">#REF!</definedName>
    <definedName name="cnd" localSheetId="3">#REF!</definedName>
    <definedName name="cnd">#REF!</definedName>
    <definedName name="CODE" localSheetId="3">#REF!</definedName>
    <definedName name="CODE">#REF!</definedName>
    <definedName name="coefficient" localSheetId="3">#REF!</definedName>
    <definedName name="coefficient">#REF!</definedName>
    <definedName name="coefficient2" localSheetId="3">#REF!</definedName>
    <definedName name="coefficient2">#REF!</definedName>
    <definedName name="Combat_Groc">[0]!Combat_Groc</definedName>
    <definedName name="Comm_Exp_AHNA" localSheetId="3">#REF!</definedName>
    <definedName name="Comm_Exp_AHNA">#REF!</definedName>
    <definedName name="Comm_Exp_Consol" localSheetId="3">#REF!</definedName>
    <definedName name="Comm_Exp_Consol">#REF!</definedName>
    <definedName name="Comm_Exp_Unconsol" localSheetId="3">#REF!</definedName>
    <definedName name="Comm_Exp_Unconsol">#REF!</definedName>
    <definedName name="COMM_INC_AHNA" localSheetId="3">#REF!</definedName>
    <definedName name="COMM_INC_AHNA">#REF!</definedName>
    <definedName name="COMM_INC_CONSOL" localSheetId="3">#REF!</definedName>
    <definedName name="COMM_INC_CONSOL">#REF!</definedName>
    <definedName name="COMM_INC_PARENT" localSheetId="3">#REF!</definedName>
    <definedName name="COMM_INC_PARENT">#REF!</definedName>
    <definedName name="COMM_INC_UNCONSOL" localSheetId="3">#REF!</definedName>
    <definedName name="COMM_INC_UNCONSOL">#REF!</definedName>
    <definedName name="Company_Information" localSheetId="3">#REF!</definedName>
    <definedName name="Company_Information">#REF!</definedName>
    <definedName name="Compaq_5" localSheetId="3">#REF!</definedName>
    <definedName name="Compaq_5">#REF!</definedName>
    <definedName name="Compaq_6" localSheetId="3">#REF!</definedName>
    <definedName name="Compaq_6">#REF!</definedName>
    <definedName name="compaq_7" localSheetId="3">#REF!</definedName>
    <definedName name="compaq_7">#REF!</definedName>
    <definedName name="Compaq_rate" localSheetId="3">#REF!</definedName>
    <definedName name="Compaq_rate">#REF!</definedName>
    <definedName name="computer" localSheetId="3">#REF!</definedName>
    <definedName name="computer">#REF!</definedName>
    <definedName name="con" localSheetId="3">#REF!</definedName>
    <definedName name="con">#REF!</definedName>
    <definedName name="CON_B" localSheetId="3">#REF!</definedName>
    <definedName name="CON_B">#REF!</definedName>
    <definedName name="CON_C" localSheetId="3">#REF!</definedName>
    <definedName name="CON_C">#REF!</definedName>
    <definedName name="CON_E" localSheetId="3">#REF!</definedName>
    <definedName name="CON_E">#REF!</definedName>
    <definedName name="CON_P" localSheetId="3">#REF!</definedName>
    <definedName name="CON_P">#REF!</definedName>
    <definedName name="ContentsHelp" localSheetId="3" hidden="1">[3]!ContentsHelp</definedName>
    <definedName name="ContentsHelp" localSheetId="1" hidden="1">[3]!ContentsHelp</definedName>
    <definedName name="ContentsHelp" localSheetId="9" hidden="1">[3]!ContentsHelp</definedName>
    <definedName name="ContentsHelp" hidden="1">[3]!ContentsHelp</definedName>
    <definedName name="contractor_unit_price" localSheetId="3">#REF!</definedName>
    <definedName name="contractor_unit_price">#REF!</definedName>
    <definedName name="CONTROL" localSheetId="3">#REF!</definedName>
    <definedName name="CONTROL">#REF!</definedName>
    <definedName name="controlsheet" localSheetId="3">#REF!</definedName>
    <definedName name="controlsheet">#REF!</definedName>
    <definedName name="convdebtrate" localSheetId="3">#REF!</definedName>
    <definedName name="convdebtrate">#REF!</definedName>
    <definedName name="convdebtshares" localSheetId="3">#REF!</definedName>
    <definedName name="convdebtshares">#REF!</definedName>
    <definedName name="convprefrate" localSheetId="3">#REF!</definedName>
    <definedName name="convprefrate">#REF!</definedName>
    <definedName name="convprefshares" localSheetId="3">#REF!</definedName>
    <definedName name="convprefshares">#REF!</definedName>
    <definedName name="convpricedebt" localSheetId="3">#REF!</definedName>
    <definedName name="convpricedebt">#REF!</definedName>
    <definedName name="convpricepref" localSheetId="3">#REF!</definedName>
    <definedName name="convpricepref">#REF!</definedName>
    <definedName name="COS">#N/A</definedName>
    <definedName name="COS_UC">#N/A</definedName>
    <definedName name="Cost" localSheetId="3">#REF!</definedName>
    <definedName name="Cost">#REF!</definedName>
    <definedName name="Cost1" hidden="1">{"'Desktop Inventory 현황'!$B$2:$O$35"}</definedName>
    <definedName name="Cost99" localSheetId="3">#REF!</definedName>
    <definedName name="Cost99">#REF!</definedName>
    <definedName name="COUPPCD" localSheetId="3">#REF!</definedName>
    <definedName name="COUPPCD">#REF!</definedName>
    <definedName name="Cover" localSheetId="3">#REF!</definedName>
    <definedName name="Cover">#REF!</definedName>
    <definedName name="cpu" localSheetId="3">#REF!</definedName>
    <definedName name="cpu">#REF!</definedName>
    <definedName name="CR3RT" localSheetId="3">#REF!</definedName>
    <definedName name="CR3RT">#REF!</definedName>
    <definedName name="CR3RTDK" localSheetId="3">#REF!</definedName>
    <definedName name="CR3RTDK">#REF!</definedName>
    <definedName name="CR5RTDK" localSheetId="3">#REF!</definedName>
    <definedName name="CR5RTDK">#REF!</definedName>
    <definedName name="CreateTable" localSheetId="3" hidden="1">[3]!CreateTable</definedName>
    <definedName name="CreateTable" localSheetId="1" hidden="1">[3]!CreateTable</definedName>
    <definedName name="CreateTable" localSheetId="9" hidden="1">[3]!CreateTable</definedName>
    <definedName name="CreateTable" hidden="1">[3]!CreateTable</definedName>
    <definedName name="CSEA_Subtotal" localSheetId="3">#REF!</definedName>
    <definedName name="CSEA_Subtotal">#REF!</definedName>
    <definedName name="CSEA_Total" localSheetId="3">#REF!</definedName>
    <definedName name="CSEA_Total">#REF!</definedName>
    <definedName name="CURR_G_L" localSheetId="3">#REF!</definedName>
    <definedName name="CURR_G_L">#REF!</definedName>
    <definedName name="CURRENT" localSheetId="3">#REF!</definedName>
    <definedName name="CURRENT">#REF!</definedName>
    <definedName name="CURREOM" localSheetId="3">#REF!</definedName>
    <definedName name="CURREOM">#REF!</definedName>
    <definedName name="cust" localSheetId="3">#REF!</definedName>
    <definedName name="cust">#REF!</definedName>
    <definedName name="cwe" hidden="1">{#N/A,#N/A,FALSE,"ALM-ASISC"}</definedName>
    <definedName name="D" localSheetId="3">#REF!</definedName>
    <definedName name="D">#REF!</definedName>
    <definedName name="dafadfafadfa" hidden="1">{#N/A,#N/A,FALSE,"Aging Summary";#N/A,#N/A,FALSE,"Ratio Analysis";#N/A,#N/A,FALSE,"Test 120 Day Accts";#N/A,#N/A,FALSE,"Tickmarks"}</definedName>
    <definedName name="DATA28" localSheetId="3">#REF!</definedName>
    <definedName name="DATA28">#REF!</definedName>
    <definedName name="DATA29" localSheetId="3">#REF!</definedName>
    <definedName name="DATA29">#REF!</definedName>
    <definedName name="DATA31" localSheetId="3">#REF!</definedName>
    <definedName name="DATA31">#REF!</definedName>
    <definedName name="DATA32" localSheetId="3">#REF!</definedName>
    <definedName name="DATA32">#REF!</definedName>
    <definedName name="DATA33" localSheetId="3">#REF!</definedName>
    <definedName name="DATA33">#REF!</definedName>
    <definedName name="DATA34" localSheetId="3">#REF!</definedName>
    <definedName name="DATA34">#REF!</definedName>
    <definedName name="DATA3월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_xlnm.Database" localSheetId="3">#REF!</definedName>
    <definedName name="_xlnm.Database">#REF!</definedName>
    <definedName name="database1" localSheetId="3">#REF!</definedName>
    <definedName name="database1">#REF!</definedName>
    <definedName name="DATE" localSheetId="3">#REF!</definedName>
    <definedName name="DATE">#REF!</definedName>
    <definedName name="Date_Table" localSheetId="3">#REF!</definedName>
    <definedName name="Date_Table">#REF!</definedName>
    <definedName name="db" localSheetId="3">#REF!</definedName>
    <definedName name="db">#REF!</definedName>
    <definedName name="dball" localSheetId="3">#REF!</definedName>
    <definedName name="dball">#REF!</definedName>
    <definedName name="dbbackup" localSheetId="3">#REF!</definedName>
    <definedName name="dbbackup">#REF!</definedName>
    <definedName name="DBMASTER4" localSheetId="3">#REF!</definedName>
    <definedName name="DBMASTER4">#REF!</definedName>
    <definedName name="DBMIDDLEWARE" localSheetId="3">#REF!</definedName>
    <definedName name="DBMIDDLEWARE">#REF!</definedName>
    <definedName name="DBNTSW" localSheetId="3">#REF!</definedName>
    <definedName name="DBNTSW">#REF!</definedName>
    <definedName name="dbo_SUNITEMMSTR" localSheetId="3">#REF!</definedName>
    <definedName name="dbo_SUNITEMMSTR">#REF!</definedName>
    <definedName name="dbsal" localSheetId="3">#REF!</definedName>
    <definedName name="dbsal">#REF!</definedName>
    <definedName name="DBSE" localSheetId="3">#REF!</definedName>
    <definedName name="DBSE">#REF!</definedName>
    <definedName name="dbserver" localSheetId="3">#REF!</definedName>
    <definedName name="dbserver">#REF!</definedName>
    <definedName name="dbstorage" localSheetId="3">#REF!</definedName>
    <definedName name="dbstorage">#REF!</definedName>
    <definedName name="dbsw" localSheetId="3">#REF!</definedName>
    <definedName name="dbsw">#REF!</definedName>
    <definedName name="dbsw1" localSheetId="3">#REF!</definedName>
    <definedName name="dbsw1">#REF!</definedName>
    <definedName name="dbux" localSheetId="3">#REF!</definedName>
    <definedName name="dbux">#REF!</definedName>
    <definedName name="DC_서울" localSheetId="3">#REF!</definedName>
    <definedName name="DC_서울">#REF!</definedName>
    <definedName name="dcf_year" localSheetId="3">#REF!</definedName>
    <definedName name="dcf_year">#REF!</definedName>
    <definedName name="DCportion" localSheetId="3">#REF!</definedName>
    <definedName name="DCportion">#REF!</definedName>
    <definedName name="DD" localSheetId="3">#REF!</definedName>
    <definedName name="DD">#REF!</definedName>
    <definedName name="DDALL" localSheetId="3">#REF!</definedName>
    <definedName name="DDALL">#REF!</definedName>
    <definedName name="DDASF" localSheetId="3">#REF!</definedName>
    <definedName name="DDASF">#REF!</definedName>
    <definedName name="ddd" hidden="1">{#N/A,#N/A,FALSE,"Aging Summary";#N/A,#N/A,FALSE,"Ratio Analysis";#N/A,#N/A,FALSE,"Test 120 Day Accts";#N/A,#N/A,FALSE,"Tickmarks"}</definedName>
    <definedName name="dddd" hidden="1">{#N/A,#N/A,FALSE,"Aging Summary";#N/A,#N/A,FALSE,"Ratio Analysis";#N/A,#N/A,FALSE,"Test 120 Day Accts";#N/A,#N/A,FALSE,"Tickmarks"}</definedName>
    <definedName name="DDDDD" localSheetId="3">#REF!</definedName>
    <definedName name="DDDDD">#REF!</definedName>
    <definedName name="DDDDFGH" localSheetId="3">[0]!BlankMacro1</definedName>
    <definedName name="DDDDFGH" localSheetId="9">[0]!BlankMacro1</definedName>
    <definedName name="DDDDFGH">[0]!BlankMacro1</definedName>
    <definedName name="dddfg" hidden="1">{#N/A,#N/A,FALSE,"정공"}</definedName>
    <definedName name="DDSE" localSheetId="3">#REF!</definedName>
    <definedName name="DDSE">#REF!</definedName>
    <definedName name="DDUX" localSheetId="3">#REF!</definedName>
    <definedName name="DDUX">#REF!</definedName>
    <definedName name="de">[0]!de</definedName>
    <definedName name="debt_fv" localSheetId="3">#REF!</definedName>
    <definedName name="debt_fv">#REF!</definedName>
    <definedName name="debt_terminal" localSheetId="3">#REF!</definedName>
    <definedName name="debt_terminal">#REF!</definedName>
    <definedName name="DEF" localSheetId="3">#REF!</definedName>
    <definedName name="DEF">#REF!</definedName>
    <definedName name="dek" localSheetId="3">#REF!</definedName>
    <definedName name="dek">#REF!</definedName>
    <definedName name="DEL" localSheetId="3">#REF!</definedName>
    <definedName name="DEL">#REF!</definedName>
    <definedName name="DeleteRange" localSheetId="3" hidden="1">[3]!DeleteRange</definedName>
    <definedName name="DeleteRange" localSheetId="1" hidden="1">[3]!DeleteRange</definedName>
    <definedName name="DeleteRange" localSheetId="9" hidden="1">[3]!DeleteRange</definedName>
    <definedName name="DeleteRange" hidden="1">[3]!DeleteRange</definedName>
    <definedName name="DeleteTable" localSheetId="3" hidden="1">[3]!DeleteTable</definedName>
    <definedName name="DeleteTable" localSheetId="1" hidden="1">[3]!DeleteTable</definedName>
    <definedName name="DeleteTable" localSheetId="9" hidden="1">[3]!DeleteTable</definedName>
    <definedName name="DeleteTable" hidden="1">[3]!DeleteTable</definedName>
    <definedName name="DEPREIN" localSheetId="3">#REF!</definedName>
    <definedName name="DEPREIN">#REF!</definedName>
    <definedName name="DEPREOUT" localSheetId="3">#REF!</definedName>
    <definedName name="DEPREOUT">#REF!</definedName>
    <definedName name="DEVICE">#N/A</definedName>
    <definedName name="dfadfdafdafdafd" hidden="1">{#N/A,#N/A,FALSE,"Aging Summary";#N/A,#N/A,FALSE,"Ratio Analysis";#N/A,#N/A,FALSE,"Test 120 Day Accts";#N/A,#N/A,FALSE,"Tickmarks"}</definedName>
    <definedName name="dfdfdfd" localSheetId="3">[0]!BlankMacro1</definedName>
    <definedName name="dfdfdfd" localSheetId="9">[0]!BlankMacro1</definedName>
    <definedName name="dfdfdfd">[0]!BlankMacro1</definedName>
    <definedName name="dff" localSheetId="3">#REF!</definedName>
    <definedName name="dff">#REF!</definedName>
    <definedName name="dfhjg">[0]!dfhjg</definedName>
    <definedName name="dhw" localSheetId="3">#REF!</definedName>
    <definedName name="dhw">#REF!</definedName>
    <definedName name="DI_CONSOL" localSheetId="3">#REF!</definedName>
    <definedName name="DI_CONSOL">#REF!</definedName>
    <definedName name="DI_UNCONSOL" localSheetId="3">#REF!</definedName>
    <definedName name="DI_UNCONSOL">#REF!</definedName>
    <definedName name="disc_years" localSheetId="3">#REF!</definedName>
    <definedName name="disc_years">#REF!</definedName>
    <definedName name="discount" localSheetId="3">#REF!</definedName>
    <definedName name="discount">#REF!</definedName>
    <definedName name="Div" localSheetId="3">#REF!</definedName>
    <definedName name="Div">#REF!</definedName>
    <definedName name="Dividends_Paid" localSheetId="3">#REF!</definedName>
    <definedName name="Dividends_Paid">#REF!</definedName>
    <definedName name="Dividends_Received" localSheetId="3">#REF!</definedName>
    <definedName name="Dividends_Received">#REF!</definedName>
    <definedName name="DJDJDJDJ" hidden="1">{#N/A,#N/A,FALSE,"3가";#N/A,#N/A,FALSE,"3나";#N/A,#N/A,FALSE,"3다"}</definedName>
    <definedName name="dk" hidden="1">{#N/A,#N/A,FALSE,"3가";#N/A,#N/A,FALSE,"3나";#N/A,#N/A,FALSE,"3다"}</definedName>
    <definedName name="dkjdlfw" hidden="1">{#N/A,#N/A,FALSE,"ALM-ASISC"}</definedName>
    <definedName name="dklw" hidden="1">{#N/A,#N/A,FALSE,"ALM-ASISC"}</definedName>
    <definedName name="DKS" hidden="1">{#N/A,#N/A,FALSE,"3가";#N/A,#N/A,FALSE,"3나";#N/A,#N/A,FALSE,"3다"}</definedName>
    <definedName name="dkw" hidden="1">{#N/A,#N/A,FALSE,"ALM-ASISC"}</definedName>
    <definedName name="dldjdsljds" localSheetId="3">#REF!</definedName>
    <definedName name="dldjdsljds">#REF!</definedName>
    <definedName name="DLDLD" hidden="1">{#N/A,#N/A,FALSE,"Aging Summary";#N/A,#N/A,FALSE,"Ratio Analysis";#N/A,#N/A,FALSE,"Test 120 Day Accts";#N/A,#N/A,FALSE,"Tickmarks"}</definedName>
    <definedName name="dmf" localSheetId="3">#REF!</definedName>
    <definedName name="dmf">#REF!</definedName>
    <definedName name="DOM_COS">#N/A</definedName>
    <definedName name="DOM_SALE">#N/A</definedName>
    <definedName name="DOMSALE">#N/A</definedName>
    <definedName name="dongs" localSheetId="3">#REF!</definedName>
    <definedName name="dongs">#REF!</definedName>
    <definedName name="Download_Inc_Stmnt" localSheetId="3">#REF!</definedName>
    <definedName name="Download_Inc_Stmnt">#REF!</definedName>
    <definedName name="DR" localSheetId="3">#REF!</definedName>
    <definedName name="DR">#REF!</definedName>
    <definedName name="dsc" localSheetId="3">#REF!</definedName>
    <definedName name="dsc">#REF!</definedName>
    <definedName name="dsfga" hidden="1">{#N/A,#N/A,FALSE,"3가";#N/A,#N/A,FALSE,"3나";#N/A,#N/A,FALSE,"3다"}</definedName>
    <definedName name="DTIC" localSheetId="3">#REF!</definedName>
    <definedName name="DTIC">#REF!</definedName>
    <definedName name="DTportion" localSheetId="3">#REF!</definedName>
    <definedName name="DTportion">#REF!</definedName>
    <definedName name="dud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E5625RTDK" localSheetId="3">#REF!</definedName>
    <definedName name="E5625RTDK">#REF!</definedName>
    <definedName name="ea" hidden="1">{#N/A,#N/A,FALSE,"Aging Summary";#N/A,#N/A,FALSE,"Ratio Analysis";#N/A,#N/A,FALSE,"Test 120 Day Accts";#N/A,#N/A,FALSE,"Tickmarks"}</definedName>
    <definedName name="EBITDA_mult" localSheetId="3">#REF!</definedName>
    <definedName name="EBITDA_mult">#REF!</definedName>
    <definedName name="Educ" localSheetId="3">#REF!</definedName>
    <definedName name="Educ">#REF!</definedName>
    <definedName name="Educ1" localSheetId="3">#REF!</definedName>
    <definedName name="Educ1">#REF!</definedName>
    <definedName name="Educ2" localSheetId="3">#REF!</definedName>
    <definedName name="Educ2">#REF!</definedName>
    <definedName name="Educ3" localSheetId="3">#REF!</definedName>
    <definedName name="Educ3">#REF!</definedName>
    <definedName name="Educ4" localSheetId="3">#REF!</definedName>
    <definedName name="Educ4">#REF!</definedName>
    <definedName name="Educ5" localSheetId="3">#REF!</definedName>
    <definedName name="Educ5">#REF!</definedName>
    <definedName name="Educ6" localSheetId="3">#REF!</definedName>
    <definedName name="Educ6">#REF!</definedName>
    <definedName name="ee" hidden="1">{#N/A,#N/A,FALSE,"Aging Summary";#N/A,#N/A,FALSE,"Ratio Analysis";#N/A,#N/A,FALSE,"Test 120 Day Accts";#N/A,#N/A,FALSE,"Tickmarks"}</definedName>
    <definedName name="EEEEEE" localSheetId="3">[0]!BlankMacro1</definedName>
    <definedName name="EEEEEE" localSheetId="9">[0]!BlankMacro1</definedName>
    <definedName name="EEEEEE">[0]!BlankMacro1</definedName>
    <definedName name="ELAP" localSheetId="3">#REF!</definedName>
    <definedName name="ELAP">#REF!</definedName>
    <definedName name="ELAPP" localSheetId="3">#REF!</definedName>
    <definedName name="ELAPP">#REF!</definedName>
    <definedName name="ELWI" localSheetId="3">#REF!</definedName>
    <definedName name="ELWI">#REF!</definedName>
    <definedName name="ELWIP" localSheetId="3">#REF!</definedName>
    <definedName name="ELWIP">#REF!</definedName>
    <definedName name="EMPLOYEE" localSheetId="3">#REF!</definedName>
    <definedName name="EMPLOYEE">#REF!</definedName>
    <definedName name="END" localSheetId="3">#REF!</definedName>
    <definedName name="END">#REF!</definedName>
    <definedName name="ENG_Data" localSheetId="3">#REF!</definedName>
    <definedName name="ENG_Data">#REF!</definedName>
    <definedName name="ENG_Data_서울" localSheetId="3">#REF!</definedName>
    <definedName name="ENG_Data_서울">#REF!</definedName>
    <definedName name="ENG_Data_증설후" localSheetId="3">#REF!</definedName>
    <definedName name="ENG_Data_증설후">#REF!</definedName>
    <definedName name="ENG_개체전" localSheetId="3">#REF!</definedName>
    <definedName name="ENG_개체전">#REF!</definedName>
    <definedName name="ENG_개체후" localSheetId="3">#REF!</definedName>
    <definedName name="ENG_개체후">#REF!</definedName>
    <definedName name="ENG11차" localSheetId="3">#REF!</definedName>
    <definedName name="ENG11차">#REF!</definedName>
    <definedName name="ENGDATA" localSheetId="3">#REF!</definedName>
    <definedName name="ENGDATA">#REF!</definedName>
    <definedName name="EOH">#N/A</definedName>
    <definedName name="EOH_UC">#N/A</definedName>
    <definedName name="EOHAMT">#N/A</definedName>
    <definedName name="EOHQTY">#N/A</definedName>
    <definedName name="er">[0]!er</definedName>
    <definedName name="ERL_B" localSheetId="3">#REF!</definedName>
    <definedName name="ERL_B">#REF!</definedName>
    <definedName name="ERP" hidden="1">{#N/A,#N/A,FALSE,"ALM-ASISC"}</definedName>
    <definedName name="erp월할" localSheetId="3">#REF!</definedName>
    <definedName name="erp월할">#REF!</definedName>
    <definedName name="error" localSheetId="3">#REF!</definedName>
    <definedName name="error">#REF!</definedName>
    <definedName name="es" hidden="1">{#N/A,#N/A,FALSE,"Aging Summary";#N/A,#N/A,FALSE,"Ratio Analysis";#N/A,#N/A,FALSE,"Test 120 Day Accts";#N/A,#N/A,FALSE,"Tickmarks"}</definedName>
    <definedName name="esp">[0]!esp</definedName>
    <definedName name="esps">[0]!esps</definedName>
    <definedName name="EssOptions">"A1100000000011000000001100000_01000"</definedName>
    <definedName name="et">[0]!et</definedName>
    <definedName name="ety">[0]!ety</definedName>
    <definedName name="EURO00" localSheetId="3">#REF!</definedName>
    <definedName name="EURO00">#REF!</definedName>
    <definedName name="Euro10" localSheetId="3">#REF!</definedName>
    <definedName name="Euro10">#REF!</definedName>
    <definedName name="Euro11" localSheetId="3">#REF!</definedName>
    <definedName name="Euro11">#REF!</definedName>
    <definedName name="Euro12" localSheetId="3">#REF!</definedName>
    <definedName name="Euro12">#REF!</definedName>
    <definedName name="Euro7" localSheetId="3">#REF!</definedName>
    <definedName name="Euro7">#REF!</definedName>
    <definedName name="Euro8" localSheetId="3">#REF!</definedName>
    <definedName name="Euro8">#REF!</definedName>
    <definedName name="Euro9" localSheetId="3">#REF!</definedName>
    <definedName name="Euro9">#REF!</definedName>
    <definedName name="EWAGE" localSheetId="3">#REF!</definedName>
    <definedName name="EWAGE">#REF!</definedName>
    <definedName name="ex">[0]!ex</definedName>
    <definedName name="ex_rate" localSheetId="3">#REF!</definedName>
    <definedName name="ex_rate">#REF!</definedName>
    <definedName name="EXP_COS">#N/A</definedName>
    <definedName name="EXP_SALE">#N/A</definedName>
    <definedName name="EXPSALE">#N/A</definedName>
    <definedName name="ExrateBt" localSheetId="3">#REF!</definedName>
    <definedName name="ExrateBt">#REF!</definedName>
    <definedName name="ExrateInd" localSheetId="3">#REF!</definedName>
    <definedName name="ExrateInd">#REF!</definedName>
    <definedName name="ExrateSing" localSheetId="3">#REF!</definedName>
    <definedName name="ExrateSing">#REF!</definedName>
    <definedName name="ExrateUS" localSheetId="3">#REF!</definedName>
    <definedName name="ExrateUS">#REF!</definedName>
    <definedName name="Ext._Exposure_Gains_and_Losses" localSheetId="3">#REF!</definedName>
    <definedName name="Ext._Exposure_Gains_and_Losses">#REF!</definedName>
    <definedName name="_xlnm.Extract" localSheetId="3">#REF!</definedName>
    <definedName name="_xlnm.Extract">#REF!</definedName>
    <definedName name="f" hidden="1">{#N/A,#N/A,FALSE,"Aging Summary";#N/A,#N/A,FALSE,"Ratio Analysis";#N/A,#N/A,FALSE,"Test 120 Day Accts";#N/A,#N/A,FALSE,"Tickmarks"}</definedName>
    <definedName name="F_19" localSheetId="3">#REF!</definedName>
    <definedName name="F_19">#REF!</definedName>
    <definedName name="fa" hidden="1">{#N/A,#N/A,FALSE,"Aging Summary";#N/A,#N/A,FALSE,"Ratio Analysis";#N/A,#N/A,FALSE,"Test 120 Day Accts";#N/A,#N/A,FALSE,"Tickmarks"}</definedName>
    <definedName name="FA_서울" localSheetId="3">#REF!</definedName>
    <definedName name="FA_서울">#REF!</definedName>
    <definedName name="FAB">#N/A</definedName>
    <definedName name="Facility_Rate" localSheetId="3">#REF!</definedName>
    <definedName name="Facility_Rate">#REF!</definedName>
    <definedName name="Facility_Rate_NW" localSheetId="3">#REF!</definedName>
    <definedName name="Facility_Rate_NW">#REF!</definedName>
    <definedName name="fasdfadf" hidden="1">{#N/A,#N/A,FALSE,"Aging Summary";#N/A,#N/A,FALSE,"Ratio Analysis";#N/A,#N/A,FALSE,"Test 120 Day Accts";#N/A,#N/A,FALSE,"Tickmarks"}</definedName>
    <definedName name="FAST" localSheetId="3">#REF!</definedName>
    <definedName name="FAST">#REF!</definedName>
    <definedName name="fax">[0]!fax</definedName>
    <definedName name="faxs">[0]!faxs</definedName>
    <definedName name="fcf_unlev_terminal1" localSheetId="3">#REF!</definedName>
    <definedName name="fcf_unlev_terminal1">#REF!</definedName>
    <definedName name="fcf_unlev_terminal2" localSheetId="3">#REF!</definedName>
    <definedName name="fcf_unlev_terminal2">#REF!</definedName>
    <definedName name="fcf_unlev_terminal3" localSheetId="3">#REF!</definedName>
    <definedName name="fcf_unlev_terminal3">#REF!</definedName>
    <definedName name="fcf_unlev_terminal4" localSheetId="3">#REF!</definedName>
    <definedName name="fcf_unlev_terminal4">#REF!</definedName>
    <definedName name="fcf_unlev_terminal5" localSheetId="3">#REF!</definedName>
    <definedName name="fcf_unlev_terminal5">#REF!</definedName>
    <definedName name="fcf_unlev10" localSheetId="3">#REF!</definedName>
    <definedName name="fcf_unlev10">#REF!</definedName>
    <definedName name="fcf_unlev5" localSheetId="3">#REF!</definedName>
    <definedName name="fcf_unlev5">#REF!</definedName>
    <definedName name="fchynd" hidden="1">{#N/A,#N/A,FALSE,"Aging Summary";#N/A,#N/A,FALSE,"Ratio Analysis";#N/A,#N/A,FALSE,"Test 120 Day Accts";#N/A,#N/A,FALSE,"Tickmarks"}</definedName>
    <definedName name="FD" localSheetId="3">#REF!</definedName>
    <definedName name="FD">#REF!</definedName>
    <definedName name="FF" localSheetId="3">#REF!</definedName>
    <definedName name="FF">#REF!</definedName>
    <definedName name="FFF" hidden="1">{"'Sheet1'!$A$1:$H$36"}</definedName>
    <definedName name="FFFF" localSheetId="3">#REF!</definedName>
    <definedName name="FFFF">#REF!</definedName>
    <definedName name="FG46TBTB4RTDKDK" localSheetId="3">#REF!</definedName>
    <definedName name="FG46TBTB4RTDKDK">#REF!</definedName>
    <definedName name="fgfgggg" localSheetId="3">[0]!BlankMacro1</definedName>
    <definedName name="fgfgggg" localSheetId="9">[0]!BlankMacro1</definedName>
    <definedName name="fgfgggg">[0]!BlankMacro1</definedName>
    <definedName name="fgghhg">[0]!fgghhg</definedName>
    <definedName name="FGSOUTMP">#N/A</definedName>
    <definedName name="FGSOUTPP">#N/A</definedName>
    <definedName name="FIK_FG" localSheetId="3">#REF!</definedName>
    <definedName name="FIK_FG">#REF!</definedName>
    <definedName name="FIK_Pkg" localSheetId="3">#REF!</definedName>
    <definedName name="FIK_Pkg">#REF!</definedName>
    <definedName name="FIK_Raw" localSheetId="3">#REF!</definedName>
    <definedName name="FIK_Raw">#REF!</definedName>
    <definedName name="findingss" hidden="1">{#N/A,#N/A,FALSE,"Aging Summary";#N/A,#N/A,FALSE,"Ratio Analysis";#N/A,#N/A,FALSE,"Test 120 Day Accts";#N/A,#N/A,FALSE,"Tickmarks"}</definedName>
    <definedName name="FIRST" localSheetId="3">#REF!</definedName>
    <definedName name="FIRST">#REF!</definedName>
    <definedName name="firstMA" localSheetId="3">#REF!</definedName>
    <definedName name="firstMA">#REF!</definedName>
    <definedName name="fiscal_year" localSheetId="3">#REF!</definedName>
    <definedName name="fiscal_year">#REF!</definedName>
    <definedName name="fix비율" localSheetId="3">#REF!</definedName>
    <definedName name="fix비율">#REF!</definedName>
    <definedName name="fjdks" hidden="1">{#N/A,#N/A,FALSE,"Aging Summary";#N/A,#N/A,FALSE,"Ratio Analysis";#N/A,#N/A,FALSE,"Test 120 Day Accts";#N/A,#N/A,FALSE,"Tickmarks"}</definedName>
    <definedName name="fkwheku" hidden="1">{#N/A,#N/A,FALSE,"ALM-ASISC"}</definedName>
    <definedName name="fld00" localSheetId="3">#REF!</definedName>
    <definedName name="fld00">#REF!</definedName>
    <definedName name="FN_14.3" localSheetId="3">'[4]14'!#REF!</definedName>
    <definedName name="FN_14.3">'[4]14'!#REF!</definedName>
    <definedName name="FN_4.2" localSheetId="3">'[4]4'!#REF!</definedName>
    <definedName name="FN_4.2">'[4]4'!#REF!</definedName>
    <definedName name="FN_4.3" localSheetId="3">'[4]4'!#REF!</definedName>
    <definedName name="FN_4.3">'[4]4'!#REF!</definedName>
    <definedName name="FN_5.10" localSheetId="3">'[5]5'!#REF!</definedName>
    <definedName name="FN_5.10">'[5]5'!#REF!</definedName>
    <definedName name="FN_5.11" localSheetId="3">'[5]5'!#REF!</definedName>
    <definedName name="FN_5.11">'[5]5'!#REF!</definedName>
    <definedName name="FN_5.12" localSheetId="3">'[5]5'!#REF!</definedName>
    <definedName name="FN_5.12">'[5]5'!#REF!</definedName>
    <definedName name="FN_5.13" localSheetId="3">'[5]5'!#REF!</definedName>
    <definedName name="FN_5.13">'[5]5'!#REF!</definedName>
    <definedName name="FN_5.14" localSheetId="3">'[5]5'!#REF!</definedName>
    <definedName name="FN_5.14">'[5]5'!#REF!</definedName>
    <definedName name="FN_5.15" localSheetId="3">'[5]5'!#REF!</definedName>
    <definedName name="FN_5.15">'[5]5'!#REF!</definedName>
    <definedName name="FN_5.7" localSheetId="3">'[5]5'!#REF!</definedName>
    <definedName name="FN_5.7">'[5]5'!#REF!</definedName>
    <definedName name="Foreign_Base_Company_Income" localSheetId="3">#REF!</definedName>
    <definedName name="Foreign_Base_Company_Income">#REF!</definedName>
    <definedName name="Formula" localSheetId="3">#REF!</definedName>
    <definedName name="Formula">#REF!</definedName>
    <definedName name="FRA" localSheetId="3">#REF!</definedName>
    <definedName name="FRA">#REF!</definedName>
    <definedName name="FS97Ratios" localSheetId="3">#REF!</definedName>
    <definedName name="FS97Ratios">#REF!</definedName>
    <definedName name="fte" localSheetId="3">#REF!</definedName>
    <definedName name="fte">#REF!</definedName>
    <definedName name="fte03dc" localSheetId="3">#REF!</definedName>
    <definedName name="fte03dc">#REF!</definedName>
    <definedName name="FTE단가_2001" localSheetId="3">#REF!</definedName>
    <definedName name="FTE단가_2001">#REF!</definedName>
    <definedName name="FTE단가03" localSheetId="3">#REF!</definedName>
    <definedName name="FTE단가03">#REF!</definedName>
    <definedName name="FTE원가" localSheetId="3">#REF!</definedName>
    <definedName name="FTE원가">#REF!</definedName>
    <definedName name="FTT">#N/A</definedName>
    <definedName name="fuck" localSheetId="3">#REF!:_RjC2</definedName>
    <definedName name="fuck" localSheetId="9">#REF!:_RjC2</definedName>
    <definedName name="fuck">#REF!:_RjC2</definedName>
    <definedName name="FY2004FTE" localSheetId="3">#REF!</definedName>
    <definedName name="FY2004FTE">#REF!</definedName>
    <definedName name="ga" hidden="1">{#N/A,#N/A,FALSE,"Aging Summary";#N/A,#N/A,FALSE,"Ratio Analysis";#N/A,#N/A,FALSE,"Test 120 Day Accts";#N/A,#N/A,FALSE,"Tickmarks"}</definedName>
    <definedName name="gbe" localSheetId="3">[0]!BlankMacro1</definedName>
    <definedName name="gbe" localSheetId="9">[0]!BlankMacro1</definedName>
    <definedName name="gbe">[0]!BlankMacro1</definedName>
    <definedName name="General_Information_and_Questions" localSheetId="3">#REF!</definedName>
    <definedName name="General_Information_and_Questions">#REF!</definedName>
    <definedName name="Generic" localSheetId="3">#REF!</definedName>
    <definedName name="Generic">#REF!</definedName>
    <definedName name="gf" hidden="1">{#N/A,#N/A,FALSE,"Aging Summary";#N/A,#N/A,FALSE,"Ratio Analysis";#N/A,#N/A,FALSE,"Test 120 Day Accts";#N/A,#N/A,FALSE,"Tickmarks"}</definedName>
    <definedName name="GFACTOR_9901기준" localSheetId="3">#REF!</definedName>
    <definedName name="GFACTOR_9901기준">#REF!</definedName>
    <definedName name="gfdsdfg" hidden="1">{#N/A,#N/A,FALSE,"3가";#N/A,#N/A,FALSE,"3나";#N/A,#N/A,FALSE,"3다"}</definedName>
    <definedName name="gg">[0]!gg</definedName>
    <definedName name="GGG" hidden="1">{"'Sheet1'!$A$1:$H$36"}</definedName>
    <definedName name="gggg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ggggg" localSheetId="3">#REF!</definedName>
    <definedName name="ggggg">#REF!</definedName>
    <definedName name="ghjg">[0]!ghjg</definedName>
    <definedName name="ghjl" localSheetId="3">#REF!</definedName>
    <definedName name="ghjl">#REF!</definedName>
    <definedName name="GL_Convert" localSheetId="3">#REF!</definedName>
    <definedName name="GL_Convert">#REF!</definedName>
    <definedName name="Glad">[0]!Glad</definedName>
    <definedName name="GM" localSheetId="3">#REF!</definedName>
    <definedName name="GM">#REF!</definedName>
    <definedName name="go">[0]!go</definedName>
    <definedName name="Gold" localSheetId="3">#REF!</definedName>
    <definedName name="Gold">#REF!</definedName>
    <definedName name="greg" localSheetId="3">[0]!BlankMacro1</definedName>
    <definedName name="greg" localSheetId="9">[0]!BlankMacro1</definedName>
    <definedName name="greg">[0]!BlankMacro1</definedName>
    <definedName name="grg" localSheetId="3">[0]!BlankMacro1</definedName>
    <definedName name="grg" localSheetId="9">[0]!BlankMacro1</definedName>
    <definedName name="grg">[0]!BlankMacro1</definedName>
    <definedName name="GSTC" localSheetId="3">#REF!</definedName>
    <definedName name="GSTC">#REF!</definedName>
    <definedName name="gt" localSheetId="3">[0]!BlankMacro1</definedName>
    <definedName name="gt" localSheetId="9">[0]!BlankMacro1</definedName>
    <definedName name="gt">[0]!BlankMacro1</definedName>
    <definedName name="gtr" localSheetId="3">[0]!BlankMacro1</definedName>
    <definedName name="gtr" localSheetId="9">[0]!BlankMacro1</definedName>
    <definedName name="gtr">[0]!BlankMacro1</definedName>
    <definedName name="gu">[0]!gu</definedName>
    <definedName name="H_W_사용년수" localSheetId="3">#REF!</definedName>
    <definedName name="H_W_사용년수">#REF!</definedName>
    <definedName name="HEAD" localSheetId="3">#REF!</definedName>
    <definedName name="HEAD">#REF!</definedName>
    <definedName name="Header" localSheetId="3">#REF!</definedName>
    <definedName name="Header">#REF!</definedName>
    <definedName name="hejlkw" hidden="1">{#N/A,#N/A,FALSE,"ALM-ASISC"}</definedName>
    <definedName name="HICOUT">#N/A</definedName>
    <definedName name="hij">[0]!hij</definedName>
    <definedName name="hijs">[0]!hijs</definedName>
    <definedName name="HIP6400KA___91428_53429" localSheetId="3">#REF!</definedName>
    <definedName name="HIP6400KA___91428_53429">#REF!</definedName>
    <definedName name="hjjjh" hidden="1">{#N/A,#N/A,FALSE,"Aging Summary";#N/A,#N/A,FALSE,"Ratio Analysis";#N/A,#N/A,FALSE,"Test 120 Day Accts";#N/A,#N/A,FALSE,"Tickmarks"}</definedName>
    <definedName name="hkjhjhkjhj" localSheetId="3">#REF!</definedName>
    <definedName name="hkjhjhkjhj">#REF!</definedName>
    <definedName name="HomeKee_Drug">[0]!HomeKee_Drug</definedName>
    <definedName name="hostn" localSheetId="3">#REF!</definedName>
    <definedName name="hostn">#REF!</definedName>
    <definedName name="HOSTNAME" localSheetId="3">#REF!</definedName>
    <definedName name="HOSTNAME">#REF!</definedName>
    <definedName name="HO비" localSheetId="3">#REF!</definedName>
    <definedName name="HO비">#REF!</definedName>
    <definedName name="HP_5" localSheetId="3">#REF!</definedName>
    <definedName name="HP_5">#REF!</definedName>
    <definedName name="HP_6" localSheetId="3">#REF!</definedName>
    <definedName name="HP_6">#REF!</definedName>
    <definedName name="hp_7" localSheetId="3">#REF!</definedName>
    <definedName name="hp_7">#REF!</definedName>
    <definedName name="HP_rate" localSheetId="3">#REF!</definedName>
    <definedName name="HP_rate">#REF!</definedName>
    <definedName name="hrg" localSheetId="3">[0]!BlankMacro1</definedName>
    <definedName name="hrg" localSheetId="9">[0]!BlankMacro1</definedName>
    <definedName name="hrg">[0]!BlankMacro1</definedName>
    <definedName name="hsdgfjhf" hidden="1">{#N/A,#N/A,FALSE,"ALM-ASISC"}</definedName>
    <definedName name="HTML_CodePage" hidden="1">949</definedName>
    <definedName name="HTML_Control" hidden="1">{"'Sheet1'!$A$1:$H$36"}</definedName>
    <definedName name="HTML_Description" hidden="1">""</definedName>
    <definedName name="HTML_Email" hidden="1">""</definedName>
    <definedName name="HTML_Header" hidden="1">""</definedName>
    <definedName name="HTML_LastUpdate" hidden="1">"97-12-30"</definedName>
    <definedName name="HTML_LineAfter" hidden="1">FALSE</definedName>
    <definedName name="HTML_LineBefore" hidden="1">FALSE</definedName>
    <definedName name="HTML_Name" hidden="1">"이호섭"</definedName>
    <definedName name="HTML_OBDlg2" hidden="1">TRUE</definedName>
    <definedName name="HTML_OBDlg4" hidden="1">TRUE</definedName>
    <definedName name="HTML_OS" hidden="1">0</definedName>
    <definedName name="HTML_PathFile" hidden="1">"F:\InetPub\wwwroot\SVC\svc1.htm"</definedName>
    <definedName name="HTML_Title" hidden="1">"센타주소"</definedName>
    <definedName name="HTML1_Control" hidden="1">{"'Desktop Inventory 현황'!$B$2:$O$35"}</definedName>
    <definedName name="HTML2_Control" hidden="1">{"'Desktop Inventory 현황'!$B$2:$O$35"}</definedName>
    <definedName name="HTT" hidden="1">{"'Desktop Inventory 현황'!$B$2:$O$35"}</definedName>
    <definedName name="HW_rate" localSheetId="3">#REF!</definedName>
    <definedName name="HW_rate">#REF!</definedName>
    <definedName name="HW_rate2" localSheetId="3">#REF!</definedName>
    <definedName name="HW_rate2">#REF!</definedName>
    <definedName name="hw_rate3" localSheetId="3">#REF!</definedName>
    <definedName name="hw_rate3">#REF!</definedName>
    <definedName name="hwma" localSheetId="3">#REF!</definedName>
    <definedName name="hwma">#REF!</definedName>
    <definedName name="i" localSheetId="3">#REF!</definedName>
    <definedName name="i">#REF!</definedName>
    <definedName name="i_?3" localSheetId="3">#REF!</definedName>
    <definedName name="i_?3">#REF!</definedName>
    <definedName name="i_E" localSheetId="3">#REF!</definedName>
    <definedName name="i_E">#REF!</definedName>
    <definedName name="i_E__.3" localSheetId="3">#REF!</definedName>
    <definedName name="i_E__.3">#REF!</definedName>
    <definedName name="i_E_O" localSheetId="3">#REF!</definedName>
    <definedName name="i_E_O">#REF!</definedName>
    <definedName name="i_E_O__.3" localSheetId="3">#REF!</definedName>
    <definedName name="i_E_O__.3">#REF!</definedName>
    <definedName name="ia" hidden="1">{#N/A,#N/A,FALSE,"Aging Summary";#N/A,#N/A,FALSE,"Ratio Analysis";#N/A,#N/A,FALSE,"Test 120 Day Accts";#N/A,#N/A,FALSE,"Tickmarks"}</definedName>
    <definedName name="IC_DIV_INC" localSheetId="3">#REF!</definedName>
    <definedName name="IC_DIV_INC">#REF!</definedName>
    <definedName name="IC_DIV_REC" localSheetId="3">#REF!</definedName>
    <definedName name="IC_DIV_REC">#REF!</definedName>
    <definedName name="IC_PURCH_AHNA" localSheetId="3">#REF!</definedName>
    <definedName name="IC_PURCH_AHNA">#REF!</definedName>
    <definedName name="IC_PURCH_CONS_GROUP" localSheetId="3">#REF!</definedName>
    <definedName name="IC_PURCH_CONS_GROUP">#REF!</definedName>
    <definedName name="IC_PURCH_UNCONSOL_GROUP" localSheetId="3">#REF!</definedName>
    <definedName name="IC_PURCH_UNCONSOL_GROUP">#REF!</definedName>
    <definedName name="ICPC" localSheetId="3">#REF!</definedName>
    <definedName name="ICPC">#REF!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come_Statement" localSheetId="3">#REF!</definedName>
    <definedName name="Income_Statement">#REF!</definedName>
    <definedName name="Income_Taxes_Paid" localSheetId="3">#REF!</definedName>
    <definedName name="Income_Taxes_Paid">#REF!</definedName>
    <definedName name="INDEX">#N/A</definedName>
    <definedName name="INPUT" localSheetId="3">#REF!</definedName>
    <definedName name="INPUT">#REF!</definedName>
    <definedName name="INQTY">#N/A</definedName>
    <definedName name="Instructions" localSheetId="3">#REF!</definedName>
    <definedName name="Instructions">#REF!</definedName>
    <definedName name="INT_CO_PAYABLES" localSheetId="3">#REF!</definedName>
    <definedName name="INT_CO_PAYABLES">#REF!</definedName>
    <definedName name="INT_CO_RECEIVAB" localSheetId="3">#REF!</definedName>
    <definedName name="INT_CO_RECEIVAB">#REF!</definedName>
    <definedName name="Int_Exp_AHNA" localSheetId="3">#REF!</definedName>
    <definedName name="Int_Exp_AHNA">#REF!</definedName>
    <definedName name="Int_Exp_Consol" localSheetId="3">#REF!</definedName>
    <definedName name="Int_Exp_Consol">#REF!</definedName>
    <definedName name="Int_Exp_Parent" localSheetId="3">#REF!</definedName>
    <definedName name="Int_Exp_Parent">#REF!</definedName>
    <definedName name="Int_Exp_Unconsol" localSheetId="3">#REF!</definedName>
    <definedName name="Int_Exp_Unconsol">#REF!</definedName>
    <definedName name="INT_INC_AHNA" localSheetId="3">#REF!</definedName>
    <definedName name="INT_INC_AHNA">#REF!</definedName>
    <definedName name="INT_INC_CONSOL" localSheetId="3">#REF!</definedName>
    <definedName name="INT_INC_CONSOL">#REF!</definedName>
    <definedName name="INT_INC_PARENT" localSheetId="3">#REF!</definedName>
    <definedName name="INT_INC_PARENT">#REF!</definedName>
    <definedName name="INT_INC_UNCONSOL" localSheetId="3">#REF!</definedName>
    <definedName name="INT_INC_UNCONSOL">#REF!</definedName>
    <definedName name="Int_rate_03" localSheetId="3">#REF!</definedName>
    <definedName name="Int_rate_03">#REF!</definedName>
    <definedName name="Int_rate_04" localSheetId="3">#REF!</definedName>
    <definedName name="Int_rate_04">#REF!</definedName>
    <definedName name="Int_rate_05" localSheetId="3">#REF!</definedName>
    <definedName name="Int_rate_05">#REF!</definedName>
    <definedName name="Int_rate2" localSheetId="3">#REF!</definedName>
    <definedName name="Int_rate2">#REF!</definedName>
    <definedName name="Int_rate3" localSheetId="3">#REF!</definedName>
    <definedName name="Int_rate3">#REF!</definedName>
    <definedName name="Intercomapny_Rent_Expense" localSheetId="3">#REF!</definedName>
    <definedName name="Intercomapny_Rent_Expense">#REF!</definedName>
    <definedName name="Intercompany_Commission_Expense" localSheetId="3">#REF!</definedName>
    <definedName name="Intercompany_Commission_Expense">#REF!</definedName>
    <definedName name="Intercompany_Commission_Income" localSheetId="3">#REF!</definedName>
    <definedName name="Intercompany_Commission_Income">#REF!</definedName>
    <definedName name="Intercompany_Interest_Expense" localSheetId="3">#REF!</definedName>
    <definedName name="Intercompany_Interest_Expense">#REF!</definedName>
    <definedName name="Intercompany_Interest_Income" localSheetId="3">#REF!</definedName>
    <definedName name="Intercompany_Interest_Income">#REF!</definedName>
    <definedName name="Intercompany_Purchases" localSheetId="3">#REF!</definedName>
    <definedName name="Intercompany_Purchases">#REF!</definedName>
    <definedName name="Intercompany_Receivables" localSheetId="3">#REF!</definedName>
    <definedName name="Intercompany_Receivables">#REF!</definedName>
    <definedName name="Intercompany_Rent_Income" localSheetId="3">#REF!</definedName>
    <definedName name="Intercompany_Rent_Income">#REF!</definedName>
    <definedName name="Intercompany_Royalty_Expense" localSheetId="3">#REF!</definedName>
    <definedName name="Intercompany_Royalty_Expense">#REF!</definedName>
    <definedName name="Intercompany_Royalty_Income" localSheetId="3">#REF!</definedName>
    <definedName name="Intercompany_Royalty_Income">#REF!</definedName>
    <definedName name="Intercompany_Sales" localSheetId="3">#REF!</definedName>
    <definedName name="Intercompany_Sales">#REF!</definedName>
    <definedName name="interestoverall" hidden="1">{#N/A,#N/A,FALSE,"Aging Summary";#N/A,#N/A,FALSE,"Ratio Analysis";#N/A,#N/A,FALSE,"Test 120 Day Accts";#N/A,#N/A,FALSE,"Tickmarks"}</definedName>
    <definedName name="interstrate" localSheetId="3">#REF!</definedName>
    <definedName name="interstrate">#REF!</definedName>
    <definedName name="INV" localSheetId="3">#REF!</definedName>
    <definedName name="INV">#REF!</definedName>
    <definedName name="INVEST" localSheetId="3">#REF!</definedName>
    <definedName name="INVEST">#REF!</definedName>
    <definedName name="IPPV_ALL" localSheetId="3">#REF!</definedName>
    <definedName name="IPPV_ALL">#REF!</definedName>
    <definedName name="IT" hidden="1">{"'Sheet1'!$A$1:$H$36"}</definedName>
    <definedName name="IT_intrate" localSheetId="3">#REF!</definedName>
    <definedName name="IT_intrate">#REF!</definedName>
    <definedName name="IT_period" localSheetId="3">#REF!</definedName>
    <definedName name="IT_period">#REF!</definedName>
    <definedName name="IT수정" hidden="1">{"'Sheet1'!$A$1:$H$36"}</definedName>
    <definedName name="IWFIC" hidden="1">{#N/A,#N/A,FALSE,"ALM-ASISC"}</definedName>
    <definedName name="IWJJJJ" hidden="1">{#N/A,#N/A,FALSE,"Aging Summary";#N/A,#N/A,FALSE,"Ratio Analysis";#N/A,#N/A,FALSE,"Test 120 Day Accts";#N/A,#N/A,FALSE,"Tickmarks"}</definedName>
    <definedName name="J">[0]!J</definedName>
    <definedName name="jdkl" hidden="1">{#N/A,#N/A,FALSE,"ALM-ASISC"}</definedName>
    <definedName name="jeklw" hidden="1">{#N/A,#N/A,FALSE,"ALM-ASISC"}</definedName>
    <definedName name="jhgg">[0]!jhgg</definedName>
    <definedName name="jj" localSheetId="3">[0]!BlankMacro1</definedName>
    <definedName name="jj" localSheetId="9">[0]!BlankMacro1</definedName>
    <definedName name="jj">[0]!BlankMacro1</definedName>
    <definedName name="JK" hidden="1">{#N/A,#N/A,TRUE,"Y생산";#N/A,#N/A,TRUE,"Y판매";#N/A,#N/A,TRUE,"Y총물량";#N/A,#N/A,TRUE,"Y능력";#N/A,#N/A,TRUE,"YKD"}</definedName>
    <definedName name="jldl" localSheetId="3">BlankMacro1</definedName>
    <definedName name="jldl" localSheetId="9">BlankMacro1</definedName>
    <definedName name="jldl">BlankMacro1</definedName>
    <definedName name="job" localSheetId="3">#REF!</definedName>
    <definedName name="job">#REF!</definedName>
    <definedName name="JUSO" localSheetId="3">#REF!</definedName>
    <definedName name="JUSO">#REF!</definedName>
    <definedName name="JV" localSheetId="3">#REF!</definedName>
    <definedName name="JV">#REF!</definedName>
    <definedName name="K" localSheetId="3">#REF!</definedName>
    <definedName name="K">#REF!</definedName>
    <definedName name="KACr95" localSheetId="3">#REF!</definedName>
    <definedName name="KACr95">#REF!</definedName>
    <definedName name="KACr96" localSheetId="3">#REF!</definedName>
    <definedName name="KACr96">#REF!</definedName>
    <definedName name="KACr97" localSheetId="3">#REF!</definedName>
    <definedName name="KACr97">#REF!</definedName>
    <definedName name="KACr98.10" localSheetId="3">#REF!</definedName>
    <definedName name="KACr98.10">#REF!</definedName>
    <definedName name="KACr98.11" localSheetId="3">#REF!</definedName>
    <definedName name="KACr98.11">#REF!</definedName>
    <definedName name="KADr95" localSheetId="3">#REF!</definedName>
    <definedName name="KADr95">#REF!</definedName>
    <definedName name="KADr96" localSheetId="3">#REF!</definedName>
    <definedName name="KADr96">#REF!</definedName>
    <definedName name="KADr97" localSheetId="3">#REF!</definedName>
    <definedName name="KADr97">#REF!</definedName>
    <definedName name="KADr98" localSheetId="3">#REF!</definedName>
    <definedName name="KADr98">#REF!</definedName>
    <definedName name="KADr98.10" localSheetId="3">#REF!</definedName>
    <definedName name="KADr98.10">#REF!</definedName>
    <definedName name="KADr98.11" localSheetId="3">#REF!</definedName>
    <definedName name="KADr98.11">#REF!</definedName>
    <definedName name="KCCKC" hidden="1">{#N/A,#N/A,FALSE,"3가";#N/A,#N/A,FALSE,"3나";#N/A,#N/A,FALSE,"3다"}</definedName>
    <definedName name="kdjlw" hidden="1">{#N/A,#N/A,FALSE,"ALM-ASISC"}</definedName>
    <definedName name="kdljw" hidden="1">{#N/A,#N/A,FALSE,"ALM-ASISC"}</definedName>
    <definedName name="KDLW" hidden="1">{#N/A,#N/A,FALSE,"ALM-ASISC"}</definedName>
    <definedName name="KGaap95" localSheetId="3">#REF!</definedName>
    <definedName name="KGaap95">#REF!</definedName>
    <definedName name="KGaap96" localSheetId="3">#REF!</definedName>
    <definedName name="KGaap96">#REF!</definedName>
    <definedName name="KGaap97" localSheetId="3">#REF!</definedName>
    <definedName name="KGaap97">#REF!</definedName>
    <definedName name="KGaap98" localSheetId="3">#REF!</definedName>
    <definedName name="KGaap98">#REF!</definedName>
    <definedName name="KGaap98.10" localSheetId="3">#REF!</definedName>
    <definedName name="KGaap98.10">#REF!</definedName>
    <definedName name="KGaap98.11" localSheetId="3">#REF!</definedName>
    <definedName name="KGaap98.11">#REF!</definedName>
    <definedName name="KK" localSheetId="3">#REF!</definedName>
    <definedName name="KK">#REF!</definedName>
    <definedName name="KKK" hidden="1">255</definedName>
    <definedName name="kkkk" localSheetId="3">#REF!</definedName>
    <definedName name="kkkk">#REF!</definedName>
    <definedName name="kldjwl" hidden="1">{#N/A,#N/A,FALSE,"ALM-ASISC"}</definedName>
    <definedName name="klhj">[0]!klhj</definedName>
    <definedName name="kljdklw" hidden="1">{#N/A,#N/A,FALSE,"ALM-ASISC"}</definedName>
    <definedName name="klwjdk" hidden="1">{#N/A,#N/A,FALSE,"ALM-ASISC"}</definedName>
    <definedName name="KPI" localSheetId="3">#REF!</definedName>
    <definedName name="KPI">#REF!</definedName>
    <definedName name="kwy" hidden="1">{#N/A,#N/A,FALSE,"ALM-ASISC"}</definedName>
    <definedName name="l" hidden="1">{#N/A,#N/A,FALSE,"Aging Summary";#N/A,#N/A,FALSE,"Ratio Analysis";#N/A,#N/A,FALSE,"Test 120 Day Accts";#N/A,#N/A,FALSE,"Tickmarks"}</definedName>
    <definedName name="Lan_Cate_No" localSheetId="3">#REF!</definedName>
    <definedName name="Lan_Cate_No">#REF!</definedName>
    <definedName name="LAP" localSheetId="3">#REF!</definedName>
    <definedName name="LAP">#REF!</definedName>
    <definedName name="LAPP" localSheetId="3">#REF!</definedName>
    <definedName name="LAPP">#REF!</definedName>
    <definedName name="LC256PY" localSheetId="3">#REF!</definedName>
    <definedName name="LC256PY">#REF!</definedName>
    <definedName name="LC명" localSheetId="3">#REF!</definedName>
    <definedName name="LC명">#REF!</definedName>
    <definedName name="LEASEIN" localSheetId="3">#REF!</definedName>
    <definedName name="LEASEIN">#REF!</definedName>
    <definedName name="leaseintrate" localSheetId="3">#REF!</definedName>
    <definedName name="leaseintrate">#REF!</definedName>
    <definedName name="LEASEOUT" localSheetId="3">#REF!</definedName>
    <definedName name="LEASEOUT">#REF!</definedName>
    <definedName name="LEASEPERIOD" localSheetId="3">#REF!</definedName>
    <definedName name="LEASEPERIOD">#REF!</definedName>
    <definedName name="LEASERATE" localSheetId="3">#REF!</definedName>
    <definedName name="LEASERATE">#REF!</definedName>
    <definedName name="LEFT" localSheetId="3">#REF!</definedName>
    <definedName name="LEFT">#REF!</definedName>
    <definedName name="LEFT1" localSheetId="3">#REF!</definedName>
    <definedName name="LEFT1">#REF!</definedName>
    <definedName name="Legal_entity_name" localSheetId="3">#REF!</definedName>
    <definedName name="Legal_entity_name">#REF!</definedName>
    <definedName name="legal_entity_number" localSheetId="3">#REF!</definedName>
    <definedName name="legal_entity_number">#REF!</definedName>
    <definedName name="LG64PY" localSheetId="3">#REF!</definedName>
    <definedName name="LG64PY">#REF!</definedName>
    <definedName name="liab" localSheetId="3">#REF!</definedName>
    <definedName name="liab">#REF!</definedName>
    <definedName name="liab2" localSheetId="3">#REF!</definedName>
    <definedName name="liab2">#REF!</definedName>
    <definedName name="liab3" localSheetId="3">#REF!</definedName>
    <definedName name="liab3">#REF!</definedName>
    <definedName name="LIFO" localSheetId="3">#REF!</definedName>
    <definedName name="LIFO">#REF!</definedName>
    <definedName name="LINE검토2" hidden="1">{#N/A,#N/A,TRUE,"Y생산";#N/A,#N/A,TRUE,"Y판매";#N/A,#N/A,TRUE,"Y총물량";#N/A,#N/A,TRUE,"Y능력";#N/A,#N/A,TRUE,"YKD"}</definedName>
    <definedName name="ListItem01" localSheetId="3">#REF!</definedName>
    <definedName name="ListItem01">#REF!</definedName>
    <definedName name="ListItem02" localSheetId="3">#REF!</definedName>
    <definedName name="ListItem02">#REF!</definedName>
    <definedName name="ListItem03" localSheetId="3">#REF!</definedName>
    <definedName name="ListItem03">#REF!</definedName>
    <definedName name="ListItem04" localSheetId="3">#REF!</definedName>
    <definedName name="ListItem04">#REF!</definedName>
    <definedName name="ListItem05" localSheetId="3">#REF!</definedName>
    <definedName name="ListItem05">#REF!</definedName>
    <definedName name="ListItem06" localSheetId="3">#REF!</definedName>
    <definedName name="ListItem06">#REF!</definedName>
    <definedName name="ListItem07" localSheetId="3">#REF!</definedName>
    <definedName name="ListItem07">#REF!</definedName>
    <definedName name="ListItem08" localSheetId="3">#REF!</definedName>
    <definedName name="ListItem08">#REF!</definedName>
    <definedName name="ListPriceFactor" localSheetId="3">#REF!</definedName>
    <definedName name="ListPriceFactor">#REF!</definedName>
    <definedName name="lll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LPA_서울" localSheetId="3">#REF!</definedName>
    <definedName name="LPA_서울">#REF!</definedName>
    <definedName name="LRIC" localSheetId="3">#REF!</definedName>
    <definedName name="LRIC">#REF!</definedName>
    <definedName name="lsem" localSheetId="3">#REF!</definedName>
    <definedName name="lsem">#REF!</definedName>
    <definedName name="LT_AHNA" localSheetId="3">#REF!</definedName>
    <definedName name="LT_AHNA">#REF!</definedName>
    <definedName name="LT_CONSOL" localSheetId="3">#REF!</definedName>
    <definedName name="LT_CONSOL">#REF!</definedName>
    <definedName name="LT_PARENT" localSheetId="3">#REF!</definedName>
    <definedName name="LT_PARENT">#REF!</definedName>
    <definedName name="LT_UNCONSOL" localSheetId="3">#REF!</definedName>
    <definedName name="LT_UNCONSOL">#REF!</definedName>
    <definedName name="ltot" localSheetId="3">#REF!</definedName>
    <definedName name="ltot">#REF!</definedName>
    <definedName name="LWI" localSheetId="3">#REF!</definedName>
    <definedName name="LWI">#REF!</definedName>
    <definedName name="LWIP" localSheetId="3">#REF!</definedName>
    <definedName name="LWIP">#REF!</definedName>
    <definedName name="m" localSheetId="3">#REF!</definedName>
    <definedName name="m">#REF!</definedName>
    <definedName name="M0" localSheetId="3">#REF!</definedName>
    <definedName name="M0">#REF!</definedName>
    <definedName name="MA_rate" localSheetId="3">#REF!</definedName>
    <definedName name="MA_rate">#REF!</definedName>
    <definedName name="MA_Rate_Auto" localSheetId="3">#REF!</definedName>
    <definedName name="MA_Rate_Auto">#REF!</definedName>
    <definedName name="MA_Rate_DB" localSheetId="3">#REF!</definedName>
    <definedName name="MA_Rate_DB">#REF!</definedName>
    <definedName name="MA_Rate_NT" localSheetId="3">#REF!</definedName>
    <definedName name="MA_Rate_NT">#REF!</definedName>
    <definedName name="MA_Rate_NT_HW" localSheetId="3">#REF!</definedName>
    <definedName name="MA_Rate_NT_HW">#REF!</definedName>
    <definedName name="MA_Rate_NT_SW" localSheetId="3">#REF!</definedName>
    <definedName name="MA_Rate_NT_SW">#REF!</definedName>
    <definedName name="MA_Rate_NW" localSheetId="3">#REF!</definedName>
    <definedName name="MA_Rate_NW">#REF!</definedName>
    <definedName name="MA_Rate_SW_DB" localSheetId="3">#REF!</definedName>
    <definedName name="MA_Rate_SW_DB">#REF!</definedName>
    <definedName name="MA_Rate_Unix" localSheetId="3">#REF!</definedName>
    <definedName name="MA_Rate_Unix">#REF!</definedName>
    <definedName name="MA_Rate_Unix_NT" localSheetId="3">#REF!</definedName>
    <definedName name="MA_Rate_Unix_NT">#REF!</definedName>
    <definedName name="MA_Rate_UNIX_SW" localSheetId="3">#REF!</definedName>
    <definedName name="MA_Rate_UNIX_SW">#REF!</definedName>
    <definedName name="MA_Warranty" localSheetId="3">#REF!</definedName>
    <definedName name="MA_Warranty">#REF!</definedName>
    <definedName name="Macro1">[0]!Macro1</definedName>
    <definedName name="Macro2">[0]!Macro2</definedName>
    <definedName name="MAone" localSheetId="3">#REF!</definedName>
    <definedName name="MAone">#REF!</definedName>
    <definedName name="Mapping" localSheetId="3">#REF!</definedName>
    <definedName name="Mapping">#REF!</definedName>
    <definedName name="Margin_Non_Sys" localSheetId="3">#REF!</definedName>
    <definedName name="Margin_Non_Sys">#REF!</definedName>
    <definedName name="Margin_Non_Sys_DB" localSheetId="3">#REF!</definedName>
    <definedName name="Margin_Non_Sys_DB">#REF!</definedName>
    <definedName name="Margin_Sys" localSheetId="3">#REF!</definedName>
    <definedName name="Margin_Sys">#REF!</definedName>
    <definedName name="Margin_Sys_DB" localSheetId="3">#REF!</definedName>
    <definedName name="Margin_Sys_DB">#REF!</definedName>
    <definedName name="mast0" localSheetId="3">#REF!</definedName>
    <definedName name="mast0">#REF!</definedName>
    <definedName name="MATERIALCODE" localSheetId="3">#REF!</definedName>
    <definedName name="MATERIALCODE">#REF!</definedName>
    <definedName name="MA율" localSheetId="3">#REF!</definedName>
    <definedName name="MA율">#REF!</definedName>
    <definedName name="Membership마케팅4" localSheetId="3">#REF!</definedName>
    <definedName name="Membership마케팅4">#REF!</definedName>
    <definedName name="MENO" localSheetId="3">#REF!</definedName>
    <definedName name="MENO">#REF!</definedName>
    <definedName name="Menu">[0]!Menu</definedName>
    <definedName name="Menu1">[0]!Menu1</definedName>
    <definedName name="menu11">[0]!menu11</definedName>
    <definedName name="menu12">[0]!menu12</definedName>
    <definedName name="Menu2">[0]!Menu2</definedName>
    <definedName name="menus">[0]!menus</definedName>
    <definedName name="MerrillPrintIt" localSheetId="3" hidden="1">[3]!MerrillPrintIt</definedName>
    <definedName name="MerrillPrintIt" localSheetId="1" hidden="1">[3]!MerrillPrintIt</definedName>
    <definedName name="MerrillPrintIt" localSheetId="9" hidden="1">[3]!MerrillPrintIt</definedName>
    <definedName name="MerrillPrintIt" hidden="1">[3]!MerrillPrintIt</definedName>
    <definedName name="mf">[0]!mf</definedName>
    <definedName name="MFP" localSheetId="3">#REF!,#REF!,#REF!,#REF!</definedName>
    <definedName name="MFP">#REF!,#REF!,#REF!,#REF!</definedName>
    <definedName name="Mgmt_Svc_Fee_Exp_AHNA" localSheetId="3">#REF!</definedName>
    <definedName name="Mgmt_Svc_Fee_Exp_AHNA">#REF!</definedName>
    <definedName name="Mgmt_Svc_Fee_Exp_ConsolGrp" localSheetId="3">#REF!</definedName>
    <definedName name="Mgmt_Svc_Fee_Exp_ConsolGrp">#REF!</definedName>
    <definedName name="Mgmt_Svc_Fee_Exp_RHCO" localSheetId="3">#REF!</definedName>
    <definedName name="Mgmt_Svc_Fee_Exp_RHCO">#REF!</definedName>
    <definedName name="Mgmt_Svc_Fee_Exp_Uncon_Affil" localSheetId="3">#REF!</definedName>
    <definedName name="Mgmt_Svc_Fee_Exp_Uncon_Affil">#REF!</definedName>
    <definedName name="Mgmt_Svc_Fee_Inc_AHNA" localSheetId="3">#REF!</definedName>
    <definedName name="Mgmt_Svc_Fee_Inc_AHNA">#REF!</definedName>
    <definedName name="Mgmt_Svc_Fee_Inc_ConsolGrp" localSheetId="3">#REF!</definedName>
    <definedName name="Mgmt_Svc_Fee_Inc_ConsolGrp">#REF!</definedName>
    <definedName name="Mgmt_Svc_Fee_Inc_RHCO" localSheetId="3">#REF!</definedName>
    <definedName name="Mgmt_Svc_Fee_Inc_RHCO">#REF!</definedName>
    <definedName name="Mgmt_Svc_Fee_Inc_Uncon_Affil" localSheetId="3">#REF!</definedName>
    <definedName name="Mgmt_Svc_Fee_Inc_Uncon_Affil">#REF!</definedName>
    <definedName name="MICON">#N/A</definedName>
    <definedName name="minus" localSheetId="3">#REF!</definedName>
    <definedName name="minus">#REF!</definedName>
    <definedName name="Misc._Questions" localSheetId="3">#REF!</definedName>
    <definedName name="Misc._Questions">#REF!</definedName>
    <definedName name="misc.questions" localSheetId="3">#REF!</definedName>
    <definedName name="misc.questions">#REF!</definedName>
    <definedName name="mm">[0]!mm</definedName>
    <definedName name="mmff" localSheetId="3">#REF!</definedName>
    <definedName name="mmff">#REF!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ODEL">#N/A</definedName>
    <definedName name="model1" localSheetId="3">#REF!</definedName>
    <definedName name="model1">#REF!</definedName>
    <definedName name="moyen" localSheetId="3">#REF!</definedName>
    <definedName name="moyen">#REF!</definedName>
    <definedName name="MPBOH">#N/A</definedName>
    <definedName name="MPEOH">#N/A</definedName>
    <definedName name="MRB" localSheetId="3">[0]!BlankMacro1</definedName>
    <definedName name="MRB" localSheetId="9">[0]!BlankMacro1</definedName>
    <definedName name="MRB">[0]!BlankMacro1</definedName>
    <definedName name="ms">[0]!ms</definedName>
    <definedName name="msem" localSheetId="3">#REF!</definedName>
    <definedName name="msem">#REF!</definedName>
    <definedName name="MSIC" localSheetId="3">#REF!</definedName>
    <definedName name="MSIC">#REF!</definedName>
    <definedName name="MSICC" localSheetId="3">#REF!</definedName>
    <definedName name="MSICC">#REF!</definedName>
    <definedName name="MTC" localSheetId="3">#REF!</definedName>
    <definedName name="MTC">#REF!</definedName>
    <definedName name="mtot" localSheetId="3">#REF!</definedName>
    <definedName name="mtot">#REF!</definedName>
    <definedName name="mult_sen" localSheetId="3">#REF!</definedName>
    <definedName name="mult_sen">#REF!</definedName>
    <definedName name="MZ" localSheetId="3">#REF!</definedName>
    <definedName name="MZ">#REF!</definedName>
    <definedName name="N" localSheetId="3">#REF!</definedName>
    <definedName name="N">#REF!</definedName>
    <definedName name="nb" localSheetId="3">#REF!</definedName>
    <definedName name="nb">#REF!</definedName>
    <definedName name="nbg" localSheetId="3">[0]!BlankMacro1</definedName>
    <definedName name="nbg" localSheetId="9">[0]!BlankMacro1</definedName>
    <definedName name="nbg">[0]!BlankMacro1</definedName>
    <definedName name="NESC" localSheetId="3">#REF!</definedName>
    <definedName name="NESC">#REF!</definedName>
    <definedName name="NET_SALES_AHNA" localSheetId="3">#REF!</definedName>
    <definedName name="NET_SALES_AHNA">#REF!</definedName>
    <definedName name="NET_SALES_CONSOL" localSheetId="3">#REF!</definedName>
    <definedName name="NET_SALES_CONSOL">#REF!</definedName>
    <definedName name="NET_SALES_UNCONSOL" localSheetId="3">#REF!</definedName>
    <definedName name="NET_SALES_UNCONSOL">#REF!</definedName>
    <definedName name="netsgo" localSheetId="3">#REF!</definedName>
    <definedName name="netsgo">#REF!</definedName>
    <definedName name="NewRange" localSheetId="3" hidden="1">[3]!NewRange</definedName>
    <definedName name="NewRange" localSheetId="1" hidden="1">[3]!NewRange</definedName>
    <definedName name="NewRange" localSheetId="9" hidden="1">[3]!NewRange</definedName>
    <definedName name="NewRange" hidden="1">[3]!NewRange</definedName>
    <definedName name="NEXT" localSheetId="3">#REF!</definedName>
    <definedName name="NEXT">#REF!</definedName>
    <definedName name="next2" localSheetId="3">#REF!</definedName>
    <definedName name="next2">#REF!</definedName>
    <definedName name="ni_terminal" localSheetId="3">#REF!</definedName>
    <definedName name="ni_terminal">#REF!</definedName>
    <definedName name="nn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NNNN" localSheetId="3">#REF!</definedName>
    <definedName name="NNNN">#REF!</definedName>
    <definedName name="NO" localSheetId="3">#REF!</definedName>
    <definedName name="NO">#REF!</definedName>
    <definedName name="NORIN">#N/A</definedName>
    <definedName name="NOTE" localSheetId="3">#REF!</definedName>
    <definedName name="NOTE">#REF!</definedName>
    <definedName name="NP_AHNA" localSheetId="3">#REF!</definedName>
    <definedName name="NP_AHNA">#REF!</definedName>
    <definedName name="NP_CONSOL" localSheetId="3">#REF!</definedName>
    <definedName name="NP_CONSOL">#REF!</definedName>
    <definedName name="NP_PARENT" localSheetId="3">#REF!</definedName>
    <definedName name="NP_PARENT">#REF!</definedName>
    <definedName name="NP_SNS" localSheetId="3">#REF!</definedName>
    <definedName name="NP_SNS">#REF!</definedName>
    <definedName name="NP_UNCONSOL_AFFIL" localSheetId="3">#REF!</definedName>
    <definedName name="NP_UNCONSOL_AFFIL">#REF!</definedName>
    <definedName name="NR_AHNA" localSheetId="3">#REF!</definedName>
    <definedName name="NR_AHNA">#REF!</definedName>
    <definedName name="NR_Consol" localSheetId="3">#REF!</definedName>
    <definedName name="NR_Consol">#REF!</definedName>
    <definedName name="NR_Parent" localSheetId="3">#REF!</definedName>
    <definedName name="NR_Parent">#REF!</definedName>
    <definedName name="NR_SNS" localSheetId="3">#REF!</definedName>
    <definedName name="NR_SNS">#REF!</definedName>
    <definedName name="NR_Unconsol" localSheetId="3">#REF!</definedName>
    <definedName name="NR_Unconsol">#REF!</definedName>
    <definedName name="ns" localSheetId="3">#REF!</definedName>
    <definedName name="ns">#REF!</definedName>
    <definedName name="nsns" localSheetId="3">#REF!</definedName>
    <definedName name="nsns">#REF!</definedName>
    <definedName name="NTHW" localSheetId="3">#REF!</definedName>
    <definedName name="NTHW">#REF!</definedName>
    <definedName name="ntrt" localSheetId="3">#REF!</definedName>
    <definedName name="ntrt">#REF!</definedName>
    <definedName name="NT전체범위" localSheetId="3">#REF!</definedName>
    <definedName name="NT전체범위">#REF!</definedName>
    <definedName name="NT통합단가표" localSheetId="3">#REF!</definedName>
    <definedName name="NT통합단가표">#REF!</definedName>
    <definedName name="NW_HW_rate" localSheetId="3">#REF!</definedName>
    <definedName name="NW_HW_rate">#REF!</definedName>
    <definedName name="NW_SW_rate" localSheetId="3">#REF!</definedName>
    <definedName name="NW_SW_rate">#REF!</definedName>
    <definedName name="o1hb" localSheetId="3">#REF!</definedName>
    <definedName name="o1hb">#REF!</definedName>
    <definedName name="o1hg" localSheetId="3">#REF!</definedName>
    <definedName name="o1hg">#REF!</definedName>
    <definedName name="o1hs" localSheetId="3">#REF!</definedName>
    <definedName name="o1hs">#REF!</definedName>
    <definedName name="o1lb" localSheetId="3">#REF!</definedName>
    <definedName name="o1lb">#REF!</definedName>
    <definedName name="o1lg" localSheetId="3">#REF!</definedName>
    <definedName name="o1lg">#REF!</definedName>
    <definedName name="o1ls" localSheetId="3">#REF!</definedName>
    <definedName name="o1ls">#REF!</definedName>
    <definedName name="o1mb" localSheetId="3">#REF!</definedName>
    <definedName name="o1mb">#REF!</definedName>
    <definedName name="o1mg" localSheetId="3">#REF!</definedName>
    <definedName name="o1mg">#REF!</definedName>
    <definedName name="o1ms" localSheetId="3">#REF!</definedName>
    <definedName name="o1ms">#REF!</definedName>
    <definedName name="o1sb" localSheetId="3">#REF!</definedName>
    <definedName name="o1sb">#REF!</definedName>
    <definedName name="o1sg" localSheetId="3">#REF!</definedName>
    <definedName name="o1sg">#REF!</definedName>
    <definedName name="o1ss" localSheetId="3">#REF!</definedName>
    <definedName name="o1ss">#REF!</definedName>
    <definedName name="o1stb" localSheetId="3">#REF!</definedName>
    <definedName name="o1stb">#REF!</definedName>
    <definedName name="o1stg" localSheetId="3">#REF!</definedName>
    <definedName name="o1stg">#REF!</definedName>
    <definedName name="o1sts" localSheetId="3">#REF!</definedName>
    <definedName name="o1sts">#REF!</definedName>
    <definedName name="o4hb" localSheetId="3">#REF!</definedName>
    <definedName name="o4hb">#REF!</definedName>
    <definedName name="o4hg" localSheetId="3">#REF!</definedName>
    <definedName name="o4hg">#REF!</definedName>
    <definedName name="o4hs" localSheetId="3">#REF!</definedName>
    <definedName name="o4hs">#REF!</definedName>
    <definedName name="o4lb" localSheetId="3">#REF!</definedName>
    <definedName name="o4lb">#REF!</definedName>
    <definedName name="o4lg" localSheetId="3">#REF!</definedName>
    <definedName name="o4lg">#REF!</definedName>
    <definedName name="o4ls" localSheetId="3">#REF!</definedName>
    <definedName name="o4ls">#REF!</definedName>
    <definedName name="o4mb" localSheetId="3">#REF!</definedName>
    <definedName name="o4mb">#REF!</definedName>
    <definedName name="o4mg" localSheetId="3">#REF!</definedName>
    <definedName name="o4mg">#REF!</definedName>
    <definedName name="o4ms" localSheetId="3">#REF!</definedName>
    <definedName name="o4ms">#REF!</definedName>
    <definedName name="o4sb" localSheetId="3">#REF!</definedName>
    <definedName name="o4sb">#REF!</definedName>
    <definedName name="o4sg" localSheetId="3">#REF!</definedName>
    <definedName name="o4sg">#REF!</definedName>
    <definedName name="o4ss" localSheetId="3">#REF!</definedName>
    <definedName name="o4ss">#REF!</definedName>
    <definedName name="o4stb" localSheetId="3">#REF!</definedName>
    <definedName name="o4stb">#REF!</definedName>
    <definedName name="o4stg" localSheetId="3">#REF!</definedName>
    <definedName name="o4stg">#REF!</definedName>
    <definedName name="o4sts" localSheetId="3">#REF!</definedName>
    <definedName name="o4sts">#REF!</definedName>
    <definedName name="o5hb" localSheetId="3">#REF!</definedName>
    <definedName name="o5hb">#REF!</definedName>
    <definedName name="o5hg" localSheetId="3">#REF!</definedName>
    <definedName name="o5hg">#REF!</definedName>
    <definedName name="o5hs" localSheetId="3">#REF!</definedName>
    <definedName name="o5hs">#REF!</definedName>
    <definedName name="o5lb" localSheetId="3">#REF!</definedName>
    <definedName name="o5lb">#REF!</definedName>
    <definedName name="o5lg" localSheetId="3">#REF!</definedName>
    <definedName name="o5lg">#REF!</definedName>
    <definedName name="o5ls" localSheetId="3">#REF!</definedName>
    <definedName name="o5ls">#REF!</definedName>
    <definedName name="o5mb" localSheetId="3">#REF!</definedName>
    <definedName name="o5mb">#REF!</definedName>
    <definedName name="o5mg" localSheetId="3">#REF!</definedName>
    <definedName name="o5mg">#REF!</definedName>
    <definedName name="o5ms" localSheetId="3">#REF!</definedName>
    <definedName name="o5ms">#REF!</definedName>
    <definedName name="o5sb" localSheetId="3">#REF!</definedName>
    <definedName name="o5sb">#REF!</definedName>
    <definedName name="o5sg" localSheetId="3">#REF!</definedName>
    <definedName name="o5sg">#REF!</definedName>
    <definedName name="o5ss" localSheetId="3">#REF!</definedName>
    <definedName name="o5ss">#REF!</definedName>
    <definedName name="o5stb" localSheetId="3">#REF!</definedName>
    <definedName name="o5stb">#REF!</definedName>
    <definedName name="o5stg" localSheetId="3">#REF!</definedName>
    <definedName name="o5stg">#REF!</definedName>
    <definedName name="o5sts" localSheetId="3">#REF!</definedName>
    <definedName name="o5sts">#REF!</definedName>
    <definedName name="o6h" localSheetId="3">#REF!</definedName>
    <definedName name="o6h">#REF!</definedName>
    <definedName name="o6l" localSheetId="3">#REF!</definedName>
    <definedName name="o6l">#REF!</definedName>
    <definedName name="o6m" localSheetId="3">#REF!</definedName>
    <definedName name="o6m">#REF!</definedName>
    <definedName name="o6s" localSheetId="3">#REF!</definedName>
    <definedName name="o6s">#REF!</definedName>
    <definedName name="o6st" localSheetId="3">#REF!</definedName>
    <definedName name="o6st">#REF!</definedName>
    <definedName name="o7hb" localSheetId="3">#REF!</definedName>
    <definedName name="o7hb">#REF!</definedName>
    <definedName name="o7hg" localSheetId="3">#REF!</definedName>
    <definedName name="o7hg">#REF!</definedName>
    <definedName name="o7hs" localSheetId="3">#REF!</definedName>
    <definedName name="o7hs">#REF!</definedName>
    <definedName name="o7lb" localSheetId="3">#REF!</definedName>
    <definedName name="o7lb">#REF!</definedName>
    <definedName name="o7lg" localSheetId="3">#REF!</definedName>
    <definedName name="o7lg">#REF!</definedName>
    <definedName name="o7ls" localSheetId="3">#REF!</definedName>
    <definedName name="o7ls">#REF!</definedName>
    <definedName name="o7mb" localSheetId="3">#REF!</definedName>
    <definedName name="o7mb">#REF!</definedName>
    <definedName name="o7mg" localSheetId="3">#REF!</definedName>
    <definedName name="o7mg">#REF!</definedName>
    <definedName name="o7ms" localSheetId="3">#REF!</definedName>
    <definedName name="o7ms">#REF!</definedName>
    <definedName name="o7sb" localSheetId="3">#REF!</definedName>
    <definedName name="o7sb">#REF!</definedName>
    <definedName name="o7sg" localSheetId="3">#REF!</definedName>
    <definedName name="o7sg">#REF!</definedName>
    <definedName name="o7ss" localSheetId="3">#REF!</definedName>
    <definedName name="o7ss">#REF!</definedName>
    <definedName name="o7stb" localSheetId="3">#REF!</definedName>
    <definedName name="o7stb">#REF!</definedName>
    <definedName name="o7stg" localSheetId="3">#REF!</definedName>
    <definedName name="o7stg">#REF!</definedName>
    <definedName name="o7sts" localSheetId="3">#REF!</definedName>
    <definedName name="o7sts">#REF!</definedName>
    <definedName name="o8hb" localSheetId="3">#REF!</definedName>
    <definedName name="o8hb">#REF!</definedName>
    <definedName name="o8hg" localSheetId="3">#REF!</definedName>
    <definedName name="o8hg">#REF!</definedName>
    <definedName name="o8hs" localSheetId="3">#REF!</definedName>
    <definedName name="o8hs">#REF!</definedName>
    <definedName name="o8lb" localSheetId="3">#REF!</definedName>
    <definedName name="o8lb">#REF!</definedName>
    <definedName name="o8lg" localSheetId="3">#REF!</definedName>
    <definedName name="o8lg">#REF!</definedName>
    <definedName name="o8ls" localSheetId="3">#REF!</definedName>
    <definedName name="o8ls">#REF!</definedName>
    <definedName name="o8mb" localSheetId="3">#REF!</definedName>
    <definedName name="o8mb">#REF!</definedName>
    <definedName name="o8mg" localSheetId="3">#REF!</definedName>
    <definedName name="o8mg">#REF!</definedName>
    <definedName name="o8ms" localSheetId="3">#REF!</definedName>
    <definedName name="o8ms">#REF!</definedName>
    <definedName name="o8sb" localSheetId="3">#REF!</definedName>
    <definedName name="o8sb">#REF!</definedName>
    <definedName name="o8sg" localSheetId="3">#REF!</definedName>
    <definedName name="o8sg">#REF!</definedName>
    <definedName name="o8ss" localSheetId="3">#REF!</definedName>
    <definedName name="o8ss">#REF!</definedName>
    <definedName name="o8stb" localSheetId="3">#REF!</definedName>
    <definedName name="o8stb">#REF!</definedName>
    <definedName name="o8stg" localSheetId="3">#REF!</definedName>
    <definedName name="o8stg">#REF!</definedName>
    <definedName name="o8sts" localSheetId="3">#REF!</definedName>
    <definedName name="o8sts">#REF!</definedName>
    <definedName name="OA_인건비" localSheetId="3">#REF!:_RjC2</definedName>
    <definedName name="OA_인건비" localSheetId="9">#REF!:_RjC2</definedName>
    <definedName name="OA_인건비">#REF!:_RjC2</definedName>
    <definedName name="OADATA" localSheetId="3">#REF!</definedName>
    <definedName name="OADATA">#REF!</definedName>
    <definedName name="oa리스트" localSheetId="3">#REF!</definedName>
    <definedName name="oa리스트">#REF!</definedName>
    <definedName name="OCPC" localSheetId="3">#REF!</definedName>
    <definedName name="OCPC">#REF!</definedName>
    <definedName name="ok" localSheetId="3">#REF!</definedName>
    <definedName name="ok">#REF!</definedName>
    <definedName name="ooo" localSheetId="3">#REF!</definedName>
    <definedName name="ooo">#REF!</definedName>
    <definedName name="OOOO" localSheetId="3">#REF!</definedName>
    <definedName name="OOOO">#REF!</definedName>
    <definedName name="ooop" hidden="1">{"'매출'!$A$1:$I$22"}</definedName>
    <definedName name="Ora_7" localSheetId="3">#REF!</definedName>
    <definedName name="Ora_7">#REF!</definedName>
    <definedName name="Oracle_5" localSheetId="3">#REF!</definedName>
    <definedName name="Oracle_5">#REF!</definedName>
    <definedName name="Oracle_6" localSheetId="3">#REF!</definedName>
    <definedName name="Oracle_6">#REF!</definedName>
    <definedName name="oso_acq" localSheetId="3">#REF!</definedName>
    <definedName name="oso_acq">#REF!</definedName>
    <definedName name="osoacq" localSheetId="3">#REF!</definedName>
    <definedName name="osoacq">#REF!</definedName>
    <definedName name="osooso" localSheetId="3">#REF!</definedName>
    <definedName name="osooso">#REF!</definedName>
    <definedName name="OTH_LIAB" localSheetId="3">#REF!</definedName>
    <definedName name="OTH_LIAB">#REF!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T_TOTAL">#N/A</definedName>
    <definedName name="OUTAMT">#N/A</definedName>
    <definedName name="OUTQTY">#N/A</definedName>
    <definedName name="Overall">[0]!Overall</definedName>
    <definedName name="overviewaa">[0]!overviewaa</definedName>
    <definedName name="P" localSheetId="3">#REF!</definedName>
    <definedName name="P">#REF!</definedName>
    <definedName name="PA" localSheetId="3">#REF!</definedName>
    <definedName name="PA">#REF!</definedName>
    <definedName name="PAP" localSheetId="3">#REF!</definedName>
    <definedName name="PAP">#REF!</definedName>
    <definedName name="Parent_table" localSheetId="3">#REF!</definedName>
    <definedName name="Parent_table">#REF!</definedName>
    <definedName name="Payments" localSheetId="3">#REF!</definedName>
    <definedName name="Payments">#REF!</definedName>
    <definedName name="PC" localSheetId="3">#REF!</definedName>
    <definedName name="PC">#REF!</definedName>
    <definedName name="PC내용연수" localSheetId="3">#REF!</definedName>
    <definedName name="PC내용연수">#REF!</definedName>
    <definedName name="PC전체범위" localSheetId="3">#REF!</definedName>
    <definedName name="PC전체범위">#REF!</definedName>
    <definedName name="perp_unlev" localSheetId="3">#REF!</definedName>
    <definedName name="perp_unlev">#REF!</definedName>
    <definedName name="perp_unlev_sen" localSheetId="3">#REF!</definedName>
    <definedName name="perp_unlev_sen">#REF!</definedName>
    <definedName name="perp_unlev1" localSheetId="3">#REF!</definedName>
    <definedName name="perp_unlev1">#REF!</definedName>
    <definedName name="perp_unlev2" localSheetId="3">#REF!</definedName>
    <definedName name="perp_unlev2">#REF!</definedName>
    <definedName name="perp_unlev3" localSheetId="3">#REF!</definedName>
    <definedName name="perp_unlev3">#REF!</definedName>
    <definedName name="perp_unlev4" localSheetId="3">#REF!</definedName>
    <definedName name="perp_unlev4">#REF!</definedName>
    <definedName name="perp_unlev5" localSheetId="3">#REF!</definedName>
    <definedName name="perp_unlev5">#REF!</definedName>
    <definedName name="PERT" hidden="1">{#N/A,#N/A,FALSE,"ALM-ASISC"}</definedName>
    <definedName name="PETTY" localSheetId="3">#REF!</definedName>
    <definedName name="PETTY">#REF!</definedName>
    <definedName name="PFIC" localSheetId="3">#REF!</definedName>
    <definedName name="PFIC">#REF!</definedName>
    <definedName name="PG_Convert" localSheetId="3">#REF!</definedName>
    <definedName name="PG_Convert">#REF!</definedName>
    <definedName name="PKG_LD">#N/A</definedName>
    <definedName name="PL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PL1_Calc" localSheetId="3">#REF!,#REF!,#REF!,#REF!,#REF!,#REF!,#REF!,#REF!,#REF!,#REF!,#REF!,#REF!,#REF!,#REF!,#REF!,#REF!,#REF!,#REF!,#REF!,#REF!,#REF!,#REF!</definedName>
    <definedName name="PL1_Calc">#REF!,#REF!,#REF!,#REF!,#REF!,#REF!,#REF!,#REF!,#REF!,#REF!,#REF!,#REF!,#REF!,#REF!,#REF!,#REF!,#REF!,#REF!,#REF!,#REF!,#REF!,#REF!</definedName>
    <definedName name="PL2_Calc" localSheetId="3">#REF!,#REF!,#REF!,#REF!,#REF!,#REF!,#REF!,#REF!,#REF!,#REF!,#REF!,#REF!,#REF!,#REF!,#REF!,#REF!,#REF!,#REF!</definedName>
    <definedName name="PL2_Calc">#REF!,#REF!,#REF!,#REF!,#REF!,#REF!,#REF!,#REF!,#REF!,#REF!,#REF!,#REF!,#REF!,#REF!,#REF!,#REF!,#REF!,#REF!</definedName>
    <definedName name="PL3_Calc" localSheetId="3">#REF!,#REF!,#REF!,#REF!,#REF!</definedName>
    <definedName name="PL3_Calc">#REF!,#REF!,#REF!,#REF!,#REF!</definedName>
    <definedName name="PLbeforeadj.95" localSheetId="3">#REF!</definedName>
    <definedName name="PLbeforeadj.95">#REF!</definedName>
    <definedName name="PLbeforeadj.96" localSheetId="3">#REF!</definedName>
    <definedName name="PLbeforeadj.96">#REF!</definedName>
    <definedName name="PLbeforeadj.97" localSheetId="3">#REF!</definedName>
    <definedName name="PLbeforeadj.97">#REF!</definedName>
    <definedName name="PLbeforeadj.98" localSheetId="3">#REF!</definedName>
    <definedName name="PLbeforeadj.98">#REF!</definedName>
    <definedName name="PLbeforeadj.98.10" localSheetId="3">#REF!</definedName>
    <definedName name="PLbeforeadj.98.10">#REF!</definedName>
    <definedName name="PLbeforeadj.98.11" localSheetId="3">#REF!</definedName>
    <definedName name="PLbeforeadj.98.11">#REF!</definedName>
    <definedName name="PLKACr95" localSheetId="3">#REF!</definedName>
    <definedName name="PLKACr95">#REF!</definedName>
    <definedName name="PLKACr96" localSheetId="3">#REF!</definedName>
    <definedName name="PLKACr96">#REF!</definedName>
    <definedName name="PLKACr97" localSheetId="3">#REF!</definedName>
    <definedName name="PLKACr97">#REF!</definedName>
    <definedName name="PLKACr98" localSheetId="3">#REF!</definedName>
    <definedName name="PLKACr98">#REF!</definedName>
    <definedName name="PLKACr98.10" localSheetId="3">#REF!</definedName>
    <definedName name="PLKACr98.10">#REF!</definedName>
    <definedName name="PLKACr98.11" localSheetId="3">#REF!</definedName>
    <definedName name="PLKACr98.11">#REF!</definedName>
    <definedName name="PLKADr95" localSheetId="3">#REF!</definedName>
    <definedName name="PLKADr95">#REF!</definedName>
    <definedName name="PLKADr96" localSheetId="3">#REF!</definedName>
    <definedName name="PLKADr96">#REF!</definedName>
    <definedName name="PLKADr97" localSheetId="3">#REF!</definedName>
    <definedName name="PLKADr97">#REF!</definedName>
    <definedName name="PLKADr98" localSheetId="3">#REF!</definedName>
    <definedName name="PLKADr98">#REF!</definedName>
    <definedName name="PLKADr98.10" localSheetId="3">#REF!</definedName>
    <definedName name="PLKADr98.10">#REF!</definedName>
    <definedName name="PLKADr98.11" localSheetId="3">#REF!</definedName>
    <definedName name="PLKADr98.11">#REF!</definedName>
    <definedName name="PLKGaap95" localSheetId="3">#REF!</definedName>
    <definedName name="PLKGaap95">#REF!</definedName>
    <definedName name="PLKGaap96" localSheetId="3">#REF!</definedName>
    <definedName name="PLKGaap96">#REF!</definedName>
    <definedName name="PLKGaap97" localSheetId="3">#REF!</definedName>
    <definedName name="PLKGaap97">#REF!</definedName>
    <definedName name="PLKGaap98" localSheetId="3">#REF!</definedName>
    <definedName name="PLKGaap98">#REF!</definedName>
    <definedName name="PLKGaap98.10" localSheetId="3">#REF!</definedName>
    <definedName name="PLKGaap98.10">#REF!</definedName>
    <definedName name="PLKGaap98.11" localSheetId="3">#REF!</definedName>
    <definedName name="PLKGaap98.11">#REF!</definedName>
    <definedName name="PLUACr95" localSheetId="3">#REF!</definedName>
    <definedName name="PLUACr95">#REF!</definedName>
    <definedName name="PLUACr96" localSheetId="3">#REF!</definedName>
    <definedName name="PLUACr96">#REF!</definedName>
    <definedName name="PLUACr97" localSheetId="3">#REF!</definedName>
    <definedName name="PLUACr97">#REF!</definedName>
    <definedName name="PLUACr98" localSheetId="3">#REF!</definedName>
    <definedName name="PLUACr98">#REF!</definedName>
    <definedName name="PLUACr98.10" localSheetId="3">#REF!</definedName>
    <definedName name="PLUACr98.10">#REF!</definedName>
    <definedName name="PLUACr98.11" localSheetId="3">#REF!</definedName>
    <definedName name="PLUACr98.11">#REF!</definedName>
    <definedName name="PLUADr95" localSheetId="3">#REF!</definedName>
    <definedName name="PLUADr95">#REF!</definedName>
    <definedName name="PLUADr96" localSheetId="3">#REF!</definedName>
    <definedName name="PLUADr96">#REF!</definedName>
    <definedName name="PLUADr97" localSheetId="3">#REF!</definedName>
    <definedName name="PLUADr97">#REF!</definedName>
    <definedName name="PLUADr98" localSheetId="3">#REF!</definedName>
    <definedName name="PLUADr98">#REF!</definedName>
    <definedName name="PLUADr98.10" localSheetId="3">#REF!</definedName>
    <definedName name="PLUADr98.10">#REF!</definedName>
    <definedName name="PLUADr98.11" localSheetId="3">#REF!</definedName>
    <definedName name="PLUADr98.11">#REF!</definedName>
    <definedName name="PLUGaap95" localSheetId="3">#REF!</definedName>
    <definedName name="PLUGaap95">#REF!</definedName>
    <definedName name="PLUGaap96" localSheetId="3">#REF!</definedName>
    <definedName name="PLUGaap96">#REF!</definedName>
    <definedName name="PLUGaap97" localSheetId="3">#REF!</definedName>
    <definedName name="PLUGaap97">#REF!</definedName>
    <definedName name="PLUGaap98" localSheetId="3">#REF!</definedName>
    <definedName name="PLUGaap98">#REF!</definedName>
    <definedName name="PLUGaap98.10" localSheetId="3">#REF!</definedName>
    <definedName name="PLUGaap98.10">#REF!</definedName>
    <definedName name="PLUGaap98.11" localSheetId="3">#REF!</definedName>
    <definedName name="PLUGaap98.11">#REF!</definedName>
    <definedName name="PNL1_Inp" localSheetId="3">#REF!,#REF!,#REF!,#REF!,#REF!,#REF!,#REF!,#REF!,#REF!,#REF!,#REF!,#REF!,#REF!,#REF!,#REF!,#REF!,#REF!,#REF!,#REF!,#REF!</definedName>
    <definedName name="PNL1_Inp">#REF!,#REF!,#REF!,#REF!,#REF!,#REF!,#REF!,#REF!,#REF!,#REF!,#REF!,#REF!,#REF!,#REF!,#REF!,#REF!,#REF!,#REF!,#REF!,#REF!</definedName>
    <definedName name="PNL2_Inp" localSheetId="3">#REF!,#REF!,#REF!,#REF!,#REF!,#REF!,#REF!,#REF!,#REF!,#REF!,#REF!,#REF!,#REF!,#REF!,#REF!,#REF!,#REF!,#REF!,#REF!,#REF!</definedName>
    <definedName name="PNL2_Inp">#REF!,#REF!,#REF!,#REF!,#REF!,#REF!,#REF!,#REF!,#REF!,#REF!,#REF!,#REF!,#REF!,#REF!,#REF!,#REF!,#REF!,#REF!,#REF!,#REF!</definedName>
    <definedName name="Pol">[0]!Pol</definedName>
    <definedName name="pols">[0]!pols</definedName>
    <definedName name="pols1">[0]!pols1</definedName>
    <definedName name="position" localSheetId="3">#REF!</definedName>
    <definedName name="position">#REF!</definedName>
    <definedName name="power" hidden="1">{"'Sheet1'!$A$1:$H$36"}</definedName>
    <definedName name="pp">[0]!pp</definedName>
    <definedName name="PPBOH">#N/A</definedName>
    <definedName name="PPEOH">#N/A</definedName>
    <definedName name="PPK" hidden="1">{#N/A,#N/A,FALSE,"96 3월물량표";#N/A,#N/A,FALSE,"96 4월물량표";#N/A,#N/A,FALSE,"96 5월물량표"}</definedName>
    <definedName name="ppp">[0]!ppp</definedName>
    <definedName name="PPPPPPPPPP" localSheetId="3">#REF!</definedName>
    <definedName name="PPPPPPPPPP">#REF!</definedName>
    <definedName name="pppppppppppp" localSheetId="3">#REF!</definedName>
    <definedName name="pppppppppppp">#REF!</definedName>
    <definedName name="PPPPPPPPPPPPPP" localSheetId="3">#REF!</definedName>
    <definedName name="PPPPPPPPPPPPPP">#REF!</definedName>
    <definedName name="PPPPPPPPPPPPPPPPPP" localSheetId="3">#REF!</definedName>
    <definedName name="PPPPPPPPPPPPPPPPPP">#REF!</definedName>
    <definedName name="PRE_INS" localSheetId="3">#REF!</definedName>
    <definedName name="PRE_INS">#REF!</definedName>
    <definedName name="prefrate" localSheetId="3">#REF!</definedName>
    <definedName name="prefrate">#REF!</definedName>
    <definedName name="PREPAID" localSheetId="3">#REF!</definedName>
    <definedName name="PREPAID">#REF!</definedName>
    <definedName name="PRIME" localSheetId="3">#REF!</definedName>
    <definedName name="PRIME">#REF!</definedName>
    <definedName name="principal" localSheetId="3">#REF!</definedName>
    <definedName name="principal">#REF!</definedName>
    <definedName name="PRINT" localSheetId="3">#REF!</definedName>
    <definedName name="PRINT">#REF!</definedName>
    <definedName name="Print_Area_MI" localSheetId="3">#REF!</definedName>
    <definedName name="Print_Area_MI">#REF!</definedName>
    <definedName name="PRINT_AREA_MI1" localSheetId="3">#REF!</definedName>
    <definedName name="PRINT_AREA_MI1">#REF!</definedName>
    <definedName name="PRINT_BOTH" localSheetId="3">#REF!</definedName>
    <definedName name="PRINT_BOTH">#REF!</definedName>
    <definedName name="Print_tiltes" localSheetId="3">#REF!</definedName>
    <definedName name="Print_tiltes">#REF!</definedName>
    <definedName name="print_title" localSheetId="3">#REF!</definedName>
    <definedName name="print_title">#REF!</definedName>
    <definedName name="_xlnm.Print_Titles" localSheetId="3">#REF!</definedName>
    <definedName name="_xlnm.Print_Titles">#REF!</definedName>
    <definedName name="PRINT_TITLES_MI" localSheetId="3">#REF!</definedName>
    <definedName name="PRINT_TITLES_MI">#REF!</definedName>
    <definedName name="PRIOREOM" localSheetId="3">#REF!</definedName>
    <definedName name="PRIOREOM">#REF!</definedName>
    <definedName name="PROD">#N/A</definedName>
    <definedName name="PRODUCT">#N/A</definedName>
    <definedName name="ProductQry" localSheetId="3">#REF!</definedName>
    <definedName name="ProductQry">#REF!</definedName>
    <definedName name="PROF" localSheetId="3">#REF!</definedName>
    <definedName name="PROF">#REF!</definedName>
    <definedName name="PRSA" localSheetId="3">#REF!</definedName>
    <definedName name="PRSA">#REF!</definedName>
    <definedName name="PRT" localSheetId="3">#REF!</definedName>
    <definedName name="PRT">#REF!</definedName>
    <definedName name="pry" localSheetId="3">#REF!</definedName>
    <definedName name="pry">#REF!</definedName>
    <definedName name="ps">[0]!ps</definedName>
    <definedName name="q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qa" hidden="1">{#N/A,#N/A,FALSE,"Aging Summary";#N/A,#N/A,FALSE,"Ratio Analysis";#N/A,#N/A,FALSE,"Test 120 Day Accts";#N/A,#N/A,FALSE,"Tickmarks"}</definedName>
    <definedName name="QAMT86106">#N/A</definedName>
    <definedName name="qkrk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qkrtnwls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0" localSheetId="3">#REF!</definedName>
    <definedName name="qq0">#REF!</definedName>
    <definedName name="qqq" localSheetId="3">#REF!</definedName>
    <definedName name="qqq">#REF!</definedName>
    <definedName name="qqqq" localSheetId="3">#REF!</definedName>
    <definedName name="qqqq">#REF!</definedName>
    <definedName name="qqqqqqqqq" hidden="1">{#N/A,#N/A,FALSE,"Aging Summary";#N/A,#N/A,FALSE,"Ratio Analysis";#N/A,#N/A,FALSE,"Test 120 Day Accts";#N/A,#N/A,FALSE,"Tickmarks"}</definedName>
    <definedName name="QRABOH">#N/A</definedName>
    <definedName name="QRAEOH">#N/A</definedName>
    <definedName name="qryFwdDaySup_BHV" localSheetId="3">#REF!</definedName>
    <definedName name="qryFwdDaySup_BHV">#REF!</definedName>
    <definedName name="qryFwdDaySup_DHV_Dips" localSheetId="3">#REF!</definedName>
    <definedName name="qryFwdDaySup_DHV_Dips">#REF!</definedName>
    <definedName name="qryFwdDaySup_KCM_mar" localSheetId="3">#REF!</definedName>
    <definedName name="qryFwdDaySup_KCM_mar">#REF!</definedName>
    <definedName name="qryFwdDaySup_KCM_Sauces" localSheetId="3">#REF!</definedName>
    <definedName name="qryFwdDaySup_KCM_Sauces">#REF!</definedName>
    <definedName name="qryFwdDaySup_Total_Food" localSheetId="3">#REF!</definedName>
    <definedName name="qryFwdDaySup_Total_Food">#REF!</definedName>
    <definedName name="qt">[0]!qt</definedName>
    <definedName name="QTR" localSheetId="3">#REF!</definedName>
    <definedName name="QTR">#REF!</definedName>
    <definedName name="QueryResult" localSheetId="3">#REF!</definedName>
    <definedName name="QueryResult">#REF!</definedName>
    <definedName name="QUIT" localSheetId="3">#REF!</definedName>
    <definedName name="QUIT">#REF!</definedName>
    <definedName name="QUIT2" localSheetId="3">#REF!</definedName>
    <definedName name="QUIT2">#REF!</definedName>
    <definedName name="qw" hidden="1">{#N/A,#N/A,FALSE,"Aging Summary";#N/A,#N/A,FALSE,"Ratio Analysis";#N/A,#N/A,FALSE,"Test 120 Day Accts";#N/A,#N/A,FALSE,"Tickmarks"}</definedName>
    <definedName name="QWE" localSheetId="3">#REF!</definedName>
    <definedName name="QWE">#REF!</definedName>
    <definedName name="R_" localSheetId="3">#REF!</definedName>
    <definedName name="R_">#REF!</definedName>
    <definedName name="R_1M" localSheetId="3">#REF!</definedName>
    <definedName name="R_1M">#REF!</definedName>
    <definedName name="R_2M" localSheetId="3">#REF!</definedName>
    <definedName name="R_2M">#REF!</definedName>
    <definedName name="R_3M" localSheetId="3">#REF!</definedName>
    <definedName name="R_3M">#REF!</definedName>
    <definedName name="R_6M" localSheetId="3">#REF!</definedName>
    <definedName name="R_6M">#REF!</definedName>
    <definedName name="RANGE" localSheetId="3">#REF!</definedName>
    <definedName name="RANGE">#REF!</definedName>
    <definedName name="RANGEA">#N/A</definedName>
    <definedName name="RANGEA1">#N/A</definedName>
    <definedName name="RANGEB">#N/A</definedName>
    <definedName name="RANGEB1">#N/A</definedName>
    <definedName name="RANGEB1B">#N/A</definedName>
    <definedName name="RANGEBB">#N/A</definedName>
    <definedName name="RANGEC">#N/A</definedName>
    <definedName name="RANGEC1">#N/A</definedName>
    <definedName name="RANGED">#N/A</definedName>
    <definedName name="RANGED1">#N/A</definedName>
    <definedName name="RANGEE">#N/A</definedName>
    <definedName name="RANGEE1">#N/A</definedName>
    <definedName name="RANGEF">#N/A</definedName>
    <definedName name="RANGEF1">#N/A</definedName>
    <definedName name="RANGEG">#N/A</definedName>
    <definedName name="RANGEG1">#N/A</definedName>
    <definedName name="rat" localSheetId="3">#REF!</definedName>
    <definedName name="rat">#REF!</definedName>
    <definedName name="RATE" localSheetId="3">#REF!</definedName>
    <definedName name="RATE">#REF!</definedName>
    <definedName name="rate99" localSheetId="3">#REF!</definedName>
    <definedName name="rate99">#REF!</definedName>
    <definedName name="RC0_서울" localSheetId="3">#REF!</definedName>
    <definedName name="RC0_서울">#REF!</definedName>
    <definedName name="Rebate" hidden="1">{#N/A,#N/A,FALSE,"Aging Summary";#N/A,#N/A,FALSE,"Ratio Analysis";#N/A,#N/A,FALSE,"Test 120 Day Accts";#N/A,#N/A,FALSE,"Tickmarks"}</definedName>
    <definedName name="Receipts" localSheetId="3">#REF!</definedName>
    <definedName name="Receipts">#REF!</definedName>
    <definedName name="Records" localSheetId="3">#REF!</definedName>
    <definedName name="Records">#REF!</definedName>
    <definedName name="RedefinePrintTableRange" localSheetId="3" hidden="1">[3]!RedefinePrintTableRange</definedName>
    <definedName name="RedefinePrintTableRange" localSheetId="1" hidden="1">[3]!RedefinePrintTableRange</definedName>
    <definedName name="RedefinePrintTableRange" localSheetId="9" hidden="1">[3]!RedefinePrintTableRange</definedName>
    <definedName name="RedefinePrintTableRange" hidden="1">[3]!RedefinePrintTableRange</definedName>
    <definedName name="Refresh_주기" localSheetId="3">#REF!</definedName>
    <definedName name="Refresh_주기">#REF!</definedName>
    <definedName name="REFRESHDESKTOP" localSheetId="3">#REF!</definedName>
    <definedName name="REFRESHDESKTOP">#REF!</definedName>
    <definedName name="REFRESHOTHERS" localSheetId="3">#REF!</definedName>
    <definedName name="REFRESHOTHERS">#REF!</definedName>
    <definedName name="reg" localSheetId="3">[0]!BlankMacro1</definedName>
    <definedName name="reg" localSheetId="9">[0]!BlankMacro1</definedName>
    <definedName name="reg">[0]!BlankMacro1</definedName>
    <definedName name="Registered_Capital" localSheetId="3">#REF!</definedName>
    <definedName name="Registered_Capital">#REF!</definedName>
    <definedName name="Rental_Exp_AHNA" localSheetId="3">#REF!</definedName>
    <definedName name="Rental_Exp_AHNA">#REF!</definedName>
    <definedName name="Rental_Exp_ConsolGrp" localSheetId="3">#REF!</definedName>
    <definedName name="Rental_Exp_ConsolGrp">#REF!</definedName>
    <definedName name="Rental_Exp_RHCO" localSheetId="3">#REF!</definedName>
    <definedName name="Rental_Exp_RHCO">#REF!</definedName>
    <definedName name="Rental_Exp_Uncon_Affil" localSheetId="3">#REF!</definedName>
    <definedName name="Rental_Exp_Uncon_Affil">#REF!</definedName>
    <definedName name="Rental_Inc_AHNA" localSheetId="3">#REF!</definedName>
    <definedName name="Rental_Inc_AHNA">#REF!</definedName>
    <definedName name="Rental_Inc_ConsolGrp" localSheetId="3">#REF!</definedName>
    <definedName name="Rental_Inc_ConsolGrp">#REF!</definedName>
    <definedName name="Rental_Inc_RHCO" localSheetId="3">#REF!</definedName>
    <definedName name="Rental_Inc_RHCO">#REF!</definedName>
    <definedName name="Rental_Inc_Uncon_Affil" localSheetId="3">#REF!</definedName>
    <definedName name="Rental_Inc_Uncon_Affil">#REF!</definedName>
    <definedName name="RESOURCE" localSheetId="3">#REF!</definedName>
    <definedName name="RESOURCE">#REF!</definedName>
    <definedName name="RFSSF" localSheetId="3">#REF!</definedName>
    <definedName name="RFSSF">#REF!</definedName>
    <definedName name="RIGHT" localSheetId="3">#REF!</definedName>
    <definedName name="RIGHT">#REF!</definedName>
    <definedName name="rkdjf" localSheetId="3">[0]!BlankMacro1</definedName>
    <definedName name="rkdjf" localSheetId="9">[0]!BlankMacro1</definedName>
    <definedName name="rkdjf">[0]!BlankMacro1</definedName>
    <definedName name="rkdrmsqo" localSheetId="3">[0]!BlankMacro1</definedName>
    <definedName name="rkdrmsqo" localSheetId="9">[0]!BlankMacro1</definedName>
    <definedName name="rkdrmsqo">[0]!BlankMacro1</definedName>
    <definedName name="rkskek" hidden="1">{#N/A,#N/A,FALSE,"Aging Summary";#N/A,#N/A,FALSE,"Ratio Analysis";#N/A,#N/A,FALSE,"Test 120 Day Accts";#N/A,#N/A,FALSE,"Tickmarks"}</definedName>
    <definedName name="rla" localSheetId="3">#REF!</definedName>
    <definedName name="rla">#REF!</definedName>
    <definedName name="rmcAccount">"C71120"</definedName>
    <definedName name="rmcApplication">"PROD"</definedName>
    <definedName name="rmcCategory">"ACTCD"</definedName>
    <definedName name="rmcFrequency">"QTD"</definedName>
    <definedName name="rmcName">"DMANSQ"</definedName>
    <definedName name="RMCOptions">"*200000000000000"</definedName>
    <definedName name="RMFPATH" localSheetId="3">#REF!</definedName>
    <definedName name="RMFPATH">#REF!</definedName>
    <definedName name="RMFText" localSheetId="3">#REF!</definedName>
    <definedName name="RMFText">#REF!</definedName>
    <definedName name="RMIN">#N/A</definedName>
    <definedName name="RMREOH">#N/A</definedName>
    <definedName name="RMRNOT">#N/A</definedName>
    <definedName name="RMS" localSheetId="3">#REF!</definedName>
    <definedName name="RMS">#REF!</definedName>
    <definedName name="RNAO" hidden="1">{#N/A,#N/A,FALSE,"Aging Summary";#N/A,#N/A,FALSE,"Ratio Analysis";#N/A,#N/A,FALSE,"Test 120 Day Accts";#N/A,#N/A,FALSE,"Tickmarks"}</definedName>
    <definedName name="RNDBOH">#N/A</definedName>
    <definedName name="RNDEOH">#N/A</definedName>
    <definedName name="Roy_exp_Consol" localSheetId="3">#REF!</definedName>
    <definedName name="Roy_exp_Consol">#REF!</definedName>
    <definedName name="roy_exp_unconsol" localSheetId="3">#REF!</definedName>
    <definedName name="roy_exp_unconsol">#REF!</definedName>
    <definedName name="ROY_INC_CONSOL" localSheetId="3">#REF!</definedName>
    <definedName name="ROY_INC_CONSOL">#REF!</definedName>
    <definedName name="ROY_INC_UNCONSOL" localSheetId="3">#REF!</definedName>
    <definedName name="ROY_INC_UNCONSOL">#REF!</definedName>
    <definedName name="RP_1M" localSheetId="3">#REF!</definedName>
    <definedName name="RP_1M">#REF!</definedName>
    <definedName name="RP_2M" localSheetId="3">#REF!</definedName>
    <definedName name="RP_2M">#REF!</definedName>
    <definedName name="RP_3M" localSheetId="3">#REF!</definedName>
    <definedName name="RP_3M">#REF!</definedName>
    <definedName name="RP_6M" localSheetId="3">#REF!</definedName>
    <definedName name="RP_6M">#REF!</definedName>
    <definedName name="RPSP" localSheetId="3">#REF!</definedName>
    <definedName name="RPSP">#REF!</definedName>
    <definedName name="RPT" localSheetId="3">#REF!</definedName>
    <definedName name="RPT">#REF!</definedName>
    <definedName name="RPTM" localSheetId="3">#REF!</definedName>
    <definedName name="RPTM">#REF!</definedName>
    <definedName name="rrr" localSheetId="3">[0]!BlankMacro1</definedName>
    <definedName name="rrr" localSheetId="9">[0]!BlankMacro1</definedName>
    <definedName name="rrr">[0]!BlankMacro1</definedName>
    <definedName name="RRRRRRR" localSheetId="3">[0]!BlankMacro1</definedName>
    <definedName name="RRRRRRR" localSheetId="9">[0]!BlankMacro1</definedName>
    <definedName name="RRRRRRR">[0]!BlankMacro1</definedName>
    <definedName name="RSP" localSheetId="3">#REF!</definedName>
    <definedName name="RSP">#REF!</definedName>
    <definedName name="RT" localSheetId="3">#REF!</definedName>
    <definedName name="RT">#REF!</definedName>
    <definedName name="rt00" localSheetId="3">#REF!</definedName>
    <definedName name="rt00">#REF!</definedName>
    <definedName name="RTIN">#N/A</definedName>
    <definedName name="RTM" localSheetId="3">#REF!</definedName>
    <definedName name="RTM">#REF!</definedName>
    <definedName name="s">[0]!s</definedName>
    <definedName name="S_AcctDes" localSheetId="3">#REF!</definedName>
    <definedName name="S_AcctDes">#REF!</definedName>
    <definedName name="S_Adjust" localSheetId="3">#REF!</definedName>
    <definedName name="S_Adjust">#REF!</definedName>
    <definedName name="S_Adjust_Data" localSheetId="3">#REF!</definedName>
    <definedName name="S_Adjust_Data">#REF!</definedName>
    <definedName name="S_Adjust_GT" localSheetId="3">#REF!</definedName>
    <definedName name="S_Adjust_GT">#REF!</definedName>
    <definedName name="S_AJE_Tot" localSheetId="3">#REF!</definedName>
    <definedName name="S_AJE_Tot">#REF!</definedName>
    <definedName name="S_AJE_Tot_Data" localSheetId="3">#REF!</definedName>
    <definedName name="S_AJE_Tot_Data">#REF!</definedName>
    <definedName name="S_AJE_Tot_GT" localSheetId="3">#REF!</definedName>
    <definedName name="S_AJE_Tot_GT">#REF!</definedName>
    <definedName name="S_CompNum" localSheetId="3">#REF!</definedName>
    <definedName name="S_CompNum">#REF!</definedName>
    <definedName name="S_CY_Beg" localSheetId="3">#REF!</definedName>
    <definedName name="S_CY_Beg">#REF!</definedName>
    <definedName name="S_CY_Beg_Data" localSheetId="3">#REF!</definedName>
    <definedName name="S_CY_Beg_Data">#REF!</definedName>
    <definedName name="S_CY_Beg_GT" localSheetId="3">#REF!</definedName>
    <definedName name="S_CY_Beg_GT">#REF!</definedName>
    <definedName name="S_CY_End" localSheetId="3">#REF!</definedName>
    <definedName name="S_CY_End">#REF!</definedName>
    <definedName name="S_CY_End_Data" localSheetId="3">#REF!</definedName>
    <definedName name="S_CY_End_Data">#REF!</definedName>
    <definedName name="S_CY_End_GT" localSheetId="3">#REF!</definedName>
    <definedName name="S_CY_End_GT">#REF!</definedName>
    <definedName name="S_Diff_Amt" localSheetId="3">#REF!</definedName>
    <definedName name="S_Diff_Amt">#REF!</definedName>
    <definedName name="S_Diff_Pct" localSheetId="3">#REF!</definedName>
    <definedName name="S_Diff_Pct">#REF!</definedName>
    <definedName name="S_GrpNum" localSheetId="3">#REF!</definedName>
    <definedName name="S_GrpNum">#REF!</definedName>
    <definedName name="S_Headings" localSheetId="3">#REF!</definedName>
    <definedName name="S_Headings">#REF!</definedName>
    <definedName name="S_KeyValue" localSheetId="3">#REF!</definedName>
    <definedName name="S_KeyValue">#REF!</definedName>
    <definedName name="S_PY_End" localSheetId="3">#REF!</definedName>
    <definedName name="S_PY_End">#REF!</definedName>
    <definedName name="S_PY_End_Data" localSheetId="3">#REF!</definedName>
    <definedName name="S_PY_End_Data">#REF!</definedName>
    <definedName name="S_PY_End_GT" localSheetId="3">#REF!</definedName>
    <definedName name="S_PY_End_GT">#REF!</definedName>
    <definedName name="S_RJE_Tot" localSheetId="3">#REF!</definedName>
    <definedName name="S_RJE_Tot">#REF!</definedName>
    <definedName name="S_RJE_Tot_Data" localSheetId="3">#REF!</definedName>
    <definedName name="S_RJE_Tot_Data">#REF!</definedName>
    <definedName name="S_RJE_Tot_GT" localSheetId="3">#REF!</definedName>
    <definedName name="S_RJE_Tot_GT">#REF!</definedName>
    <definedName name="S_RowNum" localSheetId="3">#REF!</definedName>
    <definedName name="S_RowNum">#REF!</definedName>
    <definedName name="saf" localSheetId="3" hidden="1">#REF!</definedName>
    <definedName name="saf" localSheetId="1" hidden="1">#REF!</definedName>
    <definedName name="saf" hidden="1">#REF!</definedName>
    <definedName name="salary" localSheetId="3">#REF!</definedName>
    <definedName name="salary">#REF!</definedName>
    <definedName name="SALE">#N/A</definedName>
    <definedName name="SALEBOH">#N/A</definedName>
    <definedName name="SALEEOH">#N/A</definedName>
    <definedName name="SAMBOH">#N/A</definedName>
    <definedName name="SAMEOH">#N/A</definedName>
    <definedName name="SamplePos" localSheetId="3">#REF!</definedName>
    <definedName name="SamplePos">#REF!</definedName>
    <definedName name="Sanggak" localSheetId="3">#REF!</definedName>
    <definedName name="Sanggak">#REF!</definedName>
    <definedName name="SCDLC" localSheetId="3">#REF!</definedName>
    <definedName name="SCDLC">#REF!</definedName>
    <definedName name="Sch_M_Table" localSheetId="3">#REF!</definedName>
    <definedName name="Sch_M_Table">#REF!</definedName>
    <definedName name="SCHEDULE_10_K_15">"print title"</definedName>
    <definedName name="Schenectady_Europe_Consolidated" localSheetId="3">#REF!</definedName>
    <definedName name="Schenectady_Europe_Consolidated">#REF!</definedName>
    <definedName name="SCRBOH">#N/A</definedName>
    <definedName name="SCREOH">#N/A</definedName>
    <definedName name="sdafdadfad" hidden="1">{#N/A,#N/A,FALSE,"Aging Summary";#N/A,#N/A,FALSE,"Ratio Analysis";#N/A,#N/A,FALSE,"Test 120 Day Accts";#N/A,#N/A,FALSE,"Tickmarks"}</definedName>
    <definedName name="sdff">[0]!sdff</definedName>
    <definedName name="sdfsdfsdfdsfdsfdsfdsfdsf" hidden="1">{"'Desktop Inventory 현황'!$B$2:$O$35"}</definedName>
    <definedName name="seacq" localSheetId="3">#REF!</definedName>
    <definedName name="seacq">#REF!</definedName>
    <definedName name="seawolf_TRadder" localSheetId="3">#REF!</definedName>
    <definedName name="seawolf_TRadder">#REF!</definedName>
    <definedName name="SEC_서울" localSheetId="3">#REF!</definedName>
    <definedName name="SEC_서울">#REF!</definedName>
    <definedName name="secondM" localSheetId="3">#REF!</definedName>
    <definedName name="secondM">#REF!</definedName>
    <definedName name="secondMA" localSheetId="3">#REF!</definedName>
    <definedName name="secondMA">#REF!</definedName>
    <definedName name="SEJIN" localSheetId="3">[0]!BlankMacro1</definedName>
    <definedName name="SEJIN" localSheetId="9">[0]!BlankMacro1</definedName>
    <definedName name="SEJIN">[0]!BlankMacro1</definedName>
    <definedName name="SEJINBS" hidden="1">{#N/A,#N/A,FALSE,"정공"}</definedName>
    <definedName name="SelfInfo01" localSheetId="3">#REF!</definedName>
    <definedName name="SelfInfo01">#REF!</definedName>
    <definedName name="SelfInfo02" localSheetId="3">#REF!</definedName>
    <definedName name="SelfInfo02">#REF!</definedName>
    <definedName name="SelfInfo03" localSheetId="3">#REF!</definedName>
    <definedName name="SelfInfo03">#REF!</definedName>
    <definedName name="SelfInfo04" localSheetId="3">#REF!</definedName>
    <definedName name="SelfInfo04">#REF!</definedName>
    <definedName name="SelfInfo05" localSheetId="3">#REF!</definedName>
    <definedName name="SelfInfo05">#REF!</definedName>
    <definedName name="SelfInfo06" localSheetId="3">#REF!</definedName>
    <definedName name="SelfInfo06">#REF!</definedName>
    <definedName name="SelfInfo07" localSheetId="3">#REF!</definedName>
    <definedName name="SelfInfo07">#REF!</definedName>
    <definedName name="SelfInfo08" localSheetId="3">#REF!</definedName>
    <definedName name="SelfInfo08">#REF!</definedName>
    <definedName name="SelList" localSheetId="3">#REF!</definedName>
    <definedName name="SelList">#REF!</definedName>
    <definedName name="SelListA" localSheetId="3">#REF!</definedName>
    <definedName name="SelListA">#REF!</definedName>
    <definedName name="SelListE" localSheetId="3">#REF!</definedName>
    <definedName name="SelListE">#REF!</definedName>
    <definedName name="SelListR" localSheetId="3">#REF!</definedName>
    <definedName name="SelListR">#REF!</definedName>
    <definedName name="SelListS" localSheetId="3">#REF!</definedName>
    <definedName name="SelListS">#REF!</definedName>
    <definedName name="SEMIIN">#N/A</definedName>
    <definedName name="sencount" hidden="1">102</definedName>
    <definedName name="sept_ams" localSheetId="3">#REF!</definedName>
    <definedName name="sept_ams">#REF!</definedName>
    <definedName name="ser" localSheetId="3">#REF!</definedName>
    <definedName name="ser">#REF!</definedName>
    <definedName name="Serial" localSheetId="3">#REF!</definedName>
    <definedName name="Serial">#REF!</definedName>
    <definedName name="SERVER" localSheetId="3">#REF!</definedName>
    <definedName name="SERVER">#REF!</definedName>
    <definedName name="sese" localSheetId="3">#REF!</definedName>
    <definedName name="sese">#REF!</definedName>
    <definedName name="Sex" localSheetId="3">#REF!</definedName>
    <definedName name="Sex">#REF!</definedName>
    <definedName name="share_tog" localSheetId="3">#REF!</definedName>
    <definedName name="share_tog">#REF!</definedName>
    <definedName name="sheets_name" localSheetId="3">#REF!:_RjC2</definedName>
    <definedName name="sheets_name" localSheetId="9">#REF!:_RjC2</definedName>
    <definedName name="sheets_name">#REF!:_RjC2</definedName>
    <definedName name="shos" localSheetId="3">#REF!</definedName>
    <definedName name="shos">#REF!</definedName>
    <definedName name="sk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SK_Chemical" localSheetId="3">#REF!</definedName>
    <definedName name="SK_Chemical">#REF!</definedName>
    <definedName name="SKNW" localSheetId="3">#REF!:_RjC2</definedName>
    <definedName name="SKNW" localSheetId="9">#REF!:_RjC2</definedName>
    <definedName name="SKNW">#REF!:_RjC2</definedName>
    <definedName name="SKT_Sail" localSheetId="3">#REF!</definedName>
    <definedName name="SKT_Sail">#REF!</definedName>
    <definedName name="smsm" localSheetId="3">#REF!</definedName>
    <definedName name="smsm">#REF!</definedName>
    <definedName name="sm추" localSheetId="3">#REF!</definedName>
    <definedName name="sm추">#REF!</definedName>
    <definedName name="sm확" localSheetId="3">#REF!</definedName>
    <definedName name="sm확">#REF!</definedName>
    <definedName name="Snpv" localSheetId="3">#REF!</definedName>
    <definedName name="Snpv">#REF!</definedName>
    <definedName name="Snpvadm" localSheetId="3">#REF!</definedName>
    <definedName name="Snpvadm">#REF!</definedName>
    <definedName name="Snpvdc" localSheetId="3">#REF!</definedName>
    <definedName name="Snpvdc">#REF!</definedName>
    <definedName name="Snpvdt" localSheetId="3">#REF!</definedName>
    <definedName name="Snpvdt">#REF!</definedName>
    <definedName name="Snpvnw" localSheetId="3">#REF!</definedName>
    <definedName name="Snpvnw">#REF!</definedName>
    <definedName name="SONBOH">#N/A</definedName>
    <definedName name="SONEOH">#N/A</definedName>
    <definedName name="SortArea" localSheetId="3">#REF!</definedName>
    <definedName name="SortArea">#REF!</definedName>
    <definedName name="SOURCE_AMS" localSheetId="3">OFFSET(#REF!,0,0,COUNTA(#REF!),COUNTA(#REF!))</definedName>
    <definedName name="SOURCE_AMS">OFFSET(#REF!,0,0,COUNTA(#REF!),COUNTA(#REF!))</definedName>
    <definedName name="source_con" localSheetId="3">OFFSET(#REF!,0,0,COUNTA(#REF!),COUNTA(#REF!))</definedName>
    <definedName name="source_con">OFFSET(#REF!,0,0,COUNTA(#REF!),COUNTA(#REF!))</definedName>
    <definedName name="SRP" localSheetId="3">#REF!</definedName>
    <definedName name="SRP">#REF!</definedName>
    <definedName name="ss" hidden="1">{"'Sheet1'!$A$1:$H$36"}</definedName>
    <definedName name="SSD" localSheetId="3">#REF!</definedName>
    <definedName name="SSD">#REF!</definedName>
    <definedName name="ssem" localSheetId="3">#REF!</definedName>
    <definedName name="ssem">#REF!</definedName>
    <definedName name="ssmm" localSheetId="3">#REF!</definedName>
    <definedName name="ssmm">#REF!</definedName>
    <definedName name="SSN7C" localSheetId="3">#REF!</definedName>
    <definedName name="SSN7C">#REF!</definedName>
    <definedName name="SSS" localSheetId="3" hidden="1">#REF!</definedName>
    <definedName name="SSS" localSheetId="1" hidden="1">#REF!</definedName>
    <definedName name="SSS" hidden="1">#REF!</definedName>
    <definedName name="ssss" localSheetId="3">#REF!</definedName>
    <definedName name="ssss">#REF!</definedName>
    <definedName name="ST" localSheetId="3">#REF!</definedName>
    <definedName name="ST">#REF!</definedName>
    <definedName name="stat_copy" localSheetId="3">#REF!</definedName>
    <definedName name="stat_copy">#REF!</definedName>
    <definedName name="STI_운영인력" hidden="1">{"'Desktop Inventory 현황'!$B$2:$O$35"}</definedName>
    <definedName name="STI할인율" hidden="1">{"'Desktop Inventory 현황'!$B$2:$O$35"}</definedName>
    <definedName name="stot" localSheetId="3">#REF!</definedName>
    <definedName name="stot">#REF!</definedName>
    <definedName name="SUBTRACT" localSheetId="3">#REF!</definedName>
    <definedName name="SUBTRACT">#REF!</definedName>
    <definedName name="subtract2" localSheetId="3">#REF!</definedName>
    <definedName name="subtract2">#REF!</definedName>
    <definedName name="SUM" hidden="1">{"'Desktop Inventory 현황'!$B$2:$O$35"}</definedName>
    <definedName name="sumQry_FwdDaySup_Total_Food" localSheetId="3">#REF!</definedName>
    <definedName name="sumQry_FwdDaySup_Total_Food">#REF!</definedName>
    <definedName name="sumQryCaseFill_BHV" localSheetId="3">#REF!</definedName>
    <definedName name="sumQryCaseFill_BHV">#REF!</definedName>
    <definedName name="sumQryCaseFill_DCL" localSheetId="3">#REF!</definedName>
    <definedName name="sumQryCaseFill_DCL">#REF!</definedName>
    <definedName name="sumQryCaseFill_DHV_Dips" localSheetId="3">#REF!</definedName>
    <definedName name="sumQryCaseFill_DHV_Dips">#REF!</definedName>
    <definedName name="sumQryCaseFill_Food" localSheetId="3">#REF!</definedName>
    <definedName name="sumQryCaseFill_Food">#REF!</definedName>
    <definedName name="sumQryCaseFill_KCM_mar" localSheetId="3">#REF!</definedName>
    <definedName name="sumQryCaseFill_KCM_mar">#REF!</definedName>
    <definedName name="sumQryCaseFill_KCM_Sauces" localSheetId="3">#REF!</definedName>
    <definedName name="sumQryCaseFill_KCM_Sauces">#REF!</definedName>
    <definedName name="sumQryCaseFill_LCL" localSheetId="3">#REF!</definedName>
    <definedName name="sumQryCaseFill_LCL">#REF!</definedName>
    <definedName name="sumQryCaseFill_Total_C2" localSheetId="3">#REF!</definedName>
    <definedName name="sumQryCaseFill_Total_C2">#REF!</definedName>
    <definedName name="sumQryCaseFill_Total_HVR" localSheetId="3">#REF!</definedName>
    <definedName name="sumQryCaseFill_Total_HVR">#REF!</definedName>
    <definedName name="sumQryCaseFill_Total_KCM" localSheetId="3">#REF!</definedName>
    <definedName name="sumQryCaseFill_Total_KCM">#REF!</definedName>
    <definedName name="sumQryFwdDaySupp_BHV" localSheetId="3">#REF!</definedName>
    <definedName name="sumQryFwdDaySupp_BHV">#REF!</definedName>
    <definedName name="sumQryFwdDaySupp_DCL" localSheetId="3">#REF!</definedName>
    <definedName name="sumQryFwdDaySupp_DCL">#REF!</definedName>
    <definedName name="sumQryFwdDaySupp_DHV_Dips" localSheetId="3">#REF!</definedName>
    <definedName name="sumQryFwdDaySupp_DHV_Dips">#REF!</definedName>
    <definedName name="sumQryFwdDaySupp_KCM_mar" localSheetId="3">#REF!</definedName>
    <definedName name="sumQryFwdDaySupp_KCM_mar">#REF!</definedName>
    <definedName name="sumQryFwdDaySupp_KCM_sauce" localSheetId="3">#REF!</definedName>
    <definedName name="sumQryFwdDaySupp_KCM_sauce">#REF!</definedName>
    <definedName name="sumQryFwdDaySupp_LCL" localSheetId="3">#REF!</definedName>
    <definedName name="sumQryFwdDaySupp_LCL">#REF!</definedName>
    <definedName name="sumQryFwdDaySupp_Total_C2" localSheetId="3">#REF!</definedName>
    <definedName name="sumQryFwdDaySupp_Total_C2">#REF!</definedName>
    <definedName name="sumQryFwdDaySupp_Total_HVR" localSheetId="3">#REF!</definedName>
    <definedName name="sumQryFwdDaySupp_Total_HVR">#REF!</definedName>
    <definedName name="sumQryFwdDaySupp_Total_KCM" localSheetId="3">#REF!</definedName>
    <definedName name="sumQryFwdDaySupp_Total_KCM">#REF!</definedName>
    <definedName name="SUN_5" localSheetId="3">#REF!</definedName>
    <definedName name="SUN_5">#REF!</definedName>
    <definedName name="SUN_6" localSheetId="3">#REF!</definedName>
    <definedName name="SUN_6">#REF!</definedName>
    <definedName name="sun_7" localSheetId="3">#REF!</definedName>
    <definedName name="sun_7">#REF!</definedName>
    <definedName name="SUN_rate" localSheetId="3">#REF!</definedName>
    <definedName name="SUN_rate">#REF!</definedName>
    <definedName name="svmr" localSheetId="3">#REF!</definedName>
    <definedName name="svmr">#REF!</definedName>
    <definedName name="SVRAG" localSheetId="3">#REF!</definedName>
    <definedName name="SVRAG">#REF!</definedName>
    <definedName name="SVRDESC" localSheetId="3">#REF!</definedName>
    <definedName name="SVRDESC">#REF!</definedName>
    <definedName name="sw_ma_fee" localSheetId="3">#REF!</definedName>
    <definedName name="sw_ma_fee">#REF!</definedName>
    <definedName name="SW_MA_rate" localSheetId="3">#REF!</definedName>
    <definedName name="SW_MA_rate">#REF!</definedName>
    <definedName name="SW_rate" localSheetId="3">#REF!</definedName>
    <definedName name="SW_rate">#REF!</definedName>
    <definedName name="SW_rate2" localSheetId="3">#REF!</definedName>
    <definedName name="SW_rate2">#REF!</definedName>
    <definedName name="SW_rate3" localSheetId="3">#REF!</definedName>
    <definedName name="SW_rate3">#REF!</definedName>
    <definedName name="swcorp" localSheetId="3">#REF!</definedName>
    <definedName name="swcorp">#REF!</definedName>
    <definedName name="swes" localSheetId="3">#REF!</definedName>
    <definedName name="swes">#REF!</definedName>
    <definedName name="swgas" localSheetId="3">#REF!</definedName>
    <definedName name="swgas">#REF!</definedName>
    <definedName name="swhuvis" localSheetId="3">#REF!</definedName>
    <definedName name="swhuvis">#REF!</definedName>
    <definedName name="swl">[0]!swl</definedName>
    <definedName name="swma" localSheetId="3">#REF!</definedName>
    <definedName name="swma">#REF!</definedName>
    <definedName name="swprice">#N/A</definedName>
    <definedName name="swshup" localSheetId="3">#REF!</definedName>
    <definedName name="swshup">#REF!</definedName>
    <definedName name="swskc" localSheetId="3">#REF!</definedName>
    <definedName name="swskc">#REF!</definedName>
    <definedName name="swskchem" localSheetId="3">#REF!</definedName>
    <definedName name="swskchem">#REF!</definedName>
    <definedName name="swskec" localSheetId="3">#REF!</definedName>
    <definedName name="swskec">#REF!</definedName>
    <definedName name="swskn" localSheetId="3">#REF!</definedName>
    <definedName name="swskn">#REF!</definedName>
    <definedName name="swwalk" localSheetId="3">#REF!</definedName>
    <definedName name="swwalk">#REF!</definedName>
    <definedName name="SYSTEMS" localSheetId="3">#REF!</definedName>
    <definedName name="SYSTEMS">#REF!</definedName>
    <definedName name="t" hidden="1">{#N/A,#N/A,FALSE,"Aging Summary";#N/A,#N/A,FALSE,"Ratio Analysis";#N/A,#N/A,FALSE,"Test 120 Day Accts";#N/A,#N/A,FALSE,"Tickmarks"}</definedName>
    <definedName name="ta" hidden="1">{#N/A,#N/A,FALSE,"Aging Summary";#N/A,#N/A,FALSE,"Ratio Analysis";#N/A,#N/A,FALSE,"Test 120 Day Accts";#N/A,#N/A,FALSE,"Tickmarks"}</definedName>
    <definedName name="Table1" localSheetId="3">#REF!</definedName>
    <definedName name="Table1">#REF!</definedName>
    <definedName name="TABLE2" localSheetId="3">#REF!</definedName>
    <definedName name="TABLE2">#REF!</definedName>
    <definedName name="TABLE3" localSheetId="3">#REF!</definedName>
    <definedName name="TABLE3">#REF!</definedName>
    <definedName name="Table4" localSheetId="3">#REF!</definedName>
    <definedName name="Table4">#REF!</definedName>
    <definedName name="Tan_SW_5" localSheetId="3">#REF!</definedName>
    <definedName name="Tan_SW_5">#REF!</definedName>
    <definedName name="Tan_SW_6" localSheetId="3">#REF!</definedName>
    <definedName name="Tan_SW_6">#REF!</definedName>
    <definedName name="Tan_sw_7" localSheetId="3">#REF!</definedName>
    <definedName name="Tan_sw_7">#REF!</definedName>
    <definedName name="Tandem_5" localSheetId="3">#REF!</definedName>
    <definedName name="Tandem_5">#REF!</definedName>
    <definedName name="Tandem_6" localSheetId="3">#REF!</definedName>
    <definedName name="Tandem_6">#REF!</definedName>
    <definedName name="Tandem_7" localSheetId="3">#REF!</definedName>
    <definedName name="Tandem_7">#REF!</definedName>
    <definedName name="tax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Tax_Rate1" localSheetId="3">#REF!</definedName>
    <definedName name="Tax_Rate1">#REF!</definedName>
    <definedName name="TB" localSheetId="3">#REF!</definedName>
    <definedName name="TB">#REF!</definedName>
    <definedName name="TB_DOWNLOAD" localSheetId="3">#REF!</definedName>
    <definedName name="TB_DOWNLOAD">#REF!</definedName>
    <definedName name="tblTestInfo" localSheetId="3">#REF!</definedName>
    <definedName name="tblTestInfo">#REF!</definedName>
    <definedName name="TE" hidden="1">{"'Desktop Inventory 현황'!$B$2:$O$35"}</definedName>
    <definedName name="teff" localSheetId="3">#REF!</definedName>
    <definedName name="teff">#REF!</definedName>
    <definedName name="temp1" localSheetId="3">#REF!</definedName>
    <definedName name="temp1">#REF!</definedName>
    <definedName name="temp2" localSheetId="3">#REF!</definedName>
    <definedName name="temp2">#REF!</definedName>
    <definedName name="ten" localSheetId="3">#REF!</definedName>
    <definedName name="ten">#REF!</definedName>
    <definedName name="term_value" localSheetId="3">#REF!</definedName>
    <definedName name="term_value">#REF!</definedName>
    <definedName name="term_year" localSheetId="3">#REF!</definedName>
    <definedName name="term_year">#REF!</definedName>
    <definedName name="TEST0" localSheetId="3">#REF!</definedName>
    <definedName name="TEST0">#REF!</definedName>
    <definedName name="TEST2" localSheetId="3">#REF!</definedName>
    <definedName name="TEST2">#REF!</definedName>
    <definedName name="TESTHKEY" localSheetId="3">#REF!</definedName>
    <definedName name="TESTHKEY">#REF!</definedName>
    <definedName name="TESTKEYS" localSheetId="3">#REF!</definedName>
    <definedName name="TESTKEYS">#REF!</definedName>
    <definedName name="TESTVKEY" localSheetId="3">#REF!</definedName>
    <definedName name="TESTVKEY">#REF!</definedName>
    <definedName name="TextRefCopy1" localSheetId="3">#REF!</definedName>
    <definedName name="TextRefCopy1">#REF!</definedName>
    <definedName name="TextRefCopy10" localSheetId="3">#REF!</definedName>
    <definedName name="TextRefCopy10">#REF!</definedName>
    <definedName name="TextRefCopy11" localSheetId="3">#REF!</definedName>
    <definedName name="TextRefCopy11">#REF!</definedName>
    <definedName name="TextRefCopy2" localSheetId="3">#REF!</definedName>
    <definedName name="TextRefCopy2">#REF!</definedName>
    <definedName name="TextRefCopy3" localSheetId="3">#REF!</definedName>
    <definedName name="TextRefCopy3">#REF!</definedName>
    <definedName name="TextRefCopy4" localSheetId="3">#REF!</definedName>
    <definedName name="TextRefCopy4">#REF!</definedName>
    <definedName name="TextRefCopy5" localSheetId="3">#REF!</definedName>
    <definedName name="TextRefCopy5">#REF!</definedName>
    <definedName name="TextRefCopy6" localSheetId="3">#REF!</definedName>
    <definedName name="TextRefCopy6">#REF!</definedName>
    <definedName name="TextRefCopy7" localSheetId="3">#REF!</definedName>
    <definedName name="TextRefCopy7">#REF!</definedName>
    <definedName name="TextRefCopy8" localSheetId="3">#REF!</definedName>
    <definedName name="TextRefCopy8">#REF!</definedName>
    <definedName name="TextRefCopy9" localSheetId="3">#REF!</definedName>
    <definedName name="TextRefCopy9">#REF!</definedName>
    <definedName name="TextRefCopyRangeCount" hidden="1">36</definedName>
    <definedName name="THEME2" hidden="1">{#N/A,#N/A,FALSE,"96 3월물량표";#N/A,#N/A,FALSE,"96 4월물량표";#N/A,#N/A,FALSE,"96 5월물량표"}</definedName>
    <definedName name="thirdMA" localSheetId="3">#REF!</definedName>
    <definedName name="thirdMA">#REF!</definedName>
    <definedName name="ThisWb" localSheetId="3">#REF!</definedName>
    <definedName name="ThisWb">#REF!</definedName>
    <definedName name="thsdls" hidden="1">{#N/A,#N/A,FALSE,"Aging Summary";#N/A,#N/A,FALSE,"Ratio Analysis";#N/A,#N/A,FALSE,"Test 120 Day Accts";#N/A,#N/A,FALSE,"Tickmarks"}</definedName>
    <definedName name="TI">#N/A</definedName>
    <definedName name="Title" localSheetId="3">#REF!</definedName>
    <definedName name="Title">#REF!</definedName>
    <definedName name="Title1" localSheetId="3">#REF!</definedName>
    <definedName name="Title1">#REF!</definedName>
    <definedName name="Title2" localSheetId="3">#REF!</definedName>
    <definedName name="Title2">#REF!</definedName>
    <definedName name="Title3" localSheetId="3">#REF!</definedName>
    <definedName name="Title3">#REF!</definedName>
    <definedName name="Title4" localSheetId="3">#REF!</definedName>
    <definedName name="Title4">#REF!</definedName>
    <definedName name="Title5" localSheetId="3">#REF!</definedName>
    <definedName name="Title5">#REF!</definedName>
    <definedName name="Title6" localSheetId="3">#REF!</definedName>
    <definedName name="Title6">#REF!</definedName>
    <definedName name="TK" localSheetId="3">[0]!BlankMacro1</definedName>
    <definedName name="TK" localSheetId="9">[0]!BlankMacro1</definedName>
    <definedName name="TK">[0]!BlankMacro1</definedName>
    <definedName name="TM">[0]!TM</definedName>
    <definedName name="TO" localSheetId="3">#REF!</definedName>
    <definedName name="TO">#REF!</definedName>
    <definedName name="TON_TRT_FR" localSheetId="3">#REF!</definedName>
    <definedName name="TON_TRT_FR">#REF!</definedName>
    <definedName name="TOP" localSheetId="3">#REF!</definedName>
    <definedName name="TOP">#REF!</definedName>
    <definedName name="TOS" localSheetId="3">#REF!</definedName>
    <definedName name="TOS">#REF!</definedName>
    <definedName name="TOTAL" localSheetId="3">#REF!</definedName>
    <definedName name="TOTAL">#REF!</definedName>
    <definedName name="TOTAL1" localSheetId="3">#REF!</definedName>
    <definedName name="TOTAL1">#REF!</definedName>
    <definedName name="TOTAL2" localSheetId="3">#REF!</definedName>
    <definedName name="TOTAL2">#REF!</definedName>
    <definedName name="TOTAL3" localSheetId="3">#REF!</definedName>
    <definedName name="TOTAL3">#REF!</definedName>
    <definedName name="tout" localSheetId="3">#REF!,#REF!</definedName>
    <definedName name="tout">#REF!,#REF!</definedName>
    <definedName name="TRATE" localSheetId="3">#REF!</definedName>
    <definedName name="TRATE">#REF!</definedName>
    <definedName name="tt">[0]!tt</definedName>
    <definedName name="TTL_COS">#N/A</definedName>
    <definedName name="TTL_SALE">#N/A</definedName>
    <definedName name="TTL_UC">#N/A</definedName>
    <definedName name="TTLSALE">#N/A</definedName>
    <definedName name="TTO" localSheetId="3">#REF!</definedName>
    <definedName name="TTO">#REF!</definedName>
    <definedName name="ttt">[0]!ttt</definedName>
    <definedName name="tttt">[0]!tttt</definedName>
    <definedName name="TTTTTTT" localSheetId="3">[0]!BlankMacro1</definedName>
    <definedName name="TTTTTTT" localSheetId="9">[0]!BlankMacro1</definedName>
    <definedName name="TTTTTTT">[0]!BlankMacro1</definedName>
    <definedName name="ua" hidden="1">{#N/A,#N/A,FALSE,"Aging Summary";#N/A,#N/A,FALSE,"Ratio Analysis";#N/A,#N/A,FALSE,"Test 120 Day Accts";#N/A,#N/A,FALSE,"Tickmarks"}</definedName>
    <definedName name="UACr95" localSheetId="3">#REF!</definedName>
    <definedName name="UACr95">#REF!</definedName>
    <definedName name="UACr96" localSheetId="3">#REF!</definedName>
    <definedName name="UACr96">#REF!</definedName>
    <definedName name="UACr97" localSheetId="3">#REF!</definedName>
    <definedName name="UACr97">#REF!</definedName>
    <definedName name="UACr98" localSheetId="3">#REF!</definedName>
    <definedName name="UACr98">#REF!</definedName>
    <definedName name="UACr98.10" localSheetId="3">#REF!</definedName>
    <definedName name="UACr98.10">#REF!</definedName>
    <definedName name="UACr98.11" localSheetId="3">#REF!</definedName>
    <definedName name="UACr98.11">#REF!</definedName>
    <definedName name="UADr95" localSheetId="3">#REF!</definedName>
    <definedName name="UADr95">#REF!</definedName>
    <definedName name="UADr96" localSheetId="3">#REF!</definedName>
    <definedName name="UADr96">#REF!</definedName>
    <definedName name="UADr97" localSheetId="3">#REF!</definedName>
    <definedName name="UADr97">#REF!</definedName>
    <definedName name="UADr98" localSheetId="3">#REF!</definedName>
    <definedName name="UADr98">#REF!</definedName>
    <definedName name="UADr98.10" localSheetId="3">#REF!</definedName>
    <definedName name="UADr98.10">#REF!</definedName>
    <definedName name="UADr98.11" localSheetId="3">#REF!</definedName>
    <definedName name="UADr98.11">#REF!</definedName>
    <definedName name="UGaap95" localSheetId="3">#REF!</definedName>
    <definedName name="UGaap95">#REF!</definedName>
    <definedName name="UGaap96" localSheetId="3">#REF!</definedName>
    <definedName name="UGaap96">#REF!</definedName>
    <definedName name="UGaap97" localSheetId="3">#REF!</definedName>
    <definedName name="UGaap97">#REF!</definedName>
    <definedName name="UGaap98" localSheetId="3">#REF!</definedName>
    <definedName name="UGaap98">#REF!</definedName>
    <definedName name="UGaap98.10" localSheetId="3">#REF!</definedName>
    <definedName name="UGaap98.10">#REF!</definedName>
    <definedName name="UGaap98.11" localSheetId="3">#REF!</definedName>
    <definedName name="UGaap98.11">#REF!</definedName>
    <definedName name="UNICAP" localSheetId="3">#REF!</definedName>
    <definedName name="UNICAP">#REF!</definedName>
    <definedName name="unixHW" localSheetId="3">#REF!</definedName>
    <definedName name="unixHW">#REF!</definedName>
    <definedName name="unlev_fcf_rate" localSheetId="3">#REF!</definedName>
    <definedName name="unlev_fcf_rate">#REF!</definedName>
    <definedName name="UPG_PN" localSheetId="3">#REF!</definedName>
    <definedName name="UPG_PN">#REF!</definedName>
    <definedName name="UserList" localSheetId="3">#REF!</definedName>
    <definedName name="UserList">#REF!</definedName>
    <definedName name="UserListA" localSheetId="3">#REF!</definedName>
    <definedName name="UserListA">#REF!</definedName>
    <definedName name="UserListE" localSheetId="3">#REF!</definedName>
    <definedName name="UserListE">#REF!</definedName>
    <definedName name="UserListI" localSheetId="3">#REF!</definedName>
    <definedName name="UserListI">#REF!</definedName>
    <definedName name="UserListL" localSheetId="3">#REF!</definedName>
    <definedName name="UserListL">#REF!</definedName>
    <definedName name="UserListR" localSheetId="3">#REF!</definedName>
    <definedName name="UserListR">#REF!</definedName>
    <definedName name="UserListS" localSheetId="3">#REF!</definedName>
    <definedName name="UserListS">#REF!</definedName>
    <definedName name="UserListSE" localSheetId="3">#REF!</definedName>
    <definedName name="UserListSE">#REF!</definedName>
    <definedName name="UserListSR" localSheetId="3">#REF!</definedName>
    <definedName name="UserListSR">#REF!</definedName>
    <definedName name="UserListT" localSheetId="3">#REF!</definedName>
    <definedName name="UserListT">#REF!</definedName>
    <definedName name="UUUU" localSheetId="3">#REF!</definedName>
    <definedName name="UUUU">#REF!</definedName>
    <definedName name="UX" localSheetId="3">#REF!</definedName>
    <definedName name="UX">#REF!</definedName>
    <definedName name="UXAA1" localSheetId="3">#REF!</definedName>
    <definedName name="UXAA1">#REF!</definedName>
    <definedName name="UXAA2" localSheetId="3">#REF!</definedName>
    <definedName name="UXAA2">#REF!</definedName>
    <definedName name="UXAA3" localSheetId="3">#REF!</definedName>
    <definedName name="UXAA3">#REF!</definedName>
    <definedName name="UXAA4" localSheetId="3">#REF!</definedName>
    <definedName name="UXAA4">#REF!</definedName>
    <definedName name="UXAA5" localSheetId="3">#REF!</definedName>
    <definedName name="UXAA5">#REF!</definedName>
    <definedName name="uxrt" localSheetId="3">#REF!</definedName>
    <definedName name="uxrt">#REF!</definedName>
    <definedName name="UX통합단가표" localSheetId="3">#REF!</definedName>
    <definedName name="UX통합단가표">#REF!</definedName>
    <definedName name="v" hidden="1">{#N/A,#N/A,FALSE,"Aging Summary";#N/A,#N/A,FALSE,"Ratio Analysis";#N/A,#N/A,FALSE,"Test 120 Day Accts";#N/A,#N/A,FALSE,"Tickmarks"}</definedName>
    <definedName name="VACATION" localSheetId="3">#REF!</definedName>
    <definedName name="VACATION">#REF!</definedName>
    <definedName name="value_date" localSheetId="3">#REF!</definedName>
    <definedName name="value_date">#REF!</definedName>
    <definedName name="VARAMT">#N/A</definedName>
    <definedName name="VAREOH">#N/A</definedName>
    <definedName name="VAT" localSheetId="3">#REF!</definedName>
    <definedName name="VAT">#REF!</definedName>
    <definedName name="vbkjwhe" hidden="1">{#N/A,#N/A,FALSE,"ALM-ASISC"}</definedName>
    <definedName name="vdsvs" hidden="1">{"'Desktop Inventory 현황'!$B$2:$O$35"}</definedName>
    <definedName name="vdwf" hidden="1">{#N/A,#N/A,FALSE,"ALM-ASISC"}</definedName>
    <definedName name="vewtf" hidden="1">{#N/A,#N/A,FALSE,"ALM-ASISC"}</definedName>
    <definedName name="vhjkwghe" hidden="1">{#N/A,#N/A,FALSE,"ALM-ASISC"}</definedName>
    <definedName name="vhjkwhe" hidden="1">{#N/A,#N/A,FALSE,"ALM-ASISC"}</definedName>
    <definedName name="vhjkwlejh" hidden="1">{#N/A,#N/A,FALSE,"ALM-ASISC"}</definedName>
    <definedName name="vhjweklh" hidden="1">{#N/A,#N/A,FALSE,"ALM-ASISC"}</definedName>
    <definedName name="vhjwkhe" hidden="1">{#N/A,#N/A,FALSE,"ALM-ASISC"}</definedName>
    <definedName name="vhjwoe" hidden="1">{#N/A,#N/A,FALSE,"ALM-ASISC"}</definedName>
    <definedName name="vhjwole" hidden="1">{#N/A,#N/A,FALSE,"ALM-ASISC"}</definedName>
    <definedName name="vhlkjw" hidden="1">{#N/A,#N/A,FALSE,"ALM-ASISC"}</definedName>
    <definedName name="vhwjkeh" hidden="1">{#N/A,#N/A,FALSE,"ALM-ASISC"}</definedName>
    <definedName name="vjhkldw" hidden="1">{#N/A,#N/A,FALSE,"ALM-ASISC"}</definedName>
    <definedName name="vjkldw" hidden="1">{#N/A,#N/A,FALSE,"ALM-ASISC"}</definedName>
    <definedName name="vjklf" hidden="1">{#N/A,#N/A,FALSE,"ALM-ASISC"}</definedName>
    <definedName name="vjkls" hidden="1">{#N/A,#N/A,FALSE,"ALM-ASISC"}</definedName>
    <definedName name="vjkwhe" hidden="1">{#N/A,#N/A,FALSE,"ALM-ASISC"}</definedName>
    <definedName name="vjkwhgekj" hidden="1">{#N/A,#N/A,FALSE,"ALM-ASISC"}</definedName>
    <definedName name="vjpowei" hidden="1">{#N/A,#N/A,FALSE,"ALM-ASISC"}</definedName>
    <definedName name="vjwke" hidden="1">{#N/A,#N/A,FALSE,"ALM-ASISC"}</definedName>
    <definedName name="vjwkhekl" hidden="1">{#N/A,#N/A,FALSE,"ALM-ASISC"}</definedName>
    <definedName name="vjwoiei" hidden="1">{#N/A,#N/A,FALSE,"ALM-ASISC"}</definedName>
    <definedName name="vjwoieuhj" hidden="1">{#N/A,#N/A,FALSE,"ALM-ASISC"}</definedName>
    <definedName name="vkwle" hidden="1">{#N/A,#N/A,FALSE,"ALM-ASISC"}</definedName>
    <definedName name="VOUCHER" localSheetId="3">#REF!</definedName>
    <definedName name="VOUCHER">#REF!</definedName>
    <definedName name="vpowoie" hidden="1">{#N/A,#N/A,FALSE,"ALM-ASISC"}</definedName>
    <definedName name="vw" hidden="1">{#N/A,#N/A,FALSE,"ALM-ASISC"}</definedName>
    <definedName name="vwdfw" hidden="1">{#N/A,#N/A,FALSE,"ALM-ASISC"}</definedName>
    <definedName name="vwdfwe" hidden="1">{#N/A,#N/A,FALSE,"ALM-ASISC"}</definedName>
    <definedName name="vwe" hidden="1">{#N/A,#N/A,FALSE,"ALM-ASISC"}</definedName>
    <definedName name="vwef" hidden="1">{#N/A,#N/A,FALSE,"ALM-ASISC"}</definedName>
    <definedName name="vwefg" hidden="1">{#N/A,#N/A,FALSE,"ALM-ASISC"}</definedName>
    <definedName name="vwer" hidden="1">{#N/A,#N/A,FALSE,"ALM-ASISC"}</definedName>
    <definedName name="vwvw" hidden="1">{#N/A,#N/A,FALSE,"ALM-ASISC"}</definedName>
    <definedName name="W" localSheetId="3">#REF!</definedName>
    <definedName name="W">#REF!</definedName>
    <definedName name="WACC" localSheetId="3">#REF!</definedName>
    <definedName name="WACC">#REF!</definedName>
    <definedName name="WACC_sen" localSheetId="3">#REF!</definedName>
    <definedName name="WACC_sen">#REF!</definedName>
    <definedName name="Wan_Cate_No" localSheetId="3">#REF!</definedName>
    <definedName name="Wan_Cate_No">#REF!</definedName>
    <definedName name="WBS" hidden="1">{#N/A,#N/A,FALSE,"Aging Summary";#N/A,#N/A,FALSE,"Ratio Analysis";#N/A,#N/A,FALSE,"Test 120 Day Accts";#N/A,#N/A,FALSE,"Tickmarks"}</definedName>
    <definedName name="wd" hidden="1">{#N/A,#N/A,FALSE,"ALM-ASISC"}</definedName>
    <definedName name="wdqdearrdqwe" hidden="1">{"'Desktop Inventory 현황'!$B$2:$O$35"}</definedName>
    <definedName name="weeeeeeeeeeeeeeeeeeeee" localSheetId="3" hidden="1">#REF!</definedName>
    <definedName name="weeeeeeeeeeeeeeeeeeeee" localSheetId="1" hidden="1">#REF!</definedName>
    <definedName name="weeeeeeeeeeeeeeeeeeeee" hidden="1">#REF!</definedName>
    <definedName name="wefwfwe" localSheetId="3" hidden="1">#REF!</definedName>
    <definedName name="wefwfwe" localSheetId="1" hidden="1">#REF!</definedName>
    <definedName name="wefwfwe" hidden="1">#REF!</definedName>
    <definedName name="werwe" hidden="1">{#N/A,#N/A,FALSE,"ALM-ASISC"}</definedName>
    <definedName name="whan" localSheetId="3">#REF!</definedName>
    <definedName name="whan">#REF!</definedName>
    <definedName name="WI" localSheetId="3">#REF!</definedName>
    <definedName name="WI">#REF!</definedName>
    <definedName name="WIP" localSheetId="3">#REF!</definedName>
    <definedName name="WIP">#REF!</definedName>
    <definedName name="wkd" hidden="1">{#N/A,#N/A,FALSE,"3가";#N/A,#N/A,FALSE,"3나";#N/A,#N/A,FALSE,"3다"}</definedName>
    <definedName name="wkeljd" hidden="1">{#N/A,#N/A,FALSE,"ALM-ASISC"}</definedName>
    <definedName name="WKSEKFMZM" localSheetId="3">[0]!BlankMacro1</definedName>
    <definedName name="WKSEKFMZM" localSheetId="9">[0]!BlankMacro1</definedName>
    <definedName name="WKSEKFMZM">[0]!BlankMacro1</definedName>
    <definedName name="WPL" hidden="1">{#N/A,#N/A,FALSE,"Aging Summary";#N/A,#N/A,FALSE,"Ratio Analysis";#N/A,#N/A,FALSE,"Test 120 Day Accts";#N/A,#N/A,FALSE,"Tickmarks"}</definedName>
    <definedName name="wqewqe" hidden="1">{#N/A,#N/A,FALSE,"ALM-ASISC"}</definedName>
    <definedName name="wrn.345." hidden="1">{#N/A,#N/A,FALSE,"96 3월물량표";#N/A,#N/A,FALSE,"96 4월물량표";#N/A,#N/A,FALSE,"96 5월물량표"}</definedName>
    <definedName name="wrn.aaa." hidden="1">{#N/A,#N/A,FALSE,"ALM-ASISC"}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hidden="1">{#N/A,#N/A,FALSE,"Aging Summary";#N/A,#N/A,FALSE,"Ratio Analysis";#N/A,#N/A,FALSE,"Test 120 Day Accts";#N/A,#N/A,FALSE,"Tickmarks"}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IC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dd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IFF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TEST." hidden="1">{#N/A,#N/A,FALSE,"3가";#N/A,#N/A,FALSE,"3나";#N/A,#N/A,FALSE,"3다"}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YUH33400." hidden="1">{#N/A,#N/A,FALSE,"2000";#N/A,#N/A,FALSE,"1999_1998"}</definedName>
    <definedName name="wrn.Y차._.종합." hidden="1">{#N/A,#N/A,TRUE,"Y생산";#N/A,#N/A,TRUE,"Y판매";#N/A,#N/A,TRUE,"Y총물량";#N/A,#N/A,TRUE,"Y능력";#N/A,#N/A,TRUE,"YKD"}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감가." hidden="1">{#N/A,#N/A,FALSE,"buildings"}</definedName>
    <definedName name="wrn.세무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씨엠정1.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wrn.씨엠정산.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채권채무조회서." hidden="1">{#N/A,#N/A,FALSE,"채권채무";#N/A,#N/A,FALSE,"control sheet"}</definedName>
    <definedName name="wrn.현대정공구매현황." hidden="1">{#N/A,#N/A,FALSE,"정공"}</definedName>
    <definedName name="wse">#N/A</definedName>
    <definedName name="WshtsListA" localSheetId="3">#REF!</definedName>
    <definedName name="WshtsListA">#REF!</definedName>
    <definedName name="WshtsListE" localSheetId="3">#REF!</definedName>
    <definedName name="WshtsListE">#REF!</definedName>
    <definedName name="WshtsListR" localSheetId="3">#REF!</definedName>
    <definedName name="WshtsListR">#REF!</definedName>
    <definedName name="WshtsListS" localSheetId="3">#REF!</definedName>
    <definedName name="WshtsListS">#REF!</definedName>
    <definedName name="WshtsListT" localSheetId="3">#REF!</definedName>
    <definedName name="WshtsListT">#REF!</definedName>
    <definedName name="wte" hidden="1">{#N/A,#N/A,FALSE,"ALM-ASISC"}</definedName>
    <definedName name="www" localSheetId="3">#REF!</definedName>
    <definedName name="www">#REF!</definedName>
    <definedName name="WWWW" localSheetId="3">[0]!BlankMacro1</definedName>
    <definedName name="WWWW" localSheetId="9">[0]!BlankMacro1</definedName>
    <definedName name="WWWW">[0]!BlankMacro1</definedName>
    <definedName name="x" hidden="1">{#N/A,#N/A,FALSE,"Aging Summary";#N/A,#N/A,FALSE,"Ratio Analysis";#N/A,#N/A,FALSE,"Test 120 Day Accts";#N/A,#N/A,FALSE,"Tickmarks"}</definedName>
    <definedName name="XDDXX" localSheetId="3">[0]!BlankMacro1</definedName>
    <definedName name="XDDXX" localSheetId="9">[0]!BlankMacro1</definedName>
    <definedName name="XDDXX">[0]!BlankMacro1</definedName>
    <definedName name="XMDate" localSheetId="3">#REF!</definedName>
    <definedName name="XMDate">#REF!</definedName>
    <definedName name="XMDescr" localSheetId="3">#REF!</definedName>
    <definedName name="XMDescr">#REF!</definedName>
    <definedName name="XMFile" localSheetId="3">#REF!</definedName>
    <definedName name="XMFile">#REF!</definedName>
    <definedName name="xRate" localSheetId="3">#REF!</definedName>
    <definedName name="xRate">#REF!</definedName>
    <definedName name="xref" localSheetId="3">#REF!</definedName>
    <definedName name="xref">#REF!</definedName>
    <definedName name="XREF_COLUMN_1" localSheetId="3" hidden="1">#REF!</definedName>
    <definedName name="XREF_COLUMN_1" hidden="1">#REF!</definedName>
    <definedName name="XREF_COLUMN_2" localSheetId="3" hidden="1">#REF!</definedName>
    <definedName name="XREF_COLUMN_2" hidden="1">#REF!</definedName>
    <definedName name="XREF_COLUMN_3" localSheetId="3" hidden="1">#REF!</definedName>
    <definedName name="XREF_COLUMN_3" hidden="1">#REF!</definedName>
    <definedName name="XREF_COLUMN_4" localSheetId="3" hidden="1">#REF!</definedName>
    <definedName name="XREF_COLUMN_4" hidden="1">#REF!</definedName>
    <definedName name="XRefActiveRow" localSheetId="3" hidden="1">#REF!</definedName>
    <definedName name="XRefActiveRow" hidden="1">#REF!</definedName>
    <definedName name="XRefColumnsCount" hidden="1">2</definedName>
    <definedName name="XRefCopy1" localSheetId="3" hidden="1">#REF!</definedName>
    <definedName name="XRefCopy1" hidden="1">#REF!</definedName>
    <definedName name="XRefCopy1Row" localSheetId="3" hidden="1">#REF!</definedName>
    <definedName name="XRefCopy1Row" hidden="1">#REF!</definedName>
    <definedName name="XRefCopy2" localSheetId="3" hidden="1">#REF!</definedName>
    <definedName name="XRefCopy2" hidden="1">#REF!</definedName>
    <definedName name="XRefCopy2Row" localSheetId="3" hidden="1">#REF!</definedName>
    <definedName name="XRefCopy2Row" hidden="1">#REF!</definedName>
    <definedName name="XRefCopy3" localSheetId="3" hidden="1">#REF!</definedName>
    <definedName name="XRefCopy3" hidden="1">#REF!</definedName>
    <definedName name="XRefCopy3Row" localSheetId="3" hidden="1">#REF!</definedName>
    <definedName name="XRefCopy3Row" hidden="1">#REF!</definedName>
    <definedName name="XRefCopy4" localSheetId="3" hidden="1">#REF!</definedName>
    <definedName name="XRefCopy4" hidden="1">#REF!</definedName>
    <definedName name="XRefCopy4Row" localSheetId="3" hidden="1">#REF!</definedName>
    <definedName name="XRefCopy4Row" hidden="1">#REF!</definedName>
    <definedName name="XRefCopy5" localSheetId="3" hidden="1">#REF!</definedName>
    <definedName name="XRefCopy5" hidden="1">#REF!</definedName>
    <definedName name="XRefCopy5Row" localSheetId="3" hidden="1">#REF!</definedName>
    <definedName name="XRefCopy5Row" hidden="1">#REF!</definedName>
    <definedName name="XRefCopy6" localSheetId="3" hidden="1">#REF!</definedName>
    <definedName name="XRefCopy6" hidden="1">#REF!</definedName>
    <definedName name="XRefCopy6Row" localSheetId="3" hidden="1">#REF!</definedName>
    <definedName name="XRefCopy6Row" hidden="1">#REF!</definedName>
    <definedName name="XRefCopyRangeCount" hidden="1">2</definedName>
    <definedName name="XRefPaste1" localSheetId="3" hidden="1">#REF!</definedName>
    <definedName name="XRefPaste1" hidden="1">#REF!</definedName>
    <definedName name="XRefPaste1Row" localSheetId="3" hidden="1">#REF!</definedName>
    <definedName name="XRefPaste1Row" hidden="1">#REF!</definedName>
    <definedName name="XRefPaste2" localSheetId="3" hidden="1">#REF!</definedName>
    <definedName name="XRefPaste2" hidden="1">#REF!</definedName>
    <definedName name="XRefPaste2Row" localSheetId="3" hidden="1">#REF!</definedName>
    <definedName name="XRefPaste2Row" hidden="1">#REF!</definedName>
    <definedName name="XRefPaste3" localSheetId="3" hidden="1">#REF!</definedName>
    <definedName name="XRefPaste3" hidden="1">#REF!</definedName>
    <definedName name="XRefPaste3Row" localSheetId="3" hidden="1">#REF!</definedName>
    <definedName name="XRefPaste3Row" hidden="1">#REF!</definedName>
    <definedName name="XRefPaste4" localSheetId="3" hidden="1">#REF!</definedName>
    <definedName name="XRefPaste4" hidden="1">#REF!</definedName>
    <definedName name="XRefPaste4Row" localSheetId="3" hidden="1">#REF!</definedName>
    <definedName name="XRefPaste4Row" hidden="1">#REF!</definedName>
    <definedName name="XRefPaste5" localSheetId="3" hidden="1">#REF!</definedName>
    <definedName name="XRefPaste5" hidden="1">#REF!</definedName>
    <definedName name="XRefPaste5Row" localSheetId="3" hidden="1">#REF!</definedName>
    <definedName name="XRefPaste5Row" hidden="1">#REF!</definedName>
    <definedName name="XRefPaste6" localSheetId="3" hidden="1">#REF!</definedName>
    <definedName name="XRefPaste6" hidden="1">#REF!</definedName>
    <definedName name="XRefPaste6Row" localSheetId="3" hidden="1">#REF!</definedName>
    <definedName name="XRefPaste6Row" hidden="1">#REF!</definedName>
    <definedName name="XRefPaste7" localSheetId="3" hidden="1">#REF!</definedName>
    <definedName name="XRefPaste7" hidden="1">#REF!</definedName>
    <definedName name="XRefPasteRangeCount" hidden="1">6</definedName>
    <definedName name="xxx">[0]!xxx</definedName>
    <definedName name="xxxx">[0]!xxxx</definedName>
    <definedName name="xyz" localSheetId="3">#REF!</definedName>
    <definedName name="xyz">#REF!</definedName>
    <definedName name="Y" localSheetId="3">#REF!</definedName>
    <definedName name="Y">#REF!</definedName>
    <definedName name="y00fte" localSheetId="3">#REF!</definedName>
    <definedName name="y00fte">#REF!</definedName>
    <definedName name="y99fte" localSheetId="3">#REF!</definedName>
    <definedName name="y99fte">#REF!</definedName>
    <definedName name="ya" hidden="1">{#N/A,#N/A,FALSE,"Aging Summary";#N/A,#N/A,FALSE,"Ratio Analysis";#N/A,#N/A,FALSE,"Test 120 Day Accts";#N/A,#N/A,FALSE,"Tickmarks"}</definedName>
    <definedName name="Year_end_exchange_rate" localSheetId="3">#REF!</definedName>
    <definedName name="Year_end_exchange_rate">#REF!</definedName>
    <definedName name="Year_ended" localSheetId="3">#REF!</definedName>
    <definedName name="Year_ended">#REF!</definedName>
    <definedName name="yell">[0]!yell</definedName>
    <definedName name="yells">[0]!yells</definedName>
    <definedName name="yells2">[0]!yells2</definedName>
    <definedName name="yh" hidden="1">{#N/A,#N/A,FALSE,"Aging Summary";#N/A,#N/A,FALSE,"Ratio Analysis";#N/A,#N/A,FALSE,"Test 120 Day Accts";#N/A,#N/A,FALSE,"Tickmarks"}</definedName>
    <definedName name="YIHR" localSheetId="3">#REF!</definedName>
    <definedName name="YIHR">#REF!</definedName>
    <definedName name="YIHR1" localSheetId="3">#REF!</definedName>
    <definedName name="YIHR1">#REF!</definedName>
    <definedName name="YIHR2" localSheetId="3">#REF!</definedName>
    <definedName name="YIHR2">#REF!</definedName>
    <definedName name="YIHR3" localSheetId="3">#REF!</definedName>
    <definedName name="YIHR3">#REF!</definedName>
    <definedName name="YIHR4" localSheetId="3">#REF!</definedName>
    <definedName name="YIHR4">#REF!</definedName>
    <definedName name="YIHR5" localSheetId="3">#REF!</definedName>
    <definedName name="YIHR5">#REF!</definedName>
    <definedName name="YIHR6" localSheetId="3">#REF!</definedName>
    <definedName name="YIHR6">#REF!</definedName>
    <definedName name="YTD" localSheetId="3">#REF!</definedName>
    <definedName name="YTD">#REF!</definedName>
    <definedName name="ytytyt" hidden="1">{#N/A,#N/A,FALSE,"Aging Summary";#N/A,#N/A,FALSE,"Ratio Analysis";#N/A,#N/A,FALSE,"Test 120 Day Accts";#N/A,#N/A,FALSE,"Tickmarks"}</definedName>
    <definedName name="yyy" localSheetId="3">#REF!</definedName>
    <definedName name="yyy">#REF!</definedName>
    <definedName name="YYYYYYYYY" localSheetId="3">[0]!BlankMacro1</definedName>
    <definedName name="YYYYYYYYY" localSheetId="9">[0]!BlankMacro1</definedName>
    <definedName name="YYYYYYYYY">[0]!BlankMacro1</definedName>
    <definedName name="z" hidden="1">{#N/A,#N/A,FALSE,"Aging Summary";#N/A,#N/A,FALSE,"Ratio Analysis";#N/A,#N/A,FALSE,"Test 120 Day Accts";#N/A,#N/A,FALSE,"Tickmarks"}</definedName>
    <definedName name="ZX">#N/A</definedName>
    <definedName name="ZXCV" localSheetId="3">[0]!BlankMacro1</definedName>
    <definedName name="ZXCV" localSheetId="9">[0]!BlankMacro1</definedName>
    <definedName name="ZXCV">[0]!BlankMacro1</definedName>
    <definedName name="ZZZ" hidden="1">{#N/A,#N/A,FALSE,"Aging Summary";#N/A,#N/A,FALSE,"Ratio Analysis";#N/A,#N/A,FALSE,"Test 120 Day Accts";#N/A,#N/A,FALSE,"Tickmarks"}</definedName>
    <definedName name="zzzz" localSheetId="3">#REF!</definedName>
    <definedName name="zzzz">#REF!</definedName>
    <definedName name="Ε_샥dⅨ" localSheetId="3">#REF!</definedName>
    <definedName name="Ε_샥dⅨ">#REF!</definedName>
    <definedName name="ㄱ" hidden="1">{#N/A,#N/A,FALSE,"Aging Summary";#N/A,#N/A,FALSE,"Ratio Analysis";#N/A,#N/A,FALSE,"Test 120 Day Accts";#N/A,#N/A,FALSE,"Tickmarks"}</definedName>
    <definedName name="ㄱ1" localSheetId="3">#REF!</definedName>
    <definedName name="ㄱ1">#REF!</definedName>
    <definedName name="ㄱㄱ" hidden="1">{#N/A,#N/A,FALSE,"Aging Summary";#N/A,#N/A,FALSE,"Ratio Analysis";#N/A,#N/A,FALSE,"Test 120 Day Accts";#N/A,#N/A,FALSE,"Tickmarks"}</definedName>
    <definedName name="ㄱㄱㄱ" hidden="1">{"'Desktop Inventory 현황'!$B$2:$O$35"}</definedName>
    <definedName name="ㄱ쇽" localSheetId="3">#REF!</definedName>
    <definedName name="ㄱ쇽">#REF!</definedName>
    <definedName name="ㄱ쇽쇼" localSheetId="3">#REF!</definedName>
    <definedName name="ㄱ쇽쇼">#REF!</definedName>
    <definedName name="ㄱ쇽쇼굑" localSheetId="3">#REF!</definedName>
    <definedName name="ㄱ쇽쇼굑">#REF!</definedName>
    <definedName name="ㄱ쇽쇽" localSheetId="3">#REF!</definedName>
    <definedName name="ㄱ쇽쇽">#REF!</definedName>
    <definedName name="ㄱ쇽쇽쇼" localSheetId="3">#REF!</definedName>
    <definedName name="ㄱ쇽쇽쇼">#REF!</definedName>
    <definedName name="ㄱㅎㄷㄱㅎ" hidden="1">{#N/A,#N/A,FALSE,"ALM-ASISC"}</definedName>
    <definedName name="가" localSheetId="3" hidden="1">#REF!</definedName>
    <definedName name="가" hidden="1">#REF!</definedName>
    <definedName name="가1" hidden="1">{#N/A,#N/A,TRUE,"Y생산";#N/A,#N/A,TRUE,"Y판매";#N/A,#N/A,TRUE,"Y총물량";#N/A,#N/A,TRUE,"Y능력";#N/A,#N/A,TRUE,"YKD"}</definedName>
    <definedName name="가결산사용재고범위" localSheetId="3">#REF!</definedName>
    <definedName name="가결산사용재고범위">#REF!</definedName>
    <definedName name="가나" hidden="1">{#N/A,#N/A,FALSE,"Aging Summary";#N/A,#N/A,FALSE,"Ratio Analysis";#N/A,#N/A,FALSE,"Test 120 Day Accts";#N/A,#N/A,FALSE,"Tickmarks"}</definedName>
    <definedName name="가나다" localSheetId="3">#REF!</definedName>
    <definedName name="가나다">#REF!</definedName>
    <definedName name="가나다라" localSheetId="3">#REF!</definedName>
    <definedName name="가나다라">#REF!</definedName>
    <definedName name="가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가로손익계산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가미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각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간접원가" localSheetId="3">[0]!BlankMacro1</definedName>
    <definedName name="간접원가" localSheetId="9">[0]!BlankMacro1</definedName>
    <definedName name="간접원가">[0]!BlankMacro1</definedName>
    <definedName name="간지2">{"일요일";"월요일";"화요일";"수요일";"목요일";"금요일";"토요일"}</definedName>
    <definedName name="간지3">{"일요일";"월요일";"화요일";"수요일";"목요일";"금요일";"토요일"}</definedName>
    <definedName name="감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감가overall" hidden="1">{#N/A,#N/A,FALSE,"Aging Summary";#N/A,#N/A,FALSE,"Ratio Analysis";#N/A,#N/A,FALSE,"Test 120 Day Accts";#N/A,#N/A,FALSE,"Tickmarks"}</definedName>
    <definedName name="감가상각" localSheetId="3">#REF!</definedName>
    <definedName name="감가상각">#REF!</definedName>
    <definedName name="감가상각년수" localSheetId="3">#REF!</definedName>
    <definedName name="감가상각년수">#REF!</definedName>
    <definedName name="감가상각률" localSheetId="3">#REF!</definedName>
    <definedName name="감가상각률">#REF!</definedName>
    <definedName name="감가상각비" localSheetId="3">#REF!</definedName>
    <definedName name="감가상각비">#REF!</definedName>
    <definedName name="감가상각비2" hidden="1">{#N/A,#N/A,FALSE,"Aging Summary";#N/A,#N/A,FALSE,"Ratio Analysis";#N/A,#N/A,FALSE,"Test 120 Day Accts";#N/A,#N/A,FALSE,"Tickmarks"}</definedName>
    <definedName name="강" localSheetId="3">[0]!BlankMacro1</definedName>
    <definedName name="강" localSheetId="9">[0]!BlankMacro1</definedName>
    <definedName name="강">[0]!BlankMacro1</definedName>
    <definedName name="강용" hidden="1">{"'Sheet1'!$A$1:$H$36"}</definedName>
    <definedName name="강원트래픽" localSheetId="3">#REF!</definedName>
    <definedName name="강원트래픽">#REF!</definedName>
    <definedName name="개발" hidden="1">{"'Desktop Inventory 현황'!$B$2:$O$35"}</definedName>
    <definedName name="개별손익" hidden="1">{#N/A,#N/A,FALSE,"Aging Summary";#N/A,#N/A,FALSE,"Ratio Analysis";#N/A,#N/A,FALSE,"Test 120 Day Accts";#N/A,#N/A,FALSE,"Tickmarks"}</definedName>
    <definedName name="개월" localSheetId="3">#REF!</definedName>
    <definedName name="개월">#REF!</definedName>
    <definedName name="갤로" hidden="1">{#N/A,#N/A,FALSE,"정공"}</definedName>
    <definedName name="거_래_선_명" localSheetId="3">#REF!</definedName>
    <definedName name="거_래_선_명">#REF!</definedName>
    <definedName name="거래선명" localSheetId="3">#REF!</definedName>
    <definedName name="거래선명">#REF!</definedName>
    <definedName name="거래처명1" localSheetId="3">#REF!</definedName>
    <definedName name="거래처명1">#REF!</definedName>
    <definedName name="건가_개발비" localSheetId="3">#REF!</definedName>
    <definedName name="건가_개발비">#REF!</definedName>
    <definedName name="견적번호" localSheetId="3">#REF!</definedName>
    <definedName name="견적번호">#REF!</definedName>
    <definedName name="결손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결손금" hidden="1">{#N/A,#N/A,FALSE,"Aging Summary";#N/A,#N/A,FALSE,"Ratio Analysis";#N/A,#N/A,FALSE,"Test 120 Day Accts";#N/A,#N/A,FALSE,"Tickmarks"}</definedName>
    <definedName name="결손등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경비실적" hidden="1">{#N/A,#N/A,FALSE,"정공"}</definedName>
    <definedName name="경영지원부문" localSheetId="3">#REF!</definedName>
    <definedName name="경영지원부문">#REF!</definedName>
    <definedName name="계" localSheetId="3">#REF!</definedName>
    <definedName name="계">#REF!</definedName>
    <definedName name="계정1" localSheetId="3">#REF!</definedName>
    <definedName name="계정1">#REF!</definedName>
    <definedName name="계정11" localSheetId="3">#REF!</definedName>
    <definedName name="계정11">#REF!</definedName>
    <definedName name="계정2" localSheetId="3">#REF!</definedName>
    <definedName name="계정2">#REF!</definedName>
    <definedName name="계정3" localSheetId="3">#REF!</definedName>
    <definedName name="계정3">#REF!</definedName>
    <definedName name="계정4" localSheetId="3">#REF!</definedName>
    <definedName name="계정4">#REF!</definedName>
    <definedName name="계정과목" localSheetId="3">#REF!</definedName>
    <definedName name="계정과목">#REF!</definedName>
    <definedName name="계정과목2" localSheetId="3">#REF!</definedName>
    <definedName name="계정과목2">#REF!</definedName>
    <definedName name="계획2" hidden="1">{#N/A,#N/A,FALSE,"정공"}</definedName>
    <definedName name="계획표" localSheetId="3">#REF!</definedName>
    <definedName name="계획표">#REF!</definedName>
    <definedName name="고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고객사별Site별부서별_수량" localSheetId="3">#REF!</definedName>
    <definedName name="고객사별Site별부서별_수량">#REF!</definedName>
    <definedName name="고급" localSheetId="3">#REF!</definedName>
    <definedName name="고급">#REF!</definedName>
    <definedName name="고기" localSheetId="3">#REF!</definedName>
    <definedName name="고기">#REF!</definedName>
    <definedName name="고능" localSheetId="3">#REF!</definedName>
    <definedName name="고능">#REF!</definedName>
    <definedName name="고술" localSheetId="3">#REF!</definedName>
    <definedName name="고술">#REF!</definedName>
    <definedName name="고정광고비" localSheetId="3">#REF!</definedName>
    <definedName name="고정광고비">#REF!</definedName>
    <definedName name="고정부채" localSheetId="3">#REF!</definedName>
    <definedName name="고정부채">#REF!</definedName>
    <definedName name="공300" localSheetId="3">#REF!</definedName>
    <definedName name="공300">#REF!</definedName>
    <definedName name="공관" localSheetId="3">[0]!BlankMacro1</definedName>
    <definedName name="공관" localSheetId="9">[0]!BlankMacro1</definedName>
    <definedName name="공관">[0]!BlankMacro1</definedName>
    <definedName name="공구이칠" localSheetId="3">#REF!</definedName>
    <definedName name="공구이칠">#REF!</definedName>
    <definedName name="공사설명서" hidden="1">{#N/A,#N/A,FALSE,"ALM-ASISC"}</definedName>
    <definedName name="공수투입" hidden="1">{#N/A,#N/A,FALSE,"정공"}</definedName>
    <definedName name="공정" localSheetId="3">[0]!BlankMacro1</definedName>
    <definedName name="공정" localSheetId="9">[0]!BlankMacro1</definedName>
    <definedName name="공정">[0]!BlankMacro1</definedName>
    <definedName name="공정1" localSheetId="3">[0]!BlankMacro1</definedName>
    <definedName name="공정1" localSheetId="9">[0]!BlankMacro1</definedName>
    <definedName name="공정1">[0]!BlankMacro1</definedName>
    <definedName name="공정2" localSheetId="3">[0]!BlankMacro1</definedName>
    <definedName name="공정2" localSheetId="9">[0]!BlankMacro1</definedName>
    <definedName name="공정2">[0]!BlankMacro1</definedName>
    <definedName name="공정3" localSheetId="3">[0]!BlankMacro1</definedName>
    <definedName name="공정3" localSheetId="9">[0]!BlankMacro1</definedName>
    <definedName name="공정3">[0]!BlankMacro1</definedName>
    <definedName name="공정관리" localSheetId="3">[0]!BlankMacro1</definedName>
    <definedName name="공정관리" localSheetId="9">[0]!BlankMacro1</definedName>
    <definedName name="공정관리">[0]!BlankMacro1</definedName>
    <definedName name="공통광고비" localSheetId="3">#REF!</definedName>
    <definedName name="공통광고비">#REF!</definedName>
    <definedName name="공통운영비" localSheetId="3">#REF!</definedName>
    <definedName name="공통운영비">#REF!</definedName>
    <definedName name="과정" localSheetId="3">#REF!</definedName>
    <definedName name="과정">#REF!</definedName>
    <definedName name="關係會社外上買入金明細書" localSheetId="3">#REF!</definedName>
    <definedName name="關係會社外上買入金明細書">#REF!</definedName>
    <definedName name="관리요율" localSheetId="3">#REF!</definedName>
    <definedName name="관리요율">#REF!</definedName>
    <definedName name="관할_소관_세무서" localSheetId="3">#REF!</definedName>
    <definedName name="관할_소관_세무서">#REF!</definedName>
    <definedName name="관할세무서지" localSheetId="3">#REF!</definedName>
    <definedName name="관할세무서지">#REF!</definedName>
    <definedName name="구매부품TOT" hidden="1">{#N/A,#N/A,FALSE,"Aging Summary";#N/A,#N/A,FALSE,"Ratio Analysis";#N/A,#N/A,FALSE,"Test 120 Day Accts";#N/A,#N/A,FALSE,"Tickmarks"}</definedName>
    <definedName name="구매할인율" localSheetId="3">#REF!</definedName>
    <definedName name="구매할인율">#REF!</definedName>
    <definedName name="구분1" localSheetId="3">#REF!</definedName>
    <definedName name="구분1">#REF!</definedName>
    <definedName name="구분손이계산" hidden="1">{#N/A,#N/A,FALSE,"Aging Summary";#N/A,#N/A,FALSE,"Ratio Analysis";#N/A,#N/A,FALSE,"Test 120 Day Accts";#N/A,#N/A,FALSE,"Tickmarks"}</definedName>
    <definedName name="구분손익" hidden="1">{#N/A,#N/A,FALSE,"Aging Summary";#N/A,#N/A,FALSE,"Ratio Analysis";#N/A,#N/A,FALSE,"Test 120 Day Accts";#N/A,#N/A,FALSE,"Tickmarks"}</definedName>
    <definedName name="구축본부" hidden="1">{#N/A,#N/A,FALSE,"3가";#N/A,#N/A,FALSE,"3나";#N/A,#N/A,FALSE,"3다"}</definedName>
    <definedName name="국고" hidden="1">{#N/A,#N/A,FALSE,"Aging Summary";#N/A,#N/A,FALSE,"Ratio Analysis";#N/A,#N/A,FALSE,"Test 120 Day Accts";#N/A,#N/A,FALSE,"Tickmarks"}</definedName>
    <definedName name="국내abs" localSheetId="3">#REF!</definedName>
    <definedName name="국내abs">#REF!</definedName>
    <definedName name="국민연금전환금" localSheetId="3">#REF!</definedName>
    <definedName name="국민연금전환금">#REF!</definedName>
    <definedName name="국소수_서울" localSheetId="3">#REF!</definedName>
    <definedName name="국소수_서울">#REF!</definedName>
    <definedName name="국제거래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규남이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그래드">[0]!그래드</definedName>
    <definedName name="금월" hidden="1">{#N/A,#N/A,TRUE,"Y생산";#N/A,#N/A,TRUE,"Y판매";#N/A,#N/A,TRUE,"Y총물량";#N/A,#N/A,TRUE,"Y능력";#N/A,#N/A,TRUE,"YKD"}</definedName>
    <definedName name="급여" localSheetId="3">#REF!</definedName>
    <definedName name="급여">#REF!</definedName>
    <definedName name="급여A" localSheetId="3">#REF!</definedName>
    <definedName name="급여A">#REF!</definedName>
    <definedName name="급여테스트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기말" localSheetId="3">#REF!</definedName>
    <definedName name="기말">#REF!</definedName>
    <definedName name="기말고정부채" localSheetId="3">#REF!</definedName>
    <definedName name="기말고정부채">#REF!</definedName>
    <definedName name="기말당좌자산" localSheetId="3">#REF!</definedName>
    <definedName name="기말당좌자산">#REF!</definedName>
    <definedName name="기말매출채권" localSheetId="3">#REF!</definedName>
    <definedName name="기말매출채권">#REF!</definedName>
    <definedName name="기말부채총계" localSheetId="3">#REF!</definedName>
    <definedName name="기말부채총계">#REF!</definedName>
    <definedName name="기말유동부채" localSheetId="3">#REF!</definedName>
    <definedName name="기말유동부채">#REF!</definedName>
    <definedName name="기말유동자산" localSheetId="3">#REF!</definedName>
    <definedName name="기말유동자산">#REF!</definedName>
    <definedName name="기말자기자본" localSheetId="3">#REF!</definedName>
    <definedName name="기말자기자본">#REF!</definedName>
    <definedName name="기말자산총계" localSheetId="3">#REF!</definedName>
    <definedName name="기말자산총계">#REF!</definedName>
    <definedName name="기말재고자산" localSheetId="3">#REF!</definedName>
    <definedName name="기말재고자산">#REF!</definedName>
    <definedName name="기말환율" localSheetId="3">#REF!</definedName>
    <definedName name="기말환율">#REF!</definedName>
    <definedName name="기본2" localSheetId="3" hidden="1">#REF!</definedName>
    <definedName name="기본2" hidden="1">#REF!</definedName>
    <definedName name="기산일" localSheetId="3">#REF!</definedName>
    <definedName name="기산일">#REF!</definedName>
    <definedName name="기술등급" localSheetId="3">#REF!</definedName>
    <definedName name="기술등급">#REF!</definedName>
    <definedName name="기아모텍" hidden="1">{#N/A,#N/A,FALSE,"정공"}</definedName>
    <definedName name="기아전자" hidden="1">{#N/A,#N/A,FALSE,"정공"}</definedName>
    <definedName name="기업투자" localSheetId="3">#REF!</definedName>
    <definedName name="기업투자">#REF!</definedName>
    <definedName name="기은" hidden="1">{"'Desktop Inventory 현황'!$B$2:$O$35"}</definedName>
    <definedName name="기준Factor_SRC" hidden="1">{"'Desktop Inventory 현황'!$B$2:$O$35"}</definedName>
    <definedName name="기준인원" localSheetId="3">#REF!</definedName>
    <definedName name="기준인원">#REF!</definedName>
    <definedName name="기준일96" localSheetId="3">#REF!</definedName>
    <definedName name="기준일96">#REF!</definedName>
    <definedName name="기준점" localSheetId="3">#REF!</definedName>
    <definedName name="기준점">#REF!</definedName>
    <definedName name="기초매출채권" localSheetId="3">#REF!</definedName>
    <definedName name="기초매출채권">#REF!</definedName>
    <definedName name="기초자기자본" localSheetId="3">#REF!</definedName>
    <definedName name="기초자기자본">#REF!</definedName>
    <definedName name="기초자산총계" localSheetId="3">#REF!</definedName>
    <definedName name="기초자산총계">#REF!</definedName>
    <definedName name="기초재고자산" localSheetId="3">#REF!</definedName>
    <definedName name="기초재고자산">#REF!</definedName>
    <definedName name="기타" localSheetId="3">#REF!</definedName>
    <definedName name="기타">#REF!</definedName>
    <definedName name="기타_5" localSheetId="3">#REF!</definedName>
    <definedName name="기타_5">#REF!</definedName>
    <definedName name="기타_6" localSheetId="3">#REF!</definedName>
    <definedName name="기타_6">#REF!</definedName>
    <definedName name="기타_7" localSheetId="3">#REF!</definedName>
    <definedName name="기타_7">#REF!</definedName>
    <definedName name="기타경비" localSheetId="3">#REF!</definedName>
    <definedName name="기타경비">#REF!</definedName>
    <definedName name="기타예수" localSheetId="3" hidden="1">#REF!</definedName>
    <definedName name="기타예수" hidden="1">#REF!</definedName>
    <definedName name="기타예수금" localSheetId="3" hidden="1">#REF!</definedName>
    <definedName name="기타예수금" hidden="1">#REF!</definedName>
    <definedName name="기타예수금3" localSheetId="3" hidden="1">#REF!</definedName>
    <definedName name="기타예수금3" hidden="1">#REF!</definedName>
    <definedName name="기타제외" localSheetId="3">#REF!</definedName>
    <definedName name="기타제외">#REF!</definedName>
    <definedName name="김" hidden="1">{#N/A,#N/A,FALSE,"Aging Summary";#N/A,#N/A,FALSE,"Ratio Analysis";#N/A,#N/A,FALSE,"Test 120 Day Accts";#N/A,#N/A,FALSE,"Tickmarks"}</definedName>
    <definedName name="김명호SW" localSheetId="3">#REF!</definedName>
    <definedName name="김명호SW">#REF!</definedName>
    <definedName name="김상구" localSheetId="3">[0]!BlankMacro1</definedName>
    <definedName name="김상구" localSheetId="9">[0]!BlankMacro1</definedName>
    <definedName name="김상구">[0]!BlankMacro1</definedName>
    <definedName name="김성진" hidden="1">{#N/A,#N/A,FALSE,"Aging Summary";#N/A,#N/A,FALSE,"Ratio Analysis";#N/A,#N/A,FALSE,"Test 120 Day Accts";#N/A,#N/A,FALSE,"Tickmarks"}</definedName>
    <definedName name="ㄳㄱ" hidden="1">{#N/A,#N/A,FALSE,"Aging Summary";#N/A,#N/A,FALSE,"Ratio Analysis";#N/A,#N/A,FALSE,"Test 120 Day Accts";#N/A,#N/A,FALSE,"Tickmarks"}</definedName>
    <definedName name="ㄴ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ㄴㄴ" localSheetId="3">#REF!:_RjC2</definedName>
    <definedName name="ㄴㄴ" localSheetId="9">#REF!:_RjC2</definedName>
    <definedName name="ㄴㄴ">#REF!:_RjC2</definedName>
    <definedName name="ㄴㄴㄴ" localSheetId="3">#REF!</definedName>
    <definedName name="ㄴㄴㄴ">#REF!</definedName>
    <definedName name="ㄴㄴㄴㄴㄴㄴㄴㄴ" hidden="1">{"'Sheet1'!$A$1:$H$36"}</definedName>
    <definedName name="ㄴㄴㄴㄴㄴㄴㄴㄴㄴㄴㄴㄴㄴㄴㄴ" localSheetId="3">#REF!</definedName>
    <definedName name="ㄴㄴㄴㄴㄴㄴㄴㄴㄴㄴㄴㄴㄴㄴㄴ">#REF!</definedName>
    <definedName name="ㄴㄷㅇ" localSheetId="3">#REF!</definedName>
    <definedName name="ㄴㄷㅇ">#REF!</definedName>
    <definedName name="ㄴㄹ" hidden="1">{#N/A,#N/A,FALSE,"ALM-ASISC"}</definedName>
    <definedName name="ㄴㄹㅇ" hidden="1">{#N/A,#N/A,FALSE,"Aging Summary";#N/A,#N/A,FALSE,"Ratio Analysis";#N/A,#N/A,FALSE,"Test 120 Day Accts";#N/A,#N/A,FALSE,"Tickmarks"}</definedName>
    <definedName name="ㄴㅁㅇ" hidden="1">{#N/A,#N/A,FALSE,"ALM-ASISC"}</definedName>
    <definedName name="ㄴㅁㅇㅁ" localSheetId="3">#REF!</definedName>
    <definedName name="ㄴㅁㅇㅁ">#REF!</definedName>
    <definedName name="ㄴㅇ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ㄴㅇㄹ" hidden="1">{#N/A,#N/A,FALSE,"3가";#N/A,#N/A,FALSE,"3나";#N/A,#N/A,FALSE,"3다"}</definedName>
    <definedName name="ㄴㅇㄹㄴㅇㄹ" localSheetId="3">#REF!</definedName>
    <definedName name="ㄴㅇㄹㄴㅇㄹ">#REF!</definedName>
    <definedName name="ㄴㅇㄹㄷ" localSheetId="3">#REF!</definedName>
    <definedName name="ㄴㅇㄹㄷ">#REF!</definedName>
    <definedName name="ㄴㅇㄹㅇㄹ" localSheetId="3">#REF!</definedName>
    <definedName name="ㄴㅇㄹㅇㄹ">#REF!</definedName>
    <definedName name="ㄴㅇ란ㅇ" localSheetId="3">[0]!BlankMacro1</definedName>
    <definedName name="ㄴㅇ란ㅇ" localSheetId="9">[0]!BlankMacro1</definedName>
    <definedName name="ㄴㅇ란ㅇ">[0]!BlankMacro1</definedName>
    <definedName name="ㄴㅇㅎ" localSheetId="3">[0]!BlankMacro1</definedName>
    <definedName name="ㄴㅇㅎ" localSheetId="9">[0]!BlankMacro1</definedName>
    <definedName name="ㄴㅇㅎ">[0]!BlankMacro1</definedName>
    <definedName name="ㄴ아러" hidden="1">{#N/A,#N/A,FALSE,"ALM-ASISC"}</definedName>
    <definedName name="나" hidden="1">{#N/A,#N/A,FALSE,"Aging Summary";#N/A,#N/A,FALSE,"Ratio Analysis";#N/A,#N/A,FALSE,"Test 120 Day Accts";#N/A,#N/A,FALSE,"Tickmarks"}</definedName>
    <definedName name="나나" localSheetId="3" hidden="1">#REF!</definedName>
    <definedName name="나나" hidden="1">#REF!</definedName>
    <definedName name="나나나나" localSheetId="3" hidden="1">#REF!</definedName>
    <definedName name="나나나나" hidden="1">#REF!</definedName>
    <definedName name="나이스" localSheetId="3">#REF!</definedName>
    <definedName name="나이스">#REF!</definedName>
    <definedName name="나이스이익" localSheetId="3">#REF!</definedName>
    <definedName name="나이스이익">#REF!</definedName>
    <definedName name="난데어이" localSheetId="3">[0]!BlankMacro1</definedName>
    <definedName name="난데어이" localSheetId="9">[0]!BlankMacro1</definedName>
    <definedName name="난데어이">[0]!BlankMacro1</definedName>
    <definedName name="낭" localSheetId="3">[0]!BlankMacro1</definedName>
    <definedName name="낭" localSheetId="9">[0]!BlankMacro1</definedName>
    <definedName name="낭">[0]!BlankMacro1</definedName>
    <definedName name="네트워크MA요율" localSheetId="3">#REF!</definedName>
    <definedName name="네트워크MA요율">#REF!</definedName>
    <definedName name="넷츠고_외상매출금" hidden="1">{#N/A,#N/A,FALSE,"Aging Summary";#N/A,#N/A,FALSE,"Ratio Analysis";#N/A,#N/A,FALSE,"Test 120 Day Accts";#N/A,#N/A,FALSE,"Tickmarks"}</definedName>
    <definedName name="년" localSheetId="3">#REF!</definedName>
    <definedName name="년">#REF!</definedName>
    <definedName name="년간상여지급율96" localSheetId="3">#REF!</definedName>
    <definedName name="년간상여지급율96">#REF!</definedName>
    <definedName name="논">{"일요일";"월요일";"화요일";"수요일";"목요일";"금요일";"토요일"}</definedName>
    <definedName name="누적비율11월" localSheetId="3">#REF!</definedName>
    <definedName name="누적비율11월">#REF!</definedName>
    <definedName name="ㄶㅇ" localSheetId="3">[0]!BlankMacro1</definedName>
    <definedName name="ㄶㅇ" localSheetId="9">[0]!BlankMacro1</definedName>
    <definedName name="ㄶㅇ">[0]!BlankMacro1</definedName>
    <definedName name="ㄷ" hidden="1">{#N/A,#N/A,FALSE,"Aging Summary";#N/A,#N/A,FALSE,"Ratio Analysis";#N/A,#N/A,FALSE,"Test 120 Day Accts";#N/A,#N/A,FALSE,"Tickmarks"}</definedName>
    <definedName name="ㄷ93" localSheetId="3">#REF!</definedName>
    <definedName name="ㄷ93">#REF!</definedName>
    <definedName name="ㄷㄱㄹㄷㅇㄴ" localSheetId="3">#REF!</definedName>
    <definedName name="ㄷㄱㄹㄷㅇㄴ">#REF!</definedName>
    <definedName name="ㄷ가" hidden="1">{#N/A,#N/A,FALSE,"ALM-ASISC"}</definedName>
    <definedName name="ㄷㄴㅁㅇ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ㄷㄷ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ㄷㄷㄷㄷ" localSheetId="3">[0]!BlankMacro1</definedName>
    <definedName name="ㄷㄷㄷㄷ" localSheetId="9">[0]!BlankMacro1</definedName>
    <definedName name="ㄷㄷㄷㄷ">[0]!BlankMacro1</definedName>
    <definedName name="ㄷㄷㄷㄷㄷ" localSheetId="3">[0]!BlankMacro1</definedName>
    <definedName name="ㄷㄷㄷㄷㄷ" localSheetId="9">[0]!BlankMacro1</definedName>
    <definedName name="ㄷㄷㄷㄷㄷ">[0]!BlankMacro1</definedName>
    <definedName name="ㄷㅌㅇㅇ" localSheetId="3">[0]!BlankMacro1</definedName>
    <definedName name="ㄷㅌㅇㅇ" localSheetId="9">[0]!BlankMacro1</definedName>
    <definedName name="ㄷㅌㅇㅇ">[0]!BlankMacro1</definedName>
    <definedName name="ㄷㅎㄹㄴㄹㅇㅎㅇㅁㄴㅁㅎ" hidden="1">{#N/A,#N/A,FALSE,"Aging Summary";#N/A,#N/A,FALSE,"Ratio Analysis";#N/A,#N/A,FALSE,"Test 120 Day Accts";#N/A,#N/A,FALSE,"Tickmarks"}</definedName>
    <definedName name="다" hidden="1">{#N/A,#N/A,FALSE,"ALM-ASISC"}</definedName>
    <definedName name="다니오오" localSheetId="3">[0]!BlankMacro1</definedName>
    <definedName name="다니오오" localSheetId="9">[0]!BlankMacro1</definedName>
    <definedName name="다니오오">[0]!BlankMacro1</definedName>
    <definedName name="다다익선" hidden="1">{#N/A,#N/A,FALSE,"정공"}</definedName>
    <definedName name="다닫이" localSheetId="3">[0]!BlankMacro1</definedName>
    <definedName name="다닫이" localSheetId="9">[0]!BlankMacro1</definedName>
    <definedName name="다닫이">[0]!BlankMacro1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단가표" localSheetId="3">#REF!</definedName>
    <definedName name="단가표">#REF!</definedName>
    <definedName name="단기예치금" hidden="1">{#N/A,#N/A,FALSE,"Aging Summary";#N/A,#N/A,FALSE,"Ratio Analysis";#N/A,#N/A,FALSE,"Test 120 Day Accts";#N/A,#N/A,FALSE,"Tickmarks"}</definedName>
    <definedName name="단기차입금1" localSheetId="3">#REF!</definedName>
    <definedName name="단기차입금1">#REF!</definedName>
    <definedName name="단말기" hidden="1">{#N/A,#N/A,FALSE,"정공"}</definedName>
    <definedName name="단말기번호" hidden="1">{#N/A,#N/A,FALSE,"정공"}</definedName>
    <definedName name="단아라" localSheetId="3">[0]!BlankMacro1</definedName>
    <definedName name="단아라" localSheetId="9">[0]!BlankMacro1</definedName>
    <definedName name="단아라">[0]!BlankMacro1</definedName>
    <definedName name="단아리다" localSheetId="3">[0]!BlankMacro1</definedName>
    <definedName name="단아리다" localSheetId="9">[0]!BlankMacro1</definedName>
    <definedName name="단아리다">[0]!BlankMacro1</definedName>
    <definedName name="단알기" hidden="1">{#N/A,#N/A,FALSE,"정공"}</definedName>
    <definedName name="단위_백만원" localSheetId="3">#REF!</definedName>
    <definedName name="단위_백만원">#REF!</definedName>
    <definedName name="단퇴충당금전입액" localSheetId="3">#REF!</definedName>
    <definedName name="단퇴충당금전입액">#REF!</definedName>
    <definedName name="담당공인회계사" localSheetId="3">#REF!</definedName>
    <definedName name="담당공인회계사">#REF!</definedName>
    <definedName name="당기경상이익" localSheetId="3">#REF!</definedName>
    <definedName name="당기경상이익">#REF!</definedName>
    <definedName name="당기당기순이익" localSheetId="3">#REF!</definedName>
    <definedName name="당기당기순이익">#REF!</definedName>
    <definedName name="당기매출채권" localSheetId="3">#REF!</definedName>
    <definedName name="당기매출채권">#REF!</definedName>
    <definedName name="당기순매출액" localSheetId="3">#REF!</definedName>
    <definedName name="당기순매출액">#REF!</definedName>
    <definedName name="당기순손실" localSheetId="3">#REF!</definedName>
    <definedName name="당기순손실">#REF!</definedName>
    <definedName name="당기순손익" localSheetId="3">#REF!</definedName>
    <definedName name="당기순손익">#REF!</definedName>
    <definedName name="당기유동자산" localSheetId="3">#REF!</definedName>
    <definedName name="당기유동자산">#REF!</definedName>
    <definedName name="대_표_자_명" localSheetId="3">#REF!</definedName>
    <definedName name="대_표_자_명">#REF!</definedName>
    <definedName name="대구486D" localSheetId="3">#REF!</definedName>
    <definedName name="대구486D">#REF!</definedName>
    <definedName name="대덕분배" localSheetId="3">#REF!</definedName>
    <definedName name="대덕분배">#REF!</definedName>
    <definedName name="대리님" hidden="1">{#N/A,#N/A,FALSE,"정공"}</definedName>
    <definedName name="대비" localSheetId="3">#REF!</definedName>
    <definedName name="대비">#REF!</definedName>
    <definedName name="대상List" localSheetId="3">OFFSET(#REF!,0,0,COUNTA(#REF!)-1,COUNTA(#REF!)-1)</definedName>
    <definedName name="대상List">OFFSET(#REF!,0,0,COUNTA(#REF!)-1,COUNTA(#REF!)-1)</definedName>
    <definedName name="대상시트" hidden="1">{#N/A,#N/A,FALSE,"정공"}</definedName>
    <definedName name="대차대조부채자본" localSheetId="3">#REF!</definedName>
    <definedName name="대차대조부채자본">#REF!</definedName>
    <definedName name="대차대조자산" localSheetId="3">#REF!</definedName>
    <definedName name="대차대조자산">#REF!</definedName>
    <definedName name="대차대조표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대표자_주민등록번호" localSheetId="3">#REF!</definedName>
    <definedName name="대표자_주민등록번호">#REF!</definedName>
    <definedName name="대표자명" localSheetId="3">#REF!</definedName>
    <definedName name="대표자명">#REF!</definedName>
    <definedName name="대표자성명" localSheetId="3">#REF!</definedName>
    <definedName name="대표자성명">#REF!</definedName>
    <definedName name="대표자주민등록번호" localSheetId="3">#REF!</definedName>
    <definedName name="대표자주민등록번호">#REF!</definedName>
    <definedName name="대하하시오" localSheetId="3">[0]!BlankMacro1</definedName>
    <definedName name="대하하시오" localSheetId="9">[0]!BlankMacro1</definedName>
    <definedName name="대하하시오">[0]!BlankMacro1</definedName>
    <definedName name="데이터베이스MA요율" localSheetId="3">#REF!</definedName>
    <definedName name="데이터베이스MA요율">#REF!</definedName>
    <definedName name="도" localSheetId="3">#REF!</definedName>
    <definedName name="도">#REF!</definedName>
    <definedName name="도입장비가격2" hidden="1">{"'Desktop Inventory 현황'!$B$2:$O$35"}</definedName>
    <definedName name="돌아버려" hidden="1">{"'Sheet1'!$A$1:$H$36"}</definedName>
    <definedName name="두번째" hidden="1">{#N/A,#N/A,FALSE,"정공"}</definedName>
    <definedName name="두지" hidden="1">{#N/A,#N/A,FALSE,"ALM-ASISC"}</definedName>
    <definedName name="둑ㅈ" hidden="1">{#N/A,#N/A,FALSE,"ALM-ASISC"}</definedName>
    <definedName name="디스크MA요율" localSheetId="3">#REF!</definedName>
    <definedName name="디스크MA요율">#REF!</definedName>
    <definedName name="또왜이래" hidden="1">{"'Sheet1'!$A$1:$H$36"}</definedName>
    <definedName name="ㄹ" hidden="1">{#N/A,#N/A,FALSE,"Aging Summary";#N/A,#N/A,FALSE,"Ratio Analysis";#N/A,#N/A,FALSE,"Test 120 Day Accts";#N/A,#N/A,FALSE,"Tickmarks"}</definedName>
    <definedName name="ㄹㄹ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ㄹㄹㄹ" hidden="1">{"'Desktop Inventory 현황'!$B$2:$O$35"}</definedName>
    <definedName name="ㄹㄹㄹㅇㅇ" localSheetId="3">#REF!</definedName>
    <definedName name="ㄹㄹㄹㅇㅇ">#REF!</definedName>
    <definedName name="ㄹㅇㅁㄴㄹ" hidden="1">{#N/A,#N/A,FALSE,"3가";#N/A,#N/A,FALSE,"3나";#N/A,#N/A,FALSE,"3다"}</definedName>
    <definedName name="ㄹㅇㅎㄴㅇ" localSheetId="3">[0]!BlankMacro1</definedName>
    <definedName name="ㄹㅇㅎㄴㅇ" localSheetId="9">[0]!BlankMacro1</definedName>
    <definedName name="ㄹㅇㅎㄴㅇ">[0]!BlankMacro1</definedName>
    <definedName name="ㄹㅇㅎㅎ" hidden="1">{"'Desktop Inventory 현황'!$B$2:$O$35"}</definedName>
    <definedName name="라" hidden="1">{#N/A,#N/A,FALSE,"ALM-ASISC"}</definedName>
    <definedName name="라마바" localSheetId="3">#REF!</definedName>
    <definedName name="라마바">#REF!</definedName>
    <definedName name="란다리아" hidden="1">{#N/A,#N/A,FALSE,"정공"}</definedName>
    <definedName name="력" localSheetId="3">#REF!</definedName>
    <definedName name="력">#REF!</definedName>
    <definedName name="로6" localSheetId="3">[0]!BlankMacro1</definedName>
    <definedName name="로6" localSheetId="9">[0]!BlankMacro1</definedName>
    <definedName name="로6">[0]!BlankMacro1</definedName>
    <definedName name="루슨트" localSheetId="3">#REF!</definedName>
    <definedName name="루슨트">#REF!</definedName>
    <definedName name="리스미지급금" hidden="1">{#N/A,#N/A,FALSE,"Aging Summary";#N/A,#N/A,FALSE,"Ratio Analysis";#N/A,#N/A,FALSE,"Test 120 Day Accts";#N/A,#N/A,FALSE,"Tickmarks"}</definedName>
    <definedName name="ㄻㄴㄻㅇㄹㅇㅁㄹ" hidden="1">{#N/A,#N/A,FALSE,"Aging Summary";#N/A,#N/A,FALSE,"Ratio Analysis";#N/A,#N/A,FALSE,"Test 120 Day Accts";#N/A,#N/A,FALSE,"Tickmarks"}</definedName>
    <definedName name="ㄻㄹ" hidden="1">{#N/A,#N/A,FALSE,"3가";#N/A,#N/A,FALSE,"3나";#N/A,#N/A,FALSE,"3다"}</definedName>
    <definedName name="ㅀㄹㅇ" localSheetId="3">#REF!</definedName>
    <definedName name="ㅀㄹㅇ">#REF!</definedName>
    <definedName name="ㅀㅇ" localSheetId="3">[0]!BlankMacro1</definedName>
    <definedName name="ㅀㅇ" localSheetId="9">[0]!BlankMacro1</definedName>
    <definedName name="ㅀㅇ">[0]!BlankMacro1</definedName>
    <definedName name="ㅁ" localSheetId="3" hidden="1">[2]FAB별!#REF!</definedName>
    <definedName name="ㅁ" localSheetId="1" hidden="1">[2]FAB별!#REF!</definedName>
    <definedName name="ㅁ" hidden="1">[2]FAB별!#REF!</definedName>
    <definedName name="ㅁ1" localSheetId="3">#REF!</definedName>
    <definedName name="ㅁ1">#REF!</definedName>
    <definedName name="ㅁㄴ" localSheetId="3">#REF!</definedName>
    <definedName name="ㅁㄴ">#REF!</definedName>
    <definedName name="ㅁㄴㄴ" localSheetId="3">[0]!BlankMacro1</definedName>
    <definedName name="ㅁㄴㄴ" localSheetId="9">[0]!BlankMacro1</definedName>
    <definedName name="ㅁㄴㄴ">[0]!BlankMacro1</definedName>
    <definedName name="ㅁㄴㅁ" localSheetId="3">#REF!</definedName>
    <definedName name="ㅁㄴㅁ">#REF!</definedName>
    <definedName name="ㅁㄴㅇ" localSheetId="3">#REF!</definedName>
    <definedName name="ㅁㄴㅇ">#REF!</definedName>
    <definedName name="ㅁㄴㅇㄹ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ㅁㄴㅇㄻ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ㄴㅇㄻㄴㅇ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ㄴㅇㅁㄴㅇㅁ" localSheetId="3">#REF!</definedName>
    <definedName name="ㅁㄴㅇㅁㄴㅇㅁ">#REF!</definedName>
    <definedName name="ㅁㄴㅇㅇㅁ" hidden="1">{#N/A,#N/A,FALSE,"Aging Summary";#N/A,#N/A,FALSE,"Ratio Analysis";#N/A,#N/A,FALSE,"Test 120 Day Accts";#N/A,#N/A,FALSE,"Tickmarks"}</definedName>
    <definedName name="ㅁㄷㅁㄴ" localSheetId="3">#REF!</definedName>
    <definedName name="ㅁㄷㅁㄴ">#REF!</definedName>
    <definedName name="ㅁㄻㄴㄹ" hidden="1">{#N/A,#N/A,FALSE,"3가";#N/A,#N/A,FALSE,"3나";#N/A,#N/A,FALSE,"3다"}</definedName>
    <definedName name="ㅁㅁ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ㅁㅁㅁㅁ" localSheetId="3">[0]!BlankMacro1</definedName>
    <definedName name="ㅁㅁㅁㅁ" localSheetId="9">[0]!BlankMacro1</definedName>
    <definedName name="ㅁㅁㅁㅁ">[0]!BlankMacro1</definedName>
    <definedName name="ㅁㅁㅁㅁㅁ" hidden="1">{#N/A,#N/A,FALSE,"Aging Summary";#N/A,#N/A,FALSE,"Ratio Analysis";#N/A,#N/A,FALSE,"Test 120 Day Accts";#N/A,#N/A,FALSE,"Tickmarks"}</definedName>
    <definedName name="ㅁㅁㅁㅁㅁㅁㅁㅁ" hidden="1">{"'Sheet1'!$A$1:$H$36"}</definedName>
    <definedName name="ㅁㅂㅁ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ㅇㄹ" hidden="1">{#N/A,#N/A,FALSE,"Aging Summary";#N/A,#N/A,FALSE,"Ratio Analysis";#N/A,#N/A,FALSE,"Test 120 Day Accts";#N/A,#N/A,FALSE,"Tickmarks"}</definedName>
    <definedName name="마" hidden="1">{#N/A,#N/A,FALSE,"ALM-ASISC"}</definedName>
    <definedName name="마나맘" localSheetId="3">[0]!BlankMacro1</definedName>
    <definedName name="마나맘" localSheetId="9">[0]!BlankMacro1</definedName>
    <definedName name="마나맘">[0]!BlankMacro1</definedName>
    <definedName name="마미ㅣㅏㅓ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만기보장수익율" localSheetId="3">#REF!</definedName>
    <definedName name="만기보장수익율">#REF!</definedName>
    <definedName name="만나리아" localSheetId="3">[0]!BlankMacro1</definedName>
    <definedName name="만나리아" localSheetId="9">[0]!BlankMacro1</definedName>
    <definedName name="만나리아">[0]!BlankMacro1</definedName>
    <definedName name="만다라" localSheetId="3">[0]!BlankMacro1</definedName>
    <definedName name="만다라" localSheetId="9">[0]!BlankMacro1</definedName>
    <definedName name="만다라">[0]!BlankMacro1</definedName>
    <definedName name="만아오오" localSheetId="3">[0]!BlankMacro1</definedName>
    <definedName name="만아오오" localSheetId="9">[0]!BlankMacro1</definedName>
    <definedName name="만아오오">[0]!BlankMacro1</definedName>
    <definedName name="맘모스" localSheetId="3">[0]!BlankMacro1</definedName>
    <definedName name="맘모스" localSheetId="9">[0]!BlankMacro1</definedName>
    <definedName name="맘모스">[0]!BlankMacro1</definedName>
    <definedName name="매입누적_Query_Query" localSheetId="3">#REF!</definedName>
    <definedName name="매입누적_Query_Query">#REF!</definedName>
    <definedName name="매입누적qry" localSheetId="3">#REF!</definedName>
    <definedName name="매입누적qry">#REF!</definedName>
    <definedName name="매입부가세" hidden="1">{#N/A,#N/A,FALSE,"Aging Summary";#N/A,#N/A,FALSE,"Ratio Analysis";#N/A,#N/A,FALSE,"Test 120 Day Accts";#N/A,#N/A,FALSE,"Tickmarks"}</definedName>
    <definedName name="매입채무" localSheetId="3">#REF!</definedName>
    <definedName name="매입채무">#REF!</definedName>
    <definedName name="매출원가" hidden="1">{#N/A,#N/A,FALSE,"Aging Summary";#N/A,#N/A,FALSE,"Ratio Analysis";#N/A,#N/A,FALSE,"Test 120 Day Accts";#N/A,#N/A,FALSE,"Tickmarks"}</definedName>
    <definedName name="매출채권" hidden="1">{#N/A,#N/A,FALSE,"Aging Summary";#N/A,#N/A,FALSE,"Ratio Analysis";#N/A,#N/A,FALSE,"Test 120 Day Accts";#N/A,#N/A,FALSE,"Tickmarks"}</definedName>
    <definedName name="매출채권평균" localSheetId="3">#REF!</definedName>
    <definedName name="매출채권평균">#REF!</definedName>
    <definedName name="매출추1" hidden="1">{#N/A,#N/A,FALSE,"정공"}</definedName>
    <definedName name="매출추정" hidden="1">{#N/A,#N/A,FALSE,"정공"}</definedName>
    <definedName name="메뉴">[0]!메뉴</definedName>
    <definedName name="메뉴2">[0]!메뉴2</definedName>
    <definedName name="메롱" localSheetId="3">#REF!:_RjC2</definedName>
    <definedName name="메롱" localSheetId="9">#REF!:_RjC2</definedName>
    <definedName name="메롱">#REF!:_RjC2</definedName>
    <definedName name="면제부다오" localSheetId="3">[0]!BlankMacro1</definedName>
    <definedName name="면제부다오" localSheetId="9">[0]!BlankMacro1</definedName>
    <definedName name="면제부다오">[0]!BlankMacro1</definedName>
    <definedName name="명세" hidden="1">{#N/A,#N/A,FALSE,"Aging Summary";#N/A,#N/A,FALSE,"Ratio Analysis";#N/A,#N/A,FALSE,"Test 120 Day Accts";#N/A,#N/A,FALSE,"Tickmarks"}</definedName>
    <definedName name="명세서" localSheetId="3">#REF!</definedName>
    <definedName name="명세서">#REF!</definedName>
    <definedName name="목적" localSheetId="3">[0]!BlankMacro1</definedName>
    <definedName name="목적" localSheetId="9">[0]!BlankMacro1</definedName>
    <definedName name="목적">[0]!BlankMacro1</definedName>
    <definedName name="묑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무형자산" hidden="1">{#N/A,#N/A,FALSE,"Aging Summary";#N/A,#N/A,FALSE,"Ratio Analysis";#N/A,#N/A,FALSE,"Test 120 Day Accts";#N/A,#N/A,FALSE,"Tickmarks"}</definedName>
    <definedName name="무형자산1" hidden="1">{#N/A,#N/A,FALSE,"Aging Summary";#N/A,#N/A,FALSE,"Ratio Analysis";#N/A,#N/A,FALSE,"Test 120 Day Accts";#N/A,#N/A,FALSE,"Tickmarks"}</definedName>
    <definedName name="문의처" localSheetId="3">#REF!</definedName>
    <definedName name="문의처">#REF!</definedName>
    <definedName name="뭐냐" hidden="1">{"'Desktop Inventory 현황'!$B$2:$O$35"}</definedName>
    <definedName name="미미미아" hidden="1">{#N/A,#N/A,FALSE,"정공"}</definedName>
    <definedName name="미석" hidden="1">{#N/A,#N/A,FALSE,"정공"}</definedName>
    <definedName name="미수" hidden="1">{#N/A,#N/A,FALSE,"Aging Summary";#N/A,#N/A,FALSE,"Ratio Analysis";#N/A,#N/A,FALSE,"Test 120 Day Accts";#N/A,#N/A,FALSE,"Tickmarks"}</definedName>
    <definedName name="미수금" hidden="1">{#N/A,#N/A,FALSE,"Aging Summary";#N/A,#N/A,FALSE,"Ratio Analysis";#N/A,#N/A,FALSE,"Test 120 Day Accts";#N/A,#N/A,FALSE,"Tickmarks"}</definedName>
    <definedName name="미수금명세" hidden="1">{#N/A,#N/A,FALSE,"Aging Summary";#N/A,#N/A,FALSE,"Ratio Analysis";#N/A,#N/A,FALSE,"Test 120 Day Accts";#N/A,#N/A,FALSE,"Tickmarks"}</definedName>
    <definedName name="미수수익" localSheetId="3">#REF!</definedName>
    <definedName name="미수수익">#REF!</definedName>
    <definedName name="미수이" hidden="1">{#N/A,#N/A,FALSE,"Aging Summary";#N/A,#N/A,FALSE,"Ratio Analysis";#N/A,#N/A,FALSE,"Test 120 Day Accts";#N/A,#N/A,FALSE,"Tickmarks"}</definedName>
    <definedName name="미수이자1" localSheetId="3" hidden="1">#REF!</definedName>
    <definedName name="미수이자1" hidden="1">#REF!</definedName>
    <definedName name="미완성" localSheetId="3">#REF!</definedName>
    <definedName name="미완성">#REF!</definedName>
    <definedName name="미완성주택" localSheetId="3">#REF!</definedName>
    <definedName name="미완성주택">#REF!</definedName>
    <definedName name="미지" hidden="1">{#N/A,#N/A,FALSE,"Aging Summary";#N/A,#N/A,FALSE,"Ratio Analysis";#N/A,#N/A,FALSE,"Test 120 Day Accts";#N/A,#N/A,FALSE,"Tickmarks"}</definedName>
    <definedName name="미지급금" hidden="1">{#N/A,#N/A,FALSE,"Aging Summary";#N/A,#N/A,FALSE,"Ratio Analysis";#N/A,#N/A,FALSE,"Test 120 Day Accts";#N/A,#N/A,FALSE,"Tickmarks"}</definedName>
    <definedName name="미지급법인세" localSheetId="3">#REF!</definedName>
    <definedName name="미지급법인세">#REF!</definedName>
    <definedName name="미지급비용" hidden="1">{#N/A,#N/A,FALSE,"Aging Summary";#N/A,#N/A,FALSE,"Ratio Analysis";#N/A,#N/A,FALSE,"Test 120 Day Accts";#N/A,#N/A,FALSE,"Tickmarks"}</definedName>
    <definedName name="미치겠네" hidden="1">{"'Sheet1'!$A$1:$H$36"}</definedName>
    <definedName name="ㅂ" hidden="1">{#N/A,#N/A,FALSE,"Aging Summary";#N/A,#N/A,FALSE,"Ratio Analysis";#N/A,#N/A,FALSE,"Test 120 Day Accts";#N/A,#N/A,FALSE,"Tickmarks"}</definedName>
    <definedName name="ㅂㄷㄱ" hidden="1">{#N/A,#N/A,FALSE,"Aging Summary";#N/A,#N/A,FALSE,"Ratio Analysis";#N/A,#N/A,FALSE,"Test 120 Day Accts";#N/A,#N/A,FALSE,"Tickmarks"}</definedName>
    <definedName name="ㅂㄷㄷㄱ" hidden="1">{#N/A,#N/A,FALSE,"Aging Summary";#N/A,#N/A,FALSE,"Ratio Analysis";#N/A,#N/A,FALSE,"Test 120 Day Accts";#N/A,#N/A,FALSE,"Tickmarks"}</definedName>
    <definedName name="ㅂㅂ" localSheetId="3">#REF!</definedName>
    <definedName name="ㅂㅂ">#REF!</definedName>
    <definedName name="ㅂㅂㅂ" hidden="1">{#N/A,#N/A,FALSE,"Aging Summary";#N/A,#N/A,FALSE,"Ratio Analysis";#N/A,#N/A,FALSE,"Test 120 Day Accts";#N/A,#N/A,FALSE,"Tickmarks"}</definedName>
    <definedName name="ㅂㅂㅂㅂ" localSheetId="3">[0]!BlankMacro1</definedName>
    <definedName name="ㅂㅂㅂㅂ" localSheetId="9">[0]!BlankMacro1</definedName>
    <definedName name="ㅂㅂㅂㅂ">[0]!BlankMacro1</definedName>
    <definedName name="ㅂㅈ" localSheetId="3">#REF!</definedName>
    <definedName name="ㅂㅈ">#REF!</definedName>
    <definedName name="ㅂㅈㄱㄷㅈ" hidden="1">{#N/A,#N/A,FALSE,"Aging Summary";#N/A,#N/A,FALSE,"Ratio Analysis";#N/A,#N/A,FALSE,"Test 120 Day Accts";#N/A,#N/A,FALSE,"Tickmarks"}</definedName>
    <definedName name="ㅂㅈㄷ" hidden="1">{#N/A,#N/A,FALSE,"Aging Summary";#N/A,#N/A,FALSE,"Ratio Analysis";#N/A,#N/A,FALSE,"Test 120 Day Accts";#N/A,#N/A,FALSE,"Tickmarks"}</definedName>
    <definedName name="바" hidden="1">{#N/A,#N/A,FALSE,"ALM-ASISC"}</definedName>
    <definedName name="바다나라" localSheetId="3">[0]!BlankMacro1</definedName>
    <definedName name="바다나라" localSheetId="9">[0]!BlankMacro1</definedName>
    <definedName name="바다나라">[0]!BlankMacro1</definedName>
    <definedName name="바랑라" hidden="1">{#N/A,#N/A,FALSE,"정공"}</definedName>
    <definedName name="바보" hidden="1">{#N/A,#N/A,FALSE,"Aging Summary";#N/A,#N/A,FALSE,"Ratio Analysis";#N/A,#N/A,FALSE,"Test 120 Day Accts";#N/A,#N/A,FALSE,"Tickmarks"}</definedName>
    <definedName name="바보상자" hidden="1">{#N/A,#N/A,FALSE,"정공"}</definedName>
    <definedName name="박영구0608" localSheetId="3">#REF!</definedName>
    <definedName name="박영구0608">#REF!</definedName>
    <definedName name="박재규" localSheetId="3">[0]!BlankMacro1</definedName>
    <definedName name="박재규" localSheetId="9">[0]!BlankMacro1</definedName>
    <definedName name="박재규">[0]!BlankMacro1</definedName>
    <definedName name="발송일자" localSheetId="3">#REF!</definedName>
    <definedName name="발송일자">#REF!</definedName>
    <definedName name="발송지" localSheetId="3">#REF!</definedName>
    <definedName name="발송지">#REF!</definedName>
    <definedName name="발송회사" localSheetId="3">#REF!</definedName>
    <definedName name="발송회사">#REF!</definedName>
    <definedName name="범위1" localSheetId="3">#REF!</definedName>
    <definedName name="범위1">#REF!</definedName>
    <definedName name="범위액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2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범철이바보" localSheetId="3">#REF!</definedName>
    <definedName name="범철이바보">#REF!</definedName>
    <definedName name="법" hidden="1">{#N/A,#N/A,FALSE,"Aging Summary";#N/A,#N/A,FALSE,"Ratio Analysis";#N/A,#N/A,FALSE,"Test 120 Day Accts";#N/A,#N/A,FALSE,"Tickmarks"}</definedName>
    <definedName name="법_인_명_상호" localSheetId="3">#REF!</definedName>
    <definedName name="법_인_명_상호">#REF!</definedName>
    <definedName name="법인등" hidden="1">{#N/A,#N/A,FALSE,"Aging Summary";#N/A,#N/A,FALSE,"Ratio Analysis";#N/A,#N/A,FALSE,"Test 120 Day Accts";#N/A,#N/A,FALSE,"Tickmarks"}</definedName>
    <definedName name="법인등록번호" localSheetId="3">#REF!</definedName>
    <definedName name="법인등록번호">#REF!</definedName>
    <definedName name="법인명_상호명" localSheetId="3">#REF!</definedName>
    <definedName name="법인명_상호명">#REF!</definedName>
    <definedName name="법인세등" hidden="1">{#N/A,#N/A,FALSE,"Aging Summary";#N/A,#N/A,FALSE,"Ratio Analysis";#N/A,#N/A,FALSE,"Test 120 Day Accts";#N/A,#N/A,FALSE,"Tickmarks"}</definedName>
    <definedName name="벤더" localSheetId="3">#REF!</definedName>
    <definedName name="벤더">#REF!</definedName>
    <definedName name="벤더1" localSheetId="3">#REF!</definedName>
    <definedName name="벤더1">#REF!</definedName>
    <definedName name="벤더2" localSheetId="3">#REF!</definedName>
    <definedName name="벤더2">#REF!</definedName>
    <definedName name="변경내역" hidden="1">{#N/A,#N/A,FALSE,"3가";#N/A,#N/A,FALSE,"3나";#N/A,#N/A,FALSE,"3다"}</definedName>
    <definedName name="변소기" localSheetId="3">[0]!BlankMacro1</definedName>
    <definedName name="변소기" localSheetId="9">[0]!BlankMacro1</definedName>
    <definedName name="변소기">[0]!BlankMacro1</definedName>
    <definedName name="변송익" localSheetId="3">[0]!BlankMacro1</definedName>
    <definedName name="변송익" localSheetId="9">[0]!BlankMacro1</definedName>
    <definedName name="변송익">[0]!BlankMacro1</definedName>
    <definedName name="변파유닛" hidden="1">{#N/A,#N/A,FALSE,"3가";#N/A,#N/A,FALSE,"3나";#N/A,#N/A,FALSE,"3다"}</definedName>
    <definedName name="별지8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보" hidden="1">{#N/A,#N/A,FALSE,"3가";#N/A,#N/A,FALSE,"3나";#N/A,#N/A,FALSE,"3다"}</definedName>
    <definedName name="보봅" hidden="1">{#N/A,#N/A,FALSE,"Aging Summary";#N/A,#N/A,FALSE,"Ratio Analysis";#N/A,#N/A,FALSE,"Test 120 Day Accts";#N/A,#N/A,FALSE,"Tickmarks"}</definedName>
    <definedName name="보증기관" localSheetId="3">#REF!</definedName>
    <definedName name="보증기관">#REF!</definedName>
    <definedName name="보험" localSheetId="3">#REF!</definedName>
    <definedName name="보험">#REF!</definedName>
    <definedName name="보험료" hidden="1">{#N/A,#N/A,FALSE,"Aging Summary";#N/A,#N/A,FALSE,"Ratio Analysis";#N/A,#N/A,FALSE,"Test 120 Day Accts";#N/A,#N/A,FALSE,"Tickmarks"}</definedName>
    <definedName name="본data" localSheetId="3">#REF!</definedName>
    <definedName name="본data">#REF!</definedName>
    <definedName name="부___문" localSheetId="3">#REF!</definedName>
    <definedName name="부___문">#REF!</definedName>
    <definedName name="부과" localSheetId="3">#REF!</definedName>
    <definedName name="부과">#REF!</definedName>
    <definedName name="부대비용" localSheetId="3">#REF!</definedName>
    <definedName name="부대비용">#REF!</definedName>
    <definedName name="부서명" localSheetId="3">#REF!</definedName>
    <definedName name="부서명">#REF!</definedName>
    <definedName name="부자지" localSheetId="3">[0]!BlankMacro1</definedName>
    <definedName name="부자지" localSheetId="9">[0]!BlankMacro1</definedName>
    <definedName name="부자지">[0]!BlankMacro1</definedName>
    <definedName name="부자지간" localSheetId="3">[0]!BlankMacro1</definedName>
    <definedName name="부자지간" localSheetId="9">[0]!BlankMacro1</definedName>
    <definedName name="부자지간">[0]!BlankMacro1</definedName>
    <definedName name="부장님" localSheetId="3">[0]!BlankMacro1</definedName>
    <definedName name="부장님" localSheetId="9">[0]!BlankMacro1</definedName>
    <definedName name="부장님">[0]!BlankMacro1</definedName>
    <definedName name="부채총계" localSheetId="3">#REF!</definedName>
    <definedName name="부채총계">#REF!</definedName>
    <definedName name="분양" localSheetId="3">#REF!</definedName>
    <definedName name="분양">#REF!</definedName>
    <definedName name="분양상가" localSheetId="3">#REF!</definedName>
    <definedName name="분양상가">#REF!</definedName>
    <definedName name="분양수입" localSheetId="3">#REF!</definedName>
    <definedName name="분양수입">#REF!</definedName>
    <definedName name="분양원가" localSheetId="3">#REF!</definedName>
    <definedName name="분양원가">#REF!</definedName>
    <definedName name="비경상r" localSheetId="3">#REF!</definedName>
    <definedName name="비경상r">#REF!</definedName>
    <definedName name="비교" localSheetId="3">#REF!</definedName>
    <definedName name="비교">#REF!</definedName>
    <definedName name="비교1">[0]!비교1</definedName>
    <definedName name="비용" localSheetId="3">#REF!</definedName>
    <definedName name="비용">#REF!</definedName>
    <definedName name="ㅅ" hidden="1">{"'Desktop Inventory 현황'!$B$2:$O$35"}</definedName>
    <definedName name="ㅅㅅ" hidden="1">{"'Desktop Inventory 현황'!$B$2:$O$35"}</definedName>
    <definedName name="ㅅㅅㅅ" localSheetId="3">[0]!BlankMacro1</definedName>
    <definedName name="ㅅㅅㅅ" localSheetId="9">[0]!BlankMacro1</definedName>
    <definedName name="ㅅㅅㅅ">[0]!BlankMacro1</definedName>
    <definedName name="사" hidden="1">{#N/A,#N/A,FALSE,"ALM-ASISC"}</definedName>
    <definedName name="사다함이" hidden="1">{#N/A,#N/A,FALSE,"정공"}</definedName>
    <definedName name="사라미이은" localSheetId="3">[0]!BlankMacro1</definedName>
    <definedName name="사라미이은" localSheetId="9">[0]!BlankMacro1</definedName>
    <definedName name="사라미이은">[0]!BlankMacro1</definedName>
    <definedName name="사람이름" localSheetId="3">[0]!BlankMacro1</definedName>
    <definedName name="사람이름" localSheetId="9">[0]!BlankMacro1</definedName>
    <definedName name="사람이름">[0]!BlankMacro1</definedName>
    <definedName name="사랑" hidden="1">{"'Sheet1'!$A$1:$H$36"}</definedName>
    <definedName name="사번" localSheetId="3">#REF!</definedName>
    <definedName name="사번">#REF!</definedName>
    <definedName name="사업년도" localSheetId="3">#REF!</definedName>
    <definedName name="사업년도">#REF!</definedName>
    <definedName name="사업년도_월수" localSheetId="3">#REF!</definedName>
    <definedName name="사업년도_월수">#REF!</definedName>
    <definedName name="사업년도1" localSheetId="3">#REF!</definedName>
    <definedName name="사업년도1">#REF!</definedName>
    <definedName name="사업년도2" localSheetId="3">#REF!</definedName>
    <definedName name="사업년도2">#REF!</definedName>
    <definedName name="사업렬" localSheetId="3">[0]!BlankMacro1</definedName>
    <definedName name="사업렬" localSheetId="9">[0]!BlankMacro1</definedName>
    <definedName name="사업렬">[0]!BlankMacro1</definedName>
    <definedName name="사업명" localSheetId="3">#REF!</definedName>
    <definedName name="사업명">#REF!</definedName>
    <definedName name="사업별" localSheetId="3">[0]!BlankMacro1</definedName>
    <definedName name="사업별" localSheetId="9">[0]!BlankMacro1</definedName>
    <definedName name="사업별">[0]!BlankMacro1</definedName>
    <definedName name="사업부문" localSheetId="3">#REF!</definedName>
    <definedName name="사업부문">#REF!</definedName>
    <definedName name="사업장별분석요약" localSheetId="3">#REF!:_RjC2</definedName>
    <definedName name="사업장별분석요약" localSheetId="9">#REF!:_RjC2</definedName>
    <definedName name="사업장별분석요약">#REF!:_RjC2</definedName>
    <definedName name="사업장소재지" localSheetId="3">#REF!</definedName>
    <definedName name="사업장소재지">#REF!</definedName>
    <definedName name="사업추진" hidden="1">{#N/A,#N/A,FALSE,"정공"}</definedName>
    <definedName name="사용료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사원이름" localSheetId="3">#REF!</definedName>
    <definedName name="사원이름">#REF!</definedName>
    <definedName name="삼성" hidden="1">{#N/A,#N/A,FALSE,"정공"}</definedName>
    <definedName name="삼성2" hidden="1">{#N/A,#N/A,FALSE,"정공"}</definedName>
    <definedName name="삼월" localSheetId="3">#REF!</definedName>
    <definedName name="삼월">#REF!</definedName>
    <definedName name="상가" localSheetId="3">#REF!</definedName>
    <definedName name="상가">#REF!</definedName>
    <definedName name="상로허호" hidden="1">{#N/A,#N/A,FALSE,"정공"}</definedName>
    <definedName name="상여지급누계율96" localSheetId="3">#REF!</definedName>
    <definedName name="상여지급누계율96">#REF!</definedName>
    <definedName name="상이사항기록" localSheetId="3">#REF!</definedName>
    <definedName name="상이사항기록">#REF!</definedName>
    <definedName name="상품" hidden="1">{#N/A,#N/A,FALSE,"Aging Summary";#N/A,#N/A,FALSE,"Ratio Analysis";#N/A,#N/A,FALSE,"Test 120 Day Accts";#N/A,#N/A,FALSE,"Tickmarks"}</definedName>
    <definedName name="새" hidden="1">{#N/A,#N/A,FALSE,"Aging Summary";#N/A,#N/A,FALSE,"Ratio Analysis";#N/A,#N/A,FALSE,"Test 120 Day Accts";#N/A,#N/A,FALSE,"Tickmarks"}</definedName>
    <definedName name="새파일편집" hidden="1">{#N/A,#N/A,FALSE,"정공"}</definedName>
    <definedName name="생산능력" hidden="1">{#N/A,#N/A,FALSE,"정공"}</definedName>
    <definedName name="생산품목" hidden="1">{#N/A,#N/A,FALSE,"정공"}</definedName>
    <definedName name="서버2" hidden="1">{"'Desktop Inventory 현황'!$B$2:$O$35"}</definedName>
    <definedName name="서버MA요율" localSheetId="3">#REF!</definedName>
    <definedName name="서버MA요율">#REF!</definedName>
    <definedName name="서버TEF" localSheetId="3">#REF!</definedName>
    <definedName name="서버TEF">#REF!</definedName>
    <definedName name="서비스요금" localSheetId="3">#REF!</definedName>
    <definedName name="서비스요금">#REF!</definedName>
    <definedName name="선급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선급비용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선급이자" hidden="1">{"'Sheet1'!$A$1:$H$36"}</definedName>
    <definedName name="선번data" localSheetId="3">#REF!</definedName>
    <definedName name="선번data">#REF!</definedName>
    <definedName name="선수금" localSheetId="3">#REF!</definedName>
    <definedName name="선수금">#REF!</definedName>
    <definedName name="설비MA요율" localSheetId="3">#REF!</definedName>
    <definedName name="설비MA요율">#REF!</definedName>
    <definedName name="설비투자" hidden="1">{#N/A,#N/A,FALSE,"정공"}</definedName>
    <definedName name="성장률" localSheetId="3">#REF!</definedName>
    <definedName name="성장률">#REF!</definedName>
    <definedName name="성장율" localSheetId="3">#REF!</definedName>
    <definedName name="성장율">#REF!</definedName>
    <definedName name="세무조정" localSheetId="3">#REF!</definedName>
    <definedName name="세무조정">#REF!</definedName>
    <definedName name="세무조정구분" hidden="1">{#N/A,#N/A,FALSE,"Aging Summary";#N/A,#N/A,FALSE,"Ratio Analysis";#N/A,#N/A,FALSE,"Test 120 Day Accts";#N/A,#N/A,FALSE,"Tickmarks"}</definedName>
    <definedName name="세부실적" localSheetId="3">[0]!BlankMacro1</definedName>
    <definedName name="세부실적" localSheetId="9">[0]!BlankMacro1</definedName>
    <definedName name="세부실적">[0]!BlankMacro1</definedName>
    <definedName name="세액계산" localSheetId="3">#REF!</definedName>
    <definedName name="세액계산">#REF!</definedName>
    <definedName name="세율" localSheetId="3">#REF!</definedName>
    <definedName name="세율">#REF!</definedName>
    <definedName name="소득" localSheetId="3">#REF!</definedName>
    <definedName name="소득">#REF!</definedName>
    <definedName name="소득구분3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득구분조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소모품" localSheetId="3">#REF!</definedName>
    <definedName name="소모품">#REF!</definedName>
    <definedName name="소모품_Rate" localSheetId="3">#REF!</definedName>
    <definedName name="소모품_Rate">#REF!</definedName>
    <definedName name="소요기간" hidden="1">{#N/A,#N/A,FALSE,"정공"}</definedName>
    <definedName name="소요약" localSheetId="3">[0]!BlankMacro1</definedName>
    <definedName name="소요약" localSheetId="9">[0]!BlankMacro1</definedName>
    <definedName name="소요약">[0]!BlankMacro1</definedName>
    <definedName name="소프트웨어MA요율" localSheetId="3">#REF!</definedName>
    <definedName name="소프트웨어MA요율">#REF!</definedName>
    <definedName name="손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손익계산" hidden="1">{#N/A,#N/A,FALSE,"정공"}</definedName>
    <definedName name="손익계산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손익계산서가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쇽" localSheetId="3">#REF!</definedName>
    <definedName name="쇽">#REF!</definedName>
    <definedName name="수" hidden="1">{#N/A,#N/A,FALSE,"ALM-ASISC"}</definedName>
    <definedName name="수량추정" hidden="1">{#N/A,#N/A,FALSE,"정공"}</definedName>
    <definedName name="수보누계개인" localSheetId="3">#REF!</definedName>
    <definedName name="수보누계개인">#REF!</definedName>
    <definedName name="수보누계개인보장성" localSheetId="3">#REF!</definedName>
    <definedName name="수보누계개인보장성">#REF!</definedName>
    <definedName name="수보누계개인연금신상품" localSheetId="3">#REF!</definedName>
    <definedName name="수보누계개인연금신상품">#REF!</definedName>
    <definedName name="수보누계개인연금전환" localSheetId="3">#REF!</definedName>
    <definedName name="수보누계개인연금전환">#REF!</definedName>
    <definedName name="수보누계금융" localSheetId="3">#REF!,#REF!,#REF!,#REF!,#REF!,#REF!,#REF!,#REF!,#REF!</definedName>
    <definedName name="수보누계금융">#REF!,#REF!,#REF!,#REF!,#REF!,#REF!,#REF!,#REF!,#REF!</definedName>
    <definedName name="수보누계기타과년" localSheetId="3">#REF!,#REF!,#REF!,#REF!,#REF!,#REF!,#REF!</definedName>
    <definedName name="수보누계기타과년">#REF!,#REF!,#REF!,#REF!,#REF!,#REF!,#REF!</definedName>
    <definedName name="수보누계기타보장" localSheetId="3">#REF!</definedName>
    <definedName name="수보누계기타보장">#REF!</definedName>
    <definedName name="수보누계기타생존" localSheetId="3">#REF!</definedName>
    <definedName name="수보누계기타생존">#REF!</definedName>
    <definedName name="수보누계기타초년" localSheetId="3">#REF!,#REF!,#REF!,#REF!,#REF!,#REF!,#REF!</definedName>
    <definedName name="수보누계기타초년">#REF!,#REF!,#REF!,#REF!,#REF!,#REF!,#REF!</definedName>
    <definedName name="수보누계기타초회" localSheetId="3">#REF!,#REF!,#REF!,#REF!,#REF!,#REF!</definedName>
    <definedName name="수보누계기타초회">#REF!,#REF!,#REF!,#REF!,#REF!,#REF!</definedName>
    <definedName name="수보누계노후과년" localSheetId="3">#REF!,#REF!</definedName>
    <definedName name="수보누계노후과년">#REF!,#REF!</definedName>
    <definedName name="수보누계노후초년" localSheetId="3">#REF!,#REF!</definedName>
    <definedName name="수보누계노후초년">#REF!,#REF!</definedName>
    <definedName name="수보누계노후초회" localSheetId="3">#REF!,#REF!</definedName>
    <definedName name="수보누계노후초회">#REF!,#REF!</definedName>
    <definedName name="수보누계단체" localSheetId="3">#REF!</definedName>
    <definedName name="수보누계단체">#REF!</definedName>
    <definedName name="수보누계단체보장성" localSheetId="3">#REF!</definedName>
    <definedName name="수보누계단체보장성">#REF!</definedName>
    <definedName name="수보누계단체저축" localSheetId="3">#REF!</definedName>
    <definedName name="수보누계단체저축">#REF!</definedName>
    <definedName name="수보누계생사혼합" localSheetId="3">#REF!</definedName>
    <definedName name="수보누계생사혼합">#REF!</definedName>
    <definedName name="수보누계순수보장" localSheetId="3">#REF!</definedName>
    <definedName name="수보누계순수보장">#REF!</definedName>
    <definedName name="수보누계일반연금" localSheetId="3">#REF!</definedName>
    <definedName name="수보누계일반연금">#REF!</definedName>
    <definedName name="수보누계종퇴" localSheetId="3">#REF!</definedName>
    <definedName name="수보누계종퇴">#REF!</definedName>
    <definedName name="수보누계특별계정" localSheetId="3">#REF!</definedName>
    <definedName name="수보누계특별계정">#REF!</definedName>
    <definedName name="수원정자" localSheetId="3">#REF!</definedName>
    <definedName name="수원정자">#REF!</definedName>
    <definedName name="수정1" hidden="1">{#N/A,#N/A,FALSE,"ALM-ASISC"}</definedName>
    <definedName name="수정2" hidden="1">{#N/A,#N/A,FALSE,"ALM-ASISC"}</definedName>
    <definedName name="수정3" hidden="1">{#N/A,#N/A,FALSE,"ALM-ASISC"}</definedName>
    <definedName name="수정4" hidden="1">{#N/A,#N/A,FALSE,"ALM-ASISC"}</definedName>
    <definedName name="수정5" hidden="1">{#N/A,#N/A,FALSE,"ALM-ASISC"}</definedName>
    <definedName name="수정6" hidden="1">{#N/A,#N/A,FALSE,"ALM-ASISC"}</definedName>
    <definedName name="수출실적" hidden="1">{"'Sheet1'!$A$1:$H$36"}</definedName>
    <definedName name="시스템관리요율" localSheetId="3">#REF!</definedName>
    <definedName name="시스템관리요율">#REF!</definedName>
    <definedName name="시시시" localSheetId="3">#REF!</definedName>
    <definedName name="시시시">#REF!</definedName>
    <definedName name="시월" localSheetId="3">#REF!</definedName>
    <definedName name="시월">#REF!</definedName>
    <definedName name="시트선택후" localSheetId="3">[0]!BlankMacro1</definedName>
    <definedName name="시트선택후" localSheetId="9">[0]!BlankMacro1</definedName>
    <definedName name="시트선택후">[0]!BlankMacro1</definedName>
    <definedName name="신규투자율" localSheetId="3">#REF!</definedName>
    <definedName name="신규투자율">#REF!</definedName>
    <definedName name="신규회선" hidden="1">{"'Desktop Inventory 현황'!$B$2:$O$35"}</definedName>
    <definedName name="신규회ㅓㄴ" hidden="1">{"'Desktop Inventory 현황'!$B$2:$O$35"}</definedName>
    <definedName name="신설변경" hidden="1">{#N/A,#N/A,FALSE,"3가";#N/A,#N/A,FALSE,"3나";#N/A,#N/A,FALSE,"3다"}</definedName>
    <definedName name="신설통계" hidden="1">{#N/A,#N/A,FALSE,"3가";#N/A,#N/A,FALSE,"3나";#N/A,#N/A,FALSE,"3다"}</definedName>
    <definedName name="실사" localSheetId="3">#REF!</definedName>
    <definedName name="실사">#REF!</definedName>
    <definedName name="십이월" localSheetId="3">#REF!</definedName>
    <definedName name="십이월">#REF!</definedName>
    <definedName name="씨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ㅇ" localSheetId="3" hidden="1">#REF!</definedName>
    <definedName name="ㅇ" localSheetId="1" hidden="1">#REF!</definedName>
    <definedName name="ㅇ" hidden="1">#REF!</definedName>
    <definedName name="ㅇ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ㅇ45" localSheetId="3">#REF!</definedName>
    <definedName name="ㅇ45">#REF!</definedName>
    <definedName name="ㅇㄴㄹ" localSheetId="3">#REF!</definedName>
    <definedName name="ㅇㄴㄹ">#REF!</definedName>
    <definedName name="ㅇ나닐ㄷ" hidden="1">{#N/A,#N/A,FALSE,"ALM-ASISC"}</definedName>
    <definedName name="ㅇㄷㄴ" hidden="1">{#N/A,#N/A,FALSE,"Aging Summary";#N/A,#N/A,FALSE,"Ratio Analysis";#N/A,#N/A,FALSE,"Test 120 Day Accts";#N/A,#N/A,FALSE,"Tickmarks"}</definedName>
    <definedName name="ㅇㄷㄹㄹ" hidden="1">{"'Desktop Inventory 현황'!$B$2:$O$35"}</definedName>
    <definedName name="ㅇㄹㄴㄹ" localSheetId="3">#REF!</definedName>
    <definedName name="ㅇㄹㄴㄹ">#REF!</definedName>
    <definedName name="ㅇㄹㅀㅎ" hidden="1">{#N/A,#N/A,FALSE,"Aging Summary";#N/A,#N/A,FALSE,"Ratio Analysis";#N/A,#N/A,FALSE,"Test 120 Day Accts";#N/A,#N/A,FALSE,"Tickmarks"}</definedName>
    <definedName name="ㅇㄹㅇ" hidden="1">{#N/A,#N/A,FALSE,"3가";#N/A,#N/A,FALSE,"3나";#N/A,#N/A,FALSE,"3다"}</definedName>
    <definedName name="ㅇㄹㅇㄴ" hidden="1">{#N/A,#N/A,FALSE,"3가";#N/A,#N/A,FALSE,"3나";#N/A,#N/A,FALSE,"3다"}</definedName>
    <definedName name="ㅇㄹㅇㄹㅇ" hidden="1">{#N/A,#N/A,FALSE,"정공"}</definedName>
    <definedName name="ㅇㄹㅈㄷ" hidden="1">{#N/A,#N/A,FALSE,"ALM-ASISC"}</definedName>
    <definedName name="ㅇㄻㄴㅇㄻㄴㅇㄻ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ㅇㄻㄷ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ㅇㄻㅇㄹ" hidden="1">{#N/A,#N/A,FALSE,"Aging Summary";#N/A,#N/A,FALSE,"Ratio Analysis";#N/A,#N/A,FALSE,"Test 120 Day Accts";#N/A,#N/A,FALSE,"Tickmarks"}</definedName>
    <definedName name="ㅇㅀ" localSheetId="3">[0]!BlankMacro1</definedName>
    <definedName name="ㅇㅀ" localSheetId="9">[0]!BlankMacro1</definedName>
    <definedName name="ㅇㅀ">[0]!BlankMacro1</definedName>
    <definedName name="ㅇㅀㅇㅁㄹ" hidden="1">{#N/A,#N/A,FALSE,"3가";#N/A,#N/A,FALSE,"3나";#N/A,#N/A,FALSE,"3다"}</definedName>
    <definedName name="ㅇㅁㄴㅊ" hidden="1">{"'Desktop Inventory 현황'!$B$2:$O$35"}</definedName>
    <definedName name="ㅇㅁㄻ" hidden="1">{#N/A,#N/A,FALSE,"Aging Summary";#N/A,#N/A,FALSE,"Ratio Analysis";#N/A,#N/A,FALSE,"Test 120 Day Accts";#N/A,#N/A,FALSE,"Tickmarks"}</definedName>
    <definedName name="ㅇㅁㄻㅇㄴㄹㅇㅁ" hidden="1">{#N/A,#N/A,FALSE,"Aging Summary";#N/A,#N/A,FALSE,"Ratio Analysis";#N/A,#N/A,FALSE,"Test 120 Day Accts";#N/A,#N/A,FALSE,"Tickmarks"}</definedName>
    <definedName name="ㅇㅁㄻㅇㄹ" hidden="1">{#N/A,#N/A,FALSE,"Aging Summary";#N/A,#N/A,FALSE,"Ratio Analysis";#N/A,#N/A,FALSE,"Test 120 Day Accts";#N/A,#N/A,FALSE,"Tickmarks"}</definedName>
    <definedName name="ㅇㅇ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ㅇㅇㄹㅈㅈ" hidden="1">{#N/A,#N/A,FALSE,"ALM-ASISC"}</definedName>
    <definedName name="ㅇㅇㅇ" hidden="1">{#N/A,#N/A,FALSE,"정공"}</definedName>
    <definedName name="ㅇㅇㅇㅇ" localSheetId="3">#REF!</definedName>
    <definedName name="ㅇㅇㅇㅇ">#REF!</definedName>
    <definedName name="ㅇㅇㅇㅇㅇ" hidden="1">{"'Sheet1'!$A$1:$H$36"}</definedName>
    <definedName name="ㅇㅇㅇㅇㅇㅇㅇㅇㅇ" hidden="1">{"'Sheet1'!$A$1:$H$36"}</definedName>
    <definedName name="ㅇㅇㅇㅇㅇㅇㅇㅇㅇㅇㅇㅇㅇ" hidden="1">{"'Sheet1'!$A$1:$H$36"}</definedName>
    <definedName name="ㅇㅇㅇㅇㅇㅇㅇㅇㅇㅇㅇㅇㅇㅇ" hidden="1">{"'Sheet1'!$A$1:$H$36"}</definedName>
    <definedName name="ㅇ아" hidden="1">{#N/A,#N/A,FALSE,"3가";#N/A,#N/A,FALSE,"3나";#N/A,#N/A,FALSE,"3다"}</definedName>
    <definedName name="ㅇㅈ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ㅇㅍㄴ" hidden="1">{"'Desktop Inventory 현황'!$B$2:$O$35"}</definedName>
    <definedName name="ㅇㅎ" localSheetId="3">#REF!</definedName>
    <definedName name="ㅇㅎ">#REF!</definedName>
    <definedName name="ㅇ호" localSheetId="3">[0]!BlankMacro1</definedName>
    <definedName name="ㅇ호" localSheetId="9">[0]!BlankMacro1</definedName>
    <definedName name="ㅇ호">[0]!BlankMacro1</definedName>
    <definedName name="아" hidden="1">{#N/A,#N/A,FALSE,"ALM-ASISC"}</definedName>
    <definedName name="아니면말고" hidden="1">{#N/A,#N/A,FALSE,"정공"}</definedName>
    <definedName name="아니오" hidden="1">{#N/A,#N/A,FALSE,"정공"}</definedName>
    <definedName name="아니오오오" localSheetId="3">[0]!BlankMacro1</definedName>
    <definedName name="아니오오오" localSheetId="9">[0]!BlankMacro1</definedName>
    <definedName name="아니오오오">[0]!BlankMacro1</definedName>
    <definedName name="아라리오" localSheetId="3">[0]!BlankMacro1</definedName>
    <definedName name="아라리오" localSheetId="9">[0]!BlankMacro1</definedName>
    <definedName name="아라리오">[0]!BlankMacro1</definedName>
    <definedName name="아리" localSheetId="3">[0]!BlankMacro1</definedName>
    <definedName name="아리" localSheetId="9">[0]!BlankMacro1</definedName>
    <definedName name="아리">[0]!BlankMacro1</definedName>
    <definedName name="아아아ㅏㅏㅏㅏㅏㅏㅏㅏㅏㅏㅏㅏ" hidden="1">{"'Sheet1'!$A$1:$H$36"}</definedName>
    <definedName name="아파트" localSheetId="3">#REF!</definedName>
    <definedName name="아파트">#REF!</definedName>
    <definedName name="아ㅓㄹ" hidden="1">{#N/A,#N/A,FALSE,"ALM-ASISC"}</definedName>
    <definedName name="아ㅓㄹ지" hidden="1">{#N/A,#N/A,FALSE,"ALM-ASISC"}</definedName>
    <definedName name="아ㅓㅈ" hidden="1">{#N/A,#N/A,FALSE,"ALM-ASISC"}</definedName>
    <definedName name="아ㅓㅗㄹ" hidden="1">{#N/A,#N/A,FALSE,"ALM-ASISC"}</definedName>
    <definedName name="아ㅣㅈ" hidden="1">{#N/A,#N/A,FALSE,"ALM-ASISC"}</definedName>
    <definedName name="아ㅣㅈㅂ" hidden="1">{#N/A,#N/A,FALSE,"ALM-ASISC"}</definedName>
    <definedName name="안" hidden="1">{#N/A,#N/A,FALSE,"3가";#N/A,#N/A,FALSE,"3나";#N/A,#N/A,FALSE,"3다"}</definedName>
    <definedName name="앗서" hidden="1">{#N/A,#N/A,FALSE,"정공"}</definedName>
    <definedName name="앙" localSheetId="3">[0]!BlankMacro1</definedName>
    <definedName name="앙" localSheetId="9">[0]!BlankMacro1</definedName>
    <definedName name="앙">[0]!BlankMacro1</definedName>
    <definedName name="야근식대" localSheetId="3">#REF!</definedName>
    <definedName name="야근식대">#REF!</definedName>
    <definedName name="약정분임" localSheetId="3">[0]!BlankMacro1</definedName>
    <definedName name="약정분임" localSheetId="9">[0]!BlankMacro1</definedName>
    <definedName name="약정분임">[0]!BlankMacro1</definedName>
    <definedName name="약정이이자율" localSheetId="3">[0]!BlankMacro1</definedName>
    <definedName name="약정이이자율" localSheetId="9">[0]!BlankMacro1</definedName>
    <definedName name="약정이이자율">[0]!BlankMacro1</definedName>
    <definedName name="약정잉자" hidden="1">{#N/A,#N/A,FALSE,"정공"}</definedName>
    <definedName name="양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어" localSheetId="3">[0]!BlankMacro1</definedName>
    <definedName name="어" localSheetId="9">[0]!BlankMacro1</definedName>
    <definedName name="어">[0]!BlankMacro1</definedName>
    <definedName name="어떡해" hidden="1">{"'Sheet1'!$A$1:$H$36"}</definedName>
    <definedName name="얼아ㅓ란ㅇ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업_태" localSheetId="3">#REF!</definedName>
    <definedName name="업_태">#REF!</definedName>
    <definedName name="업무" localSheetId="3">[0]!BlankMacro1</definedName>
    <definedName name="업무" localSheetId="9">[0]!BlankMacro1</definedName>
    <definedName name="업무">[0]!BlankMacro1</definedName>
    <definedName name="업무2" localSheetId="3">[0]!BlankMacro1</definedName>
    <definedName name="업무2" localSheetId="9">[0]!BlankMacro1</definedName>
    <definedName name="업무2">[0]!BlankMacro1</definedName>
    <definedName name="업무3" localSheetId="3">[0]!BlankMacro1</definedName>
    <definedName name="업무3" localSheetId="9">[0]!BlankMacro1</definedName>
    <definedName name="업무3">[0]!BlankMacro1</definedName>
    <definedName name="업무유형" localSheetId="3">#REF!</definedName>
    <definedName name="업무유형">#REF!</definedName>
    <definedName name="에이">{"일요일";"월요일";"화요일";"수요일";"목요일";"금요일";"토요일"}</definedName>
    <definedName name="연간_T.E.F._추정" localSheetId="3">#REF!</definedName>
    <definedName name="연간_T.E.F._추정">#REF!</definedName>
    <definedName name="연간가격하락율" localSheetId="3">#REF!</definedName>
    <definedName name="연간가격하락율">#REF!</definedName>
    <definedName name="연간장비증가율" localSheetId="3">#REF!</definedName>
    <definedName name="연간장비증가율">#REF!</definedName>
    <definedName name="연구" hidden="1">{#N/A,#N/A,FALSE,"3가";#N/A,#N/A,FALSE,"3나";#N/A,#N/A,FALSE,"3다"}</definedName>
    <definedName name="연도_분기" localSheetId="3">#REF!</definedName>
    <definedName name="연도_분기">#REF!</definedName>
    <definedName name="연습" localSheetId="3">#REF!</definedName>
    <definedName name="연습">#REF!</definedName>
    <definedName name="연월" localSheetId="3">#REF!</definedName>
    <definedName name="연월">#REF!</definedName>
    <definedName name="연월차조서" localSheetId="3">#REF!</definedName>
    <definedName name="연월차조서">#REF!</definedName>
    <definedName name="연주얀" hidden="1">{#N/A,#N/A,FALSE,"정공"}</definedName>
    <definedName name="영1팀" localSheetId="3">[0]!BlankMacro1</definedName>
    <definedName name="영1팀" localSheetId="9">[0]!BlankMacro1</definedName>
    <definedName name="영1팀">[0]!BlankMacro1</definedName>
    <definedName name="영업" localSheetId="3">#REF!</definedName>
    <definedName name="영업">#REF!</definedName>
    <definedName name="영업외비용" hidden="1">{#N/A,#N/A,FALSE,"Aging Summary";#N/A,#N/A,FALSE,"Ratio Analysis";#N/A,#N/A,FALSE,"Test 120 Day Accts";#N/A,#N/A,FALSE,"Tickmarks"}</definedName>
    <definedName name="영업외손익" localSheetId="3">#REF!</definedName>
    <definedName name="영업외손익">#REF!</definedName>
    <definedName name="예" localSheetId="3">[0]!BlankMacro1</definedName>
    <definedName name="예" localSheetId="9">[0]!BlankMacro1</definedName>
    <definedName name="예">[0]!BlankMacro1</definedName>
    <definedName name="예산" localSheetId="3">#REF!</definedName>
    <definedName name="예산">#REF!</definedName>
    <definedName name="예수" hidden="1">{#N/A,#N/A,FALSE,"Aging Summary";#N/A,#N/A,FALSE,"Ratio Analysis";#N/A,#N/A,FALSE,"Test 120 Day Accts";#N/A,#N/A,FALSE,"Tickmarks"}</definedName>
    <definedName name="예수금1" hidden="1">{#N/A,#N/A,FALSE,"Aging Summary";#N/A,#N/A,FALSE,"Ratio Analysis";#N/A,#N/A,FALSE,"Test 120 Day Accts";#N/A,#N/A,FALSE,"Tickmarks"}</definedName>
    <definedName name="오성협" hidden="1">{#N/A,#N/A,TRUE,"Y생산";#N/A,#N/A,TRUE,"Y판매";#N/A,#N/A,TRUE,"Y총물량";#N/A,#N/A,TRUE,"Y능력";#N/A,#N/A,TRUE,"YKD"}</definedName>
    <definedName name="오토케어">[0]!오토케어</definedName>
    <definedName name="완성상가" localSheetId="3">#REF!</definedName>
    <definedName name="완성상가">#REF!</definedName>
    <definedName name="완성주택" localSheetId="3">#REF!</definedName>
    <definedName name="완성주택">#REF!</definedName>
    <definedName name="왜이러냐" hidden="1">{"'Sheet1'!$A$1:$H$36"}</definedName>
    <definedName name="외상매입금" localSheetId="3">#REF!</definedName>
    <definedName name="외상매입금">#REF!</definedName>
    <definedName name="외화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외화평가명세" localSheetId="3">#REF!</definedName>
    <definedName name="외화평가명세">#REF!</definedName>
    <definedName name="외화환산" hidden="1">{#N/A,#N/A,FALSE,"Aging Summary";#N/A,#N/A,FALSE,"Ratio Analysis";#N/A,#N/A,FALSE,"Test 120 Day Accts";#N/A,#N/A,FALSE,"Tickmarks"}</definedName>
    <definedName name="외환산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외환산조서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요금DATA" localSheetId="3">#REF!</definedName>
    <definedName name="요금DATA">#REF!</definedName>
    <definedName name="요약" hidden="1">{#N/A,#N/A,FALSE,"정공"}</definedName>
    <definedName name="요약3" hidden="1">{#N/A,#N/A,FALSE,"정공"}</definedName>
    <definedName name="요율" localSheetId="3">#REF!</definedName>
    <definedName name="요율">#REF!</definedName>
    <definedName name="요청AMSlist" localSheetId="3">#REF!</definedName>
    <definedName name="요청AMSlist">#REF!</definedName>
    <definedName name="우편번호" localSheetId="3">#REF!</definedName>
    <definedName name="우편번호">#REF!</definedName>
    <definedName name="운영" hidden="1">{"'Desktop Inventory 현황'!$B$2:$O$35"}</definedName>
    <definedName name="운영인건비" localSheetId="3">#REF!</definedName>
    <definedName name="운영인건비">#REF!</definedName>
    <definedName name="원가" hidden="1">{#N/A,#N/A,FALSE,"채권채무";#N/A,#N/A,FALSE,"control sheet"}</definedName>
    <definedName name="원가개선" localSheetId="3">[0]!BlankMacro1</definedName>
    <definedName name="원가개선" localSheetId="9">[0]!BlankMacro1</definedName>
    <definedName name="원가개선">[0]!BlankMacro1</definedName>
    <definedName name="원가관리라" hidden="1">{#N/A,#N/A,FALSE,"정공"}</definedName>
    <definedName name="원가적용" hidden="1">{#N/A,#N/A,FALSE,"정공"}</definedName>
    <definedName name="원가환율" localSheetId="3">#REF!</definedName>
    <definedName name="원가환율">#REF!</definedName>
    <definedName name="원시" localSheetId="3">#REF!</definedName>
    <definedName name="원시">#REF!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localSheetId="3">#REF!</definedName>
    <definedName name="월">#REF!</definedName>
    <definedName name="월_판매" localSheetId="3">#REF!</definedName>
    <definedName name="월_판매">#REF!</definedName>
    <definedName name="월별pv" localSheetId="3">#REF!</definedName>
    <definedName name="월별pv">#REF!</definedName>
    <definedName name="월별uv" localSheetId="3">#REF!</definedName>
    <definedName name="월별uv">#REF!</definedName>
    <definedName name="월별visit" localSheetId="3">#REF!</definedName>
    <definedName name="월별visit">#REF!</definedName>
    <definedName name="월별매입부대비용" localSheetId="3">#REF!</definedName>
    <definedName name="월별매입부대비용">#REF!</definedName>
    <definedName name="월별입고" localSheetId="3">#REF!</definedName>
    <definedName name="월별입고">#REF!</definedName>
    <definedName name="월봉" localSheetId="3">#REF!</definedName>
    <definedName name="월봉">#REF!</definedName>
    <definedName name="월봉계약" localSheetId="3">#REF!</definedName>
    <definedName name="월봉계약">#REF!</definedName>
    <definedName name="월요금" localSheetId="3">#REF!</definedName>
    <definedName name="월요금">#REF!</definedName>
    <definedName name="유가증권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유니텔" localSheetId="3">#REF!</definedName>
    <definedName name="유니텔">#REF!</definedName>
    <definedName name="유니텔1" localSheetId="3">#REF!</definedName>
    <definedName name="유니텔1">#REF!</definedName>
    <definedName name="유니트" hidden="1">{#N/A,#N/A,FALSE,"3가";#N/A,#N/A,FALSE,"3나";#N/A,#N/A,FALSE,"3다"}</definedName>
    <definedName name="유형무형자산평균" localSheetId="3">#REF!</definedName>
    <definedName name="유형무형자산평균">#REF!</definedName>
    <definedName name="유형무형투자자산" localSheetId="3">#REF!</definedName>
    <definedName name="유형무형투자자산">#REF!</definedName>
    <definedName name="유형자산" hidden="1">{#N/A,#N/A,FALSE,"Aging Summary";#N/A,#N/A,FALSE,"Ratio Analysis";#N/A,#N/A,FALSE,"Test 120 Day Accts";#N/A,#N/A,FALSE,"Tickmarks"}</definedName>
    <definedName name="유형자산tot" hidden="1">{#N/A,#N/A,FALSE,"Aging Summary";#N/A,#N/A,FALSE,"Ratio Analysis";#N/A,#N/A,FALSE,"Test 120 Day Accts";#N/A,#N/A,FALSE,"Tickmarks"}</definedName>
    <definedName name="유휴" localSheetId="3">OFFSET(#REF!,0,0,COUNTA(#REF!)-1,COUNTA(#REF!)-1)</definedName>
    <definedName name="유휴">OFFSET(#REF!,0,0,COUNTA(#REF!)-1,COUNTA(#REF!)-1)</definedName>
    <definedName name="이름1" localSheetId="3">#REF!</definedName>
    <definedName name="이름1">#REF!</definedName>
    <definedName name="이름충돌" localSheetId="3">[0]!BlankMacro1</definedName>
    <definedName name="이름충돌" localSheetId="9">[0]!BlankMacro1</definedName>
    <definedName name="이름충돌">[0]!BlankMacro1</definedName>
    <definedName name="이월" localSheetId="3">#REF!</definedName>
    <definedName name="이월">#REF!</definedName>
    <definedName name="이익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자율" localSheetId="3">#REF!</definedName>
    <definedName name="이자율">#REF!</definedName>
    <definedName name="이자율별이자" hidden="1">{#N/A,#N/A,FALSE,"Aging Summary";#N/A,#N/A,FALSE,"Ratio Analysis";#N/A,#N/A,FALSE,"Test 120 Day Accts";#N/A,#N/A,FALSE,"Tickmarks"}</definedName>
    <definedName name="이종범" localSheetId="3">#REF!</definedName>
    <definedName name="이종범">#REF!</definedName>
    <definedName name="이지비용" localSheetId="3">#REF!</definedName>
    <definedName name="이지비용">#REF!</definedName>
    <definedName name="이혜영ㅇ" localSheetId="3">#REF!</definedName>
    <definedName name="이혜영ㅇ">#REF!</definedName>
    <definedName name="익우러" hidden="1">{"'Desktop Inventory 현황'!$B$2:$O$35"}</definedName>
    <definedName name="인" localSheetId="3">#REF!</definedName>
    <definedName name="인">#REF!</definedName>
    <definedName name="인건비_Rate_NW" localSheetId="3">#REF!</definedName>
    <definedName name="인건비_Rate_NW">#REF!</definedName>
    <definedName name="인건비상승율" localSheetId="3">#REF!</definedName>
    <definedName name="인건비상승율">#REF!</definedName>
    <definedName name="인력Master_Advanced" localSheetId="3">#REF!</definedName>
    <definedName name="인력Master_Advanced">#REF!</definedName>
    <definedName name="인사1" localSheetId="3">#REF!</definedName>
    <definedName name="인사1">#REF!</definedName>
    <definedName name="인쇄매체집행율" localSheetId="3">#REF!</definedName>
    <definedName name="인쇄매체집행율">#REF!</definedName>
    <definedName name="인쇄제목" localSheetId="3">#REF!</definedName>
    <definedName name="인쇄제목">#REF!</definedName>
    <definedName name="인원" localSheetId="3">#REF!</definedName>
    <definedName name="인원">#REF!</definedName>
    <definedName name="인원수" localSheetId="3">#REF!</definedName>
    <definedName name="인원수">#REF!</definedName>
    <definedName name="인정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인정이자율2" localSheetId="3">#REF!</definedName>
    <definedName name="인정이자율2">#REF!</definedName>
    <definedName name="일반퇴충" localSheetId="3">#REF!</definedName>
    <definedName name="일반퇴충">#REF!</definedName>
    <definedName name="일반현황__2_" localSheetId="3">#REF!</definedName>
    <definedName name="일반현황__2_">#REF!</definedName>
    <definedName name="일월" localSheetId="3">#REF!</definedName>
    <definedName name="일월">#REF!</definedName>
    <definedName name="일월퇴" localSheetId="3">#REF!</definedName>
    <definedName name="일월퇴">#REF!</definedName>
    <definedName name="일이삼사" hidden="1">{#N/A,#N/A,FALSE,"Aging Summary";#N/A,#N/A,FALSE,"Ratio Analysis";#N/A,#N/A,FALSE,"Test 120 Day Accts";#N/A,#N/A,FALSE,"Tickmarks"}</definedName>
    <definedName name="일주일">{"일요일","월요일","화요일","수요일","목요일","금요일","토요일"}</definedName>
    <definedName name="임동원" hidden="1">{#N/A,#N/A,FALSE,"정공"}</definedName>
    <definedName name="입금" localSheetId="3">#REF!</definedName>
    <definedName name="입금">#REF!</definedName>
    <definedName name="잊" hidden="1">{#N/A,#N/A,FALSE,"ALM-ASISC"}</definedName>
    <definedName name="ㅈ" hidden="1">{#N/A,#N/A,FALSE,"Aging Summary";#N/A,#N/A,FALSE,"Ratio Analysis";#N/A,#N/A,FALSE,"Test 120 Day Accts";#N/A,#N/A,FALSE,"Tickmarks"}</definedName>
    <definedName name="ㅈㄴ" localSheetId="3">#REF!</definedName>
    <definedName name="ㅈㄴ">#REF!</definedName>
    <definedName name="ㅈㄷㄱㄱ" hidden="1">{#N/A,#N/A,FALSE,"Aging Summary";#N/A,#N/A,FALSE,"Ratio Analysis";#N/A,#N/A,FALSE,"Test 120 Day Accts";#N/A,#N/A,FALSE,"Tickmarks"}</definedName>
    <definedName name="ㅈㄷㄷㄷㅈ" hidden="1">{"'Desktop Inventory 현황'!$B$2:$O$35"}</definedName>
    <definedName name="ㅈ뎌ㅑㄱ소ㅕㅐ쇄ㅑㅗ">{"일요일";"월요일";"화요일";"수요일";"목요일";"금요일";"토요일"}</definedName>
    <definedName name="ㅈㅂ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ㅈㅂㄷㅈㅂㄷ" hidden="1">{#N/A,#N/A,FALSE,"ALM-ASISC"}</definedName>
    <definedName name="ㅈㅈㅈ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ㅈㅈㅈㅈ" hidden="1">{"'Sheet1'!$A$1:$H$36"}</definedName>
    <definedName name="자" hidden="1">{#N/A,#N/A,FALSE,"3가";#N/A,#N/A,FALSE,"3나";#N/A,#N/A,FALSE,"3다"}</definedName>
    <definedName name="자금계산">{"일요일";"월요일";"화요일";"수요일";"목요일";"금요일";"토요일"}</definedName>
    <definedName name="자금계획서" localSheetId="3">#REF!</definedName>
    <definedName name="자금계획서">#REF!</definedName>
    <definedName name="자금운용" localSheetId="3">#REF!</definedName>
    <definedName name="자금운용">#REF!</definedName>
    <definedName name="자금원천" localSheetId="3">#REF!</definedName>
    <definedName name="자금원천">#REF!</definedName>
    <definedName name="자금집행실적" hidden="1">{"'Sheet1'!$A$1:$H$36"}</definedName>
    <definedName name="자기자본평균" localSheetId="3">#REF!</definedName>
    <definedName name="자기자본평균">#REF!</definedName>
    <definedName name="자료" localSheetId="3">#REF!</definedName>
    <definedName name="자료">#REF!</definedName>
    <definedName name="자본" hidden="1">{#N/A,#N/A,FALSE,"Aging Summary";#N/A,#N/A,FALSE,"Ratio Analysis";#N/A,#N/A,FALSE,"Test 120 Day Accts";#N/A,#N/A,FALSE,"Tickmarks"}</definedName>
    <definedName name="자본금" hidden="1">{#N/A,#N/A,FALSE,"Aging Summary";#N/A,#N/A,FALSE,"Ratio Analysis";#N/A,#N/A,FALSE,"Test 120 Day Accts";#N/A,#N/A,FALSE,"Tickmarks"}</definedName>
    <definedName name="자본방" hidden="1">{#N/A,#N/A,FALSE,"Aging Summary";#N/A,#N/A,FALSE,"Ratio Analysis";#N/A,#N/A,FALSE,"Test 120 Day Accts";#N/A,#N/A,FALSE,"Tickmarks"}</definedName>
    <definedName name="자본조정명세서" hidden="1">{#N/A,#N/A,FALSE,"Aging Summary";#N/A,#N/A,FALSE,"Ratio Analysis";#N/A,#N/A,FALSE,"Test 120 Day Accts";#N/A,#N/A,FALSE,"Tickmarks"}</definedName>
    <definedName name="자산평균" localSheetId="3">#REF!</definedName>
    <definedName name="자산평균">#REF!</definedName>
    <definedName name="자ㅓㄷ" hidden="1">{#N/A,#N/A,FALSE,"ALM-ASISC"}</definedName>
    <definedName name="작업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잔다니아" localSheetId="3">[0]!BlankMacro1</definedName>
    <definedName name="잔다니아" localSheetId="9">[0]!BlankMacro1</definedName>
    <definedName name="잔다니아">[0]!BlankMacro1</definedName>
    <definedName name="잔다르크" hidden="1">{#N/A,#N/A,FALSE,"정공"}</definedName>
    <definedName name="잔디구해" localSheetId="3">[0]!BlankMacro1</definedName>
    <definedName name="잔디구해" localSheetId="9">[0]!BlankMacro1</definedName>
    <definedName name="잔디구해">[0]!BlankMacro1</definedName>
    <definedName name="잔존가율1년" localSheetId="3">#REF!</definedName>
    <definedName name="잔존가율1년">#REF!</definedName>
    <definedName name="잔존가율2년" localSheetId="3">#REF!</definedName>
    <definedName name="잔존가율2년">#REF!</definedName>
    <definedName name="잡이익분석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장부가액" localSheetId="3">#REF!</definedName>
    <definedName name="장부가액">#REF!</definedName>
    <definedName name="장부가액합계" localSheetId="3">#REF!</definedName>
    <definedName name="장부가액합계">#REF!</definedName>
    <definedName name="재고자산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재고자산평균" localSheetId="3">#REF!</definedName>
    <definedName name="재고자산평균">#REF!</definedName>
    <definedName name="재료집계3" localSheetId="3">#REF!</definedName>
    <definedName name="재료집계3">#REF!</definedName>
    <definedName name="재확인" localSheetId="3">#REF!</definedName>
    <definedName name="재확인">#REF!</definedName>
    <definedName name="저장품" hidden="1">{#N/A,#N/A,FALSE,"Aging Summary";#N/A,#N/A,FALSE,"Ratio Analysis";#N/A,#N/A,FALSE,"Test 120 Day Accts";#N/A,#N/A,FALSE,"Tickmarks"}</definedName>
    <definedName name="전" localSheetId="3">[0]!BlankMacro1</definedName>
    <definedName name="전" localSheetId="9">[0]!BlankMacro1</definedName>
    <definedName name="전">[0]!BlankMacro1</definedName>
    <definedName name="전_화_번_호" localSheetId="3">#REF!</definedName>
    <definedName name="전_화_번_호">#REF!</definedName>
    <definedName name="전2" hidden="1">{#N/A,#N/A,FALSE,"정공"}</definedName>
    <definedName name="전기경상이익" localSheetId="3">#REF!</definedName>
    <definedName name="전기경상이익">#REF!</definedName>
    <definedName name="전기당기순이익" localSheetId="3">#REF!</definedName>
    <definedName name="전기당기순이익">#REF!</definedName>
    <definedName name="전기순매출액" localSheetId="3">#REF!</definedName>
    <definedName name="전기순매출액">#REF!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산장비" hidden="1">{"'Sheet1'!$A$1:$H$36"}</definedName>
    <definedName name="전입액" localSheetId="3">#REF!</definedName>
    <definedName name="전입액">#REF!</definedName>
    <definedName name="전장" localSheetId="3">#REF!</definedName>
    <definedName name="전장">#REF!</definedName>
    <definedName name="전제" localSheetId="3">#REF!</definedName>
    <definedName name="전제">#REF!</definedName>
    <definedName name="전준우" localSheetId="3">#REF!</definedName>
    <definedName name="전준우">#REF!</definedName>
    <definedName name="전체2" localSheetId="3">#REF!</definedName>
    <definedName name="전체2">#REF!</definedName>
    <definedName name="전체4장" localSheetId="3">#REF!</definedName>
    <definedName name="전체4장">#REF!</definedName>
    <definedName name="전체인원" localSheetId="3">#REF!</definedName>
    <definedName name="전체인원">#REF!</definedName>
    <definedName name="전체조직3" localSheetId="3">[0]!BlankMacro1</definedName>
    <definedName name="전체조직3" localSheetId="9">[0]!BlankMacro1</definedName>
    <definedName name="전체조직3">[0]!BlankMacro1</definedName>
    <definedName name="전화번호" localSheetId="3">#REF!</definedName>
    <definedName name="전화번호">#REF!</definedName>
    <definedName name="절감" localSheetId="3">[0]!BlankMacro1</definedName>
    <definedName name="절감" localSheetId="9">[0]!BlankMacro1</definedName>
    <definedName name="절감">[0]!BlankMacro1</definedName>
    <definedName name="절삭" localSheetId="3">#REF!</definedName>
    <definedName name="절삭">#REF!</definedName>
    <definedName name="점검" localSheetId="3">#REF!</definedName>
    <definedName name="점검">#REF!</definedName>
    <definedName name="접대비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정" hidden="1">{#N/A,#N/A,FALSE,"ALM-ASISC"}</definedName>
    <definedName name="정규직비용" localSheetId="3">#REF!</definedName>
    <definedName name="정규직비용">#REF!</definedName>
    <definedName name="정기작업" localSheetId="3">#REF!</definedName>
    <definedName name="정기작업">#REF!</definedName>
    <definedName name="정산" localSheetId="3">#REF!</definedName>
    <definedName name="정산">#REF!</definedName>
    <definedName name="정상가격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정상가격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정승희대리제출분" hidden="1">{"'Desktop Inventory 현황'!$B$2:$O$35"}</definedName>
    <definedName name="정율" localSheetId="3">#REF!</definedName>
    <definedName name="정율">#REF!</definedName>
    <definedName name="정율표" localSheetId="3">#REF!</definedName>
    <definedName name="정율표">#REF!</definedName>
    <definedName name="제목" localSheetId="3">#REF!</definedName>
    <definedName name="제목">#REF!</definedName>
    <definedName name="제원" localSheetId="3">#REF!</definedName>
    <definedName name="제원">#REF!</definedName>
    <definedName name="제조원가" localSheetId="3">#REF!</definedName>
    <definedName name="제조원가">#REF!</definedName>
    <definedName name="제주추가종합수정안" hidden="1">{#N/A,#N/A,FALSE,"3가";#N/A,#N/A,FALSE,"3나";#N/A,#N/A,FALSE,"3다"}</definedName>
    <definedName name="제품수불" localSheetId="3">#REF!</definedName>
    <definedName name="제품수불">#REF!</definedName>
    <definedName name="제품수불1" localSheetId="3">#REF!</definedName>
    <definedName name="제품수불1">#REF!</definedName>
    <definedName name="제품수불부" localSheetId="3">#REF!</definedName>
    <definedName name="제품수불부">#REF!</definedName>
    <definedName name="조건" localSheetId="3">#REF!</definedName>
    <definedName name="조건">#REF!</definedName>
    <definedName name="조별유형" localSheetId="3" hidden="1">#REF!</definedName>
    <definedName name="조별유형" hidden="1">#REF!</definedName>
    <definedName name="조서번호" localSheetId="3">#REF!</definedName>
    <definedName name="조서번호">#REF!</definedName>
    <definedName name="조정시산" localSheetId="3">[0]!BlankMacro1</definedName>
    <definedName name="조정시산" localSheetId="9">[0]!BlankMacro1</definedName>
    <definedName name="조정시산">[0]!BlankMacro1</definedName>
    <definedName name="조정표" hidden="1">{"'Desktop Inventory 현황'!$B$2:$O$35"}</definedName>
    <definedName name="조정후손익" hidden="1">{#N/A,#N/A,FALSE,"정공"}</definedName>
    <definedName name="조직" localSheetId="3">[0]!BlankMacro1</definedName>
    <definedName name="조직" localSheetId="9">[0]!BlankMacro1</definedName>
    <definedName name="조직">[0]!BlankMacro1</definedName>
    <definedName name="조직1" hidden="1">{#N/A,#N/A,FALSE,"정공"}</definedName>
    <definedName name="조직3" hidden="1">{#N/A,#N/A,FALSE,"정공"}</definedName>
    <definedName name="조회" hidden="1">{#N/A,#N/A,FALSE,"채권채무";#N/A,#N/A,FALSE,"control sheet"}</definedName>
    <definedName name="조회금액" localSheetId="3">#REF!</definedName>
    <definedName name="조회금액">#REF!</definedName>
    <definedName name="조회서" hidden="1">{#N/A,#N/A,FALSE,"채권채무";#N/A,#N/A,FALSE,"control sheet"}</definedName>
    <definedName name="조회서기준일" localSheetId="3">#REF!</definedName>
    <definedName name="조회서기준일">#REF!</definedName>
    <definedName name="조회인" localSheetId="3">#REF!</definedName>
    <definedName name="조회인">#REF!</definedName>
    <definedName name="조회일자" localSheetId="3">#REF!</definedName>
    <definedName name="조회일자">#REF!</definedName>
    <definedName name="종_목" localSheetId="3">#REF!</definedName>
    <definedName name="종_목">#REF!</definedName>
    <definedName name="종합2" hidden="1">{#N/A,#N/A,FALSE,"정공"}</definedName>
    <definedName name="종합미래2" hidden="1">{#N/A,#N/A,FALSE,"정공"}</definedName>
    <definedName name="종합추이" localSheetId="3">[0]!BlankMacro1</definedName>
    <definedName name="종합추이" localSheetId="9">[0]!BlankMacro1</definedName>
    <definedName name="종합추이">[0]!BlankMacro1</definedName>
    <definedName name="주________소" localSheetId="3">#REF!</definedName>
    <definedName name="주________소">#REF!</definedName>
    <definedName name="주부신수익권증서_400" localSheetId="3">#REF!</definedName>
    <definedName name="주부신수익권증서_400">#REF!</definedName>
    <definedName name="주소" localSheetId="3">#REF!</definedName>
    <definedName name="주소">#REF!</definedName>
    <definedName name="주식발행초과금" localSheetId="3">#REF!</definedName>
    <definedName name="주식발행초과금">#REF!</definedName>
    <definedName name="주요" localSheetId="3">[0]!BlankMacro1</definedName>
    <definedName name="주요" localSheetId="9">[0]!BlankMacro1</definedName>
    <definedName name="주요">[0]!BlankMacro1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일">{"일요일";"월요일";"화요일";"수요일";"목요일";"금요일";"토요일"}</definedName>
    <definedName name="주주" hidden="1">{#N/A,#N/A,FALSE,"Aging Summary";#N/A,#N/A,FALSE,"Ratio Analysis";#N/A,#N/A,FALSE,"Test 120 Day Accts";#N/A,#N/A,FALSE,"Tickmarks"}</definedName>
    <definedName name="준" hidden="1">{#N/A,#N/A,FALSE,"Aging Summary";#N/A,#N/A,FALSE,"Ratio Analysis";#N/A,#N/A,FALSE,"Test 120 Day Accts";#N/A,#N/A,FALSE,"Tickmarks"}</definedName>
    <definedName name="중간예납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중간예납신고납계산서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중간예납신고납부계산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중계기현황" localSheetId="3">#REF!</definedName>
    <definedName name="중계기현황">#REF!</definedName>
    <definedName name="중급" localSheetId="3">#REF!</definedName>
    <definedName name="중급">#REF!</definedName>
    <definedName name="중급기술자" localSheetId="3">#REF!</definedName>
    <definedName name="중급기술자">#REF!</definedName>
    <definedName name="중기" hidden="1">{#N/A,#N/A,FALSE,"정공"}</definedName>
    <definedName name="중기변속기" localSheetId="3">[0]!BlankMacro1</definedName>
    <definedName name="중기변속기" localSheetId="9">[0]!BlankMacro1</definedName>
    <definedName name="중기변속기">[0]!BlankMacro1</definedName>
    <definedName name="중기예산" hidden="1">{#N/A,#N/A,FALSE,"3가";#N/A,#N/A,FALSE,"3나";#N/A,#N/A,FALSE,"3다"}</definedName>
    <definedName name="중능" localSheetId="3">#REF!</definedName>
    <definedName name="중능">#REF!</definedName>
    <definedName name="중소기업해당여부" localSheetId="3">#REF!</definedName>
    <definedName name="중소기업해당여부">#REF!</definedName>
    <definedName name="중술" localSheetId="3">#REF!</definedName>
    <definedName name="중술">#REF!</definedName>
    <definedName name="쥕x_t" localSheetId="3">#REF!</definedName>
    <definedName name="쥕x_t">#REF!</definedName>
    <definedName name="지급이자A" hidden="1">{#N/A,#N/A,FALSE,"Aging Summary";#N/A,#N/A,FALSE,"Ratio Analysis";#N/A,#N/A,FALSE,"Test 120 Day Accts";#N/A,#N/A,FALSE,"Tickmarks"}</definedName>
    <definedName name="지더" hidden="1">{#N/A,#N/A,FALSE,"ALM-ASISC"}</definedName>
    <definedName name="지두" hidden="1">{#N/A,#N/A,FALSE,"ALM-ASISC"}</definedName>
    <definedName name="지사" localSheetId="3">#REF!</definedName>
    <definedName name="지사">#REF!</definedName>
    <definedName name="직종" localSheetId="3">#REF!</definedName>
    <definedName name="직종">#REF!</definedName>
    <definedName name="진" hidden="1">{#N/A,#N/A,FALSE,"3가";#N/A,#N/A,FALSE,"3나";#N/A,#N/A,FALSE,"3다"}</definedName>
    <definedName name="진짜시산표" localSheetId="3">#REF!</definedName>
    <definedName name="진짜시산표">#REF!</definedName>
    <definedName name="집행실적200211" hidden="1">{"'Sheet1'!$A$1:$H$36"}</definedName>
    <definedName name="ㅊ" localSheetId="3">#REF!</definedName>
    <definedName name="ㅊ">#REF!</definedName>
    <definedName name="ㅊㅊ" localSheetId="3">#REF!</definedName>
    <definedName name="ㅊㅊ">#REF!</definedName>
    <definedName name="차" hidden="1">{#N/A,#N/A,FALSE,"ALM-ASISC"}</definedName>
    <definedName name="차라이" localSheetId="3">[0]!BlankMacro1</definedName>
    <definedName name="차라이" localSheetId="9">[0]!BlankMacro1</definedName>
    <definedName name="차라이">[0]!BlankMacro1</definedName>
    <definedName name="차명고래" localSheetId="3">[0]!BlankMacro1</definedName>
    <definedName name="차명고래" localSheetId="9">[0]!BlankMacro1</definedName>
    <definedName name="차명고래">[0]!BlankMacro1</definedName>
    <definedName name="차익거래" localSheetId="3">[0]!BlankMacro1</definedName>
    <definedName name="차익거래" localSheetId="9">[0]!BlankMacro1</definedName>
    <definedName name="차익거래">[0]!BlankMacro1</definedName>
    <definedName name="차입금A" localSheetId="3">#REF!</definedName>
    <definedName name="차입금A">#REF!</definedName>
    <definedName name="차트" hidden="1">{#N/A,#N/A,FALSE,"정공"}</definedName>
    <definedName name="참조" hidden="1">{"'Desktop Inventory 현황'!$B$2:$O$35"}</definedName>
    <definedName name="창" localSheetId="3">[0]!BlankMacro1</definedName>
    <definedName name="창" localSheetId="9">[0]!BlankMacro1</definedName>
    <definedName name="창">[0]!BlankMacro1</definedName>
    <definedName name="책연1" localSheetId="3">#REF!</definedName>
    <definedName name="책연1">#REF!</definedName>
    <definedName name="책연2" localSheetId="3">#REF!</definedName>
    <definedName name="책연2">#REF!</definedName>
    <definedName name="초급" localSheetId="3">#REF!</definedName>
    <definedName name="초급">#REF!</definedName>
    <definedName name="초능" localSheetId="3">#REF!</definedName>
    <definedName name="초능">#REF!</definedName>
    <definedName name="초술" localSheetId="3">#REF!</definedName>
    <definedName name="초술">#REF!</definedName>
    <definedName name="총괄" hidden="1">{#N/A,#N/A,TRUE,"1호 과표세액";#N/A,#N/A,TRUE,"6호 첨부(익)";#N/A,#N/A,TRUE,"6-3호 퇴충";#N/A,#N/A,TRUE,"PL";#N/A,#N/A,TRUE,"BS";#N/A,#N/A,TRUE,"RE";#N/A,#N/A,TRUE,"표지"}</definedName>
    <definedName name="총괄_신세대" hidden="1">{#N/A,#N/A,FALSE,"정공"}</definedName>
    <definedName name="총괄11" hidden="1">{#N/A,#N/A,FALSE,"3가";#N/A,#N/A,FALSE,"3나";#N/A,#N/A,FALSE,"3다"}</definedName>
    <definedName name="총괄예산규모" localSheetId="3">#REF!</definedName>
    <definedName name="총괄예산규모">#REF!</definedName>
    <definedName name="총괄예산규모2" localSheetId="3">#REF!</definedName>
    <definedName name="총괄예산규모2">#REF!</definedName>
    <definedName name="총괄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총광고비" localSheetId="3">#REF!</definedName>
    <definedName name="총광고비">#REF!</definedName>
    <definedName name="총금액" localSheetId="3">#REF!</definedName>
    <definedName name="총금액">#REF!</definedName>
    <definedName name="총금액_기타" localSheetId="3">#REF!</definedName>
    <definedName name="총금액_기타">#REF!</definedName>
    <definedName name="총소요비용" localSheetId="3">#REF!</definedName>
    <definedName name="총소요비용">#REF!</definedName>
    <definedName name="총액" localSheetId="3">#REF!</definedName>
    <definedName name="총액">#REF!</definedName>
    <definedName name="총자산평균" localSheetId="3">#REF!</definedName>
    <definedName name="총자산평균">#REF!</definedName>
    <definedName name="최">#N/A</definedName>
    <definedName name="최영" hidden="1">{#N/A,#N/A,FALSE,"정공"}</definedName>
    <definedName name="최재호" localSheetId="3" hidden="1">#REF!</definedName>
    <definedName name="최재호" hidden="1">#REF!</definedName>
    <definedName name="추계" localSheetId="3">#REF!</definedName>
    <definedName name="추계">#REF!</definedName>
    <definedName name="추계합계" localSheetId="3">#REF!</definedName>
    <definedName name="추계합계">#REF!</definedName>
    <definedName name="추공내역서" localSheetId="3" hidden="1">#REF!</definedName>
    <definedName name="추공내역서" hidden="1">#REF!</definedName>
    <definedName name="추범" localSheetId="3">#REF!</definedName>
    <definedName name="추범">#REF!</definedName>
    <definedName name="추진" hidden="1">{#N/A,#N/A,FALSE,"정공"}</definedName>
    <definedName name="추진전략" hidden="1">{#N/A,#N/A,FALSE,"정공"}</definedName>
    <definedName name="춤추는아이" localSheetId="3">[0]!BlankMacro1</definedName>
    <definedName name="춤추는아이" localSheetId="9">[0]!BlankMacro1</definedName>
    <definedName name="춤추는아이">[0]!BlankMacro1</definedName>
    <definedName name="충남신설" localSheetId="3">#REF!</definedName>
    <definedName name="충남신설">#REF!</definedName>
    <definedName name="충남트래픽" localSheetId="3">#REF!</definedName>
    <definedName name="충남트래픽">#REF!</definedName>
    <definedName name="충북신설" localSheetId="3">#REF!</definedName>
    <definedName name="충북신설">#REF!</definedName>
    <definedName name="충북트래픽" localSheetId="3">#REF!</definedName>
    <definedName name="충북트래픽">#REF!</definedName>
    <definedName name="충전소" localSheetId="3">#REF!</definedName>
    <definedName name="충전소">#REF!</definedName>
    <definedName name="취득가액" localSheetId="3">#REF!</definedName>
    <definedName name="취득가액">#REF!</definedName>
    <definedName name="칠" localSheetId="3">#REF!</definedName>
    <definedName name="칠">#REF!</definedName>
    <definedName name="ㅋ" hidden="1">{#N/A,#N/A,FALSE,"Aging Summary";#N/A,#N/A,FALSE,"Ratio Analysis";#N/A,#N/A,FALSE,"Test 120 Day Accts";#N/A,#N/A,FALSE,"Tickmarks"}</definedName>
    <definedName name="ㅋㅋ" hidden="1">{#N/A,#N/A,TRUE,"Y생산";#N/A,#N/A,TRUE,"Y판매";#N/A,#N/A,TRUE,"Y총물량";#N/A,#N/A,TRUE,"Y능력";#N/A,#N/A,TRUE,"YKD"}</definedName>
    <definedName name="ㅋㅋㅋ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카" hidden="1">{#N/A,#N/A,FALSE,"ALM-ASISC"}</definedName>
    <definedName name="카포넷">#N/A</definedName>
    <definedName name="콘도비용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크리너">[0]!크리너</definedName>
    <definedName name="ㅌ" localSheetId="3">#REF!</definedName>
    <definedName name="ㅌ">#REF!</definedName>
    <definedName name="ㅌㄹㅇㄴㄻㅇㄹ" hidden="1">{#N/A,#N/A,FALSE,"Aging Summary";#N/A,#N/A,FALSE,"Ratio Analysis";#N/A,#N/A,FALSE,"Test 120 Day Accts";#N/A,#N/A,FALSE,"Tickmarks"}</definedName>
    <definedName name="ㅌㅌ" localSheetId="3">#REF!</definedName>
    <definedName name="ㅌㅌ">#REF!</definedName>
    <definedName name="타" hidden="1">{#N/A,#N/A,FALSE,"ALM-ASISC"}</definedName>
    <definedName name="타본부" localSheetId="3">#REF!</definedName>
    <definedName name="타본부">#REF!</definedName>
    <definedName name="타타타" hidden="1">{"'Sheet1'!$A$1:$H$36"}</definedName>
    <definedName name="테이블범위" localSheetId="3">#REF!</definedName>
    <definedName name="테이블범위">#REF!</definedName>
    <definedName name="테이프MA요율" localSheetId="3">#REF!</definedName>
    <definedName name="테이프MA요율">#REF!</definedName>
    <definedName name="템플리트모듈1" localSheetId="3">[0]!BlankMacro1</definedName>
    <definedName name="템플리트모듈1" localSheetId="9">[0]!BlankMacro1</definedName>
    <definedName name="템플리트모듈1">[0]!BlankMacro1</definedName>
    <definedName name="템플리트모듈2" localSheetId="3">[0]!BlankMacro1</definedName>
    <definedName name="템플리트모듈2" localSheetId="9">[0]!BlankMacro1</definedName>
    <definedName name="템플리트모듈2">[0]!BlankMacro1</definedName>
    <definedName name="템플리트모듈3" localSheetId="3">[0]!BlankMacro1</definedName>
    <definedName name="템플리트모듈3" localSheetId="9">[0]!BlankMacro1</definedName>
    <definedName name="템플리트모듈3">[0]!BlankMacro1</definedName>
    <definedName name="템플리트모듈4" localSheetId="3">[0]!BlankMacro1</definedName>
    <definedName name="템플리트모듈4" localSheetId="9">[0]!BlankMacro1</definedName>
    <definedName name="템플리트모듈4">[0]!BlankMacro1</definedName>
    <definedName name="템플리트모듈5" localSheetId="3">[0]!BlankMacro1</definedName>
    <definedName name="템플리트모듈5" localSheetId="9">[0]!BlankMacro1</definedName>
    <definedName name="템플리트모듈5">[0]!BlankMacro1</definedName>
    <definedName name="템플리트모듈6" localSheetId="3">[0]!BlankMacro1</definedName>
    <definedName name="템플리트모듈6" localSheetId="9">[0]!BlankMacro1</definedName>
    <definedName name="템플리트모듈6">[0]!BlankMacro1</definedName>
    <definedName name="통" localSheetId="3">BlankMacro1</definedName>
    <definedName name="통" localSheetId="9">BlankMacro1</definedName>
    <definedName name="통">BlankMacro1</definedName>
    <definedName name="통관비" localSheetId="3">#REF!</definedName>
    <definedName name="통관비">#REF!</definedName>
    <definedName name="통화" localSheetId="3">#REF!</definedName>
    <definedName name="통화">#REF!</definedName>
    <definedName name="퇴" localSheetId="3">#REF!</definedName>
    <definedName name="퇴">#REF!</definedName>
    <definedName name="퇴직" localSheetId="3">#REF!</definedName>
    <definedName name="퇴직">#REF!</definedName>
    <definedName name="퇴직금" localSheetId="3">#REF!</definedName>
    <definedName name="퇴직금">#REF!</definedName>
    <definedName name="퇴직금추계액" localSheetId="3">#REF!</definedName>
    <definedName name="퇴직금추계액">#REF!</definedName>
    <definedName name="퇴직보험료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퇴직자" localSheetId="3">#REF!</definedName>
    <definedName name="퇴직자">#REF!</definedName>
    <definedName name="퇴충" localSheetId="3">#REF!</definedName>
    <definedName name="퇴충">#REF!</definedName>
    <definedName name="퇴충AR" localSheetId="3">#REF!</definedName>
    <definedName name="퇴충AR">#REF!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구분" localSheetId="3">#REF!</definedName>
    <definedName name="투자구분">#REF!</definedName>
    <definedName name="투자예산" localSheetId="3">#REF!</definedName>
    <definedName name="투자예산">#REF!</definedName>
    <definedName name="특" localSheetId="3">#REF!</definedName>
    <definedName name="특">#REF!</definedName>
    <definedName name="특급" localSheetId="3">#REF!</definedName>
    <definedName name="특급">#REF!</definedName>
    <definedName name="특기" localSheetId="3">#REF!</definedName>
    <definedName name="특기">#REF!</definedName>
    <definedName name="특별시방서1" hidden="1">{#N/A,#N/A,FALSE,"ALM-ASISC"}</definedName>
    <definedName name="특술" localSheetId="3">#REF!</definedName>
    <definedName name="특술">#REF!</definedName>
    <definedName name="특정현금과예금" hidden="1">{#N/A,#N/A,FALSE,"Aging Summary";#N/A,#N/A,FALSE,"Ratio Analysis";#N/A,#N/A,FALSE,"Test 120 Day Accts";#N/A,#N/A,FALSE,"Tickmarks"}</definedName>
    <definedName name="티컴" localSheetId="3">#REF!</definedName>
    <definedName name="티컴">#REF!</definedName>
    <definedName name="티컴1" localSheetId="3">#REF!</definedName>
    <definedName name="티컴1">#REF!</definedName>
    <definedName name="티컴2" localSheetId="3">#REF!</definedName>
    <definedName name="티컴2">#REF!</definedName>
    <definedName name="팀별_2" hidden="1">{"'Desktop Inventory 현황'!$B$2:$O$35"}</definedName>
    <definedName name="ㅍ" hidden="1">{#N/A,#N/A,FALSE,"Aging Summary";#N/A,#N/A,FALSE,"Ratio Analysis";#N/A,#N/A,FALSE,"Test 120 Day Accts";#N/A,#N/A,FALSE,"Tickmarks"}</definedName>
    <definedName name="ㅍㅌㅊ" localSheetId="3">#REF!</definedName>
    <definedName name="ㅍㅌㅊ">#REF!</definedName>
    <definedName name="ㅍㅍㅍ" localSheetId="3">#REF!</definedName>
    <definedName name="ㅍㅍㅍ">#REF!</definedName>
    <definedName name="파" hidden="1">{#N/A,#N/A,FALSE,"ALM-ASISC"}</definedName>
    <definedName name="파라이다" localSheetId="3">[0]!BlankMacro1</definedName>
    <definedName name="파라이다" localSheetId="9">[0]!BlankMacro1</definedName>
    <definedName name="파라이다">[0]!BlankMacro1</definedName>
    <definedName name="판가1" localSheetId="3">#REF!</definedName>
    <definedName name="판가1">#REF!</definedName>
    <definedName name="판가2" localSheetId="3">#REF!</definedName>
    <definedName name="판가2">#REF!</definedName>
    <definedName name="판가3" localSheetId="3">#REF!</definedName>
    <definedName name="판가3">#REF!</definedName>
    <definedName name="판가4" localSheetId="3">#REF!</definedName>
    <definedName name="판가4">#REF!</definedName>
    <definedName name="판관비tot" hidden="1">{#N/A,#N/A,FALSE,"Aging Summary";#N/A,#N/A,FALSE,"Ratio Analysis";#N/A,#N/A,FALSE,"Test 120 Day Accts";#N/A,#N/A,FALSE,"Tickmarks"}</definedName>
    <definedName name="판다다" localSheetId="3">[0]!BlankMacro1</definedName>
    <definedName name="판다다" localSheetId="9">[0]!BlankMacro1</definedName>
    <definedName name="판다다">[0]!BlankMacro1</definedName>
    <definedName name="판도라상자" hidden="1">{#N/A,#N/A,FALSE,"정공"}</definedName>
    <definedName name="팔월" localSheetId="3">#REF!</definedName>
    <definedName name="팔월">#REF!</definedName>
    <definedName name="폴">[0]!폴</definedName>
    <definedName name="표" localSheetId="3">#REF!</definedName>
    <definedName name="표">#REF!</definedName>
    <definedName name="표3" localSheetId="3">#REF!</definedName>
    <definedName name="표3">#REF!</definedName>
    <definedName name="표종류" localSheetId="3">#REF!</definedName>
    <definedName name="표종류">#REF!</definedName>
    <definedName name="표준단가" localSheetId="3">#REF!</definedName>
    <definedName name="표준단가">#REF!</definedName>
    <definedName name="표준원가" localSheetId="3">#REF!</definedName>
    <definedName name="표준원가">#REF!</definedName>
    <definedName name="표표ㅣ" hidden="1">{"'Sheet1'!$A$1:$H$36"}</definedName>
    <definedName name="품" hidden="1">{#N/A,#N/A,TRUE,"Y생산";#N/A,#N/A,TRUE,"Y판매";#N/A,#N/A,TRUE,"Y총물량";#N/A,#N/A,TRUE,"Y능력";#N/A,#N/A,TRUE,"YKD"}</definedName>
    <definedName name="품명" localSheetId="3">#REF!</definedName>
    <definedName name="품명">#REF!</definedName>
    <definedName name="품목분류표" localSheetId="3">#REF!</definedName>
    <definedName name="품목분류표">#REF!</definedName>
    <definedName name="프" localSheetId="3">#REF!</definedName>
    <definedName name="프">#REF!</definedName>
    <definedName name="프름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ㅎ" hidden="1">{#N/A,#N/A,FALSE,"Aging Summary";#N/A,#N/A,FALSE,"Ratio Analysis";#N/A,#N/A,FALSE,"Test 120 Day Accts";#N/A,#N/A,FALSE,"Tickmarks"}</definedName>
    <definedName name="ㅎㄴㅇㅎㄹ" localSheetId="3">[0]!BlankMacro1</definedName>
    <definedName name="ㅎㄴㅇㅎㄹ" localSheetId="9">[0]!BlankMacro1</definedName>
    <definedName name="ㅎㄴㅇㅎㄹ">[0]!BlankMacro1</definedName>
    <definedName name="ㅎㄹ" localSheetId="3">#REF!</definedName>
    <definedName name="ㅎㄹ">#REF!</definedName>
    <definedName name="ㅎㅅㅅ" localSheetId="3">#REF!</definedName>
    <definedName name="ㅎㅅㅅ">#REF!</definedName>
    <definedName name="ㅎㅇㄴ" localSheetId="3">[0]!BlankMacro1</definedName>
    <definedName name="ㅎㅇㄴ" localSheetId="9">[0]!BlankMacro1</definedName>
    <definedName name="ㅎㅇㄴ">[0]!BlankMacro1</definedName>
    <definedName name="ㅎㅎ" localSheetId="3">#REF!</definedName>
    <definedName name="ㅎㅎ">#REF!</definedName>
    <definedName name="ㅎㅎㅎ" hidden="1">{#N/A,#N/A,FALSE,"3가";#N/A,#N/A,FALSE,"3나";#N/A,#N/A,FALSE,"3다"}</definedName>
    <definedName name="ㅎㅎㅎㅎ" localSheetId="3">#REF!</definedName>
    <definedName name="ㅎㅎㅎㅎ">#REF!</definedName>
    <definedName name="하" hidden="1">{"'Sheet1'!$A$1:$H$36"}</definedName>
    <definedName name="하ㅏㅎ라하하핳" hidden="1">{"'Sheet1'!$A$1:$H$36"}</definedName>
    <definedName name="한" hidden="1">{#N/A,#N/A,FALSE,"3가";#N/A,#N/A,FALSE,"3나";#N/A,#N/A,FALSE,"3다"}</definedName>
    <definedName name="한번" localSheetId="3">[0]!BlankMacro1</definedName>
    <definedName name="한번" localSheetId="9">[0]!BlankMacro1</definedName>
    <definedName name="한번">[0]!BlankMacro1</definedName>
    <definedName name="합계잔액시산표_시산표_List" localSheetId="3">#REF!</definedName>
    <definedName name="합계잔액시산표_시산표_List">#REF!</definedName>
    <definedName name="합의" localSheetId="3">#REF!</definedName>
    <definedName name="합의">#REF!</definedName>
    <definedName name="합의내역" localSheetId="3">#REF!</definedName>
    <definedName name="합의내역">#REF!</definedName>
    <definedName name="합합" localSheetId="3">#REF!</definedName>
    <definedName name="합합">#REF!</definedName>
    <definedName name="항공생산부문인력" localSheetId="3">[0]!BlankMacro1</definedName>
    <definedName name="항공생산부문인력" localSheetId="9">[0]!BlankMacro1</definedName>
    <definedName name="항공생산부문인력">[0]!BlankMacro1</definedName>
    <definedName name="해외영업1팀" localSheetId="3">#REF!</definedName>
    <definedName name="해외영업1팀">#REF!</definedName>
    <definedName name="해외특수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해지리스트" localSheetId="3">#REF!</definedName>
    <definedName name="해지리스트">#REF!</definedName>
    <definedName name="허순이1" localSheetId="3">#REF!</definedName>
    <definedName name="허순이1">#REF!</definedName>
    <definedName name="허순이2" localSheetId="3">#REF!</definedName>
    <definedName name="허순이2">#REF!</definedName>
    <definedName name="현금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등가물" hidden="1">{#N/A,#N/A,FALSE,"Aging Summary";#N/A,#N/A,FALSE,"Ratio Analysis";#N/A,#N/A,FALSE,"Test 120 Day Accts";#N/A,#N/A,FALSE,"Tickmarks"}</definedName>
    <definedName name="현금실사표1">{"일요일";"월요일";"화요일";"수요일";"목요일";"금요일";"토요일"}</definedName>
    <definedName name="현금정산" hidden="1">{#N/A,#N/A,FALSE,"Aging Summary";#N/A,#N/A,FALSE,"Ratio Analysis";#N/A,#N/A,FALSE,"Test 120 Day Accts";#N/A,#N/A,FALSE,"Tickmarks"}</definedName>
    <definedName name="현금정산료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정산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프름표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금흐름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금흐름정산표">#N/A</definedName>
    <definedName name="현금흐름표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대" hidden="1">{#N/A,#N/A,FALSE,"정공"}</definedName>
    <definedName name="現代綜合商事經由分" localSheetId="3">#REF!</definedName>
    <definedName name="現代綜合商事經由分">#REF!</definedName>
    <definedName name="현재" hidden="1">{"'Sheet1'!$A$1:$H$36"}</definedName>
    <definedName name="협조전" hidden="1">{#N/A,#N/A,FALSE,"정공"}</definedName>
    <definedName name="호" hidden="1">{"'Desktop Inventory 현황'!$B$2:$O$35"}</definedName>
    <definedName name="호스트IDS" hidden="1">{"'Desktop Inventory 현황'!$B$2:$O$35"}</definedName>
    <definedName name="호스트마진율" localSheetId="3">#REF!</definedName>
    <definedName name="호스트마진율">#REF!</definedName>
    <definedName name="홈키드럭">[0]!홈키드럭</definedName>
    <definedName name="홎ㅅㄱ도" hidden="1">{#N/A,#N/A,FALSE,"ALM-ASISC"}</definedName>
    <definedName name="확인" localSheetId="3">[0]!BlankMacro1</definedName>
    <definedName name="확인" localSheetId="9">[0]!BlankMacro1</definedName>
    <definedName name="확인">[0]!BlankMacro1</definedName>
    <definedName name="환율" localSheetId="3">#REF!</definedName>
    <definedName name="환율">#REF!</definedName>
    <definedName name="환율상" localSheetId="3">#REF!</definedName>
    <definedName name="환율상">#REF!</definedName>
    <definedName name="환율하" localSheetId="3">#REF!</definedName>
    <definedName name="환율하">#REF!</definedName>
    <definedName name="획" localSheetId="3">#REF!</definedName>
    <definedName name="획">#REF!</definedName>
    <definedName name="ㅏ" localSheetId="3">#REF!</definedName>
    <definedName name="ㅏ">#REF!</definedName>
    <definedName name="ㅏㄷ" hidden="1">{#N/A,#N/A,FALSE,"ALM-ASISC"}</definedName>
    <definedName name="ㅏ도" localSheetId="3">#REF!</definedName>
    <definedName name="ㅏ도">#REF!</definedName>
    <definedName name="ㅏ딪" hidden="1">{#N/A,#N/A,FALSE,"ALM-ASISC"}</definedName>
    <definedName name="ㅏㅇ" hidden="1">{#N/A,#N/A,FALSE,"ALM-ASISC"}</definedName>
    <definedName name="ㅏ아" localSheetId="3">#REF!</definedName>
    <definedName name="ㅏ아">#REF!</definedName>
    <definedName name="ㅏ잊" hidden="1">{#N/A,#N/A,FALSE,"ALM-ASISC"}</definedName>
    <definedName name="ㅏ짇" hidden="1">{#N/A,#N/A,FALSE,"ALM-ASISC"}</definedName>
    <definedName name="ㅏㅏ" hidden="1">{#N/A,#N/A,FALSE,"Aging Summary";#N/A,#N/A,FALSE,"Ratio Analysis";#N/A,#N/A,FALSE,"Test 120 Day Accts";#N/A,#N/A,FALSE,"Tickmarks"}</definedName>
    <definedName name="ㅏㅓㅏ" localSheetId="3">#REF!</definedName>
    <definedName name="ㅏㅓㅏ">#REF!</definedName>
    <definedName name="ㅏㅣㄴ" hidden="1">{#N/A,#N/A,FALSE,"ALM-ASISC"}</definedName>
    <definedName name="ㅏㅣㄷ" hidden="1">{#N/A,#N/A,FALSE,"ALM-ASISC"}</definedName>
    <definedName name="ㅐㅐㅐㅐ" localSheetId="3">[0]!BlankMacro1</definedName>
    <definedName name="ㅐㅐㅐㅐ" localSheetId="9">[0]!BlankMacro1</definedName>
    <definedName name="ㅐㅐㅐㅐ">[0]!BlankMacro1</definedName>
    <definedName name="ㅑ" hidden="1">{#N/A,#N/A,FALSE,"Aging Summary";#N/A,#N/A,FALSE,"Ratio Analysis";#N/A,#N/A,FALSE,"Test 120 Day Accts";#N/A,#N/A,FALSE,"Tickmarks"}</definedName>
    <definedName name="ㅓ" hidden="1">{#N/A,#N/A,TRUE,"Y생산";#N/A,#N/A,TRUE,"Y판매";#N/A,#N/A,TRUE,"Y총물량";#N/A,#N/A,TRUE,"Y능력";#N/A,#N/A,TRUE,"YKD"}</definedName>
    <definedName name="ㅓ아ㅣㄷ" hidden="1">{#N/A,#N/A,FALSE,"ALM-ASISC"}</definedName>
    <definedName name="ㅓㅏㅓ" localSheetId="3">#REF!</definedName>
    <definedName name="ㅓㅏㅓ">#REF!</definedName>
    <definedName name="ㅓㅏㅣㅑ" hidden="1">{#N/A,#N/A,FALSE,"Aging Summary";#N/A,#N/A,FALSE,"Ratio Analysis";#N/A,#N/A,FALSE,"Test 120 Day Accts";#N/A,#N/A,FALSE,"Tickmarks"}</definedName>
    <definedName name="ㅓㅓㅓ" localSheetId="3">#REF!</definedName>
    <definedName name="ㅓㅓㅓ">#REF!</definedName>
    <definedName name="ㅓㅗ" localSheetId="3">[0]!BlankMacro1</definedName>
    <definedName name="ㅓㅗ" localSheetId="9">[0]!BlankMacro1</definedName>
    <definedName name="ㅓㅗ">[0]!BlankMacro1</definedName>
    <definedName name="ㅔㅔㅔㅔ" localSheetId="3">[0]!BlankMacro1</definedName>
    <definedName name="ㅔㅔㅔㅔ" localSheetId="9">[0]!BlankMacro1</definedName>
    <definedName name="ㅔㅔㅔㅔ">[0]!BlankMacro1</definedName>
    <definedName name="ㅗ" localSheetId="3">#REF!</definedName>
    <definedName name="ㅗ">#REF!</definedName>
    <definedName name="ㅗ60" localSheetId="3">#REF!</definedName>
    <definedName name="ㅗ60">#REF!</definedName>
    <definedName name="ㅗㄷ" localSheetId="3">#REF!</definedName>
    <definedName name="ㅗㄷ">#REF!</definedName>
    <definedName name="ㅗㅎ" localSheetId="3">#REF!</definedName>
    <definedName name="ㅗㅎ">#REF!</definedName>
    <definedName name="ㅗㅎㄷ" localSheetId="3">#REF!</definedName>
    <definedName name="ㅗㅎㄷ">#REF!</definedName>
    <definedName name="ㅗㅕㅓ" localSheetId="3">[0]!BlankMacro1</definedName>
    <definedName name="ㅗㅕㅓ" localSheetId="9">[0]!BlankMacro1</definedName>
    <definedName name="ㅗㅕㅓ">[0]!BlankMacro1</definedName>
    <definedName name="ㅗㅗㅗㅗ" localSheetId="3">#REF!</definedName>
    <definedName name="ㅗㅗㅗㅗ">#REF!</definedName>
    <definedName name="ㅛㅗ로" localSheetId="3">#REF!</definedName>
    <definedName name="ㅛㅗ로">#REF!</definedName>
    <definedName name="ㅛㅗㅂ좆" localSheetId="3" hidden="1">#REF!</definedName>
    <definedName name="ㅛㅗㅂ좆" hidden="1">#REF!</definedName>
    <definedName name="ㅛㅛㅛㅛ" localSheetId="3">[0]!BlankMacro1</definedName>
    <definedName name="ㅛㅛㅛㅛ" localSheetId="9">[0]!BlankMacro1</definedName>
    <definedName name="ㅛㅛㅛㅛ">[0]!BlankMacro1</definedName>
    <definedName name="ㅜ" localSheetId="3">#REF!</definedName>
    <definedName name="ㅜ">#REF!</definedName>
    <definedName name="ㅜ다" hidden="1">{#N/A,#N/A,FALSE,"ALM-ASISC"}</definedName>
    <definedName name="ㅜㅈ다" hidden="1">{#N/A,#N/A,FALSE,"ALM-ASISC"}</definedName>
    <definedName name="ㅜ자ㅣㅂ" hidden="1">{#N/A,#N/A,FALSE,"ALM-ASISC"}</definedName>
    <definedName name="ㅜㅗㅜㅛㅎ" localSheetId="3">BlankMacro1</definedName>
    <definedName name="ㅜㅗㅜㅛㅎ" localSheetId="9">BlankMacro1</definedName>
    <definedName name="ㅜㅗㅜㅛㅎ">BlankMacro1</definedName>
    <definedName name="ㅠ" hidden="1">{#N/A,#N/A,FALSE,"Aging Summary";#N/A,#N/A,FALSE,"Ratio Analysis";#N/A,#N/A,FALSE,"Test 120 Day Accts";#N/A,#N/A,FALSE,"Tickmarks"}</definedName>
    <definedName name="ㅠ1560" localSheetId="3">#REF!</definedName>
    <definedName name="ㅠ1560">#REF!</definedName>
    <definedName name="ㅠㄹㅇ" localSheetId="3">#REF!</definedName>
    <definedName name="ㅠㄹㅇ">#REF!</definedName>
    <definedName name="ㅡ">{#N/A,#N/A,FALSE,"Aging Summary";#N/A,#N/A,FALSE,"Ratio Analysis";#N/A,#N/A,FALSE,"Test 120 Day Accts";#N/A,#N/A,FALSE,"Tickmarks"}</definedName>
    <definedName name="ㅡㅡㅡ" localSheetId="3">[0]!BlankMacro1</definedName>
    <definedName name="ㅡㅡㅡ" localSheetId="9">[0]!BlankMacro1</definedName>
    <definedName name="ㅡㅡㅡ">[0]!BlankMacro1</definedName>
    <definedName name="ㅣ" hidden="1">{#N/A,#N/A,FALSE,"Aging Summary";#N/A,#N/A,FALSE,"Ratio Analysis";#N/A,#N/A,FALSE,"Test 120 Day Accts";#N/A,#N/A,FALSE,"Tickmarks"}</definedName>
    <definedName name="ㅣ닺" hidden="1">{#N/A,#N/A,FALSE,"ALM-ASISC"}</definedName>
    <definedName name="ㅣㅇ" hidden="1">{#N/A,#N/A,FALSE,"ALM-ASISC"}</definedName>
    <definedName name="ㅣㅈ다" hidden="1">{#N/A,#N/A,FALSE,"ALM-ASISC"}</definedName>
    <definedName name="ㅣ잗" hidden="1">{#N/A,#N/A,FALSE,"ALM-ASISC"}</definedName>
    <definedName name="ㅣ젇" hidden="1">{#N/A,#N/A,FALSE,"ALM-ASISC"}</definedName>
    <definedName name="ㅣㅣㅣ" localSheetId="3">#REF!</definedName>
    <definedName name="ㅣㅣㅣ">#REF!</definedName>
    <definedName name="ㅣㅣㅣㅣ" localSheetId="3">[0]!BlankMacro1</definedName>
    <definedName name="ㅣㅣㅣㅣ" localSheetId="9">[0]!BlankMacro1</definedName>
    <definedName name="ㅣㅣㅣㅣ">[0]!BlankMacro1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0" i="15" l="1"/>
  <c r="AD59" i="15"/>
  <c r="L59" i="15"/>
  <c r="P141" i="15"/>
  <c r="AF68" i="15"/>
  <c r="J95" i="15" l="1"/>
  <c r="J93" i="15"/>
  <c r="P94" i="15" l="1"/>
  <c r="P93" i="15"/>
  <c r="M472" i="2"/>
  <c r="M473" i="2"/>
  <c r="P77" i="15"/>
  <c r="Z63" i="15"/>
  <c r="AF63" i="15"/>
  <c r="Z40" i="15" l="1"/>
  <c r="T46" i="15"/>
  <c r="AL43" i="15" l="1"/>
  <c r="AB50" i="15" s="1"/>
  <c r="AA70" i="4" l="1"/>
  <c r="AD70" i="4" s="1"/>
  <c r="AE70" i="4" s="1"/>
  <c r="AF70" i="4" s="1"/>
  <c r="AA215" i="4" l="1"/>
  <c r="AD215" i="4" s="1"/>
  <c r="AE215" i="4" s="1"/>
  <c r="AF215" i="4" s="1"/>
  <c r="AA204" i="4"/>
  <c r="AD204" i="4" s="1"/>
  <c r="AA28" i="4"/>
  <c r="AA29" i="4"/>
  <c r="AD29" i="4" s="1"/>
  <c r="AE204" i="4" l="1"/>
  <c r="AF204" i="4" s="1"/>
  <c r="AG204" i="4"/>
  <c r="AE29" i="4"/>
  <c r="AF29" i="4" s="1"/>
  <c r="AG29" i="4"/>
  <c r="M464" i="2"/>
  <c r="M465" i="2"/>
  <c r="M466" i="2"/>
  <c r="M467" i="2"/>
  <c r="M468" i="2"/>
  <c r="M469" i="2"/>
  <c r="M470" i="2"/>
  <c r="M471" i="2"/>
  <c r="AL42" i="15" l="1"/>
  <c r="AB56" i="15" s="1"/>
  <c r="AL41" i="15"/>
  <c r="AB46" i="15" s="1"/>
  <c r="V122" i="15" l="1"/>
  <c r="AA270" i="9" l="1"/>
  <c r="C141" i="15" s="1"/>
  <c r="M461" i="2"/>
  <c r="M462" i="2"/>
  <c r="M463" i="2"/>
  <c r="AD270" i="9" l="1"/>
  <c r="O198" i="2"/>
  <c r="AE270" i="9" l="1"/>
  <c r="J35" i="15"/>
  <c r="D141" i="15" s="1"/>
  <c r="E141" i="15" s="1"/>
  <c r="AB60" i="15" l="1"/>
  <c r="AF90" i="15"/>
  <c r="AG36" i="15"/>
  <c r="Z59" i="15"/>
  <c r="AJ60" i="15" s="1"/>
  <c r="AL60" i="15" s="1"/>
  <c r="AD62" i="15" l="1"/>
  <c r="AF60" i="15"/>
  <c r="AL61" i="15" s="1"/>
  <c r="AB14" i="15" l="1"/>
  <c r="AB74" i="15" l="1"/>
  <c r="AA187" i="9"/>
  <c r="Y294" i="4" l="1"/>
  <c r="AC84" i="9" l="1"/>
  <c r="AA84" i="9"/>
  <c r="AD84" i="9" l="1"/>
  <c r="AE84" i="9" s="1"/>
  <c r="AF84" i="9" s="1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248" i="2"/>
  <c r="M24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50" i="2"/>
  <c r="G37" i="24" l="1"/>
  <c r="Z84" i="15" l="1"/>
  <c r="AD90" i="15"/>
  <c r="Z61" i="15" l="1"/>
  <c r="AF112" i="15"/>
  <c r="AD60" i="15"/>
  <c r="AE130" i="4"/>
  <c r="AF130" i="4" s="1"/>
  <c r="E113" i="15"/>
  <c r="E112" i="15"/>
  <c r="E110" i="15"/>
  <c r="E109" i="15"/>
  <c r="E108" i="15"/>
  <c r="E107" i="15"/>
  <c r="E106" i="15"/>
  <c r="E105" i="15"/>
  <c r="E104" i="15"/>
  <c r="E103" i="15"/>
  <c r="E102" i="15"/>
  <c r="E99" i="15"/>
  <c r="E100" i="15"/>
  <c r="E98" i="15"/>
  <c r="E95" i="15"/>
  <c r="E93" i="15"/>
  <c r="E92" i="15"/>
  <c r="E90" i="15"/>
  <c r="E88" i="15"/>
  <c r="E86" i="15"/>
  <c r="E85" i="15"/>
  <c r="E84" i="15"/>
  <c r="E83" i="15"/>
  <c r="E82" i="15"/>
  <c r="E81" i="15"/>
  <c r="E80" i="15"/>
  <c r="E79" i="15"/>
  <c r="E78" i="15"/>
  <c r="E76" i="15"/>
  <c r="E75" i="15"/>
  <c r="E73" i="15"/>
  <c r="E68" i="15"/>
  <c r="E67" i="15"/>
  <c r="E65" i="15"/>
  <c r="E64" i="15"/>
  <c r="E63" i="15"/>
  <c r="E62" i="15"/>
  <c r="E60" i="15"/>
  <c r="E59" i="15"/>
  <c r="E57" i="15"/>
  <c r="E56" i="15"/>
  <c r="E55" i="15"/>
  <c r="E54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5" i="15"/>
  <c r="E34" i="15"/>
  <c r="E32" i="15"/>
  <c r="E31" i="15"/>
  <c r="E30" i="15"/>
  <c r="E29" i="15"/>
  <c r="E27" i="15"/>
  <c r="E25" i="15"/>
  <c r="E23" i="15"/>
  <c r="E22" i="15"/>
  <c r="E21" i="15"/>
  <c r="E20" i="15"/>
  <c r="E18" i="15"/>
  <c r="E17" i="15"/>
  <c r="E16" i="15"/>
  <c r="E15" i="15"/>
  <c r="E14" i="15"/>
  <c r="E12" i="15"/>
  <c r="E10" i="15"/>
  <c r="E8" i="15"/>
  <c r="E7" i="15"/>
  <c r="AA237" i="4"/>
  <c r="AD237" i="4" s="1"/>
  <c r="AA238" i="4"/>
  <c r="AD238" i="4" s="1"/>
  <c r="AC38" i="9"/>
  <c r="AA38" i="9"/>
  <c r="AD38" i="9" l="1"/>
  <c r="AG238" i="4"/>
  <c r="AE238" i="4"/>
  <c r="AG237" i="4"/>
  <c r="AE237" i="4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2" i="27"/>
  <c r="N143" i="15" l="1"/>
  <c r="P125" i="15"/>
  <c r="P138" i="15"/>
  <c r="AF116" i="15"/>
  <c r="AA283" i="4"/>
  <c r="AD283" i="4" s="1"/>
  <c r="AE283" i="4" s="1"/>
  <c r="AF283" i="4" s="1"/>
  <c r="AA284" i="4"/>
  <c r="AD284" i="4" s="1"/>
  <c r="AE284" i="4" s="1"/>
  <c r="AF284" i="4" s="1"/>
  <c r="AA285" i="4"/>
  <c r="AD285" i="4" s="1"/>
  <c r="AE285" i="4" s="1"/>
  <c r="AF285" i="4" s="1"/>
  <c r="AA158" i="4"/>
  <c r="AA157" i="4" s="1"/>
  <c r="AA274" i="9"/>
  <c r="AD274" i="9" s="1"/>
  <c r="J68" i="15" s="1"/>
  <c r="AA12" i="4"/>
  <c r="AA13" i="4"/>
  <c r="AA14" i="4"/>
  <c r="AA15" i="4"/>
  <c r="AD15" i="4" s="1"/>
  <c r="AE15" i="4" s="1"/>
  <c r="AF15" i="4" s="1"/>
  <c r="AA253" i="9"/>
  <c r="AD253" i="9" s="1"/>
  <c r="AA234" i="9"/>
  <c r="AD234" i="9" s="1"/>
  <c r="L8" i="15" s="1"/>
  <c r="AA238" i="9"/>
  <c r="AD238" i="9" s="1"/>
  <c r="L9" i="15" s="1"/>
  <c r="H9" i="15" s="1"/>
  <c r="AA17" i="4"/>
  <c r="AD17" i="4" s="1"/>
  <c r="AE17" i="4" s="1"/>
  <c r="AF17" i="4" s="1"/>
  <c r="AA19" i="4"/>
  <c r="AD19" i="4" s="1"/>
  <c r="AA21" i="4"/>
  <c r="AA22" i="4"/>
  <c r="AA23" i="4"/>
  <c r="AD23" i="4" s="1"/>
  <c r="AA24" i="4"/>
  <c r="AD24" i="4" s="1"/>
  <c r="AE24" i="4" s="1"/>
  <c r="AF24" i="4" s="1"/>
  <c r="AA26" i="4"/>
  <c r="AA27" i="4"/>
  <c r="AA30" i="4"/>
  <c r="AA31" i="4"/>
  <c r="AA32" i="4"/>
  <c r="AA34" i="4"/>
  <c r="AD34" i="4" s="1"/>
  <c r="AE34" i="4" s="1"/>
  <c r="AF34" i="4" s="1"/>
  <c r="AA35" i="4"/>
  <c r="AD35" i="4" s="1"/>
  <c r="AA36" i="4"/>
  <c r="AA37" i="4"/>
  <c r="AD37" i="4" s="1"/>
  <c r="AA263" i="9"/>
  <c r="AD263" i="9" s="1"/>
  <c r="J16" i="15" s="1"/>
  <c r="AA246" i="9"/>
  <c r="AD246" i="9" s="1"/>
  <c r="L16" i="15" s="1"/>
  <c r="AA39" i="4"/>
  <c r="AA38" i="4" s="1"/>
  <c r="AA178" i="9"/>
  <c r="AA41" i="4"/>
  <c r="AD41" i="4" s="1"/>
  <c r="AA42" i="4"/>
  <c r="AD42" i="4" s="1"/>
  <c r="AA43" i="4"/>
  <c r="AA44" i="4"/>
  <c r="AD44" i="4" s="1"/>
  <c r="AA45" i="4"/>
  <c r="AA46" i="4"/>
  <c r="AA47" i="4"/>
  <c r="AA48" i="4"/>
  <c r="AA49" i="4"/>
  <c r="AD49" i="4" s="1"/>
  <c r="AA50" i="4"/>
  <c r="AD50" i="4" s="1"/>
  <c r="AE50" i="4" s="1"/>
  <c r="AF50" i="4" s="1"/>
  <c r="AA51" i="4"/>
  <c r="AA52" i="4"/>
  <c r="AD52" i="4" s="1"/>
  <c r="AA53" i="4"/>
  <c r="AA54" i="4"/>
  <c r="AA55" i="4"/>
  <c r="AA56" i="4"/>
  <c r="AA58" i="4"/>
  <c r="AD58" i="4" s="1"/>
  <c r="AA60" i="4"/>
  <c r="AD60" i="4" s="1"/>
  <c r="AD59" i="4" s="1"/>
  <c r="AE59" i="4" s="1"/>
  <c r="AF59" i="4" s="1"/>
  <c r="AA232" i="9"/>
  <c r="AD232" i="9" s="1"/>
  <c r="AA62" i="4"/>
  <c r="AA61" i="4" s="1"/>
  <c r="AA214" i="9"/>
  <c r="AD214" i="9" s="1"/>
  <c r="AA215" i="9"/>
  <c r="AA64" i="4"/>
  <c r="AD64" i="4" s="1"/>
  <c r="AA65" i="4"/>
  <c r="AA229" i="9"/>
  <c r="AD229" i="9" s="1"/>
  <c r="L23" i="15" s="1"/>
  <c r="AA67" i="4"/>
  <c r="AA66" i="4" s="1"/>
  <c r="AA69" i="4"/>
  <c r="AA71" i="4"/>
  <c r="AA73" i="4"/>
  <c r="AD73" i="4" s="1"/>
  <c r="AA74" i="4"/>
  <c r="AA76" i="4"/>
  <c r="AA75" i="4" s="1"/>
  <c r="AA78" i="4"/>
  <c r="AA80" i="4"/>
  <c r="AD80" i="4" s="1"/>
  <c r="AE80" i="4" s="1"/>
  <c r="AF80" i="4" s="1"/>
  <c r="AA81" i="4"/>
  <c r="AD81" i="4" s="1"/>
  <c r="AE81" i="4" s="1"/>
  <c r="AF81" i="4" s="1"/>
  <c r="AA82" i="4"/>
  <c r="AA83" i="4"/>
  <c r="AD83" i="4" s="1"/>
  <c r="AA84" i="4"/>
  <c r="AA85" i="4"/>
  <c r="AA88" i="4"/>
  <c r="AA87" i="4" s="1"/>
  <c r="AA90" i="4"/>
  <c r="AA89" i="4" s="1"/>
  <c r="AA271" i="9"/>
  <c r="AD271" i="9" s="1"/>
  <c r="AA269" i="9"/>
  <c r="AA92" i="4"/>
  <c r="AD92" i="4" s="1"/>
  <c r="AE92" i="4" s="1"/>
  <c r="AF92" i="4" s="1"/>
  <c r="AA93" i="4"/>
  <c r="AD93" i="4" s="1"/>
  <c r="AE93" i="4" s="1"/>
  <c r="AF93" i="4" s="1"/>
  <c r="AA95" i="4"/>
  <c r="AD95" i="4" s="1"/>
  <c r="AE95" i="4" s="1"/>
  <c r="AF95" i="4" s="1"/>
  <c r="AA97" i="4"/>
  <c r="AD97" i="4" s="1"/>
  <c r="AA98" i="4"/>
  <c r="AA230" i="9"/>
  <c r="AD230" i="9" s="1"/>
  <c r="L39" i="15" s="1"/>
  <c r="AA100" i="4"/>
  <c r="AD100" i="4" s="1"/>
  <c r="AA101" i="4"/>
  <c r="AD101" i="4" s="1"/>
  <c r="AE101" i="4" s="1"/>
  <c r="AF101" i="4" s="1"/>
  <c r="AA103" i="4"/>
  <c r="AA102" i="4" s="1"/>
  <c r="AA105" i="4"/>
  <c r="AA104" i="4" s="1"/>
  <c r="AA107" i="4"/>
  <c r="AA106" i="4" s="1"/>
  <c r="AA133" i="9"/>
  <c r="AA109" i="4"/>
  <c r="AA108" i="4" s="1"/>
  <c r="AA111" i="4"/>
  <c r="AA110" i="4" s="1"/>
  <c r="AA134" i="9"/>
  <c r="J45" i="15" s="1"/>
  <c r="AA113" i="4"/>
  <c r="AA112" i="4" s="1"/>
  <c r="AA115" i="4"/>
  <c r="AA114" i="4" s="1"/>
  <c r="AA135" i="9"/>
  <c r="AA117" i="4"/>
  <c r="AA116" i="4" s="1"/>
  <c r="AA119" i="4"/>
  <c r="AA118" i="4" s="1"/>
  <c r="AA121" i="4"/>
  <c r="AD121" i="4" s="1"/>
  <c r="AA122" i="4"/>
  <c r="AA123" i="4"/>
  <c r="AD123" i="4" s="1"/>
  <c r="AA124" i="4"/>
  <c r="AD124" i="4" s="1"/>
  <c r="AA126" i="4"/>
  <c r="AD126" i="4" s="1"/>
  <c r="AE126" i="4" s="1"/>
  <c r="AF126" i="4" s="1"/>
  <c r="AA127" i="4"/>
  <c r="AD127" i="4" s="1"/>
  <c r="AE127" i="4" s="1"/>
  <c r="AF127" i="4" s="1"/>
  <c r="AA136" i="9"/>
  <c r="J51" i="15" s="1"/>
  <c r="AA129" i="4"/>
  <c r="AD129" i="4" s="1"/>
  <c r="AA130" i="4"/>
  <c r="AG130" i="4" s="1"/>
  <c r="AA184" i="9"/>
  <c r="AA132" i="4"/>
  <c r="AD132" i="4" s="1"/>
  <c r="AE132" i="4" s="1"/>
  <c r="AF132" i="4" s="1"/>
  <c r="AA133" i="4"/>
  <c r="AD133" i="4" s="1"/>
  <c r="AA185" i="9"/>
  <c r="J54" i="15" s="1"/>
  <c r="AA135" i="4"/>
  <c r="AA136" i="4"/>
  <c r="AD136" i="4" s="1"/>
  <c r="AE136" i="4" s="1"/>
  <c r="AF136" i="4" s="1"/>
  <c r="AA137" i="4"/>
  <c r="AD137" i="4" s="1"/>
  <c r="AE137" i="4" s="1"/>
  <c r="AF137" i="4" s="1"/>
  <c r="AA186" i="9"/>
  <c r="J55" i="15" s="1"/>
  <c r="AA139" i="4"/>
  <c r="AD139" i="4" s="1"/>
  <c r="AE139" i="4" s="1"/>
  <c r="AF139" i="4" s="1"/>
  <c r="AA140" i="4"/>
  <c r="AD140" i="4" s="1"/>
  <c r="AE140" i="4" s="1"/>
  <c r="AF140" i="4" s="1"/>
  <c r="J56" i="15"/>
  <c r="AA142" i="4"/>
  <c r="AD142" i="4" s="1"/>
  <c r="AA143" i="4"/>
  <c r="AD143" i="4" s="1"/>
  <c r="AA144" i="4"/>
  <c r="AD144" i="4" s="1"/>
  <c r="AA145" i="4"/>
  <c r="AD145" i="4" s="1"/>
  <c r="AA146" i="4"/>
  <c r="AD146" i="4" s="1"/>
  <c r="AA148" i="4"/>
  <c r="AD148" i="4" s="1"/>
  <c r="AG148" i="4" s="1"/>
  <c r="AA152" i="4"/>
  <c r="AD152" i="4" s="1"/>
  <c r="AG152" i="4" s="1"/>
  <c r="AA137" i="9"/>
  <c r="AA149" i="4"/>
  <c r="AD149" i="4" s="1"/>
  <c r="AE149" i="4" s="1"/>
  <c r="AF149" i="4" s="1"/>
  <c r="AA220" i="9"/>
  <c r="AA219" i="9" s="1"/>
  <c r="AD219" i="9" s="1"/>
  <c r="AE219" i="9" s="1"/>
  <c r="AF219" i="9" s="1"/>
  <c r="AA204" i="9"/>
  <c r="AA203" i="9" s="1"/>
  <c r="AD203" i="9" s="1"/>
  <c r="AE203" i="9" s="1"/>
  <c r="AF203" i="9" s="1"/>
  <c r="AA153" i="4"/>
  <c r="AD153" i="4" s="1"/>
  <c r="AA139" i="9"/>
  <c r="AA150" i="4"/>
  <c r="AD150" i="4" s="1"/>
  <c r="AE150" i="4" s="1"/>
  <c r="AF150" i="4" s="1"/>
  <c r="AA154" i="4"/>
  <c r="AD154" i="4" s="1"/>
  <c r="AE154" i="4" s="1"/>
  <c r="AF154" i="4" s="1"/>
  <c r="AA138" i="9"/>
  <c r="AA156" i="4"/>
  <c r="AD156" i="4" s="1"/>
  <c r="AE156" i="4" s="1"/>
  <c r="AF156" i="4" s="1"/>
  <c r="AA162" i="4"/>
  <c r="AD162" i="4" s="1"/>
  <c r="AA163" i="4"/>
  <c r="AD163" i="4" s="1"/>
  <c r="AA164" i="4"/>
  <c r="AD164" i="4" s="1"/>
  <c r="AA165" i="4"/>
  <c r="AD165" i="4" s="1"/>
  <c r="AA166" i="4"/>
  <c r="AD166" i="4" s="1"/>
  <c r="AA167" i="4"/>
  <c r="AD167" i="4" s="1"/>
  <c r="AA168" i="4"/>
  <c r="AD168" i="4" s="1"/>
  <c r="AA169" i="4"/>
  <c r="AD169" i="4" s="1"/>
  <c r="AA170" i="4"/>
  <c r="AD170" i="4" s="1"/>
  <c r="AA171" i="4"/>
  <c r="AD171" i="4" s="1"/>
  <c r="AA172" i="4"/>
  <c r="AD172" i="4" s="1"/>
  <c r="AE172" i="4" s="1"/>
  <c r="AF172" i="4" s="1"/>
  <c r="AA261" i="9"/>
  <c r="AD261" i="9" s="1"/>
  <c r="J73" i="15" s="1"/>
  <c r="AA244" i="9"/>
  <c r="AA174" i="4"/>
  <c r="AA173" i="4" s="1"/>
  <c r="AA176" i="4"/>
  <c r="AD176" i="4" s="1"/>
  <c r="AA177" i="4"/>
  <c r="AD177" i="4" s="1"/>
  <c r="AE177" i="4" s="1"/>
  <c r="AF177" i="4" s="1"/>
  <c r="AA178" i="4"/>
  <c r="AD178" i="4" s="1"/>
  <c r="AA179" i="4"/>
  <c r="AD179" i="4" s="1"/>
  <c r="AA180" i="4"/>
  <c r="AD180" i="4" s="1"/>
  <c r="AA182" i="4"/>
  <c r="AD182" i="4" s="1"/>
  <c r="AA183" i="4"/>
  <c r="AD183" i="4" s="1"/>
  <c r="AE183" i="4" s="1"/>
  <c r="AF183" i="4" s="1"/>
  <c r="AA184" i="4"/>
  <c r="AD184" i="4" s="1"/>
  <c r="AA185" i="4"/>
  <c r="AD185" i="4" s="1"/>
  <c r="AA186" i="4"/>
  <c r="AD186" i="4" s="1"/>
  <c r="AA187" i="4"/>
  <c r="AD187" i="4" s="1"/>
  <c r="AA188" i="4"/>
  <c r="AD188" i="4" s="1"/>
  <c r="AE188" i="4" s="1"/>
  <c r="AF188" i="4" s="1"/>
  <c r="AA189" i="4"/>
  <c r="AD189" i="4" s="1"/>
  <c r="AA190" i="4"/>
  <c r="AD190" i="4" s="1"/>
  <c r="AA191" i="4"/>
  <c r="AD191" i="4" s="1"/>
  <c r="AA192" i="4"/>
  <c r="AD192" i="4" s="1"/>
  <c r="AA193" i="4"/>
  <c r="AD193" i="4" s="1"/>
  <c r="AA194" i="4"/>
  <c r="AD194" i="4" s="1"/>
  <c r="AA195" i="4"/>
  <c r="AD195" i="4" s="1"/>
  <c r="AE195" i="4" s="1"/>
  <c r="AF195" i="4" s="1"/>
  <c r="AA196" i="4"/>
  <c r="AD196" i="4" s="1"/>
  <c r="AA197" i="4"/>
  <c r="AD197" i="4" s="1"/>
  <c r="AE197" i="4" s="1"/>
  <c r="AF197" i="4" s="1"/>
  <c r="AA198" i="4"/>
  <c r="AD198" i="4" s="1"/>
  <c r="AA199" i="4"/>
  <c r="AD199" i="4" s="1"/>
  <c r="AA200" i="4"/>
  <c r="AD200" i="4" s="1"/>
  <c r="AA201" i="4"/>
  <c r="AD201" i="4" s="1"/>
  <c r="AA202" i="4"/>
  <c r="AD202" i="4" s="1"/>
  <c r="AE202" i="4" s="1"/>
  <c r="AF202" i="4" s="1"/>
  <c r="AA203" i="4"/>
  <c r="AD203" i="4" s="1"/>
  <c r="AA205" i="4"/>
  <c r="AD205" i="4" s="1"/>
  <c r="AE205" i="4" s="1"/>
  <c r="AF205" i="4" s="1"/>
  <c r="AA206" i="4"/>
  <c r="AD206" i="4" s="1"/>
  <c r="AA207" i="4"/>
  <c r="AD207" i="4" s="1"/>
  <c r="AE207" i="4" s="1"/>
  <c r="AF207" i="4" s="1"/>
  <c r="AA208" i="4"/>
  <c r="AD208" i="4" s="1"/>
  <c r="AE208" i="4" s="1"/>
  <c r="AF208" i="4" s="1"/>
  <c r="AA209" i="4"/>
  <c r="AD209" i="4" s="1"/>
  <c r="AA210" i="4"/>
  <c r="AD210" i="4" s="1"/>
  <c r="AA211" i="4"/>
  <c r="AD211" i="4" s="1"/>
  <c r="AE211" i="4" s="1"/>
  <c r="AF211" i="4" s="1"/>
  <c r="AA212" i="4"/>
  <c r="AD212" i="4" s="1"/>
  <c r="AE212" i="4" s="1"/>
  <c r="AF212" i="4" s="1"/>
  <c r="AA213" i="4"/>
  <c r="AD213" i="4" s="1"/>
  <c r="AA214" i="4"/>
  <c r="AD214" i="4" s="1"/>
  <c r="AE214" i="4" s="1"/>
  <c r="AF214" i="4" s="1"/>
  <c r="AA216" i="4"/>
  <c r="AD216" i="4" s="1"/>
  <c r="AA218" i="4"/>
  <c r="AD218" i="4" s="1"/>
  <c r="AA219" i="4"/>
  <c r="AD219" i="4" s="1"/>
  <c r="AA221" i="4"/>
  <c r="AD221" i="4" s="1"/>
  <c r="AE221" i="4" s="1"/>
  <c r="AF221" i="4" s="1"/>
  <c r="AA222" i="4"/>
  <c r="AD222" i="4" s="1"/>
  <c r="AA223" i="4"/>
  <c r="AD223" i="4" s="1"/>
  <c r="AE223" i="4" s="1"/>
  <c r="AF223" i="4" s="1"/>
  <c r="AA224" i="4"/>
  <c r="AD224" i="4" s="1"/>
  <c r="AA225" i="4"/>
  <c r="AD225" i="4" s="1"/>
  <c r="AA226" i="4"/>
  <c r="AD226" i="4" s="1"/>
  <c r="AA227" i="4"/>
  <c r="AD227" i="4" s="1"/>
  <c r="AA228" i="4"/>
  <c r="AD228" i="4" s="1"/>
  <c r="AA232" i="4"/>
  <c r="AD232" i="4" s="1"/>
  <c r="AA233" i="4"/>
  <c r="AD233" i="4" s="1"/>
  <c r="AA234" i="4"/>
  <c r="AD234" i="4" s="1"/>
  <c r="AA236" i="4"/>
  <c r="AD236" i="4" s="1"/>
  <c r="AE236" i="4" s="1"/>
  <c r="AF236" i="4" s="1"/>
  <c r="AA239" i="4"/>
  <c r="AD239" i="4" s="1"/>
  <c r="AA230" i="4"/>
  <c r="AA229" i="4" s="1"/>
  <c r="AA241" i="4"/>
  <c r="AD241" i="4" s="1"/>
  <c r="AA251" i="9"/>
  <c r="AD251" i="9" s="1"/>
  <c r="AA243" i="4"/>
  <c r="AD243" i="4" s="1"/>
  <c r="AE243" i="4" s="1"/>
  <c r="AF243" i="4" s="1"/>
  <c r="AA245" i="4"/>
  <c r="AA244" i="4" s="1"/>
  <c r="AA248" i="4"/>
  <c r="AD248" i="4" s="1"/>
  <c r="AA249" i="4"/>
  <c r="AD249" i="4" s="1"/>
  <c r="AA251" i="4"/>
  <c r="AD251" i="4" s="1"/>
  <c r="AG251" i="4" s="1"/>
  <c r="AA253" i="4"/>
  <c r="AD253" i="4" s="1"/>
  <c r="AE253" i="4" s="1"/>
  <c r="AF253" i="4" s="1"/>
  <c r="AA254" i="4"/>
  <c r="AD254" i="4" s="1"/>
  <c r="AA256" i="4"/>
  <c r="AD256" i="4" s="1"/>
  <c r="AA257" i="4"/>
  <c r="AD257" i="4" s="1"/>
  <c r="AA259" i="4"/>
  <c r="AD259" i="4" s="1"/>
  <c r="AA260" i="4"/>
  <c r="AD260" i="4" s="1"/>
  <c r="AA264" i="4"/>
  <c r="AA263" i="4" s="1"/>
  <c r="AD263" i="4" s="1"/>
  <c r="AG263" i="4" s="1"/>
  <c r="AA265" i="9"/>
  <c r="AD265" i="9" s="1"/>
  <c r="C135" i="15" s="1"/>
  <c r="AA262" i="4"/>
  <c r="AA261" i="4" s="1"/>
  <c r="AA266" i="4"/>
  <c r="AA265" i="4" s="1"/>
  <c r="AA249" i="9"/>
  <c r="AA269" i="4"/>
  <c r="AA268" i="4" s="1"/>
  <c r="AA271" i="4"/>
  <c r="AA270" i="4" s="1"/>
  <c r="AA273" i="4"/>
  <c r="AA272" i="4" s="1"/>
  <c r="AA275" i="4"/>
  <c r="AD275" i="4" s="1"/>
  <c r="AE275" i="4" s="1"/>
  <c r="AF275" i="4" s="1"/>
  <c r="AA276" i="4"/>
  <c r="AD276" i="4" s="1"/>
  <c r="AA277" i="4"/>
  <c r="AD277" i="4" s="1"/>
  <c r="AG277" i="4" s="1"/>
  <c r="AA279" i="4"/>
  <c r="AA278" i="4" s="1"/>
  <c r="AA281" i="4"/>
  <c r="AA280" i="4" s="1"/>
  <c r="AA44" i="9"/>
  <c r="AA43" i="9" s="1"/>
  <c r="AA287" i="4"/>
  <c r="AD287" i="4" s="1"/>
  <c r="AA6" i="9"/>
  <c r="AA5" i="9" s="1"/>
  <c r="AD5" i="9" s="1"/>
  <c r="AE5" i="9" s="1"/>
  <c r="AF5" i="9" s="1"/>
  <c r="AA8" i="9"/>
  <c r="AD8" i="9" s="1"/>
  <c r="AE8" i="9" s="1"/>
  <c r="AF8" i="9" s="1"/>
  <c r="AA9" i="9"/>
  <c r="AD9" i="9" s="1"/>
  <c r="AE9" i="9" s="1"/>
  <c r="AF9" i="9" s="1"/>
  <c r="AA10" i="9"/>
  <c r="AD10" i="9" s="1"/>
  <c r="AE10" i="9" s="1"/>
  <c r="AF10" i="9" s="1"/>
  <c r="AA11" i="9"/>
  <c r="AD11" i="9" s="1"/>
  <c r="AE11" i="9" s="1"/>
  <c r="AF11" i="9" s="1"/>
  <c r="AA13" i="9"/>
  <c r="AD13" i="9" s="1"/>
  <c r="AE13" i="9" s="1"/>
  <c r="AF13" i="9" s="1"/>
  <c r="AA14" i="9"/>
  <c r="AD14" i="9" s="1"/>
  <c r="AE14" i="9" s="1"/>
  <c r="AF14" i="9" s="1"/>
  <c r="AA16" i="9"/>
  <c r="AD16" i="9" s="1"/>
  <c r="AE16" i="9" s="1"/>
  <c r="AF16" i="9" s="1"/>
  <c r="AA17" i="9"/>
  <c r="AD17" i="9" s="1"/>
  <c r="AE17" i="9" s="1"/>
  <c r="AF17" i="9" s="1"/>
  <c r="AA18" i="9"/>
  <c r="AD18" i="9" s="1"/>
  <c r="AE18" i="9" s="1"/>
  <c r="AF18" i="9" s="1"/>
  <c r="AA19" i="9"/>
  <c r="AD19" i="9" s="1"/>
  <c r="AE19" i="9" s="1"/>
  <c r="AF19" i="9" s="1"/>
  <c r="AA20" i="9"/>
  <c r="AD20" i="9" s="1"/>
  <c r="AE20" i="9" s="1"/>
  <c r="AF20" i="9" s="1"/>
  <c r="AA21" i="9"/>
  <c r="AD21" i="9" s="1"/>
  <c r="AE21" i="9" s="1"/>
  <c r="AF21" i="9" s="1"/>
  <c r="AA22" i="9"/>
  <c r="AD22" i="9" s="1"/>
  <c r="AE22" i="9" s="1"/>
  <c r="AF22" i="9" s="1"/>
  <c r="AA23" i="9"/>
  <c r="AD23" i="9" s="1"/>
  <c r="AE23" i="9" s="1"/>
  <c r="AF23" i="9" s="1"/>
  <c r="AA24" i="9"/>
  <c r="AD24" i="9" s="1"/>
  <c r="AE24" i="9" s="1"/>
  <c r="AF24" i="9" s="1"/>
  <c r="AA25" i="9"/>
  <c r="AD25" i="9" s="1"/>
  <c r="AE25" i="9" s="1"/>
  <c r="AF25" i="9" s="1"/>
  <c r="AA28" i="9"/>
  <c r="AA29" i="9"/>
  <c r="AA30" i="9"/>
  <c r="AA31" i="9"/>
  <c r="AA32" i="9"/>
  <c r="AA33" i="9"/>
  <c r="AA34" i="9"/>
  <c r="AA35" i="9"/>
  <c r="AA36" i="9"/>
  <c r="AA37" i="9"/>
  <c r="AA39" i="9"/>
  <c r="AA40" i="9"/>
  <c r="AA42" i="9"/>
  <c r="AA41" i="9" s="1"/>
  <c r="AA46" i="9"/>
  <c r="AA47" i="9"/>
  <c r="AA48" i="9"/>
  <c r="AA49" i="9"/>
  <c r="AA50" i="9"/>
  <c r="AA51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1" i="9"/>
  <c r="AA72" i="9"/>
  <c r="AA73" i="9"/>
  <c r="AA75" i="9"/>
  <c r="AA76" i="9"/>
  <c r="AA77" i="9"/>
  <c r="AA78" i="9"/>
  <c r="AA79" i="9"/>
  <c r="AA80" i="9"/>
  <c r="AA81" i="9"/>
  <c r="AA83" i="9"/>
  <c r="AA85" i="9"/>
  <c r="AA86" i="9"/>
  <c r="AA87" i="9"/>
  <c r="AA88" i="9"/>
  <c r="AA90" i="9"/>
  <c r="AA91" i="9"/>
  <c r="AA92" i="9"/>
  <c r="AA93" i="9"/>
  <c r="AA94" i="9"/>
  <c r="AA96" i="9"/>
  <c r="AA97" i="9"/>
  <c r="AA99" i="9"/>
  <c r="AA100" i="9"/>
  <c r="AA101" i="9"/>
  <c r="AA102" i="9"/>
  <c r="AA103" i="9"/>
  <c r="AA105" i="9"/>
  <c r="AA106" i="9"/>
  <c r="AA107" i="9"/>
  <c r="AA109" i="9"/>
  <c r="AA110" i="9"/>
  <c r="AA111" i="9"/>
  <c r="AA112" i="9"/>
  <c r="AA113" i="9"/>
  <c r="AA114" i="9"/>
  <c r="AA115" i="9"/>
  <c r="AA116" i="9"/>
  <c r="AA118" i="9"/>
  <c r="AA119" i="9"/>
  <c r="AA120" i="9"/>
  <c r="AA121" i="9"/>
  <c r="AA123" i="9"/>
  <c r="AA124" i="9"/>
  <c r="AA125" i="9"/>
  <c r="AA126" i="9"/>
  <c r="AA127" i="9"/>
  <c r="AA128" i="9"/>
  <c r="AA130" i="9"/>
  <c r="AA131" i="9"/>
  <c r="AA141" i="9"/>
  <c r="AA140" i="9" s="1"/>
  <c r="AA143" i="9"/>
  <c r="AA144" i="9"/>
  <c r="AA146" i="9"/>
  <c r="AA145" i="9" s="1"/>
  <c r="AA148" i="9"/>
  <c r="AA149" i="9"/>
  <c r="AA151" i="9"/>
  <c r="AA150" i="9" s="1"/>
  <c r="AA153" i="9"/>
  <c r="AA154" i="9"/>
  <c r="AA155" i="9"/>
  <c r="AA157" i="9"/>
  <c r="AA158" i="9"/>
  <c r="AA159" i="9"/>
  <c r="AA160" i="9"/>
  <c r="AA162" i="9"/>
  <c r="AA163" i="9"/>
  <c r="AA164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80" i="9"/>
  <c r="AA179" i="9" s="1"/>
  <c r="AA182" i="9"/>
  <c r="AA181" i="9" s="1"/>
  <c r="AA189" i="9"/>
  <c r="AA190" i="9"/>
  <c r="AA192" i="9"/>
  <c r="AA191" i="9" s="1"/>
  <c r="AA194" i="9"/>
  <c r="AA193" i="9" s="1"/>
  <c r="AD193" i="9" s="1"/>
  <c r="AE193" i="9" s="1"/>
  <c r="AF193" i="9" s="1"/>
  <c r="AA197" i="9"/>
  <c r="AA196" i="9" s="1"/>
  <c r="AD196" i="9" s="1"/>
  <c r="AE196" i="9" s="1"/>
  <c r="AF196" i="9" s="1"/>
  <c r="AA199" i="9"/>
  <c r="AA198" i="9" s="1"/>
  <c r="AD198" i="9" s="1"/>
  <c r="AE198" i="9" s="1"/>
  <c r="AF198" i="9" s="1"/>
  <c r="AA201" i="9"/>
  <c r="AD201" i="9" s="1"/>
  <c r="C136" i="15" s="1"/>
  <c r="AA202" i="9"/>
  <c r="AD202" i="9" s="1"/>
  <c r="AA206" i="9"/>
  <c r="AD206" i="9" s="1"/>
  <c r="AE206" i="9" s="1"/>
  <c r="AF206" i="9" s="1"/>
  <c r="AA207" i="9"/>
  <c r="AD207" i="9" s="1"/>
  <c r="AE207" i="9" s="1"/>
  <c r="AF207" i="9" s="1"/>
  <c r="AA210" i="9"/>
  <c r="AD210" i="9" s="1"/>
  <c r="AE210" i="9" s="1"/>
  <c r="AF210" i="9" s="1"/>
  <c r="AA211" i="9"/>
  <c r="AD211" i="9" s="1"/>
  <c r="AE211" i="9" s="1"/>
  <c r="AF211" i="9" s="1"/>
  <c r="AA212" i="9"/>
  <c r="AD212" i="9" s="1"/>
  <c r="AE212" i="9" s="1"/>
  <c r="AF212" i="9" s="1"/>
  <c r="AA217" i="9"/>
  <c r="AD217" i="9" s="1"/>
  <c r="C123" i="15" s="1"/>
  <c r="AA218" i="9"/>
  <c r="AD218" i="9" s="1"/>
  <c r="AE218" i="9" s="1"/>
  <c r="AF218" i="9" s="1"/>
  <c r="AA222" i="9"/>
  <c r="AA221" i="9" s="1"/>
  <c r="AD221" i="9" s="1"/>
  <c r="AE221" i="9" s="1"/>
  <c r="AF221" i="9" s="1"/>
  <c r="AA224" i="9"/>
  <c r="AD224" i="9" s="1"/>
  <c r="AE224" i="9" s="1"/>
  <c r="AF224" i="9" s="1"/>
  <c r="AA225" i="9"/>
  <c r="AD225" i="9" s="1"/>
  <c r="AE225" i="9" s="1"/>
  <c r="AF225" i="9" s="1"/>
  <c r="AA226" i="9"/>
  <c r="AD226" i="9" s="1"/>
  <c r="AE226" i="9" s="1"/>
  <c r="AF226" i="9" s="1"/>
  <c r="AA231" i="9"/>
  <c r="AD231" i="9" s="1"/>
  <c r="AA240" i="9"/>
  <c r="AD240" i="9" s="1"/>
  <c r="AE240" i="9" s="1"/>
  <c r="AF240" i="9" s="1"/>
  <c r="AA241" i="9"/>
  <c r="AD241" i="9" s="1"/>
  <c r="AE241" i="9" s="1"/>
  <c r="AF241" i="9" s="1"/>
  <c r="AA242" i="9"/>
  <c r="AD242" i="9" s="1"/>
  <c r="AE242" i="9" s="1"/>
  <c r="AF242" i="9" s="1"/>
  <c r="AA245" i="9"/>
  <c r="AD245" i="9" s="1"/>
  <c r="L7" i="15" s="1"/>
  <c r="AA235" i="9"/>
  <c r="AD235" i="9" s="1"/>
  <c r="L37" i="15" s="1"/>
  <c r="D133" i="15" s="1"/>
  <c r="AA236" i="9"/>
  <c r="AD236" i="9" s="1"/>
  <c r="C134" i="15" s="1"/>
  <c r="AA250" i="9"/>
  <c r="AD250" i="9" s="1"/>
  <c r="AE250" i="9" s="1"/>
  <c r="AF250" i="9" s="1"/>
  <c r="AA255" i="9"/>
  <c r="AA254" i="9" s="1"/>
  <c r="C144" i="15" s="1"/>
  <c r="AA257" i="9"/>
  <c r="AD257" i="9" s="1"/>
  <c r="AE257" i="9" s="1"/>
  <c r="AF257" i="9" s="1"/>
  <c r="AA258" i="9"/>
  <c r="AD258" i="9" s="1"/>
  <c r="AE258" i="9" s="1"/>
  <c r="AF258" i="9" s="1"/>
  <c r="AA259" i="9"/>
  <c r="AD259" i="9" s="1"/>
  <c r="AE259" i="9" s="1"/>
  <c r="AF259" i="9" s="1"/>
  <c r="AA262" i="9"/>
  <c r="AD262" i="9" s="1"/>
  <c r="AA267" i="9"/>
  <c r="AA266" i="9" s="1"/>
  <c r="AD266" i="9" s="1"/>
  <c r="AE266" i="9" s="1"/>
  <c r="AF266" i="9" s="1"/>
  <c r="AA275" i="9"/>
  <c r="AD275" i="9" s="1"/>
  <c r="D114" i="11" s="1"/>
  <c r="AA289" i="4"/>
  <c r="AD289" i="4" s="1"/>
  <c r="AE289" i="4" s="1"/>
  <c r="AF289" i="4" s="1"/>
  <c r="AA291" i="4"/>
  <c r="AD291" i="4" s="1"/>
  <c r="AA292" i="4"/>
  <c r="AD292" i="4" s="1"/>
  <c r="H96" i="15"/>
  <c r="H94" i="15"/>
  <c r="H19" i="15"/>
  <c r="P116" i="15"/>
  <c r="AA7" i="4"/>
  <c r="AD7" i="4" s="1"/>
  <c r="AA8" i="4"/>
  <c r="AD8" i="4" s="1"/>
  <c r="AA9" i="4"/>
  <c r="AD9" i="4" s="1"/>
  <c r="AA10" i="4"/>
  <c r="AD10" i="4" s="1"/>
  <c r="AE10" i="4" s="1"/>
  <c r="AF10" i="4" s="1"/>
  <c r="AE121" i="15"/>
  <c r="AD121" i="15"/>
  <c r="Z16" i="15"/>
  <c r="AB92" i="15"/>
  <c r="AB35" i="15"/>
  <c r="I32" i="21"/>
  <c r="G29" i="21"/>
  <c r="F29" i="21"/>
  <c r="E29" i="21"/>
  <c r="D29" i="21"/>
  <c r="C29" i="21"/>
  <c r="G28" i="21"/>
  <c r="F28" i="21"/>
  <c r="E28" i="21"/>
  <c r="D28" i="21"/>
  <c r="C28" i="21"/>
  <c r="H27" i="21"/>
  <c r="F27" i="21"/>
  <c r="E27" i="21"/>
  <c r="D27" i="21"/>
  <c r="C27" i="21"/>
  <c r="H26" i="21"/>
  <c r="F26" i="21"/>
  <c r="E26" i="21"/>
  <c r="D26" i="21"/>
  <c r="C26" i="21"/>
  <c r="F33" i="21"/>
  <c r="E33" i="21"/>
  <c r="D33" i="21"/>
  <c r="H32" i="21"/>
  <c r="G32" i="21"/>
  <c r="F32" i="21"/>
  <c r="E32" i="21"/>
  <c r="D32" i="21"/>
  <c r="C32" i="21"/>
  <c r="H31" i="21"/>
  <c r="F31" i="21"/>
  <c r="E31" i="21"/>
  <c r="D31" i="21"/>
  <c r="C31" i="21"/>
  <c r="C33" i="21"/>
  <c r="D24" i="21"/>
  <c r="E24" i="21"/>
  <c r="F24" i="21"/>
  <c r="C24" i="21"/>
  <c r="E17" i="21"/>
  <c r="D17" i="21"/>
  <c r="C17" i="21"/>
  <c r="F12" i="21"/>
  <c r="I16" i="21"/>
  <c r="G16" i="21"/>
  <c r="G15" i="21"/>
  <c r="I15" i="21" s="1"/>
  <c r="F15" i="21"/>
  <c r="F16" i="21"/>
  <c r="F11" i="21"/>
  <c r="F10" i="21"/>
  <c r="T298" i="4"/>
  <c r="H8" i="21"/>
  <c r="I8" i="22" s="1"/>
  <c r="G8" i="21"/>
  <c r="G24" i="21" s="1"/>
  <c r="F8" i="21"/>
  <c r="F17" i="21"/>
  <c r="D71" i="26"/>
  <c r="D70" i="26"/>
  <c r="D69" i="26"/>
  <c r="D68" i="26"/>
  <c r="D67" i="26"/>
  <c r="D66" i="26"/>
  <c r="C66" i="26"/>
  <c r="D65" i="26"/>
  <c r="D64" i="26"/>
  <c r="D63" i="26"/>
  <c r="C63" i="26"/>
  <c r="C62" i="26"/>
  <c r="D61" i="26"/>
  <c r="D60" i="26"/>
  <c r="D59" i="26"/>
  <c r="D58" i="26"/>
  <c r="D57" i="26"/>
  <c r="D56" i="26"/>
  <c r="D55" i="26"/>
  <c r="D54" i="26"/>
  <c r="D53" i="26"/>
  <c r="C53" i="26"/>
  <c r="D52" i="26"/>
  <c r="C52" i="26"/>
  <c r="D51" i="26"/>
  <c r="D50" i="26"/>
  <c r="C50" i="26"/>
  <c r="D49" i="26"/>
  <c r="D48" i="26"/>
  <c r="C47" i="26"/>
  <c r="D46" i="26"/>
  <c r="C46" i="26"/>
  <c r="D45" i="26"/>
  <c r="D44" i="26"/>
  <c r="D43" i="26"/>
  <c r="D42" i="26"/>
  <c r="D41" i="26"/>
  <c r="D40" i="26"/>
  <c r="Q72" i="25"/>
  <c r="Q88" i="25"/>
  <c r="Q79" i="25"/>
  <c r="T69" i="25"/>
  <c r="Q69" i="25" s="1"/>
  <c r="R69" i="25" s="1"/>
  <c r="U69" i="25"/>
  <c r="T70" i="25"/>
  <c r="Q70" i="25" s="1"/>
  <c r="V70" i="25"/>
  <c r="T71" i="25"/>
  <c r="V71" i="25"/>
  <c r="T73" i="25"/>
  <c r="Q71" i="25" s="1"/>
  <c r="V73" i="25"/>
  <c r="T74" i="25"/>
  <c r="Q73" i="25" s="1"/>
  <c r="V74" i="25"/>
  <c r="T75" i="25"/>
  <c r="Q74" i="25" s="1"/>
  <c r="V75" i="25"/>
  <c r="T76" i="25"/>
  <c r="Q75" i="25" s="1"/>
  <c r="V76" i="25"/>
  <c r="T77" i="25"/>
  <c r="Q76" i="25"/>
  <c r="V77" i="25"/>
  <c r="T78" i="25"/>
  <c r="Q77" i="25" s="1"/>
  <c r="V78" i="25"/>
  <c r="T79" i="25"/>
  <c r="Q78" i="25" s="1"/>
  <c r="V79" i="25"/>
  <c r="T80" i="25"/>
  <c r="V80" i="25"/>
  <c r="T81" i="25"/>
  <c r="Q80" i="25" s="1"/>
  <c r="U81" i="25"/>
  <c r="T82" i="25"/>
  <c r="Q81" i="25" s="1"/>
  <c r="V82" i="25"/>
  <c r="T83" i="25"/>
  <c r="Q82" i="25"/>
  <c r="V83" i="25"/>
  <c r="T84" i="25"/>
  <c r="Q83" i="25" s="1"/>
  <c r="V84" i="25"/>
  <c r="T85" i="25"/>
  <c r="Q84" i="25" s="1"/>
  <c r="V85" i="25"/>
  <c r="T86" i="25"/>
  <c r="Q85" i="25" s="1"/>
  <c r="V86" i="25"/>
  <c r="T87" i="25"/>
  <c r="Q86" i="25" s="1"/>
  <c r="U87" i="25"/>
  <c r="T88" i="25"/>
  <c r="Q87" i="25" s="1"/>
  <c r="U88" i="25"/>
  <c r="T89" i="25"/>
  <c r="U89" i="25"/>
  <c r="U68" i="25"/>
  <c r="T68" i="25"/>
  <c r="Q68" i="25" s="1"/>
  <c r="R68" i="25" s="1"/>
  <c r="T30" i="25"/>
  <c r="P15" i="25"/>
  <c r="P9" i="25"/>
  <c r="T2" i="25"/>
  <c r="U2" i="25"/>
  <c r="V2" i="25"/>
  <c r="T3" i="25"/>
  <c r="U3" i="25"/>
  <c r="V3" i="25"/>
  <c r="T4" i="25"/>
  <c r="U4" i="25"/>
  <c r="V4" i="25"/>
  <c r="T5" i="25"/>
  <c r="U5" i="25"/>
  <c r="T6" i="25"/>
  <c r="Q4" i="25" s="1"/>
  <c r="V6" i="25"/>
  <c r="T7" i="25"/>
  <c r="Q5" i="25"/>
  <c r="V7" i="25"/>
  <c r="T8" i="25"/>
  <c r="Q9" i="25" s="1"/>
  <c r="V8" i="25"/>
  <c r="T10" i="25"/>
  <c r="V10" i="25"/>
  <c r="T11" i="25"/>
  <c r="Q6" i="25" s="1"/>
  <c r="V11" i="25"/>
  <c r="T12" i="25"/>
  <c r="Q7" i="25" s="1"/>
  <c r="V12" i="25"/>
  <c r="T13" i="25"/>
  <c r="Q13" i="25" s="1"/>
  <c r="V13" i="25"/>
  <c r="T14" i="25"/>
  <c r="Q8" i="25" s="1"/>
  <c r="V14" i="25"/>
  <c r="T16" i="25"/>
  <c r="Q10" i="25"/>
  <c r="V16" i="25"/>
  <c r="T17" i="25"/>
  <c r="Q11" i="25" s="1"/>
  <c r="V17" i="25"/>
  <c r="T18" i="25"/>
  <c r="V18" i="25"/>
  <c r="T19" i="25"/>
  <c r="Q14" i="25" s="1"/>
  <c r="V19" i="25"/>
  <c r="T20" i="25"/>
  <c r="Q15" i="25" s="1"/>
  <c r="V20" i="25"/>
  <c r="T21" i="25"/>
  <c r="U21" i="25"/>
  <c r="T23" i="25"/>
  <c r="Q17" i="25" s="1"/>
  <c r="V23" i="25"/>
  <c r="T24" i="25"/>
  <c r="Q18" i="25"/>
  <c r="V24" i="25"/>
  <c r="T25" i="25"/>
  <c r="Q19" i="25" s="1"/>
  <c r="V25" i="25"/>
  <c r="T26" i="25"/>
  <c r="Q22" i="25" s="1"/>
  <c r="V26" i="25"/>
  <c r="T27" i="25"/>
  <c r="V27" i="25"/>
  <c r="T28" i="25"/>
  <c r="Q20" i="25" s="1"/>
  <c r="V28" i="25"/>
  <c r="T29" i="25"/>
  <c r="Q21" i="25" s="1"/>
  <c r="V29" i="25"/>
  <c r="V30" i="25"/>
  <c r="T31" i="25"/>
  <c r="Q23" i="25" s="1"/>
  <c r="V31" i="25"/>
  <c r="T32" i="25"/>
  <c r="V32" i="25"/>
  <c r="T33" i="25"/>
  <c r="Q24" i="25" s="1"/>
  <c r="V33" i="25"/>
  <c r="T34" i="25"/>
  <c r="Q25" i="25" s="1"/>
  <c r="V34" i="25"/>
  <c r="T35" i="25"/>
  <c r="U35" i="25"/>
  <c r="T36" i="25"/>
  <c r="U36" i="25"/>
  <c r="V36" i="25"/>
  <c r="T38" i="25"/>
  <c r="U38" i="25"/>
  <c r="T39" i="25"/>
  <c r="Q29" i="25" s="1"/>
  <c r="V39" i="25"/>
  <c r="T40" i="25"/>
  <c r="Q30" i="25" s="1"/>
  <c r="V40" i="25"/>
  <c r="T41" i="25"/>
  <c r="Q31" i="25" s="1"/>
  <c r="V41" i="25"/>
  <c r="T42" i="25"/>
  <c r="Q32" i="25" s="1"/>
  <c r="V42" i="25"/>
  <c r="T43" i="25"/>
  <c r="Q33" i="25" s="1"/>
  <c r="V43" i="25"/>
  <c r="T44" i="25"/>
  <c r="Q37" i="25" s="1"/>
  <c r="V44" i="25"/>
  <c r="T45" i="25"/>
  <c r="Q34" i="25" s="1"/>
  <c r="V45" i="25"/>
  <c r="T46" i="25"/>
  <c r="U46" i="25"/>
  <c r="T47" i="25"/>
  <c r="Q36" i="25" s="1"/>
  <c r="V47" i="25"/>
  <c r="T48" i="25"/>
  <c r="Q38" i="25" s="1"/>
  <c r="V48" i="25"/>
  <c r="T49" i="25"/>
  <c r="Q39" i="25"/>
  <c r="V49" i="25"/>
  <c r="T50" i="25"/>
  <c r="Q40" i="25" s="1"/>
  <c r="V50" i="25"/>
  <c r="T52" i="25"/>
  <c r="Q41" i="25" s="1"/>
  <c r="V52" i="25"/>
  <c r="T53" i="25"/>
  <c r="Q42" i="25" s="1"/>
  <c r="V53" i="25"/>
  <c r="T54" i="25"/>
  <c r="U54" i="25"/>
  <c r="T55" i="25"/>
  <c r="U55" i="25"/>
  <c r="V55" i="25"/>
  <c r="T56" i="25"/>
  <c r="Q45" i="25" s="1"/>
  <c r="V56" i="25"/>
  <c r="T57" i="25"/>
  <c r="Q46" i="25" s="1"/>
  <c r="V57" i="25"/>
  <c r="T58" i="25"/>
  <c r="Q48" i="25" s="1"/>
  <c r="V58" i="25"/>
  <c r="T59" i="25"/>
  <c r="Q47" i="25" s="1"/>
  <c r="V59" i="25"/>
  <c r="T60" i="25"/>
  <c r="Q49" i="25" s="1"/>
  <c r="V60" i="25"/>
  <c r="T61" i="25"/>
  <c r="U61" i="25"/>
  <c r="T62" i="25"/>
  <c r="U62" i="25"/>
  <c r="AD2" i="4"/>
  <c r="AD2" i="9"/>
  <c r="E12" i="12"/>
  <c r="E27" i="12"/>
  <c r="E22" i="12"/>
  <c r="F19" i="11"/>
  <c r="F24" i="11"/>
  <c r="F9" i="11"/>
  <c r="AD57" i="15"/>
  <c r="Z73" i="15"/>
  <c r="AD85" i="15"/>
  <c r="AD112" i="15"/>
  <c r="E59" i="12"/>
  <c r="E28" i="12"/>
  <c r="E44" i="12"/>
  <c r="F41" i="11"/>
  <c r="Z23" i="15"/>
  <c r="H61" i="15"/>
  <c r="AD67" i="15"/>
  <c r="G244" i="4"/>
  <c r="H244" i="4"/>
  <c r="AB244" i="4"/>
  <c r="AC244" i="4"/>
  <c r="J97" i="24"/>
  <c r="G82" i="24"/>
  <c r="F82" i="24"/>
  <c r="G80" i="24"/>
  <c r="G79" i="24"/>
  <c r="G78" i="24"/>
  <c r="F78" i="24"/>
  <c r="G77" i="24"/>
  <c r="G76" i="24"/>
  <c r="G75" i="24"/>
  <c r="F75" i="24"/>
  <c r="G73" i="24"/>
  <c r="G72" i="24"/>
  <c r="F72" i="24"/>
  <c r="G71" i="24"/>
  <c r="F71" i="24"/>
  <c r="G70" i="24"/>
  <c r="F70" i="24"/>
  <c r="G69" i="24"/>
  <c r="F69" i="24"/>
  <c r="G68" i="24"/>
  <c r="F68" i="24"/>
  <c r="G66" i="24"/>
  <c r="F66" i="24"/>
  <c r="G65" i="24"/>
  <c r="F65" i="24"/>
  <c r="G63" i="24"/>
  <c r="G62" i="24"/>
  <c r="F62" i="24"/>
  <c r="G60" i="24"/>
  <c r="F60" i="24"/>
  <c r="G58" i="24"/>
  <c r="F58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3" i="24"/>
  <c r="F33" i="24"/>
  <c r="G31" i="24"/>
  <c r="F31" i="24"/>
  <c r="G30" i="24"/>
  <c r="F30" i="24"/>
  <c r="G27" i="24"/>
  <c r="G26" i="24"/>
  <c r="G25" i="24"/>
  <c r="F25" i="24"/>
  <c r="G23" i="24"/>
  <c r="F23" i="24"/>
  <c r="AC136" i="9"/>
  <c r="AB252" i="9"/>
  <c r="AC252" i="9"/>
  <c r="AC159" i="9"/>
  <c r="U233" i="9"/>
  <c r="T233" i="9"/>
  <c r="S233" i="9"/>
  <c r="O233" i="9" s="1"/>
  <c r="Q233" i="9"/>
  <c r="P233" i="9"/>
  <c r="F25" i="11"/>
  <c r="F56" i="11"/>
  <c r="Z35" i="15"/>
  <c r="U280" i="4"/>
  <c r="V280" i="4"/>
  <c r="T280" i="4"/>
  <c r="AC280" i="4"/>
  <c r="AB280" i="4"/>
  <c r="AA94" i="4"/>
  <c r="AC44" i="9"/>
  <c r="AC43" i="9" s="1"/>
  <c r="C25" i="11"/>
  <c r="AB18" i="15"/>
  <c r="Z18" i="15"/>
  <c r="AB112" i="15"/>
  <c r="J294" i="4"/>
  <c r="K294" i="4"/>
  <c r="L294" i="4"/>
  <c r="M294" i="4"/>
  <c r="N294" i="4"/>
  <c r="O294" i="4"/>
  <c r="P294" i="4"/>
  <c r="Q294" i="4"/>
  <c r="R294" i="4"/>
  <c r="S294" i="4"/>
  <c r="T294" i="4"/>
  <c r="U294" i="4"/>
  <c r="I294" i="4"/>
  <c r="N144" i="15"/>
  <c r="G237" i="9"/>
  <c r="H237" i="9" s="1"/>
  <c r="E101" i="15"/>
  <c r="E87" i="15"/>
  <c r="E72" i="15"/>
  <c r="E33" i="15"/>
  <c r="E6" i="15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1" i="9"/>
  <c r="R250" i="9"/>
  <c r="R249" i="9"/>
  <c r="R248" i="9"/>
  <c r="R246" i="9"/>
  <c r="R245" i="9"/>
  <c r="R244" i="9"/>
  <c r="R243" i="9"/>
  <c r="R242" i="9"/>
  <c r="R241" i="9"/>
  <c r="R240" i="9"/>
  <c r="R239" i="9"/>
  <c r="R236" i="9"/>
  <c r="R234" i="9"/>
  <c r="R232" i="9"/>
  <c r="R231" i="9"/>
  <c r="R230" i="9"/>
  <c r="R229" i="9"/>
  <c r="R228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2" i="9"/>
  <c r="R41" i="9"/>
  <c r="R40" i="9"/>
  <c r="R39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C33" i="26"/>
  <c r="C69" i="26" s="1"/>
  <c r="D147" i="15"/>
  <c r="AC128" i="9"/>
  <c r="N124" i="15"/>
  <c r="G8" i="22"/>
  <c r="F8" i="22"/>
  <c r="E8" i="22"/>
  <c r="D8" i="22"/>
  <c r="C8" i="22"/>
  <c r="H111" i="15"/>
  <c r="G69" i="15"/>
  <c r="H69" i="15" s="1"/>
  <c r="H77" i="15"/>
  <c r="G160" i="15"/>
  <c r="G162" i="15" s="1"/>
  <c r="I164" i="15" s="1"/>
  <c r="I11" i="22"/>
  <c r="G11" i="22"/>
  <c r="F11" i="22"/>
  <c r="E11" i="22"/>
  <c r="D11" i="22"/>
  <c r="G16" i="22"/>
  <c r="F16" i="22"/>
  <c r="E16" i="22"/>
  <c r="D16" i="22"/>
  <c r="C16" i="22"/>
  <c r="J15" i="22"/>
  <c r="I15" i="22"/>
  <c r="H15" i="22"/>
  <c r="G15" i="22"/>
  <c r="F15" i="22"/>
  <c r="E15" i="22"/>
  <c r="D15" i="22"/>
  <c r="C15" i="22"/>
  <c r="J14" i="22"/>
  <c r="I14" i="22"/>
  <c r="H14" i="22"/>
  <c r="G14" i="22"/>
  <c r="F14" i="22"/>
  <c r="E14" i="22"/>
  <c r="D14" i="22"/>
  <c r="C14" i="22"/>
  <c r="J13" i="22"/>
  <c r="I13" i="22"/>
  <c r="H13" i="22"/>
  <c r="G13" i="22"/>
  <c r="F13" i="22"/>
  <c r="E13" i="22"/>
  <c r="D13" i="22"/>
  <c r="C13" i="22"/>
  <c r="C11" i="22"/>
  <c r="I10" i="22"/>
  <c r="G10" i="22"/>
  <c r="F10" i="22"/>
  <c r="E10" i="22"/>
  <c r="D10" i="22"/>
  <c r="C10" i="22"/>
  <c r="J25" i="22"/>
  <c r="I25" i="22"/>
  <c r="H25" i="22"/>
  <c r="G25" i="22"/>
  <c r="F25" i="22"/>
  <c r="E25" i="22"/>
  <c r="D25" i="22"/>
  <c r="C25" i="22"/>
  <c r="J24" i="22"/>
  <c r="I24" i="22"/>
  <c r="H24" i="22"/>
  <c r="G24" i="22"/>
  <c r="F24" i="22"/>
  <c r="E24" i="22"/>
  <c r="D24" i="22"/>
  <c r="C24" i="22"/>
  <c r="J23" i="22"/>
  <c r="I23" i="22"/>
  <c r="H23" i="22"/>
  <c r="G23" i="22"/>
  <c r="F23" i="22"/>
  <c r="E23" i="22"/>
  <c r="D23" i="22"/>
  <c r="C23" i="22"/>
  <c r="J22" i="22"/>
  <c r="I22" i="22"/>
  <c r="H22" i="22"/>
  <c r="G22" i="22"/>
  <c r="F22" i="22"/>
  <c r="E22" i="22"/>
  <c r="D22" i="22"/>
  <c r="C22" i="22"/>
  <c r="J20" i="22"/>
  <c r="I20" i="22"/>
  <c r="H20" i="22"/>
  <c r="G20" i="22"/>
  <c r="F20" i="22"/>
  <c r="E20" i="22"/>
  <c r="D20" i="22"/>
  <c r="C20" i="22"/>
  <c r="J19" i="22"/>
  <c r="I19" i="22"/>
  <c r="H19" i="22"/>
  <c r="G19" i="22"/>
  <c r="F19" i="22"/>
  <c r="E19" i="22"/>
  <c r="D19" i="22"/>
  <c r="C19" i="22"/>
  <c r="J18" i="22"/>
  <c r="I18" i="22"/>
  <c r="H18" i="22"/>
  <c r="G18" i="22"/>
  <c r="F18" i="22"/>
  <c r="E18" i="22"/>
  <c r="D18" i="22"/>
  <c r="C18" i="22"/>
  <c r="H29" i="22"/>
  <c r="G29" i="22"/>
  <c r="F29" i="22"/>
  <c r="E29" i="22"/>
  <c r="D29" i="22"/>
  <c r="C29" i="22"/>
  <c r="I28" i="22"/>
  <c r="H28" i="22"/>
  <c r="G28" i="22"/>
  <c r="F28" i="22"/>
  <c r="E28" i="22"/>
  <c r="D28" i="22"/>
  <c r="C28" i="22"/>
  <c r="I27" i="22"/>
  <c r="G27" i="22"/>
  <c r="F27" i="22"/>
  <c r="E27" i="22"/>
  <c r="D27" i="22"/>
  <c r="C27" i="22"/>
  <c r="E34" i="22"/>
  <c r="D34" i="22"/>
  <c r="C34" i="22"/>
  <c r="J33" i="22"/>
  <c r="I33" i="22"/>
  <c r="H33" i="22"/>
  <c r="G33" i="22"/>
  <c r="F33" i="22"/>
  <c r="I32" i="22"/>
  <c r="H32" i="22"/>
  <c r="F32" i="22"/>
  <c r="G31" i="22"/>
  <c r="J31" i="22"/>
  <c r="F49" i="11"/>
  <c r="C30" i="11"/>
  <c r="B34" i="12" s="1"/>
  <c r="F34" i="12" s="1"/>
  <c r="AC194" i="9"/>
  <c r="AC192" i="9"/>
  <c r="AC190" i="9"/>
  <c r="AC189" i="9"/>
  <c r="AC187" i="9"/>
  <c r="AD187" i="9" s="1"/>
  <c r="AE187" i="9" s="1"/>
  <c r="AF187" i="9" s="1"/>
  <c r="AC186" i="9"/>
  <c r="AC185" i="9"/>
  <c r="AD185" i="9" s="1"/>
  <c r="AE185" i="9" s="1"/>
  <c r="AF185" i="9" s="1"/>
  <c r="AC184" i="9"/>
  <c r="AC182" i="9"/>
  <c r="AC181" i="9" s="1"/>
  <c r="AC180" i="9"/>
  <c r="AC179" i="9" s="1"/>
  <c r="AC178" i="9"/>
  <c r="AC177" i="9" s="1"/>
  <c r="AC176" i="9"/>
  <c r="AC175" i="9"/>
  <c r="AC174" i="9"/>
  <c r="AC173" i="9"/>
  <c r="AC172" i="9"/>
  <c r="AC171" i="9"/>
  <c r="AC170" i="9"/>
  <c r="AC169" i="9"/>
  <c r="AC168" i="9"/>
  <c r="AC167" i="9"/>
  <c r="AC166" i="9"/>
  <c r="AC164" i="9"/>
  <c r="AC163" i="9"/>
  <c r="AC162" i="9"/>
  <c r="AC160" i="9"/>
  <c r="AC158" i="9"/>
  <c r="AC157" i="9"/>
  <c r="AC155" i="9"/>
  <c r="AC154" i="9"/>
  <c r="AC153" i="9"/>
  <c r="AC151" i="9"/>
  <c r="AC149" i="9"/>
  <c r="AC148" i="9"/>
  <c r="AC146" i="9"/>
  <c r="AC145" i="9" s="1"/>
  <c r="AC144" i="9"/>
  <c r="AC143" i="9"/>
  <c r="AC141" i="9"/>
  <c r="AC140" i="9" s="1"/>
  <c r="AC139" i="9"/>
  <c r="AC138" i="9"/>
  <c r="AC137" i="9"/>
  <c r="AC135" i="9"/>
  <c r="AC134" i="9"/>
  <c r="AD134" i="9" s="1"/>
  <c r="AE134" i="9" s="1"/>
  <c r="AF134" i="9" s="1"/>
  <c r="AC133" i="9"/>
  <c r="AC131" i="9"/>
  <c r="AC130" i="9"/>
  <c r="AC127" i="9"/>
  <c r="AC126" i="9"/>
  <c r="AC125" i="9"/>
  <c r="AC124" i="9"/>
  <c r="AC123" i="9"/>
  <c r="AC121" i="9"/>
  <c r="AC120" i="9"/>
  <c r="AC119" i="9"/>
  <c r="AC118" i="9"/>
  <c r="AC116" i="9"/>
  <c r="AC115" i="9"/>
  <c r="AC114" i="9"/>
  <c r="AC113" i="9"/>
  <c r="AC112" i="9"/>
  <c r="AC111" i="9"/>
  <c r="AC110" i="9"/>
  <c r="AC109" i="9"/>
  <c r="AC107" i="9"/>
  <c r="AC106" i="9"/>
  <c r="AC105" i="9"/>
  <c r="AC103" i="9"/>
  <c r="AC102" i="9"/>
  <c r="AC101" i="9"/>
  <c r="AC100" i="9"/>
  <c r="AC99" i="9"/>
  <c r="AC97" i="9"/>
  <c r="AC96" i="9"/>
  <c r="AC94" i="9"/>
  <c r="AC93" i="9"/>
  <c r="AC92" i="9"/>
  <c r="AC91" i="9"/>
  <c r="AC90" i="9"/>
  <c r="AC88" i="9"/>
  <c r="AC87" i="9"/>
  <c r="AC86" i="9"/>
  <c r="AC85" i="9"/>
  <c r="AC83" i="9"/>
  <c r="AC81" i="9"/>
  <c r="AC80" i="9"/>
  <c r="AC79" i="9"/>
  <c r="AC78" i="9"/>
  <c r="AC77" i="9"/>
  <c r="AC76" i="9"/>
  <c r="AC75" i="9"/>
  <c r="AC73" i="9"/>
  <c r="AC72" i="9"/>
  <c r="AC71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1" i="9"/>
  <c r="AC50" i="9"/>
  <c r="AC49" i="9"/>
  <c r="AC48" i="9"/>
  <c r="AC47" i="9"/>
  <c r="AC46" i="9"/>
  <c r="AC42" i="9"/>
  <c r="AC40" i="9"/>
  <c r="AC39" i="9"/>
  <c r="AC37" i="9"/>
  <c r="AC36" i="9"/>
  <c r="AC35" i="9"/>
  <c r="AC34" i="9"/>
  <c r="AC33" i="9"/>
  <c r="AC32" i="9"/>
  <c r="AC31" i="9"/>
  <c r="AC30" i="9"/>
  <c r="AC29" i="9"/>
  <c r="AC28" i="9"/>
  <c r="AB74" i="9"/>
  <c r="AB70" i="9"/>
  <c r="AC288" i="4"/>
  <c r="AC286" i="4" s="1"/>
  <c r="AB288" i="4"/>
  <c r="AB286" i="4" s="1"/>
  <c r="AD122" i="4"/>
  <c r="AE122" i="4" s="1"/>
  <c r="AF122" i="4" s="1"/>
  <c r="AD115" i="4"/>
  <c r="AD98" i="4"/>
  <c r="AD90" i="4"/>
  <c r="AD85" i="4"/>
  <c r="AE85" i="4" s="1"/>
  <c r="AF85" i="4" s="1"/>
  <c r="AD84" i="4"/>
  <c r="AD82" i="4"/>
  <c r="AD74" i="4"/>
  <c r="AD71" i="4"/>
  <c r="AE71" i="4" s="1"/>
  <c r="AF71" i="4" s="1"/>
  <c r="AD69" i="4"/>
  <c r="AD65" i="4"/>
  <c r="AG64" i="4"/>
  <c r="AD56" i="4"/>
  <c r="AD55" i="4"/>
  <c r="AD54" i="4"/>
  <c r="AE54" i="4" s="1"/>
  <c r="AF54" i="4" s="1"/>
  <c r="AD53" i="4"/>
  <c r="AD51" i="4"/>
  <c r="AD48" i="4"/>
  <c r="AD47" i="4"/>
  <c r="AD46" i="4"/>
  <c r="AD45" i="4"/>
  <c r="AE45" i="4" s="1"/>
  <c r="AF45" i="4" s="1"/>
  <c r="AD43" i="4"/>
  <c r="AE43" i="4" s="1"/>
  <c r="AF43" i="4" s="1"/>
  <c r="AD36" i="4"/>
  <c r="AD32" i="4"/>
  <c r="AE32" i="4" s="1"/>
  <c r="AF32" i="4" s="1"/>
  <c r="AD31" i="4"/>
  <c r="AD30" i="4"/>
  <c r="AD28" i="4"/>
  <c r="AD26" i="4"/>
  <c r="AD22" i="4"/>
  <c r="AD21" i="4"/>
  <c r="AE21" i="4" s="1"/>
  <c r="AF21" i="4" s="1"/>
  <c r="AA18" i="4"/>
  <c r="AC290" i="4"/>
  <c r="AB290" i="4"/>
  <c r="AC282" i="4"/>
  <c r="AB282" i="4"/>
  <c r="AC278" i="4"/>
  <c r="AB278" i="4"/>
  <c r="AC274" i="4"/>
  <c r="AB274" i="4"/>
  <c r="AC272" i="4"/>
  <c r="AB272" i="4"/>
  <c r="AC270" i="4"/>
  <c r="AB270" i="4"/>
  <c r="AC268" i="4"/>
  <c r="AB268" i="4"/>
  <c r="AC265" i="4"/>
  <c r="AB265" i="4"/>
  <c r="AC261" i="4"/>
  <c r="AB261" i="4"/>
  <c r="AC258" i="4"/>
  <c r="AB258" i="4"/>
  <c r="AC255" i="4"/>
  <c r="AB255" i="4"/>
  <c r="AC252" i="4"/>
  <c r="AB252" i="4"/>
  <c r="AC250" i="4"/>
  <c r="AB250" i="4"/>
  <c r="AC247" i="4"/>
  <c r="AB247" i="4"/>
  <c r="AC240" i="4"/>
  <c r="AB240" i="4"/>
  <c r="AC235" i="4"/>
  <c r="AB235" i="4"/>
  <c r="AC231" i="4"/>
  <c r="AC229" i="4" s="1"/>
  <c r="AB231" i="4"/>
  <c r="AB229" i="4" s="1"/>
  <c r="AC220" i="4"/>
  <c r="AB220" i="4"/>
  <c r="AC217" i="4"/>
  <c r="AB217" i="4"/>
  <c r="AC181" i="4"/>
  <c r="AB181" i="4"/>
  <c r="AC175" i="4"/>
  <c r="AB175" i="4"/>
  <c r="AC173" i="4"/>
  <c r="AB173" i="4"/>
  <c r="AC161" i="4"/>
  <c r="AB161" i="4"/>
  <c r="AC157" i="4"/>
  <c r="AB157" i="4"/>
  <c r="AC155" i="4"/>
  <c r="AB155" i="4"/>
  <c r="AC151" i="4"/>
  <c r="AB151" i="4"/>
  <c r="AC147" i="4"/>
  <c r="AB147" i="4"/>
  <c r="AC141" i="4"/>
  <c r="AB141" i="4"/>
  <c r="AC138" i="4"/>
  <c r="AB138" i="4"/>
  <c r="AD135" i="4"/>
  <c r="AE135" i="4" s="1"/>
  <c r="AF135" i="4" s="1"/>
  <c r="AC134" i="4"/>
  <c r="AB134" i="4"/>
  <c r="AC131" i="4"/>
  <c r="AB131" i="4"/>
  <c r="AC128" i="4"/>
  <c r="AB128" i="4"/>
  <c r="AC125" i="4"/>
  <c r="AB125" i="4"/>
  <c r="AC120" i="4"/>
  <c r="AB120" i="4"/>
  <c r="AC118" i="4"/>
  <c r="AB118" i="4"/>
  <c r="AC116" i="4"/>
  <c r="AB116" i="4"/>
  <c r="AC114" i="4"/>
  <c r="AB114" i="4"/>
  <c r="AC112" i="4"/>
  <c r="AB112" i="4"/>
  <c r="AC110" i="4"/>
  <c r="AB110" i="4"/>
  <c r="AC108" i="4"/>
  <c r="AB108" i="4"/>
  <c r="AC106" i="4"/>
  <c r="AB106" i="4"/>
  <c r="AC104" i="4"/>
  <c r="AB104" i="4"/>
  <c r="AC102" i="4"/>
  <c r="AB102" i="4"/>
  <c r="AC99" i="4"/>
  <c r="AB99" i="4"/>
  <c r="AC96" i="4"/>
  <c r="AC94" i="4" s="1"/>
  <c r="AB96" i="4"/>
  <c r="AB94" i="4" s="1"/>
  <c r="AC91" i="4"/>
  <c r="AB91" i="4"/>
  <c r="AC89" i="4"/>
  <c r="AB89" i="4"/>
  <c r="AC87" i="4"/>
  <c r="AB87" i="4"/>
  <c r="AC79" i="4"/>
  <c r="AB79" i="4"/>
  <c r="AC77" i="4"/>
  <c r="AB77" i="4"/>
  <c r="AC75" i="4"/>
  <c r="AB75" i="4"/>
  <c r="AC72" i="4"/>
  <c r="AC68" i="4" s="1"/>
  <c r="AB72" i="4"/>
  <c r="AB68" i="4" s="1"/>
  <c r="AC66" i="4"/>
  <c r="AB66" i="4"/>
  <c r="AC63" i="4"/>
  <c r="AB63" i="4"/>
  <c r="AC61" i="4"/>
  <c r="AB61" i="4"/>
  <c r="AC59" i="4"/>
  <c r="AB59" i="4"/>
  <c r="AC40" i="4"/>
  <c r="AB40" i="4"/>
  <c r="AC38" i="4"/>
  <c r="AB38" i="4"/>
  <c r="AC33" i="4"/>
  <c r="AB33" i="4"/>
  <c r="AC25" i="4"/>
  <c r="AB25" i="4"/>
  <c r="AC20" i="4"/>
  <c r="AB20" i="4"/>
  <c r="AC18" i="4"/>
  <c r="AB18" i="4"/>
  <c r="AC16" i="4"/>
  <c r="AB16" i="4"/>
  <c r="AC11" i="4"/>
  <c r="AC6" i="4"/>
  <c r="AD13" i="4"/>
  <c r="AG285" i="4"/>
  <c r="AD111" i="4"/>
  <c r="AD109" i="4"/>
  <c r="AD12" i="4"/>
  <c r="AE12" i="4" s="1"/>
  <c r="AF12" i="4" s="1"/>
  <c r="AD158" i="4"/>
  <c r="AD105" i="4"/>
  <c r="AD88" i="4"/>
  <c r="AD76" i="4"/>
  <c r="AE76" i="4" s="1"/>
  <c r="AF76" i="4" s="1"/>
  <c r="AA16" i="4"/>
  <c r="AD14" i="4"/>
  <c r="AD27" i="4"/>
  <c r="AD39" i="4"/>
  <c r="AG92" i="4"/>
  <c r="C23" i="11"/>
  <c r="U25" i="25" s="1"/>
  <c r="AD215" i="9"/>
  <c r="AE215" i="9" s="1"/>
  <c r="AF215" i="9" s="1"/>
  <c r="AE230" i="9"/>
  <c r="AF230" i="9" s="1"/>
  <c r="C102" i="11"/>
  <c r="AE274" i="9"/>
  <c r="AF274" i="9" s="1"/>
  <c r="AE263" i="9"/>
  <c r="AF263" i="9" s="1"/>
  <c r="AE234" i="9"/>
  <c r="AF234" i="9" s="1"/>
  <c r="AE229" i="9"/>
  <c r="AF229" i="9" s="1"/>
  <c r="AE271" i="9"/>
  <c r="AF271" i="9" s="1"/>
  <c r="C131" i="15"/>
  <c r="C129" i="15"/>
  <c r="H27" i="22"/>
  <c r="J28" i="22"/>
  <c r="J32" i="22"/>
  <c r="G32" i="22"/>
  <c r="F34" i="22"/>
  <c r="I35" i="20"/>
  <c r="I34" i="20"/>
  <c r="I33" i="20"/>
  <c r="I32" i="20"/>
  <c r="I31" i="20"/>
  <c r="I30" i="20"/>
  <c r="I29" i="20"/>
  <c r="I26" i="20"/>
  <c r="I24" i="20"/>
  <c r="I23" i="20"/>
  <c r="I22" i="20"/>
  <c r="I21" i="20"/>
  <c r="I20" i="20"/>
  <c r="I19" i="20"/>
  <c r="I17" i="20"/>
  <c r="I16" i="20"/>
  <c r="I15" i="20"/>
  <c r="I14" i="20"/>
  <c r="I13" i="20"/>
  <c r="I12" i="20"/>
  <c r="I11" i="20"/>
  <c r="I10" i="20"/>
  <c r="E35" i="20"/>
  <c r="E34" i="20"/>
  <c r="E33" i="20"/>
  <c r="E32" i="20"/>
  <c r="E31" i="20"/>
  <c r="E30" i="20"/>
  <c r="E29" i="20"/>
  <c r="E28" i="20"/>
  <c r="E27" i="20"/>
  <c r="E26" i="20"/>
  <c r="E25" i="20"/>
  <c r="E23" i="20"/>
  <c r="E22" i="20"/>
  <c r="E21" i="20"/>
  <c r="E20" i="20"/>
  <c r="E18" i="20"/>
  <c r="E16" i="20"/>
  <c r="E15" i="20"/>
  <c r="E14" i="20"/>
  <c r="E13" i="20"/>
  <c r="E12" i="20"/>
  <c r="G34" i="22"/>
  <c r="E65" i="12"/>
  <c r="E25" i="12"/>
  <c r="E26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5" i="12"/>
  <c r="E46" i="12"/>
  <c r="E47" i="12"/>
  <c r="E48" i="12"/>
  <c r="E49" i="12"/>
  <c r="E50" i="12"/>
  <c r="E52" i="12"/>
  <c r="E53" i="12"/>
  <c r="E54" i="12"/>
  <c r="E55" i="12"/>
  <c r="E56" i="12"/>
  <c r="E57" i="12"/>
  <c r="E58" i="12"/>
  <c r="E60" i="12"/>
  <c r="E61" i="12"/>
  <c r="E24" i="12"/>
  <c r="E11" i="12"/>
  <c r="E13" i="12"/>
  <c r="E14" i="12"/>
  <c r="E15" i="12"/>
  <c r="E16" i="12"/>
  <c r="E17" i="12"/>
  <c r="E18" i="12"/>
  <c r="E19" i="12"/>
  <c r="E20" i="12"/>
  <c r="E21" i="12"/>
  <c r="E10" i="12"/>
  <c r="R131" i="15"/>
  <c r="H11" i="15"/>
  <c r="I18" i="4"/>
  <c r="G18" i="4"/>
  <c r="M231" i="4"/>
  <c r="M181" i="4"/>
  <c r="P128" i="15"/>
  <c r="E2" i="12"/>
  <c r="I120" i="4"/>
  <c r="J120" i="4"/>
  <c r="K120" i="4"/>
  <c r="L120" i="4"/>
  <c r="M120" i="4"/>
  <c r="F30" i="11"/>
  <c r="G70" i="15"/>
  <c r="H70" i="15" s="1"/>
  <c r="F42" i="11"/>
  <c r="H229" i="4"/>
  <c r="I229" i="4"/>
  <c r="J229" i="4"/>
  <c r="K229" i="4"/>
  <c r="L229" i="4"/>
  <c r="G229" i="4"/>
  <c r="F47" i="11"/>
  <c r="F28" i="11"/>
  <c r="R130" i="15"/>
  <c r="I162" i="15"/>
  <c r="X149" i="15"/>
  <c r="V149" i="15"/>
  <c r="T149" i="15"/>
  <c r="R149" i="15"/>
  <c r="N149" i="15"/>
  <c r="X148" i="15"/>
  <c r="V148" i="15"/>
  <c r="T148" i="15"/>
  <c r="R148" i="15"/>
  <c r="N148" i="15"/>
  <c r="X147" i="15"/>
  <c r="V147" i="15"/>
  <c r="T147" i="15"/>
  <c r="R147" i="15"/>
  <c r="N147" i="15"/>
  <c r="X146" i="15"/>
  <c r="V146" i="15"/>
  <c r="T146" i="15"/>
  <c r="R146" i="15"/>
  <c r="N146" i="15"/>
  <c r="X145" i="15"/>
  <c r="V145" i="15"/>
  <c r="T145" i="15"/>
  <c r="R145" i="15"/>
  <c r="N145" i="15"/>
  <c r="X144" i="15"/>
  <c r="V144" i="15"/>
  <c r="T144" i="15"/>
  <c r="R144" i="15"/>
  <c r="X143" i="15"/>
  <c r="V143" i="15"/>
  <c r="T143" i="15"/>
  <c r="R143" i="15"/>
  <c r="X142" i="15"/>
  <c r="V142" i="15"/>
  <c r="T142" i="15"/>
  <c r="R142" i="15"/>
  <c r="N142" i="15"/>
  <c r="X140" i="15"/>
  <c r="V140" i="15"/>
  <c r="T140" i="15"/>
  <c r="R140" i="15"/>
  <c r="N140" i="15"/>
  <c r="X139" i="15"/>
  <c r="V139" i="15"/>
  <c r="T139" i="15"/>
  <c r="R139" i="15"/>
  <c r="N139" i="15"/>
  <c r="X138" i="15"/>
  <c r="V138" i="15"/>
  <c r="T138" i="15"/>
  <c r="R138" i="15"/>
  <c r="N138" i="15"/>
  <c r="X137" i="15"/>
  <c r="V137" i="15"/>
  <c r="T137" i="15"/>
  <c r="R137" i="15"/>
  <c r="N137" i="15"/>
  <c r="X136" i="15"/>
  <c r="V136" i="15"/>
  <c r="T136" i="15"/>
  <c r="R136" i="15"/>
  <c r="N136" i="15"/>
  <c r="G147" i="15"/>
  <c r="X135" i="15"/>
  <c r="V135" i="15"/>
  <c r="T135" i="15"/>
  <c r="R135" i="15"/>
  <c r="C18" i="26" s="1"/>
  <c r="C54" i="26" s="1"/>
  <c r="X134" i="15"/>
  <c r="V134" i="15"/>
  <c r="T134" i="15"/>
  <c r="R134" i="15"/>
  <c r="N134" i="15"/>
  <c r="X133" i="15"/>
  <c r="V133" i="15"/>
  <c r="T133" i="15"/>
  <c r="C23" i="26" s="1"/>
  <c r="C59" i="26" s="1"/>
  <c r="R133" i="15"/>
  <c r="N133" i="15"/>
  <c r="X132" i="15"/>
  <c r="V132" i="15"/>
  <c r="T132" i="15"/>
  <c r="R132" i="15"/>
  <c r="N132" i="15"/>
  <c r="T131" i="15"/>
  <c r="C21" i="26" s="1"/>
  <c r="C57" i="26" s="1"/>
  <c r="N131" i="15"/>
  <c r="T130" i="15"/>
  <c r="N130" i="15"/>
  <c r="R129" i="15"/>
  <c r="X128" i="15"/>
  <c r="V128" i="15"/>
  <c r="T128" i="15"/>
  <c r="R128" i="15"/>
  <c r="N128" i="15"/>
  <c r="X127" i="15"/>
  <c r="V127" i="15"/>
  <c r="V150" i="15" s="1"/>
  <c r="T127" i="15"/>
  <c r="R127" i="15"/>
  <c r="X126" i="15"/>
  <c r="V126" i="15"/>
  <c r="T126" i="15"/>
  <c r="C22" i="26" s="1"/>
  <c r="C58" i="26" s="1"/>
  <c r="R126" i="15"/>
  <c r="N126" i="15"/>
  <c r="X125" i="15"/>
  <c r="V125" i="15"/>
  <c r="T125" i="15"/>
  <c r="C20" i="26" s="1"/>
  <c r="R125" i="15"/>
  <c r="N125" i="15"/>
  <c r="X124" i="15"/>
  <c r="C31" i="26" s="1"/>
  <c r="C67" i="26" s="1"/>
  <c r="V124" i="15"/>
  <c r="T124" i="15"/>
  <c r="R124" i="15"/>
  <c r="X123" i="15"/>
  <c r="C29" i="26" s="1"/>
  <c r="C65" i="26" s="1"/>
  <c r="V123" i="15"/>
  <c r="T123" i="15"/>
  <c r="R123" i="15"/>
  <c r="X122" i="15"/>
  <c r="T122" i="15"/>
  <c r="R122" i="15"/>
  <c r="N122" i="15"/>
  <c r="X121" i="15"/>
  <c r="V121" i="15"/>
  <c r="T121" i="15"/>
  <c r="R121" i="15"/>
  <c r="C13" i="26" s="1"/>
  <c r="C49" i="26" s="1"/>
  <c r="N121" i="15"/>
  <c r="X116" i="15"/>
  <c r="V116" i="15"/>
  <c r="V118" i="15" s="1"/>
  <c r="T116" i="15"/>
  <c r="R116" i="15"/>
  <c r="H97" i="15"/>
  <c r="H89" i="15"/>
  <c r="H74" i="15"/>
  <c r="G66" i="15"/>
  <c r="H66" i="15" s="1"/>
  <c r="G58" i="15"/>
  <c r="H58" i="15" s="1"/>
  <c r="H53" i="15"/>
  <c r="T129" i="15"/>
  <c r="N129" i="15"/>
  <c r="H141" i="4"/>
  <c r="I141" i="4"/>
  <c r="J141" i="4"/>
  <c r="K141" i="4"/>
  <c r="L141" i="4"/>
  <c r="G141" i="4"/>
  <c r="K271" i="9"/>
  <c r="M271" i="9"/>
  <c r="H271" i="9"/>
  <c r="K59" i="9"/>
  <c r="M59" i="9"/>
  <c r="O271" i="9"/>
  <c r="O59" i="9"/>
  <c r="M276" i="9"/>
  <c r="M275" i="9"/>
  <c r="M274" i="9"/>
  <c r="M273" i="9"/>
  <c r="M272" i="9"/>
  <c r="M269" i="9"/>
  <c r="M268" i="9"/>
  <c r="M267" i="9"/>
  <c r="M266" i="9"/>
  <c r="M263" i="9"/>
  <c r="M262" i="9"/>
  <c r="M261" i="9"/>
  <c r="M260" i="9"/>
  <c r="M259" i="9"/>
  <c r="M258" i="9"/>
  <c r="M257" i="9"/>
  <c r="M256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5" i="9"/>
  <c r="M64" i="9"/>
  <c r="M63" i="9"/>
  <c r="M62" i="9"/>
  <c r="M61" i="9"/>
  <c r="M60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2" i="9"/>
  <c r="M41" i="9"/>
  <c r="M40" i="9"/>
  <c r="M39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K47" i="9"/>
  <c r="H263" i="9"/>
  <c r="K245" i="9"/>
  <c r="O263" i="9"/>
  <c r="F55" i="11"/>
  <c r="F54" i="11"/>
  <c r="F53" i="11"/>
  <c r="F52" i="11"/>
  <c r="F48" i="11"/>
  <c r="F46" i="11"/>
  <c r="F45" i="11"/>
  <c r="F44" i="11"/>
  <c r="F40" i="11"/>
  <c r="F39" i="11"/>
  <c r="F38" i="11"/>
  <c r="F37" i="11"/>
  <c r="F36" i="11"/>
  <c r="F32" i="11"/>
  <c r="F31" i="11"/>
  <c r="F29" i="11"/>
  <c r="F27" i="11"/>
  <c r="F26" i="11"/>
  <c r="F23" i="11"/>
  <c r="F22" i="11"/>
  <c r="F21" i="11"/>
  <c r="F18" i="11"/>
  <c r="F17" i="11"/>
  <c r="F16" i="11"/>
  <c r="F15" i="11"/>
  <c r="F14" i="11"/>
  <c r="F13" i="11"/>
  <c r="F12" i="11"/>
  <c r="F11" i="11"/>
  <c r="F8" i="11"/>
  <c r="F7" i="11"/>
  <c r="G3" i="11"/>
  <c r="I48" i="4"/>
  <c r="K276" i="9"/>
  <c r="K275" i="9"/>
  <c r="K274" i="9"/>
  <c r="K273" i="9"/>
  <c r="K272" i="9"/>
  <c r="K269" i="9"/>
  <c r="K268" i="9"/>
  <c r="K267" i="9"/>
  <c r="K266" i="9"/>
  <c r="K263" i="9"/>
  <c r="K262" i="9"/>
  <c r="K261" i="9"/>
  <c r="K260" i="9"/>
  <c r="K259" i="9"/>
  <c r="K258" i="9"/>
  <c r="K257" i="9"/>
  <c r="K256" i="9"/>
  <c r="K251" i="9"/>
  <c r="K250" i="9"/>
  <c r="K249" i="9"/>
  <c r="K248" i="9"/>
  <c r="K247" i="9"/>
  <c r="K246" i="9"/>
  <c r="K244" i="9"/>
  <c r="K243" i="9"/>
  <c r="K242" i="9"/>
  <c r="K241" i="9"/>
  <c r="K240" i="9"/>
  <c r="K239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5" i="9"/>
  <c r="K64" i="9"/>
  <c r="K63" i="9"/>
  <c r="K62" i="9"/>
  <c r="K61" i="9"/>
  <c r="K60" i="9"/>
  <c r="K58" i="9"/>
  <c r="K57" i="9"/>
  <c r="K56" i="9"/>
  <c r="K55" i="9"/>
  <c r="K54" i="9"/>
  <c r="K53" i="9"/>
  <c r="K52" i="9"/>
  <c r="K51" i="9"/>
  <c r="K50" i="9"/>
  <c r="K49" i="9"/>
  <c r="K48" i="9"/>
  <c r="K46" i="9"/>
  <c r="K45" i="9"/>
  <c r="K42" i="9"/>
  <c r="K41" i="9"/>
  <c r="K40" i="9"/>
  <c r="K39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H87" i="9"/>
  <c r="O87" i="9"/>
  <c r="O103" i="9"/>
  <c r="O102" i="9"/>
  <c r="H275" i="9"/>
  <c r="H274" i="9"/>
  <c r="H269" i="9"/>
  <c r="H267" i="9"/>
  <c r="H262" i="9"/>
  <c r="H261" i="9"/>
  <c r="H259" i="9"/>
  <c r="H258" i="9"/>
  <c r="H257" i="9"/>
  <c r="H251" i="9"/>
  <c r="H250" i="9"/>
  <c r="H249" i="9"/>
  <c r="H246" i="9"/>
  <c r="H245" i="9"/>
  <c r="H244" i="9"/>
  <c r="H242" i="9"/>
  <c r="H241" i="9"/>
  <c r="H240" i="9"/>
  <c r="H234" i="9"/>
  <c r="H232" i="9"/>
  <c r="H231" i="9"/>
  <c r="H230" i="9"/>
  <c r="H229" i="9"/>
  <c r="H226" i="9"/>
  <c r="H225" i="9"/>
  <c r="H224" i="9"/>
  <c r="H222" i="9"/>
  <c r="H218" i="9"/>
  <c r="H217" i="9"/>
  <c r="H215" i="9"/>
  <c r="H214" i="9"/>
  <c r="H212" i="9"/>
  <c r="H211" i="9"/>
  <c r="H210" i="9"/>
  <c r="H207" i="9"/>
  <c r="H206" i="9"/>
  <c r="H202" i="9"/>
  <c r="H201" i="9"/>
  <c r="H199" i="9"/>
  <c r="H197" i="9"/>
  <c r="H194" i="9"/>
  <c r="H192" i="9"/>
  <c r="H190" i="9"/>
  <c r="H189" i="9"/>
  <c r="H187" i="9"/>
  <c r="H186" i="9"/>
  <c r="H185" i="9"/>
  <c r="H184" i="9"/>
  <c r="H182" i="9"/>
  <c r="H180" i="9"/>
  <c r="H178" i="9"/>
  <c r="H176" i="9"/>
  <c r="H175" i="9"/>
  <c r="H174" i="9"/>
  <c r="H173" i="9"/>
  <c r="H172" i="9"/>
  <c r="H171" i="9"/>
  <c r="H170" i="9"/>
  <c r="H169" i="9"/>
  <c r="H168" i="9"/>
  <c r="H167" i="9"/>
  <c r="H166" i="9"/>
  <c r="H164" i="9"/>
  <c r="H163" i="9"/>
  <c r="H162" i="9"/>
  <c r="H160" i="9"/>
  <c r="H159" i="9"/>
  <c r="H158" i="9"/>
  <c r="H157" i="9"/>
  <c r="H155" i="9"/>
  <c r="H154" i="9"/>
  <c r="H153" i="9"/>
  <c r="H151" i="9"/>
  <c r="H149" i="9"/>
  <c r="H148" i="9"/>
  <c r="H146" i="9"/>
  <c r="H144" i="9"/>
  <c r="H143" i="9"/>
  <c r="H141" i="9"/>
  <c r="H139" i="9"/>
  <c r="H138" i="9"/>
  <c r="H137" i="9"/>
  <c r="H136" i="9"/>
  <c r="H135" i="9"/>
  <c r="H134" i="9"/>
  <c r="H133" i="9"/>
  <c r="H131" i="9"/>
  <c r="H130" i="9"/>
  <c r="H127" i="9"/>
  <c r="H126" i="9"/>
  <c r="H125" i="9"/>
  <c r="H124" i="9"/>
  <c r="H123" i="9"/>
  <c r="H121" i="9"/>
  <c r="H120" i="9"/>
  <c r="H119" i="9"/>
  <c r="H118" i="9"/>
  <c r="H116" i="9"/>
  <c r="H115" i="9"/>
  <c r="H114" i="9"/>
  <c r="H113" i="9"/>
  <c r="H112" i="9"/>
  <c r="H111" i="9"/>
  <c r="H110" i="9"/>
  <c r="H109" i="9"/>
  <c r="H107" i="9"/>
  <c r="H106" i="9"/>
  <c r="H105" i="9"/>
  <c r="H102" i="9"/>
  <c r="H101" i="9"/>
  <c r="H100" i="9"/>
  <c r="H99" i="9"/>
  <c r="H97" i="9"/>
  <c r="H96" i="9"/>
  <c r="H94" i="9"/>
  <c r="H93" i="9"/>
  <c r="H92" i="9"/>
  <c r="H91" i="9"/>
  <c r="H90" i="9"/>
  <c r="H86" i="9"/>
  <c r="H85" i="9"/>
  <c r="H83" i="9"/>
  <c r="H81" i="9"/>
  <c r="H80" i="9"/>
  <c r="H79" i="9"/>
  <c r="H78" i="9"/>
  <c r="H77" i="9"/>
  <c r="H76" i="9"/>
  <c r="H75" i="9"/>
  <c r="H73" i="9"/>
  <c r="H72" i="9"/>
  <c r="H71" i="9"/>
  <c r="H69" i="9"/>
  <c r="H68" i="9"/>
  <c r="H67" i="9"/>
  <c r="H65" i="9"/>
  <c r="H64" i="9"/>
  <c r="H63" i="9"/>
  <c r="H62" i="9"/>
  <c r="H61" i="9"/>
  <c r="H60" i="9"/>
  <c r="H58" i="9"/>
  <c r="H57" i="9"/>
  <c r="H56" i="9"/>
  <c r="H55" i="9"/>
  <c r="H54" i="9"/>
  <c r="H53" i="9"/>
  <c r="H51" i="9"/>
  <c r="H50" i="9"/>
  <c r="H49" i="9"/>
  <c r="H48" i="9"/>
  <c r="H47" i="9"/>
  <c r="H46" i="9"/>
  <c r="H42" i="9"/>
  <c r="H40" i="9"/>
  <c r="H39" i="9"/>
  <c r="H37" i="9"/>
  <c r="H36" i="9"/>
  <c r="H35" i="9"/>
  <c r="H34" i="9"/>
  <c r="H33" i="9"/>
  <c r="H32" i="9"/>
  <c r="H31" i="9"/>
  <c r="H30" i="9"/>
  <c r="H29" i="9"/>
  <c r="H28" i="9"/>
  <c r="H25" i="9"/>
  <c r="H24" i="9"/>
  <c r="H23" i="9"/>
  <c r="H22" i="9"/>
  <c r="H21" i="9"/>
  <c r="H20" i="9"/>
  <c r="H19" i="9"/>
  <c r="H18" i="9"/>
  <c r="H17" i="9"/>
  <c r="H16" i="9"/>
  <c r="H14" i="9"/>
  <c r="H13" i="9"/>
  <c r="H11" i="9"/>
  <c r="H10" i="9"/>
  <c r="H9" i="9"/>
  <c r="H8" i="9"/>
  <c r="H6" i="9"/>
  <c r="I5" i="4"/>
  <c r="I233" i="9"/>
  <c r="G233" i="9"/>
  <c r="I252" i="4"/>
  <c r="H252" i="4"/>
  <c r="G252" i="4"/>
  <c r="I16" i="4"/>
  <c r="G16" i="4"/>
  <c r="O86" i="9"/>
  <c r="I34" i="22"/>
  <c r="I29" i="22"/>
  <c r="J29" i="22"/>
  <c r="O251" i="9"/>
  <c r="O250" i="9"/>
  <c r="O29" i="9"/>
  <c r="O137" i="9"/>
  <c r="O139" i="9"/>
  <c r="O138" i="9"/>
  <c r="O126" i="9"/>
  <c r="O207" i="9"/>
  <c r="O234" i="9"/>
  <c r="O232" i="9"/>
  <c r="G268" i="9"/>
  <c r="H268" i="9" s="1"/>
  <c r="H87" i="4"/>
  <c r="G87" i="4"/>
  <c r="H11" i="4"/>
  <c r="G11" i="4"/>
  <c r="N135" i="15"/>
  <c r="H181" i="4"/>
  <c r="G181" i="4"/>
  <c r="G70" i="9"/>
  <c r="H70" i="9" s="1"/>
  <c r="G191" i="9"/>
  <c r="H191" i="9" s="1"/>
  <c r="G256" i="9"/>
  <c r="H256" i="9" s="1"/>
  <c r="G95" i="9"/>
  <c r="H95" i="9" s="1"/>
  <c r="O268" i="9"/>
  <c r="O72" i="9"/>
  <c r="O71" i="9"/>
  <c r="O67" i="9"/>
  <c r="O173" i="9"/>
  <c r="O76" i="9"/>
  <c r="O113" i="9"/>
  <c r="O192" i="9"/>
  <c r="O175" i="9"/>
  <c r="O60" i="9"/>
  <c r="O85" i="9"/>
  <c r="O172" i="9"/>
  <c r="O174" i="9"/>
  <c r="O171" i="9"/>
  <c r="O96" i="9"/>
  <c r="O68" i="9"/>
  <c r="O170" i="9"/>
  <c r="O39" i="9"/>
  <c r="O269" i="9"/>
  <c r="H89" i="4"/>
  <c r="G89" i="4"/>
  <c r="G273" i="9"/>
  <c r="H273" i="9" s="1"/>
  <c r="G248" i="9"/>
  <c r="H248" i="9" s="1"/>
  <c r="G243" i="9"/>
  <c r="H243" i="9" s="1"/>
  <c r="G239" i="9"/>
  <c r="H239" i="9" s="1"/>
  <c r="G228" i="9"/>
  <c r="G223" i="9"/>
  <c r="H223" i="9" s="1"/>
  <c r="G221" i="9"/>
  <c r="G266" i="9"/>
  <c r="H266" i="9" s="1"/>
  <c r="G216" i="9"/>
  <c r="H216" i="9" s="1"/>
  <c r="G213" i="9"/>
  <c r="H213" i="9" s="1"/>
  <c r="G205" i="9"/>
  <c r="H205" i="9" s="1"/>
  <c r="G198" i="9"/>
  <c r="G196" i="9"/>
  <c r="H196" i="9" s="1"/>
  <c r="G193" i="9"/>
  <c r="H193" i="9" s="1"/>
  <c r="G188" i="9"/>
  <c r="H188" i="9" s="1"/>
  <c r="G181" i="9"/>
  <c r="H181" i="9" s="1"/>
  <c r="G179" i="9"/>
  <c r="H179" i="9" s="1"/>
  <c r="G177" i="9"/>
  <c r="H177" i="9" s="1"/>
  <c r="G165" i="9"/>
  <c r="H165" i="9" s="1"/>
  <c r="G161" i="9"/>
  <c r="H161" i="9" s="1"/>
  <c r="G150" i="9"/>
  <c r="H150" i="9" s="1"/>
  <c r="G147" i="9"/>
  <c r="G145" i="9"/>
  <c r="H145" i="9" s="1"/>
  <c r="G140" i="9"/>
  <c r="H140" i="9" s="1"/>
  <c r="G129" i="9"/>
  <c r="H129" i="9" s="1"/>
  <c r="G117" i="9"/>
  <c r="H117" i="9" s="1"/>
  <c r="G82" i="9"/>
  <c r="H82" i="9" s="1"/>
  <c r="G52" i="9"/>
  <c r="H52" i="9" s="1"/>
  <c r="G45" i="9"/>
  <c r="H45" i="9" s="1"/>
  <c r="G41" i="9"/>
  <c r="H41" i="9" s="1"/>
  <c r="G27" i="9"/>
  <c r="G15" i="9"/>
  <c r="H15" i="9" s="1"/>
  <c r="G12" i="9"/>
  <c r="H12" i="9" s="1"/>
  <c r="G7" i="9"/>
  <c r="H7" i="9" s="1"/>
  <c r="G5" i="9"/>
  <c r="H5" i="9" s="1"/>
  <c r="H198" i="9"/>
  <c r="O191" i="9"/>
  <c r="H147" i="9"/>
  <c r="G98" i="9"/>
  <c r="H98" i="9" s="1"/>
  <c r="G108" i="9"/>
  <c r="H108" i="9" s="1"/>
  <c r="G122" i="9"/>
  <c r="H122" i="9" s="1"/>
  <c r="G156" i="9"/>
  <c r="H156" i="9" s="1"/>
  <c r="G89" i="9"/>
  <c r="H89" i="9" s="1"/>
  <c r="G104" i="9"/>
  <c r="H104" i="9" s="1"/>
  <c r="G152" i="9"/>
  <c r="H152" i="9" s="1"/>
  <c r="G200" i="9"/>
  <c r="H200" i="9" s="1"/>
  <c r="G209" i="9"/>
  <c r="H209" i="9" s="1"/>
  <c r="G74" i="9"/>
  <c r="H74" i="9" s="1"/>
  <c r="G132" i="9"/>
  <c r="H132" i="9" s="1"/>
  <c r="G142" i="9"/>
  <c r="H142" i="9" s="1"/>
  <c r="G183" i="9"/>
  <c r="H183" i="9" s="1"/>
  <c r="G260" i="9"/>
  <c r="H260" i="9" s="1"/>
  <c r="H290" i="4"/>
  <c r="G290" i="4"/>
  <c r="G286" i="4"/>
  <c r="H278" i="4"/>
  <c r="G278" i="4"/>
  <c r="H272" i="4"/>
  <c r="G272" i="4"/>
  <c r="H270" i="4"/>
  <c r="G270" i="4"/>
  <c r="H268" i="4"/>
  <c r="G268" i="4"/>
  <c r="H265" i="4"/>
  <c r="G265" i="4"/>
  <c r="H261" i="4"/>
  <c r="G261" i="4"/>
  <c r="H258" i="4"/>
  <c r="G258" i="4"/>
  <c r="H255" i="4"/>
  <c r="G255" i="4"/>
  <c r="H247" i="4"/>
  <c r="G247" i="4"/>
  <c r="H235" i="4"/>
  <c r="G235" i="4"/>
  <c r="H231" i="4"/>
  <c r="G231" i="4"/>
  <c r="H220" i="4"/>
  <c r="G220" i="4"/>
  <c r="H217" i="4"/>
  <c r="G217" i="4"/>
  <c r="H175" i="4"/>
  <c r="G175" i="4"/>
  <c r="G173" i="4"/>
  <c r="H173" i="4"/>
  <c r="G161" i="4"/>
  <c r="H161" i="4"/>
  <c r="G157" i="4"/>
  <c r="H157" i="4"/>
  <c r="G138" i="4"/>
  <c r="H138" i="4"/>
  <c r="G134" i="4"/>
  <c r="H134" i="4"/>
  <c r="G131" i="4"/>
  <c r="H131" i="4"/>
  <c r="G128" i="4"/>
  <c r="H128" i="4"/>
  <c r="G125" i="4"/>
  <c r="H125" i="4"/>
  <c r="G120" i="4"/>
  <c r="H120" i="4"/>
  <c r="G118" i="4"/>
  <c r="H118" i="4"/>
  <c r="G116" i="4"/>
  <c r="H116" i="4"/>
  <c r="G114" i="4"/>
  <c r="H114" i="4"/>
  <c r="G112" i="4"/>
  <c r="H112" i="4"/>
  <c r="G110" i="4"/>
  <c r="H110" i="4"/>
  <c r="G108" i="4"/>
  <c r="H108" i="4"/>
  <c r="G106" i="4"/>
  <c r="H106" i="4"/>
  <c r="G104" i="4"/>
  <c r="H104" i="4"/>
  <c r="G102" i="4"/>
  <c r="H102" i="4"/>
  <c r="G99" i="4"/>
  <c r="H99" i="4"/>
  <c r="G96" i="4"/>
  <c r="H96" i="4"/>
  <c r="G79" i="4"/>
  <c r="H79" i="4"/>
  <c r="G77" i="4"/>
  <c r="H77" i="4"/>
  <c r="G75" i="4"/>
  <c r="H75" i="4"/>
  <c r="G72" i="4"/>
  <c r="G68" i="4" s="1"/>
  <c r="H72" i="4"/>
  <c r="H68" i="4" s="1"/>
  <c r="G66" i="4"/>
  <c r="H66" i="4"/>
  <c r="G63" i="4"/>
  <c r="H63" i="4"/>
  <c r="G61" i="4"/>
  <c r="H61" i="4"/>
  <c r="G40" i="4"/>
  <c r="H40" i="4"/>
  <c r="G38" i="4"/>
  <c r="H38" i="4"/>
  <c r="G33" i="4"/>
  <c r="H33" i="4"/>
  <c r="G25" i="4"/>
  <c r="H25" i="4"/>
  <c r="G20" i="4"/>
  <c r="H20" i="4"/>
  <c r="H18" i="4" s="1"/>
  <c r="H16" i="4" s="1"/>
  <c r="G6" i="4"/>
  <c r="H6" i="4"/>
  <c r="O54" i="9"/>
  <c r="O9" i="9"/>
  <c r="O153" i="9"/>
  <c r="O28" i="9"/>
  <c r="O242" i="9"/>
  <c r="O148" i="9"/>
  <c r="O83" i="9"/>
  <c r="O73" i="9"/>
  <c r="O121" i="9"/>
  <c r="O146" i="9"/>
  <c r="O124" i="9"/>
  <c r="O33" i="9"/>
  <c r="O112" i="9"/>
  <c r="O100" i="9"/>
  <c r="O88" i="9"/>
  <c r="O149" i="9"/>
  <c r="O167" i="9"/>
  <c r="O40" i="9"/>
  <c r="O17" i="9"/>
  <c r="O141" i="9"/>
  <c r="O36" i="9"/>
  <c r="O240" i="9"/>
  <c r="O144" i="9"/>
  <c r="O75" i="9"/>
  <c r="O92" i="9"/>
  <c r="O190" i="9"/>
  <c r="O116" i="9"/>
  <c r="O199" i="9"/>
  <c r="O24" i="9"/>
  <c r="O119" i="9"/>
  <c r="O8" i="9"/>
  <c r="O166" i="9"/>
  <c r="O259" i="9"/>
  <c r="O205" i="9"/>
  <c r="O176" i="9"/>
  <c r="O46" i="9"/>
  <c r="O94" i="9"/>
  <c r="O81" i="9"/>
  <c r="O210" i="9"/>
  <c r="O106" i="9"/>
  <c r="O151" i="9"/>
  <c r="O34" i="9"/>
  <c r="O196" i="9"/>
  <c r="O258" i="9"/>
  <c r="O32" i="9"/>
  <c r="O224" i="9"/>
  <c r="O133" i="9"/>
  <c r="O21" i="9"/>
  <c r="O78" i="9"/>
  <c r="O19" i="9"/>
  <c r="O111" i="9"/>
  <c r="O99" i="9"/>
  <c r="O20" i="9"/>
  <c r="O114" i="9"/>
  <c r="O246" i="9"/>
  <c r="O160" i="9"/>
  <c r="O155" i="9"/>
  <c r="O64" i="9"/>
  <c r="O77" i="9"/>
  <c r="O125" i="9"/>
  <c r="O30" i="9"/>
  <c r="O169" i="9"/>
  <c r="O211" i="9"/>
  <c r="O130" i="9"/>
  <c r="O14" i="9"/>
  <c r="O69" i="9"/>
  <c r="O93" i="9"/>
  <c r="O143" i="9"/>
  <c r="O97" i="9"/>
  <c r="O16" i="9"/>
  <c r="O62" i="9"/>
  <c r="O241" i="9"/>
  <c r="O70" i="9"/>
  <c r="O274" i="9"/>
  <c r="O48" i="9"/>
  <c r="O187" i="9"/>
  <c r="O164" i="9"/>
  <c r="O115" i="9"/>
  <c r="O214" i="9"/>
  <c r="O135" i="9"/>
  <c r="O154" i="9"/>
  <c r="O6" i="9"/>
  <c r="O185" i="9"/>
  <c r="O107" i="9"/>
  <c r="O57" i="9"/>
  <c r="O198" i="9"/>
  <c r="O49" i="9"/>
  <c r="O18" i="9"/>
  <c r="O51" i="9"/>
  <c r="O13" i="9"/>
  <c r="O150" i="9"/>
  <c r="O79" i="9"/>
  <c r="O91" i="9"/>
  <c r="O23" i="9"/>
  <c r="O257" i="9"/>
  <c r="O61" i="9"/>
  <c r="O65" i="9"/>
  <c r="O120" i="9"/>
  <c r="O25" i="9"/>
  <c r="O226" i="9"/>
  <c r="O159" i="9"/>
  <c r="O11" i="9"/>
  <c r="O123" i="9"/>
  <c r="O63" i="9"/>
  <c r="O58" i="9"/>
  <c r="O194" i="9"/>
  <c r="O10" i="9"/>
  <c r="O56" i="9"/>
  <c r="O22" i="9"/>
  <c r="O41" i="9"/>
  <c r="O231" i="9"/>
  <c r="O225" i="9"/>
  <c r="O267" i="9"/>
  <c r="O212" i="9"/>
  <c r="O101" i="9"/>
  <c r="O110" i="9"/>
  <c r="O55" i="9"/>
  <c r="O197" i="9"/>
  <c r="O162" i="9"/>
  <c r="O105" i="9"/>
  <c r="O118" i="9"/>
  <c r="O222" i="9"/>
  <c r="O35" i="9"/>
  <c r="O189" i="9"/>
  <c r="O158" i="9"/>
  <c r="O47" i="9"/>
  <c r="O136" i="9"/>
  <c r="O140" i="9"/>
  <c r="O275" i="9"/>
  <c r="O168" i="9"/>
  <c r="O186" i="9"/>
  <c r="O180" i="9"/>
  <c r="O163" i="9"/>
  <c r="O193" i="9"/>
  <c r="O53" i="9"/>
  <c r="O206" i="9"/>
  <c r="O80" i="9"/>
  <c r="O50" i="9"/>
  <c r="O157" i="9"/>
  <c r="O90" i="9"/>
  <c r="O182" i="9"/>
  <c r="O145" i="9"/>
  <c r="O42" i="9"/>
  <c r="O127" i="9"/>
  <c r="O31" i="9"/>
  <c r="O184" i="9"/>
  <c r="O131" i="9"/>
  <c r="O37" i="9"/>
  <c r="O109" i="9"/>
  <c r="O181" i="9"/>
  <c r="P132" i="15"/>
  <c r="P146" i="15"/>
  <c r="P127" i="15"/>
  <c r="P123" i="15"/>
  <c r="P134" i="15"/>
  <c r="P135" i="15"/>
  <c r="P147" i="15"/>
  <c r="P130" i="15"/>
  <c r="P124" i="15"/>
  <c r="P121" i="15"/>
  <c r="P126" i="15"/>
  <c r="P139" i="15"/>
  <c r="P148" i="15"/>
  <c r="P144" i="15"/>
  <c r="P122" i="15"/>
  <c r="P140" i="15"/>
  <c r="P136" i="15"/>
  <c r="C9" i="26" s="1"/>
  <c r="C45" i="26" s="1"/>
  <c r="P129" i="15"/>
  <c r="P149" i="15"/>
  <c r="P145" i="15"/>
  <c r="P142" i="15"/>
  <c r="P137" i="15"/>
  <c r="P133" i="15"/>
  <c r="P131" i="15"/>
  <c r="P143" i="15"/>
  <c r="O134" i="9"/>
  <c r="O218" i="9"/>
  <c r="O215" i="9"/>
  <c r="O262" i="9"/>
  <c r="O245" i="9"/>
  <c r="O244" i="9"/>
  <c r="O229" i="9"/>
  <c r="O201" i="9"/>
  <c r="O261" i="9"/>
  <c r="O202" i="9"/>
  <c r="O230" i="9"/>
  <c r="O217" i="9"/>
  <c r="O249" i="9"/>
  <c r="O178" i="9"/>
  <c r="O45" i="9"/>
  <c r="O7" i="9"/>
  <c r="O156" i="9"/>
  <c r="O147" i="9"/>
  <c r="O266" i="9"/>
  <c r="O260" i="9"/>
  <c r="O243" i="9"/>
  <c r="O74" i="9"/>
  <c r="O228" i="9"/>
  <c r="O216" i="9"/>
  <c r="O104" i="9"/>
  <c r="O108" i="9"/>
  <c r="O89" i="9"/>
  <c r="O177" i="9"/>
  <c r="O183" i="9"/>
  <c r="O188" i="9"/>
  <c r="O122" i="9"/>
  <c r="O200" i="9"/>
  <c r="O256" i="9"/>
  <c r="O223" i="9"/>
  <c r="O248" i="9"/>
  <c r="O82" i="9"/>
  <c r="O209" i="9"/>
  <c r="O129" i="9"/>
  <c r="O132" i="9"/>
  <c r="O165" i="9"/>
  <c r="O15" i="9"/>
  <c r="O52" i="9"/>
  <c r="O152" i="9"/>
  <c r="O5" i="9"/>
  <c r="O12" i="9"/>
  <c r="O27" i="9"/>
  <c r="O161" i="9"/>
  <c r="O179" i="9"/>
  <c r="O95" i="9"/>
  <c r="O239" i="9"/>
  <c r="O98" i="9"/>
  <c r="O117" i="9"/>
  <c r="O142" i="9"/>
  <c r="O195" i="9"/>
  <c r="O221" i="9"/>
  <c r="O213" i="9"/>
  <c r="O273" i="9"/>
  <c r="D143" i="15"/>
  <c r="D144" i="15"/>
  <c r="D123" i="15"/>
  <c r="D134" i="15"/>
  <c r="D124" i="15"/>
  <c r="D136" i="15"/>
  <c r="D131" i="15"/>
  <c r="D142" i="15"/>
  <c r="D138" i="15"/>
  <c r="D129" i="15"/>
  <c r="O227" i="9"/>
  <c r="O208" i="9"/>
  <c r="O247" i="9"/>
  <c r="O4" i="9"/>
  <c r="O26" i="9"/>
  <c r="O272" i="9"/>
  <c r="O276" i="9"/>
  <c r="J27" i="22"/>
  <c r="P295" i="4"/>
  <c r="H34" i="22"/>
  <c r="S295" i="4"/>
  <c r="N127" i="15"/>
  <c r="J34" i="22"/>
  <c r="C143" i="15" l="1"/>
  <c r="AA237" i="9"/>
  <c r="AD237" i="9" s="1"/>
  <c r="AE237" i="9" s="1"/>
  <c r="AF237" i="9" s="1"/>
  <c r="AD107" i="4"/>
  <c r="AE238" i="9"/>
  <c r="AF238" i="9" s="1"/>
  <c r="AG95" i="4"/>
  <c r="AD186" i="9"/>
  <c r="AE186" i="9" s="1"/>
  <c r="AF186" i="9" s="1"/>
  <c r="AD119" i="4"/>
  <c r="AE119" i="4" s="1"/>
  <c r="AF119" i="4" s="1"/>
  <c r="AA268" i="9"/>
  <c r="AD268" i="9" s="1"/>
  <c r="AB86" i="4"/>
  <c r="H160" i="4"/>
  <c r="G267" i="4"/>
  <c r="AB5" i="4"/>
  <c r="AB4" i="4" s="1"/>
  <c r="C24" i="11"/>
  <c r="U26" i="25" s="1"/>
  <c r="R22" i="25" s="1"/>
  <c r="C20" i="25" s="1"/>
  <c r="H20" i="25" s="1"/>
  <c r="AD62" i="4"/>
  <c r="AE62" i="4" s="1"/>
  <c r="AF62" i="4" s="1"/>
  <c r="AA91" i="4"/>
  <c r="AD135" i="9"/>
  <c r="AE135" i="9" s="1"/>
  <c r="AF135" i="9" s="1"/>
  <c r="AG93" i="4"/>
  <c r="AD136" i="9"/>
  <c r="AE136" i="9" s="1"/>
  <c r="AF136" i="9" s="1"/>
  <c r="AD269" i="4"/>
  <c r="AE269" i="4" s="1"/>
  <c r="AF269" i="4" s="1"/>
  <c r="AD55" i="9"/>
  <c r="AE55" i="9" s="1"/>
  <c r="AF55" i="9" s="1"/>
  <c r="AD63" i="9"/>
  <c r="AE63" i="9" s="1"/>
  <c r="AF63" i="9" s="1"/>
  <c r="AA242" i="4"/>
  <c r="AD117" i="4"/>
  <c r="AG117" i="4" s="1"/>
  <c r="H8" i="22"/>
  <c r="AC246" i="4"/>
  <c r="AB116" i="15"/>
  <c r="V119" i="15"/>
  <c r="AE245" i="9"/>
  <c r="AF245" i="9" s="1"/>
  <c r="AD116" i="15"/>
  <c r="AF117" i="15" s="1"/>
  <c r="AF121" i="15"/>
  <c r="X117" i="15"/>
  <c r="H102" i="24"/>
  <c r="AD103" i="4"/>
  <c r="AE103" i="4" s="1"/>
  <c r="AF103" i="4" s="1"/>
  <c r="AC86" i="4"/>
  <c r="AD280" i="4"/>
  <c r="AG280" i="4" s="1"/>
  <c r="I86" i="4"/>
  <c r="H86" i="4"/>
  <c r="G246" i="4"/>
  <c r="E71" i="15"/>
  <c r="E114" i="15" s="1"/>
  <c r="E116" i="15" s="1"/>
  <c r="AC5" i="4"/>
  <c r="AD173" i="4"/>
  <c r="AE173" i="4" s="1"/>
  <c r="AF173" i="4" s="1"/>
  <c r="G5" i="4"/>
  <c r="G86" i="4"/>
  <c r="G160" i="4"/>
  <c r="H246" i="4"/>
  <c r="H159" i="4" s="1"/>
  <c r="AB160" i="4"/>
  <c r="AC160" i="4"/>
  <c r="AB246" i="4"/>
  <c r="AD81" i="9"/>
  <c r="AE81" i="9" s="1"/>
  <c r="AF81" i="9" s="1"/>
  <c r="AD92" i="9"/>
  <c r="AE92" i="9" s="1"/>
  <c r="AF92" i="9" s="1"/>
  <c r="AD102" i="9"/>
  <c r="AE102" i="9" s="1"/>
  <c r="AF102" i="9" s="1"/>
  <c r="AD112" i="9"/>
  <c r="AE112" i="9" s="1"/>
  <c r="AF112" i="9" s="1"/>
  <c r="AD121" i="9"/>
  <c r="AE121" i="9" s="1"/>
  <c r="AF121" i="9" s="1"/>
  <c r="C110" i="11"/>
  <c r="AD170" i="9"/>
  <c r="AE170" i="9" s="1"/>
  <c r="AF170" i="9" s="1"/>
  <c r="AD29" i="9"/>
  <c r="AE29" i="9" s="1"/>
  <c r="AF29" i="9" s="1"/>
  <c r="AD37" i="9"/>
  <c r="AE37" i="9" s="1"/>
  <c r="AF37" i="9" s="1"/>
  <c r="AD50" i="9"/>
  <c r="AE50" i="9" s="1"/>
  <c r="AF50" i="9" s="1"/>
  <c r="AD59" i="9"/>
  <c r="AE59" i="9" s="1"/>
  <c r="AF59" i="9" s="1"/>
  <c r="AD67" i="9"/>
  <c r="AE67" i="9" s="1"/>
  <c r="AF67" i="9" s="1"/>
  <c r="AD77" i="9"/>
  <c r="AE77" i="9" s="1"/>
  <c r="AF77" i="9" s="1"/>
  <c r="AD87" i="9"/>
  <c r="AE87" i="9" s="1"/>
  <c r="AF87" i="9" s="1"/>
  <c r="AD97" i="9"/>
  <c r="AE97" i="9" s="1"/>
  <c r="AF97" i="9" s="1"/>
  <c r="AD107" i="9"/>
  <c r="AE107" i="9" s="1"/>
  <c r="AF107" i="9" s="1"/>
  <c r="AD116" i="9"/>
  <c r="AE116" i="9" s="1"/>
  <c r="AF116" i="9" s="1"/>
  <c r="AD126" i="9"/>
  <c r="AE126" i="9" s="1"/>
  <c r="AF126" i="9" s="1"/>
  <c r="AD172" i="9"/>
  <c r="AE172" i="9" s="1"/>
  <c r="AF172" i="9" s="1"/>
  <c r="AA183" i="9"/>
  <c r="C121" i="15" s="1"/>
  <c r="C100" i="11"/>
  <c r="T117" i="15"/>
  <c r="AD113" i="9"/>
  <c r="AE113" i="9" s="1"/>
  <c r="AF113" i="9" s="1"/>
  <c r="AD103" i="9"/>
  <c r="AE103" i="9" s="1"/>
  <c r="AF103" i="9" s="1"/>
  <c r="AD64" i="9"/>
  <c r="AE64" i="9" s="1"/>
  <c r="AF64" i="9" s="1"/>
  <c r="AD72" i="9"/>
  <c r="AE72" i="9" s="1"/>
  <c r="AF72" i="9" s="1"/>
  <c r="AD176" i="9"/>
  <c r="AE176" i="9" s="1"/>
  <c r="AF176" i="9" s="1"/>
  <c r="AD168" i="9"/>
  <c r="AE168" i="9" s="1"/>
  <c r="AF168" i="9" s="1"/>
  <c r="AD157" i="9"/>
  <c r="AE157" i="9" s="1"/>
  <c r="AF157" i="9" s="1"/>
  <c r="AD36" i="9"/>
  <c r="AE36" i="9" s="1"/>
  <c r="AF36" i="9" s="1"/>
  <c r="R233" i="9"/>
  <c r="J101" i="24"/>
  <c r="J99" i="24"/>
  <c r="J98" i="24"/>
  <c r="G12" i="24"/>
  <c r="H12" i="24" s="1"/>
  <c r="J100" i="24"/>
  <c r="AD192" i="9"/>
  <c r="AE192" i="9" s="1"/>
  <c r="AF192" i="9" s="1"/>
  <c r="AD264" i="4"/>
  <c r="AE264" i="4" s="1"/>
  <c r="AF264" i="4" s="1"/>
  <c r="AD144" i="9"/>
  <c r="AE144" i="9" s="1"/>
  <c r="AF144" i="9" s="1"/>
  <c r="AD222" i="9"/>
  <c r="AE222" i="9" s="1"/>
  <c r="AF222" i="9" s="1"/>
  <c r="AD119" i="9"/>
  <c r="AE119" i="9" s="1"/>
  <c r="AF119" i="9" s="1"/>
  <c r="AA240" i="4"/>
  <c r="AD199" i="9"/>
  <c r="AE199" i="9" s="1"/>
  <c r="AF199" i="9" s="1"/>
  <c r="AD273" i="4"/>
  <c r="AE273" i="4" s="1"/>
  <c r="AF273" i="4" s="1"/>
  <c r="AD32" i="9"/>
  <c r="AE32" i="9" s="1"/>
  <c r="AF32" i="9" s="1"/>
  <c r="AD42" i="9"/>
  <c r="AE42" i="9" s="1"/>
  <c r="AF42" i="9" s="1"/>
  <c r="AD54" i="9"/>
  <c r="AE54" i="9" s="1"/>
  <c r="AF54" i="9" s="1"/>
  <c r="AD62" i="9"/>
  <c r="AE62" i="9" s="1"/>
  <c r="AF62" i="9" s="1"/>
  <c r="AD80" i="9"/>
  <c r="AE80" i="9" s="1"/>
  <c r="AF80" i="9" s="1"/>
  <c r="AD91" i="9"/>
  <c r="AE91" i="9" s="1"/>
  <c r="AF91" i="9" s="1"/>
  <c r="AD111" i="9"/>
  <c r="AE111" i="9" s="1"/>
  <c r="AF111" i="9" s="1"/>
  <c r="AD120" i="9"/>
  <c r="AE120" i="9" s="1"/>
  <c r="AF120" i="9" s="1"/>
  <c r="AD131" i="9"/>
  <c r="AE131" i="9" s="1"/>
  <c r="AF131" i="9" s="1"/>
  <c r="AD145" i="9"/>
  <c r="AE145" i="9" s="1"/>
  <c r="AF145" i="9" s="1"/>
  <c r="AD158" i="9"/>
  <c r="AE158" i="9" s="1"/>
  <c r="AF158" i="9" s="1"/>
  <c r="AD153" i="9"/>
  <c r="AE153" i="9" s="1"/>
  <c r="AF153" i="9" s="1"/>
  <c r="AD267" i="9"/>
  <c r="AE267" i="9" s="1"/>
  <c r="AF267" i="9" s="1"/>
  <c r="AG149" i="4"/>
  <c r="AD189" i="9"/>
  <c r="AE189" i="9" s="1"/>
  <c r="AF189" i="9" s="1"/>
  <c r="AD6" i="9"/>
  <c r="AE6" i="9" s="1"/>
  <c r="AF6" i="9" s="1"/>
  <c r="AD245" i="4"/>
  <c r="AE245" i="4" s="1"/>
  <c r="AF245" i="4" s="1"/>
  <c r="AD34" i="9"/>
  <c r="AE34" i="9" s="1"/>
  <c r="AF34" i="9" s="1"/>
  <c r="AD47" i="9"/>
  <c r="AE47" i="9" s="1"/>
  <c r="AF47" i="9" s="1"/>
  <c r="AD56" i="9"/>
  <c r="AE56" i="9" s="1"/>
  <c r="AF56" i="9" s="1"/>
  <c r="AD73" i="9"/>
  <c r="AE73" i="9" s="1"/>
  <c r="AF73" i="9" s="1"/>
  <c r="AD83" i="9"/>
  <c r="AE83" i="9" s="1"/>
  <c r="AF83" i="9" s="1"/>
  <c r="AD93" i="9"/>
  <c r="AE93" i="9" s="1"/>
  <c r="AF93" i="9" s="1"/>
  <c r="AD123" i="9"/>
  <c r="AE123" i="9" s="1"/>
  <c r="AF123" i="9" s="1"/>
  <c r="AD35" i="9"/>
  <c r="AE35" i="9" s="1"/>
  <c r="AF35" i="9" s="1"/>
  <c r="AD48" i="9"/>
  <c r="AE48" i="9" s="1"/>
  <c r="AF48" i="9" s="1"/>
  <c r="AD65" i="9"/>
  <c r="AE65" i="9" s="1"/>
  <c r="AF65" i="9" s="1"/>
  <c r="AD75" i="9"/>
  <c r="AE75" i="9" s="1"/>
  <c r="AF75" i="9" s="1"/>
  <c r="AD85" i="9"/>
  <c r="AE85" i="9" s="1"/>
  <c r="AF85" i="9" s="1"/>
  <c r="AD94" i="9"/>
  <c r="AE94" i="9" s="1"/>
  <c r="AF94" i="9" s="1"/>
  <c r="AD105" i="9"/>
  <c r="AE105" i="9" s="1"/>
  <c r="AF105" i="9" s="1"/>
  <c r="AD114" i="9"/>
  <c r="AE114" i="9" s="1"/>
  <c r="AF114" i="9" s="1"/>
  <c r="AD124" i="9"/>
  <c r="AE124" i="9" s="1"/>
  <c r="AF124" i="9" s="1"/>
  <c r="AD271" i="4"/>
  <c r="AE271" i="4" s="1"/>
  <c r="AF271" i="4" s="1"/>
  <c r="AA147" i="4"/>
  <c r="AD141" i="9"/>
  <c r="AE141" i="9" s="1"/>
  <c r="AF141" i="9" s="1"/>
  <c r="AA155" i="4"/>
  <c r="AD159" i="9"/>
  <c r="AE159" i="9" s="1"/>
  <c r="AF159" i="9" s="1"/>
  <c r="AD262" i="4"/>
  <c r="AG262" i="4" s="1"/>
  <c r="AD28" i="9"/>
  <c r="AE28" i="9" s="1"/>
  <c r="AF28" i="9" s="1"/>
  <c r="AD49" i="9"/>
  <c r="AE49" i="9" s="1"/>
  <c r="AF49" i="9" s="1"/>
  <c r="AD58" i="9"/>
  <c r="AE58" i="9" s="1"/>
  <c r="AF58" i="9" s="1"/>
  <c r="AD66" i="9"/>
  <c r="AE66" i="9" s="1"/>
  <c r="AF66" i="9" s="1"/>
  <c r="AD76" i="9"/>
  <c r="AE76" i="9" s="1"/>
  <c r="AF76" i="9" s="1"/>
  <c r="AD86" i="9"/>
  <c r="AE86" i="9" s="1"/>
  <c r="AF86" i="9" s="1"/>
  <c r="AD96" i="9"/>
  <c r="AE96" i="9" s="1"/>
  <c r="AF96" i="9" s="1"/>
  <c r="AD106" i="9"/>
  <c r="AE106" i="9" s="1"/>
  <c r="AF106" i="9" s="1"/>
  <c r="AD115" i="9"/>
  <c r="AE115" i="9" s="1"/>
  <c r="AF115" i="9" s="1"/>
  <c r="AD125" i="9"/>
  <c r="AE125" i="9" s="1"/>
  <c r="AF125" i="9" s="1"/>
  <c r="AD255" i="9"/>
  <c r="AE255" i="9" s="1"/>
  <c r="AF255" i="9" s="1"/>
  <c r="AD197" i="9"/>
  <c r="AE197" i="9" s="1"/>
  <c r="AF197" i="9" s="1"/>
  <c r="AD30" i="9"/>
  <c r="AE30" i="9" s="1"/>
  <c r="AF30" i="9" s="1"/>
  <c r="AD39" i="9"/>
  <c r="AE39" i="9" s="1"/>
  <c r="AF39" i="9" s="1"/>
  <c r="AD51" i="9"/>
  <c r="AE51" i="9" s="1"/>
  <c r="AF51" i="9" s="1"/>
  <c r="AD60" i="9"/>
  <c r="AE60" i="9" s="1"/>
  <c r="AF60" i="9" s="1"/>
  <c r="AD68" i="9"/>
  <c r="AE68" i="9" s="1"/>
  <c r="AF68" i="9" s="1"/>
  <c r="AD78" i="9"/>
  <c r="AE78" i="9" s="1"/>
  <c r="AF78" i="9" s="1"/>
  <c r="AD88" i="9"/>
  <c r="AE88" i="9" s="1"/>
  <c r="AF88" i="9" s="1"/>
  <c r="AD99" i="9"/>
  <c r="AE99" i="9" s="1"/>
  <c r="AF99" i="9" s="1"/>
  <c r="AD109" i="9"/>
  <c r="AE109" i="9" s="1"/>
  <c r="AF109" i="9" s="1"/>
  <c r="AD118" i="9"/>
  <c r="AE118" i="9" s="1"/>
  <c r="AF118" i="9" s="1"/>
  <c r="AD164" i="9"/>
  <c r="AE164" i="9" s="1"/>
  <c r="AF164" i="9" s="1"/>
  <c r="AD173" i="9"/>
  <c r="AE173" i="9" s="1"/>
  <c r="AF173" i="9" s="1"/>
  <c r="AD254" i="9"/>
  <c r="AE254" i="9" s="1"/>
  <c r="AF254" i="9" s="1"/>
  <c r="AD230" i="4"/>
  <c r="AE230" i="4" s="1"/>
  <c r="AF230" i="4" s="1"/>
  <c r="AD140" i="9"/>
  <c r="AE140" i="9" s="1"/>
  <c r="AF140" i="9" s="1"/>
  <c r="AD154" i="9"/>
  <c r="AE154" i="9" s="1"/>
  <c r="AF154" i="9" s="1"/>
  <c r="AD166" i="9"/>
  <c r="AE166" i="9" s="1"/>
  <c r="AF166" i="9" s="1"/>
  <c r="AD174" i="9"/>
  <c r="AE174" i="9" s="1"/>
  <c r="AF174" i="9" s="1"/>
  <c r="AE261" i="9"/>
  <c r="AF261" i="9" s="1"/>
  <c r="AG275" i="4"/>
  <c r="AD155" i="9"/>
  <c r="AE155" i="9" s="1"/>
  <c r="AF155" i="9" s="1"/>
  <c r="AD167" i="9"/>
  <c r="AE167" i="9" s="1"/>
  <c r="AF167" i="9" s="1"/>
  <c r="AD175" i="9"/>
  <c r="AE175" i="9" s="1"/>
  <c r="AF175" i="9" s="1"/>
  <c r="AD169" i="9"/>
  <c r="AE169" i="9" s="1"/>
  <c r="AF169" i="9" s="1"/>
  <c r="AD177" i="9"/>
  <c r="AE177" i="9" s="1"/>
  <c r="AF177" i="9" s="1"/>
  <c r="H104" i="24"/>
  <c r="AG239" i="4"/>
  <c r="AE239" i="4"/>
  <c r="AF239" i="4" s="1"/>
  <c r="AE180" i="4"/>
  <c r="AF180" i="4" s="1"/>
  <c r="AG164" i="4"/>
  <c r="AE164" i="4"/>
  <c r="AF164" i="4" s="1"/>
  <c r="AE145" i="4"/>
  <c r="AF145" i="4" s="1"/>
  <c r="AG234" i="4"/>
  <c r="AE234" i="4"/>
  <c r="AF234" i="4" s="1"/>
  <c r="AG233" i="4"/>
  <c r="AE233" i="4"/>
  <c r="AF233" i="4" s="1"/>
  <c r="AG222" i="4"/>
  <c r="AE222" i="4"/>
  <c r="AF222" i="4" s="1"/>
  <c r="AE194" i="4"/>
  <c r="AF194" i="4" s="1"/>
  <c r="F21" i="15"/>
  <c r="G21" i="15" s="1"/>
  <c r="AE60" i="4"/>
  <c r="AF60" i="4" s="1"/>
  <c r="AE42" i="4"/>
  <c r="AF42" i="4" s="1"/>
  <c r="AE35" i="4"/>
  <c r="AF35" i="4" s="1"/>
  <c r="AG256" i="4"/>
  <c r="AE256" i="4"/>
  <c r="AF256" i="4" s="1"/>
  <c r="AG228" i="4"/>
  <c r="AE228" i="4"/>
  <c r="AF228" i="4" s="1"/>
  <c r="AE219" i="4"/>
  <c r="AF219" i="4" s="1"/>
  <c r="AE209" i="4"/>
  <c r="AF209" i="4" s="1"/>
  <c r="AG200" i="4"/>
  <c r="AE200" i="4"/>
  <c r="AF200" i="4" s="1"/>
  <c r="AG192" i="4"/>
  <c r="AE192" i="4"/>
  <c r="AF192" i="4" s="1"/>
  <c r="AE184" i="4"/>
  <c r="AF184" i="4" s="1"/>
  <c r="AE167" i="4"/>
  <c r="AF167" i="4" s="1"/>
  <c r="F60" i="15"/>
  <c r="G60" i="15" s="1"/>
  <c r="AE152" i="4"/>
  <c r="AF152" i="4" s="1"/>
  <c r="AG123" i="4"/>
  <c r="AE123" i="4"/>
  <c r="AF123" i="4" s="1"/>
  <c r="AG100" i="4"/>
  <c r="AE100" i="4"/>
  <c r="AF100" i="4" s="1"/>
  <c r="C9" i="11"/>
  <c r="B12" i="12" s="1"/>
  <c r="AE58" i="4"/>
  <c r="AF58" i="4" s="1"/>
  <c r="AG49" i="4"/>
  <c r="AE49" i="4"/>
  <c r="AF49" i="4" s="1"/>
  <c r="AG41" i="4"/>
  <c r="AE41" i="4"/>
  <c r="AF41" i="4" s="1"/>
  <c r="AG23" i="4"/>
  <c r="AE23" i="4"/>
  <c r="AF23" i="4" s="1"/>
  <c r="AG259" i="4"/>
  <c r="AE259" i="4"/>
  <c r="AF259" i="4" s="1"/>
  <c r="AG14" i="4"/>
  <c r="AE14" i="4"/>
  <c r="AF14" i="4" s="1"/>
  <c r="AG105" i="4"/>
  <c r="AE105" i="4"/>
  <c r="AF105" i="4" s="1"/>
  <c r="AE13" i="4"/>
  <c r="AF13" i="4" s="1"/>
  <c r="AE22" i="4"/>
  <c r="AF22" i="4" s="1"/>
  <c r="AG53" i="4"/>
  <c r="AE53" i="4"/>
  <c r="AF53" i="4" s="1"/>
  <c r="AE142" i="4"/>
  <c r="AF142" i="4" s="1"/>
  <c r="AG162" i="4"/>
  <c r="AE162" i="4"/>
  <c r="AF162" i="4" s="1"/>
  <c r="AE196" i="4"/>
  <c r="AF196" i="4" s="1"/>
  <c r="AE214" i="9"/>
  <c r="AF214" i="9" s="1"/>
  <c r="J22" i="15"/>
  <c r="AG182" i="4"/>
  <c r="AE182" i="4"/>
  <c r="AF182" i="4" s="1"/>
  <c r="AG158" i="4"/>
  <c r="AE158" i="4"/>
  <c r="AF158" i="4" s="1"/>
  <c r="AG9" i="4"/>
  <c r="AE9" i="4"/>
  <c r="AF9" i="4" s="1"/>
  <c r="AE178" i="4"/>
  <c r="AF178" i="4" s="1"/>
  <c r="AE26" i="4"/>
  <c r="AF26" i="4" s="1"/>
  <c r="AG44" i="4"/>
  <c r="AE44" i="4"/>
  <c r="AF44" i="4" s="1"/>
  <c r="AE74" i="4"/>
  <c r="AF74" i="4" s="1"/>
  <c r="AG107" i="4"/>
  <c r="AE107" i="4"/>
  <c r="AF107" i="4" s="1"/>
  <c r="AE143" i="4"/>
  <c r="AF143" i="4" s="1"/>
  <c r="AE163" i="4"/>
  <c r="AF163" i="4" s="1"/>
  <c r="AG179" i="4"/>
  <c r="AE179" i="4"/>
  <c r="AF179" i="4" s="1"/>
  <c r="AG201" i="4"/>
  <c r="AE201" i="4"/>
  <c r="AF201" i="4" s="1"/>
  <c r="AG224" i="4"/>
  <c r="AE224" i="4"/>
  <c r="AF224" i="4" s="1"/>
  <c r="AA250" i="4"/>
  <c r="AG28" i="4"/>
  <c r="AE28" i="4"/>
  <c r="AF28" i="4" s="1"/>
  <c r="AG55" i="4"/>
  <c r="AE55" i="4"/>
  <c r="AF55" i="4" s="1"/>
  <c r="AG82" i="4"/>
  <c r="AE82" i="4"/>
  <c r="AF82" i="4" s="1"/>
  <c r="AG115" i="4"/>
  <c r="AE115" i="4"/>
  <c r="AF115" i="4" s="1"/>
  <c r="AG129" i="4"/>
  <c r="AE129" i="4"/>
  <c r="AF129" i="4" s="1"/>
  <c r="AG144" i="4"/>
  <c r="AE144" i="4"/>
  <c r="AF144" i="4" s="1"/>
  <c r="AG185" i="4"/>
  <c r="AE185" i="4"/>
  <c r="AF185" i="4" s="1"/>
  <c r="AA274" i="4"/>
  <c r="AD274" i="4" s="1"/>
  <c r="AG168" i="4"/>
  <c r="AE168" i="4"/>
  <c r="AF168" i="4" s="1"/>
  <c r="AE232" i="4"/>
  <c r="AF232" i="4" s="1"/>
  <c r="AG30" i="4"/>
  <c r="AE30" i="4"/>
  <c r="AF30" i="4" s="1"/>
  <c r="AE46" i="4"/>
  <c r="AF46" i="4" s="1"/>
  <c r="AG56" i="4"/>
  <c r="AE56" i="4"/>
  <c r="AF56" i="4" s="1"/>
  <c r="AG84" i="4"/>
  <c r="AE84" i="4"/>
  <c r="AF84" i="4" s="1"/>
  <c r="AG165" i="4"/>
  <c r="AE165" i="4"/>
  <c r="AF165" i="4" s="1"/>
  <c r="AG186" i="4"/>
  <c r="AE186" i="4"/>
  <c r="AF186" i="4" s="1"/>
  <c r="AG203" i="4"/>
  <c r="AE203" i="4"/>
  <c r="AF203" i="4" s="1"/>
  <c r="AG248" i="4"/>
  <c r="AE248" i="4"/>
  <c r="AF248" i="4" s="1"/>
  <c r="AE260" i="4"/>
  <c r="AF260" i="4" s="1"/>
  <c r="AE73" i="4"/>
  <c r="AF73" i="4" s="1"/>
  <c r="AG287" i="4"/>
  <c r="AE287" i="4"/>
  <c r="AF287" i="4" s="1"/>
  <c r="AG169" i="4"/>
  <c r="AE169" i="4"/>
  <c r="AF169" i="4" s="1"/>
  <c r="AE292" i="4"/>
  <c r="AF292" i="4" s="1"/>
  <c r="AG31" i="4"/>
  <c r="AE31" i="4"/>
  <c r="AF31" i="4" s="1"/>
  <c r="AE47" i="4"/>
  <c r="AF47" i="4" s="1"/>
  <c r="AE133" i="4"/>
  <c r="AF133" i="4" s="1"/>
  <c r="AG170" i="4"/>
  <c r="AE170" i="4"/>
  <c r="AF170" i="4" s="1"/>
  <c r="AG187" i="4"/>
  <c r="AE187" i="4"/>
  <c r="AF187" i="4" s="1"/>
  <c r="AG210" i="4"/>
  <c r="AE210" i="4"/>
  <c r="AF210" i="4" s="1"/>
  <c r="AE249" i="4"/>
  <c r="AF249" i="4" s="1"/>
  <c r="AE254" i="4"/>
  <c r="AF254" i="4" s="1"/>
  <c r="F84" i="15"/>
  <c r="G84" i="15" s="1"/>
  <c r="AE241" i="4"/>
  <c r="AF241" i="4" s="1"/>
  <c r="AG227" i="4"/>
  <c r="AE227" i="4"/>
  <c r="AF227" i="4" s="1"/>
  <c r="AE218" i="4"/>
  <c r="AF218" i="4" s="1"/>
  <c r="AE199" i="4"/>
  <c r="AF199" i="4" s="1"/>
  <c r="AE191" i="4"/>
  <c r="AF191" i="4" s="1"/>
  <c r="AG166" i="4"/>
  <c r="AE166" i="4"/>
  <c r="AF166" i="4" s="1"/>
  <c r="F59" i="15"/>
  <c r="G59" i="15" s="1"/>
  <c r="H59" i="15" s="1"/>
  <c r="AE148" i="4"/>
  <c r="AF148" i="4" s="1"/>
  <c r="AG8" i="4"/>
  <c r="AE8" i="4"/>
  <c r="AF8" i="4" s="1"/>
  <c r="AG291" i="4"/>
  <c r="AE291" i="4"/>
  <c r="AF291" i="4" s="1"/>
  <c r="F107" i="15"/>
  <c r="G107" i="15" s="1"/>
  <c r="H107" i="15" s="1"/>
  <c r="AE277" i="4"/>
  <c r="AF277" i="4" s="1"/>
  <c r="AE64" i="4"/>
  <c r="AF64" i="4" s="1"/>
  <c r="AD18" i="4"/>
  <c r="AG18" i="4" s="1"/>
  <c r="AE19" i="4"/>
  <c r="AF19" i="4" s="1"/>
  <c r="AG39" i="4"/>
  <c r="AE39" i="4"/>
  <c r="AF39" i="4" s="1"/>
  <c r="AG109" i="4"/>
  <c r="AE109" i="4"/>
  <c r="AF109" i="4" s="1"/>
  <c r="AE189" i="4"/>
  <c r="AF189" i="4" s="1"/>
  <c r="AG48" i="4"/>
  <c r="AE48" i="4"/>
  <c r="AF48" i="4" s="1"/>
  <c r="AG90" i="4"/>
  <c r="AE90" i="4"/>
  <c r="AF90" i="4" s="1"/>
  <c r="AG121" i="4"/>
  <c r="AE121" i="4"/>
  <c r="AF121" i="4" s="1"/>
  <c r="AG171" i="4"/>
  <c r="AE171" i="4"/>
  <c r="AF171" i="4" s="1"/>
  <c r="AG213" i="4"/>
  <c r="AE213" i="4"/>
  <c r="AF213" i="4" s="1"/>
  <c r="AE7" i="4"/>
  <c r="AF7" i="4" s="1"/>
  <c r="AE83" i="4"/>
  <c r="AF83" i="4" s="1"/>
  <c r="AG111" i="4"/>
  <c r="AE111" i="4"/>
  <c r="AF111" i="4" s="1"/>
  <c r="AE190" i="4"/>
  <c r="AF190" i="4" s="1"/>
  <c r="AE225" i="4"/>
  <c r="AF225" i="4" s="1"/>
  <c r="AE36" i="4"/>
  <c r="AF36" i="4" s="1"/>
  <c r="AG51" i="4"/>
  <c r="AE51" i="4"/>
  <c r="AF51" i="4" s="1"/>
  <c r="AE65" i="4"/>
  <c r="AF65" i="4" s="1"/>
  <c r="AG97" i="4"/>
  <c r="AE97" i="4"/>
  <c r="AF97" i="4" s="1"/>
  <c r="AG193" i="4"/>
  <c r="AE193" i="4"/>
  <c r="AF193" i="4" s="1"/>
  <c r="AG216" i="4"/>
  <c r="AE216" i="4"/>
  <c r="AF216" i="4" s="1"/>
  <c r="AG257" i="4"/>
  <c r="AE257" i="4"/>
  <c r="AF257" i="4" s="1"/>
  <c r="F106" i="15"/>
  <c r="G106" i="15" s="1"/>
  <c r="H106" i="15" s="1"/>
  <c r="AE276" i="4"/>
  <c r="AF276" i="4" s="1"/>
  <c r="F90" i="15"/>
  <c r="G90" i="15" s="1"/>
  <c r="H90" i="15" s="1"/>
  <c r="AE251" i="4"/>
  <c r="AF251" i="4" s="1"/>
  <c r="AG206" i="4"/>
  <c r="AE206" i="4"/>
  <c r="AF206" i="4" s="1"/>
  <c r="F63" i="15"/>
  <c r="G63" i="15" s="1"/>
  <c r="AE153" i="4"/>
  <c r="AF153" i="4" s="1"/>
  <c r="AG27" i="4"/>
  <c r="AE27" i="4"/>
  <c r="AF27" i="4" s="1"/>
  <c r="AG88" i="4"/>
  <c r="AE88" i="4"/>
  <c r="AF88" i="4" s="1"/>
  <c r="AD250" i="4"/>
  <c r="AG146" i="4"/>
  <c r="AE146" i="4"/>
  <c r="AF146" i="4" s="1"/>
  <c r="AG198" i="4"/>
  <c r="AE198" i="4"/>
  <c r="AF198" i="4" s="1"/>
  <c r="AE226" i="4"/>
  <c r="AF226" i="4" s="1"/>
  <c r="AG37" i="4"/>
  <c r="AE37" i="4"/>
  <c r="AF37" i="4" s="1"/>
  <c r="C13" i="11"/>
  <c r="B17" i="12" s="1"/>
  <c r="F17" i="12" s="1"/>
  <c r="AE52" i="4"/>
  <c r="AF52" i="4" s="1"/>
  <c r="AG69" i="4"/>
  <c r="AE69" i="4"/>
  <c r="AF69" i="4" s="1"/>
  <c r="AG98" i="4"/>
  <c r="AE98" i="4"/>
  <c r="AF98" i="4" s="1"/>
  <c r="AG124" i="4"/>
  <c r="AE124" i="4"/>
  <c r="AF124" i="4" s="1"/>
  <c r="AG153" i="4"/>
  <c r="AE176" i="4"/>
  <c r="AF176" i="4" s="1"/>
  <c r="AD194" i="9"/>
  <c r="AE194" i="9" s="1"/>
  <c r="AF194" i="9" s="1"/>
  <c r="F98" i="15"/>
  <c r="G98" i="15" s="1"/>
  <c r="AE263" i="4"/>
  <c r="AF263" i="4" s="1"/>
  <c r="G31" i="21"/>
  <c r="I31" i="21" s="1"/>
  <c r="X150" i="15"/>
  <c r="V153" i="15" s="1"/>
  <c r="C28" i="26"/>
  <c r="C25" i="26"/>
  <c r="C61" i="26" s="1"/>
  <c r="C24" i="26"/>
  <c r="C60" i="26" s="1"/>
  <c r="C56" i="26"/>
  <c r="T150" i="15"/>
  <c r="Z116" i="15"/>
  <c r="N154" i="15"/>
  <c r="P150" i="15"/>
  <c r="P118" i="15" s="1"/>
  <c r="L130" i="15"/>
  <c r="C15" i="26"/>
  <c r="C51" i="26" s="1"/>
  <c r="R150" i="15"/>
  <c r="E5" i="15"/>
  <c r="AD94" i="4"/>
  <c r="AD278" i="4"/>
  <c r="AE278" i="4" s="1"/>
  <c r="AF278" i="4" s="1"/>
  <c r="AD265" i="4"/>
  <c r="AG265" i="4" s="1"/>
  <c r="AD110" i="4"/>
  <c r="AE110" i="4" s="1"/>
  <c r="AF110" i="4" s="1"/>
  <c r="AD89" i="4"/>
  <c r="AD261" i="4"/>
  <c r="AG261" i="4" s="1"/>
  <c r="AD229" i="4"/>
  <c r="AE229" i="4" s="1"/>
  <c r="AF229" i="4" s="1"/>
  <c r="AD108" i="4"/>
  <c r="AD87" i="4"/>
  <c r="AE87" i="4" s="1"/>
  <c r="AF87" i="4" s="1"/>
  <c r="AD75" i="4"/>
  <c r="F30" i="15" s="1"/>
  <c r="G30" i="15" s="1"/>
  <c r="H30" i="15" s="1"/>
  <c r="AD38" i="4"/>
  <c r="F17" i="15" s="1"/>
  <c r="G17" i="15" s="1"/>
  <c r="AD118" i="4"/>
  <c r="AD116" i="4"/>
  <c r="AE116" i="4" s="1"/>
  <c r="AF116" i="4" s="1"/>
  <c r="AD106" i="4"/>
  <c r="AE106" i="4" s="1"/>
  <c r="AF106" i="4" s="1"/>
  <c r="I8" i="21"/>
  <c r="J8" i="22" s="1"/>
  <c r="H24" i="21"/>
  <c r="I24" i="21" s="1"/>
  <c r="AD272" i="4"/>
  <c r="AE272" i="4" s="1"/>
  <c r="AF272" i="4" s="1"/>
  <c r="AD104" i="4"/>
  <c r="AE104" i="4" s="1"/>
  <c r="AF104" i="4" s="1"/>
  <c r="AD61" i="4"/>
  <c r="AD157" i="4"/>
  <c r="AE157" i="4" s="1"/>
  <c r="AF157" i="4" s="1"/>
  <c r="AD270" i="4"/>
  <c r="AE270" i="4" s="1"/>
  <c r="AF270" i="4" s="1"/>
  <c r="AD244" i="4"/>
  <c r="AE244" i="4" s="1"/>
  <c r="AF244" i="4" s="1"/>
  <c r="AD114" i="4"/>
  <c r="AG114" i="4" s="1"/>
  <c r="AD102" i="4"/>
  <c r="AG102" i="4" s="1"/>
  <c r="H5" i="4"/>
  <c r="AB267" i="4"/>
  <c r="AC267" i="4"/>
  <c r="AG276" i="4"/>
  <c r="C48" i="11"/>
  <c r="G48" i="11" s="1"/>
  <c r="AD268" i="4"/>
  <c r="F102" i="15" s="1"/>
  <c r="G102" i="15" s="1"/>
  <c r="H102" i="15" s="1"/>
  <c r="AD112" i="4"/>
  <c r="AG112" i="4" s="1"/>
  <c r="AD66" i="4"/>
  <c r="F25" i="15" s="1"/>
  <c r="G25" i="15" s="1"/>
  <c r="H25" i="15" s="1"/>
  <c r="AG65" i="4"/>
  <c r="AD281" i="4"/>
  <c r="AD162" i="9"/>
  <c r="AE162" i="9" s="1"/>
  <c r="AF162" i="9" s="1"/>
  <c r="AD171" i="9"/>
  <c r="AE171" i="9" s="1"/>
  <c r="AF171" i="9" s="1"/>
  <c r="AG83" i="4"/>
  <c r="AD174" i="4"/>
  <c r="AD151" i="9"/>
  <c r="AE151" i="9" s="1"/>
  <c r="AF151" i="9" s="1"/>
  <c r="AA228" i="9"/>
  <c r="AD228" i="9" s="1"/>
  <c r="C122" i="15" s="1"/>
  <c r="AD130" i="9"/>
  <c r="AE130" i="9" s="1"/>
  <c r="AF130" i="9" s="1"/>
  <c r="AG292" i="4"/>
  <c r="AA72" i="4"/>
  <c r="AD72" i="4" s="1"/>
  <c r="AE72" i="4" s="1"/>
  <c r="AF72" i="4" s="1"/>
  <c r="AC191" i="9"/>
  <c r="AD191" i="9" s="1"/>
  <c r="AE191" i="9" s="1"/>
  <c r="AF191" i="9" s="1"/>
  <c r="AD148" i="9"/>
  <c r="AE148" i="9" s="1"/>
  <c r="AF148" i="9" s="1"/>
  <c r="AC147" i="9"/>
  <c r="AG283" i="4"/>
  <c r="H115" i="24"/>
  <c r="H100" i="24"/>
  <c r="H119" i="24"/>
  <c r="H107" i="24"/>
  <c r="H106" i="24"/>
  <c r="H121" i="24"/>
  <c r="H111" i="24"/>
  <c r="H117" i="24"/>
  <c r="D9" i="27"/>
  <c r="D17" i="27"/>
  <c r="D25" i="27"/>
  <c r="D33" i="27"/>
  <c r="D41" i="27"/>
  <c r="D20" i="27"/>
  <c r="D44" i="27"/>
  <c r="D13" i="27"/>
  <c r="D37" i="27"/>
  <c r="D6" i="27"/>
  <c r="D30" i="27"/>
  <c r="D7" i="27"/>
  <c r="D23" i="27"/>
  <c r="D39" i="27"/>
  <c r="D10" i="27"/>
  <c r="D18" i="27"/>
  <c r="D26" i="27"/>
  <c r="D34" i="27"/>
  <c r="D42" i="27"/>
  <c r="D3" i="27"/>
  <c r="D11" i="27"/>
  <c r="D19" i="27"/>
  <c r="D27" i="27"/>
  <c r="D35" i="27"/>
  <c r="D43" i="27"/>
  <c r="D4" i="27"/>
  <c r="D28" i="27"/>
  <c r="D36" i="27"/>
  <c r="D5" i="27"/>
  <c r="D29" i="27"/>
  <c r="D2" i="27"/>
  <c r="D22" i="27"/>
  <c r="D38" i="27"/>
  <c r="D15" i="27"/>
  <c r="D31" i="27"/>
  <c r="D8" i="27"/>
  <c r="D16" i="27"/>
  <c r="D24" i="27"/>
  <c r="D32" i="27"/>
  <c r="D40" i="27"/>
  <c r="D12" i="27"/>
  <c r="D21" i="27"/>
  <c r="D14" i="27"/>
  <c r="H113" i="24"/>
  <c r="H103" i="24"/>
  <c r="H109" i="24"/>
  <c r="H105" i="24"/>
  <c r="H118" i="24"/>
  <c r="H116" i="24"/>
  <c r="H99" i="24"/>
  <c r="H120" i="24"/>
  <c r="H110" i="24"/>
  <c r="H108" i="24"/>
  <c r="H112" i="24"/>
  <c r="H101" i="24"/>
  <c r="H114" i="24"/>
  <c r="H98" i="24"/>
  <c r="H122" i="24"/>
  <c r="AC52" i="9"/>
  <c r="AD127" i="9"/>
  <c r="AE127" i="9" s="1"/>
  <c r="AF127" i="9" s="1"/>
  <c r="AC152" i="9"/>
  <c r="AC129" i="9"/>
  <c r="AC156" i="9"/>
  <c r="AD160" i="9"/>
  <c r="AE160" i="9" s="1"/>
  <c r="AF160" i="9" s="1"/>
  <c r="AD149" i="9"/>
  <c r="AE149" i="9" s="1"/>
  <c r="AF149" i="9" s="1"/>
  <c r="AD128" i="9"/>
  <c r="AE128" i="9" s="1"/>
  <c r="AF128" i="9" s="1"/>
  <c r="AD110" i="9"/>
  <c r="AE110" i="9" s="1"/>
  <c r="AF110" i="9" s="1"/>
  <c r="AD100" i="9"/>
  <c r="AE100" i="9" s="1"/>
  <c r="AF100" i="9" s="1"/>
  <c r="AD79" i="9"/>
  <c r="AE79" i="9" s="1"/>
  <c r="AF79" i="9" s="1"/>
  <c r="AD53" i="9"/>
  <c r="AE53" i="9" s="1"/>
  <c r="AF53" i="9" s="1"/>
  <c r="AD40" i="9"/>
  <c r="AE40" i="9" s="1"/>
  <c r="AF40" i="9" s="1"/>
  <c r="AD31" i="9"/>
  <c r="AE31" i="9" s="1"/>
  <c r="AF31" i="9" s="1"/>
  <c r="AD57" i="9"/>
  <c r="AE57" i="9" s="1"/>
  <c r="AF57" i="9" s="1"/>
  <c r="AC183" i="9"/>
  <c r="G4" i="9"/>
  <c r="H4" i="9" s="1"/>
  <c r="AC89" i="9"/>
  <c r="AC108" i="9"/>
  <c r="G26" i="9"/>
  <c r="H26" i="9" s="1"/>
  <c r="G208" i="9"/>
  <c r="H208" i="9" s="1"/>
  <c r="AC82" i="9"/>
  <c r="AC70" i="9"/>
  <c r="AC98" i="9"/>
  <c r="AC117" i="9"/>
  <c r="AC142" i="9"/>
  <c r="AC165" i="9"/>
  <c r="AC132" i="9"/>
  <c r="AC95" i="9"/>
  <c r="AC188" i="9"/>
  <c r="AC161" i="9"/>
  <c r="G247" i="9"/>
  <c r="H247" i="9" s="1"/>
  <c r="AD146" i="9"/>
  <c r="AE146" i="9" s="1"/>
  <c r="AF146" i="9" s="1"/>
  <c r="AC27" i="9"/>
  <c r="AC45" i="9"/>
  <c r="G227" i="9"/>
  <c r="H233" i="9"/>
  <c r="AD143" i="9"/>
  <c r="AE143" i="9" s="1"/>
  <c r="AF143" i="9" s="1"/>
  <c r="AC122" i="9"/>
  <c r="AG26" i="4"/>
  <c r="AG208" i="4"/>
  <c r="F67" i="15"/>
  <c r="G67" i="15" s="1"/>
  <c r="H67" i="15" s="1"/>
  <c r="AD155" i="4"/>
  <c r="AG156" i="4"/>
  <c r="C31" i="11"/>
  <c r="G31" i="11" s="1"/>
  <c r="AG101" i="4"/>
  <c r="AG81" i="4"/>
  <c r="AG24" i="4"/>
  <c r="H13" i="21"/>
  <c r="I13" i="21" s="1"/>
  <c r="AA252" i="9"/>
  <c r="AD252" i="9" s="1"/>
  <c r="AE252" i="9" s="1"/>
  <c r="AF252" i="9" s="1"/>
  <c r="AA128" i="4"/>
  <c r="AD128" i="4" s="1"/>
  <c r="AE128" i="4" s="1"/>
  <c r="AF128" i="4" s="1"/>
  <c r="AA96" i="4"/>
  <c r="AD96" i="4" s="1"/>
  <c r="AE96" i="4" s="1"/>
  <c r="AF96" i="4" s="1"/>
  <c r="AD240" i="4"/>
  <c r="C54" i="11"/>
  <c r="B58" i="12" s="1"/>
  <c r="F58" i="12" s="1"/>
  <c r="AA151" i="4"/>
  <c r="AA59" i="4"/>
  <c r="AG59" i="4" s="1"/>
  <c r="AG60" i="4"/>
  <c r="B26" i="12"/>
  <c r="F26" i="12" s="1"/>
  <c r="AA252" i="4"/>
  <c r="AD279" i="4"/>
  <c r="AG254" i="4"/>
  <c r="F131" i="15"/>
  <c r="AD266" i="4"/>
  <c r="AE266" i="4" s="1"/>
  <c r="AF266" i="4" s="1"/>
  <c r="AA282" i="4"/>
  <c r="AG284" i="4"/>
  <c r="AG133" i="4"/>
  <c r="AD179" i="9"/>
  <c r="AE179" i="9" s="1"/>
  <c r="AF179" i="9" s="1"/>
  <c r="AD180" i="9"/>
  <c r="AE180" i="9" s="1"/>
  <c r="AF180" i="9" s="1"/>
  <c r="AD113" i="4"/>
  <c r="C94" i="11"/>
  <c r="AD67" i="4"/>
  <c r="AE67" i="4" s="1"/>
  <c r="AF67" i="4" s="1"/>
  <c r="C40" i="11"/>
  <c r="G40" i="11" s="1"/>
  <c r="AG194" i="4"/>
  <c r="AG241" i="4"/>
  <c r="AD61" i="9"/>
  <c r="AE61" i="9" s="1"/>
  <c r="AF61" i="9" s="1"/>
  <c r="AD69" i="9"/>
  <c r="AE69" i="9" s="1"/>
  <c r="AF69" i="9" s="1"/>
  <c r="AA12" i="9"/>
  <c r="AD12" i="9" s="1"/>
  <c r="AE12" i="9" s="1"/>
  <c r="AF12" i="9" s="1"/>
  <c r="AA6" i="4"/>
  <c r="AD6" i="4" s="1"/>
  <c r="J84" i="15"/>
  <c r="AE251" i="9"/>
  <c r="AF251" i="9" s="1"/>
  <c r="G195" i="9"/>
  <c r="H195" i="9" s="1"/>
  <c r="H221" i="9"/>
  <c r="H228" i="9"/>
  <c r="I227" i="9"/>
  <c r="H227" i="9" s="1"/>
  <c r="AD46" i="9"/>
  <c r="AE46" i="9" s="1"/>
  <c r="AF46" i="9" s="1"/>
  <c r="AD71" i="9"/>
  <c r="AE71" i="9" s="1"/>
  <c r="AF71" i="9" s="1"/>
  <c r="AC104" i="9"/>
  <c r="AC41" i="9"/>
  <c r="AD41" i="9" s="1"/>
  <c r="AE41" i="9" s="1"/>
  <c r="AF41" i="9" s="1"/>
  <c r="AC150" i="9"/>
  <c r="AD150" i="9" s="1"/>
  <c r="AE150" i="9" s="1"/>
  <c r="AF150" i="9" s="1"/>
  <c r="AD138" i="9"/>
  <c r="AD137" i="9"/>
  <c r="AD184" i="9"/>
  <c r="C85" i="11" s="1"/>
  <c r="AD190" i="9"/>
  <c r="AE190" i="9" s="1"/>
  <c r="AF190" i="9" s="1"/>
  <c r="F143" i="15"/>
  <c r="H27" i="9"/>
  <c r="AD33" i="9"/>
  <c r="AE33" i="9" s="1"/>
  <c r="AF33" i="9" s="1"/>
  <c r="AC74" i="9"/>
  <c r="AD139" i="9"/>
  <c r="AD178" i="9"/>
  <c r="AD101" i="9"/>
  <c r="AE101" i="9" s="1"/>
  <c r="AF101" i="9" s="1"/>
  <c r="AD163" i="9"/>
  <c r="AE163" i="9" s="1"/>
  <c r="AF163" i="9" s="1"/>
  <c r="AD90" i="9"/>
  <c r="AE90" i="9" s="1"/>
  <c r="AF90" i="9" s="1"/>
  <c r="AD133" i="9"/>
  <c r="AD43" i="9"/>
  <c r="AE43" i="9" s="1"/>
  <c r="AF43" i="9" s="1"/>
  <c r="AA216" i="9"/>
  <c r="AD216" i="9" s="1"/>
  <c r="AE216" i="9" s="1"/>
  <c r="AF216" i="9" s="1"/>
  <c r="R26" i="25"/>
  <c r="R43" i="25"/>
  <c r="R80" i="25"/>
  <c r="C81" i="25" s="1"/>
  <c r="R44" i="25"/>
  <c r="R86" i="25"/>
  <c r="R28" i="25"/>
  <c r="R88" i="25"/>
  <c r="R19" i="25"/>
  <c r="R16" i="25"/>
  <c r="Q12" i="25"/>
  <c r="R27" i="25"/>
  <c r="R35" i="25"/>
  <c r="AD91" i="4"/>
  <c r="AA68" i="4"/>
  <c r="AD68" i="4" s="1"/>
  <c r="C92" i="11"/>
  <c r="AE231" i="9"/>
  <c r="AF231" i="9" s="1"/>
  <c r="C14" i="11"/>
  <c r="U14" i="25" s="1"/>
  <c r="R8" i="25" s="1"/>
  <c r="C11" i="25" s="1"/>
  <c r="H11" i="25" s="1"/>
  <c r="AG180" i="4"/>
  <c r="AG219" i="4"/>
  <c r="AA95" i="9"/>
  <c r="AD95" i="9" s="1"/>
  <c r="AE95" i="9" s="1"/>
  <c r="AF95" i="9" s="1"/>
  <c r="AE275" i="9"/>
  <c r="AF275" i="9" s="1"/>
  <c r="C18" i="11"/>
  <c r="B15" i="12" s="1"/>
  <c r="F15" i="12" s="1"/>
  <c r="AG184" i="4"/>
  <c r="AA223" i="9"/>
  <c r="AD223" i="9" s="1"/>
  <c r="AE223" i="9" s="1"/>
  <c r="AF223" i="9" s="1"/>
  <c r="AA63" i="4"/>
  <c r="AD63" i="4" s="1"/>
  <c r="AE63" i="4" s="1"/>
  <c r="AF63" i="4" s="1"/>
  <c r="AA20" i="4"/>
  <c r="AD20" i="4" s="1"/>
  <c r="C87" i="20"/>
  <c r="H83" i="11"/>
  <c r="V88" i="25" s="1"/>
  <c r="R87" i="25" s="1"/>
  <c r="C88" i="25" s="1"/>
  <c r="E88" i="25" s="1"/>
  <c r="C91" i="12"/>
  <c r="D91" i="12" s="1"/>
  <c r="C44" i="11"/>
  <c r="B47" i="12" s="1"/>
  <c r="F47" i="12" s="1"/>
  <c r="AG253" i="4"/>
  <c r="L21" i="15"/>
  <c r="D122" i="15" s="1"/>
  <c r="AE232" i="9"/>
  <c r="AF232" i="9" s="1"/>
  <c r="AE217" i="9"/>
  <c r="AF217" i="9" s="1"/>
  <c r="AG145" i="4"/>
  <c r="AA142" i="9"/>
  <c r="AA104" i="9"/>
  <c r="AA125" i="4"/>
  <c r="AD125" i="4" s="1"/>
  <c r="AE125" i="4" s="1"/>
  <c r="AF125" i="4" s="1"/>
  <c r="C17" i="11"/>
  <c r="G17" i="11" s="1"/>
  <c r="C8" i="11"/>
  <c r="B11" i="12" s="1"/>
  <c r="F11" i="12" s="1"/>
  <c r="AA188" i="9"/>
  <c r="AA217" i="4"/>
  <c r="AD217" i="4" s="1"/>
  <c r="AE217" i="4" s="1"/>
  <c r="AF217" i="4" s="1"/>
  <c r="AA243" i="9"/>
  <c r="AD243" i="9" s="1"/>
  <c r="AE243" i="9" s="1"/>
  <c r="AF243" i="9" s="1"/>
  <c r="C32" i="11"/>
  <c r="B34" i="20" s="1"/>
  <c r="F34" i="20" s="1"/>
  <c r="E129" i="15"/>
  <c r="F123" i="15"/>
  <c r="C21" i="11"/>
  <c r="B25" i="20" s="1"/>
  <c r="F25" i="20" s="1"/>
  <c r="AG190" i="4"/>
  <c r="AG226" i="4"/>
  <c r="AG232" i="4"/>
  <c r="AA290" i="4"/>
  <c r="AD290" i="4" s="1"/>
  <c r="AE290" i="4" s="1"/>
  <c r="AF290" i="4" s="1"/>
  <c r="AA129" i="9"/>
  <c r="F144" i="15"/>
  <c r="C124" i="15"/>
  <c r="F124" i="15" s="1"/>
  <c r="AG218" i="4"/>
  <c r="C15" i="11"/>
  <c r="B19" i="12" s="1"/>
  <c r="F19" i="12" s="1"/>
  <c r="AG143" i="4"/>
  <c r="C103" i="11"/>
  <c r="G23" i="11"/>
  <c r="C11" i="11"/>
  <c r="U11" i="25" s="1"/>
  <c r="R6" i="25" s="1"/>
  <c r="C8" i="25" s="1"/>
  <c r="H8" i="25" s="1"/>
  <c r="AG10" i="4"/>
  <c r="AG50" i="4"/>
  <c r="AG62" i="4"/>
  <c r="AG80" i="4"/>
  <c r="AG139" i="4"/>
  <c r="AG223" i="4"/>
  <c r="AG289" i="4"/>
  <c r="AG43" i="4"/>
  <c r="AG140" i="4"/>
  <c r="AG236" i="4"/>
  <c r="J7" i="15"/>
  <c r="D125" i="15" s="1"/>
  <c r="AE262" i="9"/>
  <c r="AF262" i="9" s="1"/>
  <c r="C108" i="11"/>
  <c r="C96" i="11"/>
  <c r="AG7" i="4"/>
  <c r="C7" i="11"/>
  <c r="AG34" i="4"/>
  <c r="AG103" i="4"/>
  <c r="AG260" i="4"/>
  <c r="F105" i="15"/>
  <c r="G105" i="15" s="1"/>
  <c r="H105" i="15" s="1"/>
  <c r="F62" i="15"/>
  <c r="G62" i="15" s="1"/>
  <c r="AD147" i="4"/>
  <c r="AE201" i="9"/>
  <c r="AF201" i="9" s="1"/>
  <c r="C90" i="11"/>
  <c r="AG205" i="4"/>
  <c r="G30" i="11"/>
  <c r="B33" i="20"/>
  <c r="F33" i="20" s="1"/>
  <c r="AG76" i="4"/>
  <c r="AG273" i="4"/>
  <c r="AG36" i="4"/>
  <c r="F65" i="15"/>
  <c r="G65" i="15" s="1"/>
  <c r="AG154" i="4"/>
  <c r="AE202" i="9"/>
  <c r="AF202" i="9" s="1"/>
  <c r="C138" i="15"/>
  <c r="E138" i="15" s="1"/>
  <c r="AG136" i="4"/>
  <c r="B27" i="20"/>
  <c r="F27" i="20" s="1"/>
  <c r="AG21" i="4"/>
  <c r="AG137" i="4"/>
  <c r="C39" i="11"/>
  <c r="U42" i="25" s="1"/>
  <c r="R32" i="25" s="1"/>
  <c r="C32" i="25" s="1"/>
  <c r="H32" i="25" s="1"/>
  <c r="AG191" i="4"/>
  <c r="AG221" i="4"/>
  <c r="AA70" i="9"/>
  <c r="AA138" i="4"/>
  <c r="AD138" i="4" s="1"/>
  <c r="AE138" i="4" s="1"/>
  <c r="AF138" i="4" s="1"/>
  <c r="AA117" i="9"/>
  <c r="AA131" i="4"/>
  <c r="AD131" i="4" s="1"/>
  <c r="AE131" i="4" s="1"/>
  <c r="AF131" i="4" s="1"/>
  <c r="AA11" i="4"/>
  <c r="AD11" i="4" s="1"/>
  <c r="AE11" i="4" s="1"/>
  <c r="AF11" i="4" s="1"/>
  <c r="C45" i="11"/>
  <c r="B48" i="12" s="1"/>
  <c r="F48" i="12" s="1"/>
  <c r="AG42" i="4"/>
  <c r="AA205" i="9"/>
  <c r="AD205" i="9" s="1"/>
  <c r="AE205" i="9" s="1"/>
  <c r="AF205" i="9" s="1"/>
  <c r="C37" i="11"/>
  <c r="C22" i="11"/>
  <c r="U24" i="25" s="1"/>
  <c r="R18" i="25" s="1"/>
  <c r="C19" i="25" s="1"/>
  <c r="H19" i="25" s="1"/>
  <c r="C16" i="11"/>
  <c r="B22" i="20" s="1"/>
  <c r="F22" i="20" s="1"/>
  <c r="AA239" i="9"/>
  <c r="AD239" i="9" s="1"/>
  <c r="AE239" i="9" s="1"/>
  <c r="AF239" i="9" s="1"/>
  <c r="AA200" i="9"/>
  <c r="AD200" i="9" s="1"/>
  <c r="AE200" i="9" s="1"/>
  <c r="AF200" i="9" s="1"/>
  <c r="AA27" i="9"/>
  <c r="AA7" i="9"/>
  <c r="AD7" i="9" s="1"/>
  <c r="AE7" i="9" s="1"/>
  <c r="AF7" i="9" s="1"/>
  <c r="AA258" i="4"/>
  <c r="AD258" i="4" s="1"/>
  <c r="AE258" i="4" s="1"/>
  <c r="AF258" i="4" s="1"/>
  <c r="AA45" i="9"/>
  <c r="AA248" i="9"/>
  <c r="AD248" i="9" s="1"/>
  <c r="C137" i="15" s="1"/>
  <c r="E143" i="15"/>
  <c r="E123" i="15"/>
  <c r="C107" i="11"/>
  <c r="C101" i="11"/>
  <c r="AE236" i="9"/>
  <c r="AF236" i="9" s="1"/>
  <c r="C38" i="11"/>
  <c r="AG13" i="4"/>
  <c r="AG269" i="4"/>
  <c r="AG12" i="4"/>
  <c r="AG178" i="4"/>
  <c r="AG32" i="4"/>
  <c r="AG47" i="4"/>
  <c r="AG52" i="4"/>
  <c r="AG177" i="4"/>
  <c r="AG199" i="4"/>
  <c r="C10" i="11"/>
  <c r="C19" i="11"/>
  <c r="U20" i="25" s="1"/>
  <c r="R15" i="25" s="1"/>
  <c r="AG73" i="4"/>
  <c r="C36" i="11"/>
  <c r="AG54" i="4"/>
  <c r="AG126" i="4"/>
  <c r="AD16" i="4"/>
  <c r="AE16" i="4" s="1"/>
  <c r="AF16" i="4" s="1"/>
  <c r="AG17" i="4"/>
  <c r="C28" i="11"/>
  <c r="AG35" i="4"/>
  <c r="AE246" i="9"/>
  <c r="AF246" i="9" s="1"/>
  <c r="F35" i="15"/>
  <c r="G35" i="15" s="1"/>
  <c r="H35" i="15" s="1"/>
  <c r="AG89" i="4"/>
  <c r="E136" i="15"/>
  <c r="AD151" i="4"/>
  <c r="AE151" i="4" s="1"/>
  <c r="AF151" i="4" s="1"/>
  <c r="AG19" i="4"/>
  <c r="AG85" i="4"/>
  <c r="AG163" i="4"/>
  <c r="E134" i="15"/>
  <c r="C95" i="11"/>
  <c r="AG207" i="4"/>
  <c r="AG74" i="4"/>
  <c r="AG132" i="4"/>
  <c r="AG212" i="4"/>
  <c r="F64" i="15"/>
  <c r="G64" i="15" s="1"/>
  <c r="H64" i="15" s="1"/>
  <c r="AG150" i="4"/>
  <c r="AA233" i="9"/>
  <c r="AD233" i="9" s="1"/>
  <c r="AE233" i="9" s="1"/>
  <c r="AF233" i="9" s="1"/>
  <c r="AA165" i="9"/>
  <c r="AA108" i="9"/>
  <c r="AD249" i="9"/>
  <c r="AD244" i="9"/>
  <c r="AA273" i="9"/>
  <c r="AD273" i="9" s="1"/>
  <c r="AA161" i="9"/>
  <c r="AA220" i="4"/>
  <c r="AD220" i="4" s="1"/>
  <c r="AE220" i="4" s="1"/>
  <c r="AF220" i="4" s="1"/>
  <c r="AA256" i="9"/>
  <c r="AD256" i="9" s="1"/>
  <c r="AE256" i="9" s="1"/>
  <c r="AF256" i="9" s="1"/>
  <c r="AA209" i="9"/>
  <c r="AD209" i="9" s="1"/>
  <c r="AE209" i="9" s="1"/>
  <c r="AF209" i="9" s="1"/>
  <c r="AA247" i="4"/>
  <c r="AD247" i="4" s="1"/>
  <c r="AE247" i="4" s="1"/>
  <c r="AF247" i="4" s="1"/>
  <c r="AA231" i="4"/>
  <c r="AD231" i="4" s="1"/>
  <c r="AE231" i="4" s="1"/>
  <c r="AF231" i="4" s="1"/>
  <c r="AA25" i="4"/>
  <c r="AD25" i="4" s="1"/>
  <c r="AE25" i="4" s="1"/>
  <c r="AF25" i="4" s="1"/>
  <c r="AA57" i="4"/>
  <c r="AA175" i="4"/>
  <c r="AD175" i="4" s="1"/>
  <c r="AE175" i="4" s="1"/>
  <c r="AF175" i="4" s="1"/>
  <c r="AA147" i="9"/>
  <c r="AD44" i="9"/>
  <c r="AA161" i="4"/>
  <c r="AD161" i="4" s="1"/>
  <c r="AE161" i="4" s="1"/>
  <c r="AF161" i="4" s="1"/>
  <c r="AD204" i="9"/>
  <c r="AA74" i="9"/>
  <c r="AD252" i="4"/>
  <c r="AE252" i="4" s="1"/>
  <c r="AF252" i="4" s="1"/>
  <c r="AA99" i="4"/>
  <c r="AD99" i="4" s="1"/>
  <c r="AE99" i="4" s="1"/>
  <c r="AF99" i="4" s="1"/>
  <c r="AD282" i="4"/>
  <c r="AE282" i="4" s="1"/>
  <c r="AF282" i="4" s="1"/>
  <c r="AA264" i="9"/>
  <c r="AD264" i="9" s="1"/>
  <c r="AE264" i="9" s="1"/>
  <c r="AF264" i="9" s="1"/>
  <c r="AA156" i="9"/>
  <c r="AD156" i="9" s="1"/>
  <c r="AE156" i="9" s="1"/>
  <c r="AF156" i="9" s="1"/>
  <c r="AA82" i="9"/>
  <c r="AA235" i="4"/>
  <c r="AD235" i="4" s="1"/>
  <c r="AA134" i="4"/>
  <c r="AD134" i="4" s="1"/>
  <c r="AE134" i="4" s="1"/>
  <c r="AF134" i="4" s="1"/>
  <c r="E144" i="15"/>
  <c r="E131" i="15"/>
  <c r="F129" i="15"/>
  <c r="F134" i="15"/>
  <c r="F136" i="15"/>
  <c r="AG46" i="4"/>
  <c r="AG71" i="4"/>
  <c r="AG142" i="4"/>
  <c r="AG183" i="4"/>
  <c r="AG127" i="4"/>
  <c r="AG172" i="4"/>
  <c r="AG202" i="4"/>
  <c r="AG15" i="4"/>
  <c r="AG209" i="4"/>
  <c r="AG225" i="4"/>
  <c r="AG22" i="4"/>
  <c r="AG176" i="4"/>
  <c r="C29" i="11"/>
  <c r="AG122" i="4"/>
  <c r="C27" i="11"/>
  <c r="AG195" i="4"/>
  <c r="AG189" i="4"/>
  <c r="AG167" i="4"/>
  <c r="AG196" i="4"/>
  <c r="AA77" i="4"/>
  <c r="AD77" i="4" s="1"/>
  <c r="AE77" i="4" s="1"/>
  <c r="AF77" i="4" s="1"/>
  <c r="AD78" i="4"/>
  <c r="AG135" i="4"/>
  <c r="AG188" i="4"/>
  <c r="AG197" i="4"/>
  <c r="AG45" i="4"/>
  <c r="AG249" i="4"/>
  <c r="C46" i="11"/>
  <c r="AE235" i="9"/>
  <c r="AF235" i="9" s="1"/>
  <c r="C133" i="15"/>
  <c r="F85" i="15"/>
  <c r="G85" i="15" s="1"/>
  <c r="H85" i="15" s="1"/>
  <c r="C41" i="11"/>
  <c r="AG243" i="4"/>
  <c r="AD242" i="4"/>
  <c r="AE242" i="4" s="1"/>
  <c r="AF242" i="4" s="1"/>
  <c r="J47" i="15"/>
  <c r="AA132" i="9"/>
  <c r="F38" i="15"/>
  <c r="AA79" i="4"/>
  <c r="AD79" i="4" s="1"/>
  <c r="AE79" i="4" s="1"/>
  <c r="AF79" i="4" s="1"/>
  <c r="I151" i="15"/>
  <c r="AA152" i="9"/>
  <c r="AA89" i="9"/>
  <c r="AG214" i="4"/>
  <c r="AA181" i="4"/>
  <c r="AA120" i="4"/>
  <c r="C109" i="11"/>
  <c r="C132" i="15"/>
  <c r="J8" i="15"/>
  <c r="D132" i="15" s="1"/>
  <c r="AE253" i="9"/>
  <c r="AF253" i="9" s="1"/>
  <c r="U32" i="25"/>
  <c r="AG211" i="4"/>
  <c r="AA98" i="9"/>
  <c r="AD98" i="9" s="1"/>
  <c r="AE98" i="9" s="1"/>
  <c r="AF98" i="9" s="1"/>
  <c r="AA15" i="9"/>
  <c r="AD15" i="9" s="1"/>
  <c r="AE15" i="9" s="1"/>
  <c r="AF15" i="9" s="1"/>
  <c r="J98" i="15"/>
  <c r="D135" i="15" s="1"/>
  <c r="E135" i="15" s="1"/>
  <c r="AE265" i="9"/>
  <c r="AF265" i="9" s="1"/>
  <c r="AA52" i="9"/>
  <c r="AA255" i="4"/>
  <c r="AA33" i="4"/>
  <c r="AD269" i="9"/>
  <c r="U27" i="25"/>
  <c r="G25" i="11"/>
  <c r="B28" i="12"/>
  <c r="AA122" i="9"/>
  <c r="AA141" i="4"/>
  <c r="AD141" i="4" s="1"/>
  <c r="AE141" i="4" s="1"/>
  <c r="AF141" i="4" s="1"/>
  <c r="AA213" i="9"/>
  <c r="AD57" i="4"/>
  <c r="AE57" i="4" s="1"/>
  <c r="AF57" i="4" s="1"/>
  <c r="AG58" i="4"/>
  <c r="AA40" i="4"/>
  <c r="AD40" i="4" s="1"/>
  <c r="AA260" i="9"/>
  <c r="AD260" i="9" s="1"/>
  <c r="AD220" i="9"/>
  <c r="AG119" i="4" l="1"/>
  <c r="AE117" i="4"/>
  <c r="AF117" i="4" s="1"/>
  <c r="B27" i="12"/>
  <c r="F27" i="12" s="1"/>
  <c r="F75" i="15"/>
  <c r="G75" i="15" s="1"/>
  <c r="H75" i="15" s="1"/>
  <c r="G24" i="11"/>
  <c r="C26" i="11"/>
  <c r="B28" i="20" s="1"/>
  <c r="F28" i="20" s="1"/>
  <c r="G9" i="11"/>
  <c r="D18" i="21"/>
  <c r="D19" i="21" s="1"/>
  <c r="AC159" i="4"/>
  <c r="B14" i="20"/>
  <c r="F14" i="20" s="1"/>
  <c r="H4" i="4"/>
  <c r="AB159" i="4"/>
  <c r="AB293" i="4" s="1"/>
  <c r="F109" i="15"/>
  <c r="G109" i="15" s="1"/>
  <c r="AE280" i="4"/>
  <c r="AF280" i="4" s="1"/>
  <c r="AB117" i="15"/>
  <c r="AF118" i="15" s="1"/>
  <c r="AG230" i="4"/>
  <c r="AG173" i="4"/>
  <c r="AC293" i="4"/>
  <c r="G159" i="4"/>
  <c r="G293" i="4" s="1"/>
  <c r="G4" i="4"/>
  <c r="AC4" i="4"/>
  <c r="C35" i="22"/>
  <c r="C36" i="22" s="1"/>
  <c r="C49" i="11"/>
  <c r="B51" i="12" s="1"/>
  <c r="F51" i="12" s="1"/>
  <c r="C52" i="11"/>
  <c r="B55" i="12" s="1"/>
  <c r="F55" i="12" s="1"/>
  <c r="C18" i="21"/>
  <c r="C19" i="21" s="1"/>
  <c r="AG264" i="4"/>
  <c r="AG271" i="4"/>
  <c r="AE40" i="4"/>
  <c r="AF40" i="4" s="1"/>
  <c r="AH40" i="4"/>
  <c r="AH42" i="4" s="1"/>
  <c r="C47" i="11"/>
  <c r="G47" i="11" s="1"/>
  <c r="AG266" i="4"/>
  <c r="AG155" i="4"/>
  <c r="AD183" i="9"/>
  <c r="AE183" i="9" s="1"/>
  <c r="AF183" i="9" s="1"/>
  <c r="C111" i="11"/>
  <c r="F47" i="15"/>
  <c r="G47" i="15" s="1"/>
  <c r="C98" i="11"/>
  <c r="AE262" i="4"/>
  <c r="AF262" i="4" s="1"/>
  <c r="AG274" i="4"/>
  <c r="F35" i="22"/>
  <c r="F36" i="22" s="1"/>
  <c r="C70" i="11"/>
  <c r="U8" i="25"/>
  <c r="R9" i="25" s="1"/>
  <c r="C9" i="25" s="1"/>
  <c r="H9" i="25" s="1"/>
  <c r="C74" i="11"/>
  <c r="AD82" i="9"/>
  <c r="AE82" i="9" s="1"/>
  <c r="AF82" i="9" s="1"/>
  <c r="C127" i="15"/>
  <c r="AD117" i="9"/>
  <c r="AE117" i="9" s="1"/>
  <c r="AF117" i="9" s="1"/>
  <c r="AD52" i="9"/>
  <c r="AE52" i="9" s="1"/>
  <c r="AF52" i="9" s="1"/>
  <c r="C72" i="11"/>
  <c r="AD122" i="9"/>
  <c r="AE122" i="9" s="1"/>
  <c r="AF122" i="9" s="1"/>
  <c r="AD89" i="9"/>
  <c r="AE89" i="9" s="1"/>
  <c r="AF89" i="9" s="1"/>
  <c r="AD142" i="9"/>
  <c r="AE142" i="9" s="1"/>
  <c r="AF142" i="9" s="1"/>
  <c r="AD27" i="9"/>
  <c r="AE27" i="9" s="1"/>
  <c r="AF27" i="9" s="1"/>
  <c r="AD74" i="9"/>
  <c r="AE74" i="9" s="1"/>
  <c r="AF74" i="9" s="1"/>
  <c r="AD108" i="9"/>
  <c r="AE108" i="9" s="1"/>
  <c r="AF108" i="9" s="1"/>
  <c r="AD129" i="9"/>
  <c r="AE129" i="9" s="1"/>
  <c r="AF129" i="9" s="1"/>
  <c r="AD104" i="9"/>
  <c r="AE104" i="9" s="1"/>
  <c r="AF104" i="9" s="1"/>
  <c r="AD165" i="9"/>
  <c r="AE165" i="9" s="1"/>
  <c r="AF165" i="9" s="1"/>
  <c r="AD147" i="9"/>
  <c r="AE147" i="9" s="1"/>
  <c r="AF147" i="9" s="1"/>
  <c r="AD45" i="9"/>
  <c r="C87" i="11"/>
  <c r="G73" i="11" s="1"/>
  <c r="AD152" i="9"/>
  <c r="AE152" i="9" s="1"/>
  <c r="AF152" i="9" s="1"/>
  <c r="C69" i="11"/>
  <c r="B74" i="20" s="1"/>
  <c r="F74" i="20" s="1"/>
  <c r="J96" i="24"/>
  <c r="C42" i="11"/>
  <c r="U45" i="25" s="1"/>
  <c r="R34" i="25" s="1"/>
  <c r="C34" i="25" s="1"/>
  <c r="H34" i="25" s="1"/>
  <c r="AG245" i="4"/>
  <c r="B19" i="20"/>
  <c r="F19" i="20" s="1"/>
  <c r="U13" i="25"/>
  <c r="R13" i="25" s="1"/>
  <c r="C15" i="25" s="1"/>
  <c r="H15" i="25" s="1"/>
  <c r="C79" i="11"/>
  <c r="H29" i="21"/>
  <c r="I29" i="21" s="1"/>
  <c r="D118" i="15"/>
  <c r="U52" i="25"/>
  <c r="R41" i="25" s="1"/>
  <c r="C41" i="25" s="1"/>
  <c r="H41" i="25" s="1"/>
  <c r="F86" i="15"/>
  <c r="G86" i="15" s="1"/>
  <c r="H86" i="15" s="1"/>
  <c r="E124" i="15"/>
  <c r="AG268" i="4"/>
  <c r="F18" i="21"/>
  <c r="F19" i="21" s="1"/>
  <c r="E18" i="21"/>
  <c r="E19" i="21" s="1"/>
  <c r="AG250" i="4"/>
  <c r="AG278" i="4"/>
  <c r="E35" i="22"/>
  <c r="E36" i="22" s="1"/>
  <c r="G13" i="11"/>
  <c r="H21" i="15"/>
  <c r="C75" i="11"/>
  <c r="G150" i="15"/>
  <c r="G152" i="15" s="1"/>
  <c r="H84" i="15"/>
  <c r="AE174" i="4"/>
  <c r="AF174" i="4" s="1"/>
  <c r="AE61" i="4"/>
  <c r="AF61" i="4" s="1"/>
  <c r="AE68" i="4"/>
  <c r="AF68" i="4" s="1"/>
  <c r="AG113" i="4"/>
  <c r="AE113" i="4"/>
  <c r="AF113" i="4" s="1"/>
  <c r="F49" i="15"/>
  <c r="G49" i="15" s="1"/>
  <c r="H49" i="15" s="1"/>
  <c r="AE118" i="4"/>
  <c r="AF118" i="4" s="1"/>
  <c r="C80" i="11"/>
  <c r="AG244" i="4"/>
  <c r="F37" i="15"/>
  <c r="G37" i="15" s="1"/>
  <c r="H37" i="15" s="1"/>
  <c r="AE91" i="4"/>
  <c r="AF91" i="4" s="1"/>
  <c r="F99" i="15"/>
  <c r="G99" i="15" s="1"/>
  <c r="H99" i="15" s="1"/>
  <c r="AE261" i="4"/>
  <c r="AF261" i="4" s="1"/>
  <c r="F100" i="15"/>
  <c r="G100" i="15" s="1"/>
  <c r="AE265" i="4"/>
  <c r="AF265" i="4" s="1"/>
  <c r="C53" i="11"/>
  <c r="G53" i="11" s="1"/>
  <c r="AE279" i="4"/>
  <c r="AF279" i="4" s="1"/>
  <c r="AG66" i="4"/>
  <c r="AE66" i="4"/>
  <c r="AF66" i="4" s="1"/>
  <c r="F41" i="15"/>
  <c r="G41" i="15" s="1"/>
  <c r="H41" i="15" s="1"/>
  <c r="AE102" i="4"/>
  <c r="AF102" i="4" s="1"/>
  <c r="AE147" i="4"/>
  <c r="AF147" i="4" s="1"/>
  <c r="AG6" i="4"/>
  <c r="AE6" i="4"/>
  <c r="AF6" i="4" s="1"/>
  <c r="F46" i="15"/>
  <c r="G46" i="15" s="1"/>
  <c r="H46" i="15" s="1"/>
  <c r="AE112" i="4"/>
  <c r="AF112" i="4" s="1"/>
  <c r="AE114" i="4"/>
  <c r="AF114" i="4" s="1"/>
  <c r="AE274" i="4"/>
  <c r="AF274" i="4" s="1"/>
  <c r="F12" i="15"/>
  <c r="G12" i="15" s="1"/>
  <c r="H12" i="15" s="1"/>
  <c r="AE18" i="4"/>
  <c r="AF18" i="4" s="1"/>
  <c r="AE108" i="4"/>
  <c r="AF108" i="4" s="1"/>
  <c r="AE20" i="4"/>
  <c r="AF20" i="4" s="1"/>
  <c r="AE155" i="4"/>
  <c r="AF155" i="4" s="1"/>
  <c r="AE268" i="4"/>
  <c r="AF268" i="4" s="1"/>
  <c r="AG38" i="4"/>
  <c r="AE38" i="4"/>
  <c r="AF38" i="4" s="1"/>
  <c r="AG94" i="4"/>
  <c r="AE94" i="4"/>
  <c r="AF94" i="4" s="1"/>
  <c r="C12" i="11"/>
  <c r="G12" i="11" s="1"/>
  <c r="AE78" i="4"/>
  <c r="AF78" i="4" s="1"/>
  <c r="AE235" i="4"/>
  <c r="AF235" i="4" s="1"/>
  <c r="AE240" i="4"/>
  <c r="AF240" i="4" s="1"/>
  <c r="AG75" i="4"/>
  <c r="AE75" i="4"/>
  <c r="AF75" i="4" s="1"/>
  <c r="AE89" i="4"/>
  <c r="AF89" i="4" s="1"/>
  <c r="AE250" i="4"/>
  <c r="AF250" i="4" s="1"/>
  <c r="AE281" i="4"/>
  <c r="AF281" i="4" s="1"/>
  <c r="X118" i="15"/>
  <c r="X119" i="15"/>
  <c r="C64" i="26"/>
  <c r="D26" i="26"/>
  <c r="D62" i="26" s="1"/>
  <c r="C19" i="26"/>
  <c r="C55" i="26" s="1"/>
  <c r="H47" i="26" s="1"/>
  <c r="R153" i="15"/>
  <c r="T118" i="15"/>
  <c r="T119" i="15"/>
  <c r="C12" i="26"/>
  <c r="P119" i="15"/>
  <c r="R119" i="15"/>
  <c r="R118" i="15"/>
  <c r="E115" i="15"/>
  <c r="B49" i="20"/>
  <c r="J24" i="20" s="1"/>
  <c r="F42" i="15"/>
  <c r="G42" i="15" s="1"/>
  <c r="H42" i="15" s="1"/>
  <c r="AG104" i="4"/>
  <c r="F83" i="15"/>
  <c r="G83" i="15" s="1"/>
  <c r="H83" i="15" s="1"/>
  <c r="AG229" i="4"/>
  <c r="AG174" i="4"/>
  <c r="F104" i="15"/>
  <c r="G104" i="15" s="1"/>
  <c r="H104" i="15" s="1"/>
  <c r="AG272" i="4"/>
  <c r="D35" i="22"/>
  <c r="D36" i="22" s="1"/>
  <c r="F68" i="15"/>
  <c r="G68" i="15" s="1"/>
  <c r="H68" i="15" s="1"/>
  <c r="AG157" i="4"/>
  <c r="F45" i="15"/>
  <c r="G45" i="15" s="1"/>
  <c r="H45" i="15" s="1"/>
  <c r="AG110" i="4"/>
  <c r="C56" i="11"/>
  <c r="U60" i="25" s="1"/>
  <c r="R49" i="25" s="1"/>
  <c r="C49" i="25" s="1"/>
  <c r="AG108" i="4"/>
  <c r="AG61" i="4"/>
  <c r="B52" i="12"/>
  <c r="F52" i="12" s="1"/>
  <c r="F108" i="15"/>
  <c r="G108" i="15" s="1"/>
  <c r="H108" i="15" s="1"/>
  <c r="F44" i="15"/>
  <c r="G44" i="15" s="1"/>
  <c r="H44" i="15" s="1"/>
  <c r="F22" i="15"/>
  <c r="G22" i="15" s="1"/>
  <c r="F14" i="15"/>
  <c r="G14" i="15" s="1"/>
  <c r="H14" i="15" s="1"/>
  <c r="AG118" i="4"/>
  <c r="AG281" i="4"/>
  <c r="F43" i="15"/>
  <c r="G43" i="15" s="1"/>
  <c r="AG106" i="4"/>
  <c r="F34" i="15"/>
  <c r="G34" i="15" s="1"/>
  <c r="H34" i="15" s="1"/>
  <c r="AG87" i="4"/>
  <c r="F103" i="15"/>
  <c r="G103" i="15" s="1"/>
  <c r="H103" i="15" s="1"/>
  <c r="AG270" i="4"/>
  <c r="F48" i="15"/>
  <c r="G48" i="15" s="1"/>
  <c r="H48" i="15" s="1"/>
  <c r="AG116" i="4"/>
  <c r="G294" i="4"/>
  <c r="G295" i="4"/>
  <c r="F27" i="15"/>
  <c r="G27" i="15" s="1"/>
  <c r="H27" i="15" s="1"/>
  <c r="C82" i="11"/>
  <c r="AG240" i="4"/>
  <c r="C68" i="11"/>
  <c r="B71" i="20" s="1"/>
  <c r="F71" i="20" s="1"/>
  <c r="AG68" i="4"/>
  <c r="B56" i="20"/>
  <c r="J33" i="20" s="1"/>
  <c r="G54" i="11"/>
  <c r="C86" i="11"/>
  <c r="B79" i="12" s="1"/>
  <c r="F79" i="12" s="1"/>
  <c r="F7" i="15"/>
  <c r="D150" i="15" s="1"/>
  <c r="AE228" i="9"/>
  <c r="AF228" i="9" s="1"/>
  <c r="AG20" i="4"/>
  <c r="C73" i="11"/>
  <c r="AA195" i="9"/>
  <c r="AD195" i="9" s="1"/>
  <c r="AE195" i="9" s="1"/>
  <c r="AF195" i="9" s="1"/>
  <c r="F29" i="15"/>
  <c r="G29" i="15" s="1"/>
  <c r="H29" i="15" s="1"/>
  <c r="AG72" i="4"/>
  <c r="F138" i="15"/>
  <c r="AD70" i="9"/>
  <c r="AE70" i="9" s="1"/>
  <c r="AF70" i="9" s="1"/>
  <c r="AD161" i="9"/>
  <c r="AE161" i="9" s="1"/>
  <c r="AF161" i="9" s="1"/>
  <c r="C77" i="11"/>
  <c r="C78" i="11"/>
  <c r="AD188" i="9"/>
  <c r="AE188" i="9" s="1"/>
  <c r="AF188" i="9" s="1"/>
  <c r="C81" i="11"/>
  <c r="U58" i="25"/>
  <c r="R48" i="25" s="1"/>
  <c r="C48" i="25" s="1"/>
  <c r="H48" i="25" s="1"/>
  <c r="U34" i="25"/>
  <c r="R25" i="25" s="1"/>
  <c r="C25" i="25" s="1"/>
  <c r="H25" i="25" s="1"/>
  <c r="B35" i="12"/>
  <c r="F35" i="12" s="1"/>
  <c r="U33" i="25"/>
  <c r="R24" i="25" s="1"/>
  <c r="C24" i="25" s="1"/>
  <c r="H24" i="25" s="1"/>
  <c r="H96" i="24"/>
  <c r="U19" i="25"/>
  <c r="R14" i="25" s="1"/>
  <c r="C16" i="25" s="1"/>
  <c r="H16" i="25" s="1"/>
  <c r="B31" i="20"/>
  <c r="F31" i="20" s="1"/>
  <c r="G8" i="11"/>
  <c r="B45" i="20"/>
  <c r="J20" i="20" s="1"/>
  <c r="U47" i="25"/>
  <c r="R36" i="25" s="1"/>
  <c r="C37" i="25" s="1"/>
  <c r="H37" i="25" s="1"/>
  <c r="C71" i="11"/>
  <c r="G71" i="11" s="1"/>
  <c r="U76" i="25" s="1"/>
  <c r="R75" i="25" s="1"/>
  <c r="C76" i="25" s="1"/>
  <c r="U43" i="25"/>
  <c r="R33" i="25" s="1"/>
  <c r="C33" i="25" s="1"/>
  <c r="H33" i="25" s="1"/>
  <c r="B21" i="12"/>
  <c r="F21" i="12" s="1"/>
  <c r="G15" i="11"/>
  <c r="C66" i="11"/>
  <c r="B70" i="20" s="1"/>
  <c r="F70" i="20" s="1"/>
  <c r="G32" i="11"/>
  <c r="B42" i="20"/>
  <c r="J16" i="20" s="1"/>
  <c r="B43" i="12"/>
  <c r="F43" i="12" s="1"/>
  <c r="B17" i="20"/>
  <c r="F17" i="20" s="1"/>
  <c r="B32" i="12"/>
  <c r="F32" i="12" s="1"/>
  <c r="C76" i="11"/>
  <c r="B72" i="20" s="1"/>
  <c r="F72" i="20" s="1"/>
  <c r="F39" i="15"/>
  <c r="G39" i="15" s="1"/>
  <c r="H39" i="15" s="1"/>
  <c r="AG96" i="4"/>
  <c r="F52" i="15"/>
  <c r="G52" i="15" s="1"/>
  <c r="AG128" i="4"/>
  <c r="B20" i="20"/>
  <c r="F20" i="20" s="1"/>
  <c r="AG67" i="4"/>
  <c r="AG279" i="4"/>
  <c r="B13" i="20"/>
  <c r="F13" i="20" s="1"/>
  <c r="J43" i="15"/>
  <c r="AE133" i="9"/>
  <c r="AF133" i="9" s="1"/>
  <c r="J65" i="15"/>
  <c r="H65" i="15" s="1"/>
  <c r="AE138" i="9"/>
  <c r="AF138" i="9" s="1"/>
  <c r="U7" i="25"/>
  <c r="R5" i="25" s="1"/>
  <c r="C7" i="25" s="1"/>
  <c r="H7" i="25" s="1"/>
  <c r="AC26" i="9"/>
  <c r="AB182" i="9" s="1"/>
  <c r="U16" i="25"/>
  <c r="R10" i="25" s="1"/>
  <c r="C12" i="25" s="1"/>
  <c r="H12" i="25" s="1"/>
  <c r="G14" i="11"/>
  <c r="G272" i="9"/>
  <c r="C126" i="15"/>
  <c r="B41" i="20"/>
  <c r="J15" i="20" s="1"/>
  <c r="G91" i="12"/>
  <c r="J17" i="15"/>
  <c r="D127" i="15" s="1"/>
  <c r="AE178" i="9"/>
  <c r="AF178" i="9" s="1"/>
  <c r="C83" i="11"/>
  <c r="J52" i="15"/>
  <c r="AE184" i="9"/>
  <c r="AF184" i="9" s="1"/>
  <c r="J63" i="15"/>
  <c r="H63" i="15" s="1"/>
  <c r="AE139" i="9"/>
  <c r="AF139" i="9" s="1"/>
  <c r="G19" i="11"/>
  <c r="G44" i="11"/>
  <c r="J60" i="15"/>
  <c r="H60" i="15" s="1"/>
  <c r="AE137" i="9"/>
  <c r="AF137" i="9" s="1"/>
  <c r="AG235" i="4"/>
  <c r="AG147" i="4"/>
  <c r="AA4" i="9"/>
  <c r="F23" i="15"/>
  <c r="G23" i="15" s="1"/>
  <c r="H23" i="15" s="1"/>
  <c r="AG63" i="4"/>
  <c r="B42" i="12"/>
  <c r="F42" i="12" s="1"/>
  <c r="B16" i="20"/>
  <c r="F16" i="20" s="1"/>
  <c r="G16" i="11"/>
  <c r="G11" i="11"/>
  <c r="G18" i="11"/>
  <c r="B18" i="12"/>
  <c r="F18" i="12" s="1"/>
  <c r="AG91" i="4"/>
  <c r="F113" i="15"/>
  <c r="G113" i="15" s="1"/>
  <c r="H113" i="15" s="1"/>
  <c r="AG290" i="4"/>
  <c r="B24" i="12"/>
  <c r="F24" i="12" s="1"/>
  <c r="G21" i="11"/>
  <c r="U18" i="25"/>
  <c r="R12" i="25" s="1"/>
  <c r="C14" i="25" s="1"/>
  <c r="H14" i="25" s="1"/>
  <c r="B23" i="20"/>
  <c r="F23" i="20" s="1"/>
  <c r="B14" i="12"/>
  <c r="F14" i="12" s="1"/>
  <c r="U23" i="25"/>
  <c r="R17" i="25" s="1"/>
  <c r="C18" i="25" s="1"/>
  <c r="H18" i="25" s="1"/>
  <c r="B21" i="20"/>
  <c r="F21" i="20" s="1"/>
  <c r="F79" i="15"/>
  <c r="G79" i="15" s="1"/>
  <c r="H79" i="15" s="1"/>
  <c r="AG217" i="4"/>
  <c r="F51" i="15"/>
  <c r="G51" i="15" s="1"/>
  <c r="H51" i="15" s="1"/>
  <c r="AG125" i="4"/>
  <c r="G87" i="20"/>
  <c r="D86" i="20"/>
  <c r="G39" i="11"/>
  <c r="B46" i="20"/>
  <c r="J21" i="20" s="1"/>
  <c r="G45" i="11"/>
  <c r="B20" i="12"/>
  <c r="F20" i="12" s="1"/>
  <c r="U48" i="25"/>
  <c r="R38" i="25" s="1"/>
  <c r="C38" i="25" s="1"/>
  <c r="H38" i="25" s="1"/>
  <c r="F56" i="15"/>
  <c r="G56" i="15" s="1"/>
  <c r="H56" i="15" s="1"/>
  <c r="AG138" i="4"/>
  <c r="AE248" i="9"/>
  <c r="AF248" i="9" s="1"/>
  <c r="B73" i="20"/>
  <c r="F73" i="20" s="1"/>
  <c r="B76" i="12"/>
  <c r="F76" i="12" s="1"/>
  <c r="U6" i="25"/>
  <c r="R4" i="25" s="1"/>
  <c r="C6" i="25" s="1"/>
  <c r="H6" i="25" s="1"/>
  <c r="B12" i="20"/>
  <c r="F12" i="20" s="1"/>
  <c r="G7" i="11"/>
  <c r="B10" i="12"/>
  <c r="F10" i="12" s="1"/>
  <c r="F82" i="15"/>
  <c r="G82" i="15" s="1"/>
  <c r="H82" i="15" s="1"/>
  <c r="B22" i="12"/>
  <c r="F22" i="12" s="1"/>
  <c r="F95" i="15"/>
  <c r="G95" i="15" s="1"/>
  <c r="H95" i="15" s="1"/>
  <c r="AG258" i="4"/>
  <c r="G22" i="11"/>
  <c r="B26" i="20"/>
  <c r="F26" i="20" s="1"/>
  <c r="B25" i="12"/>
  <c r="F25" i="12" s="1"/>
  <c r="F8" i="15"/>
  <c r="G8" i="15" s="1"/>
  <c r="H8" i="15" s="1"/>
  <c r="AG11" i="4"/>
  <c r="U40" i="25"/>
  <c r="R30" i="25" s="1"/>
  <c r="C30" i="25" s="1"/>
  <c r="H30" i="25" s="1"/>
  <c r="B40" i="12"/>
  <c r="F40" i="12" s="1"/>
  <c r="B39" i="20"/>
  <c r="J13" i="20" s="1"/>
  <c r="G37" i="11"/>
  <c r="F54" i="15"/>
  <c r="G54" i="15" s="1"/>
  <c r="H54" i="15" s="1"/>
  <c r="AG131" i="4"/>
  <c r="D148" i="15"/>
  <c r="C34" i="26" s="1"/>
  <c r="C70" i="26" s="1"/>
  <c r="U17" i="25"/>
  <c r="R11" i="25" s="1"/>
  <c r="C13" i="25" s="1"/>
  <c r="H13" i="25" s="1"/>
  <c r="F10" i="15"/>
  <c r="G10" i="15" s="1"/>
  <c r="H10" i="15" s="1"/>
  <c r="AG16" i="4"/>
  <c r="G10" i="11"/>
  <c r="U10" i="25"/>
  <c r="B15" i="20"/>
  <c r="F15" i="20" s="1"/>
  <c r="B13" i="12"/>
  <c r="F13" i="12" s="1"/>
  <c r="U41" i="25"/>
  <c r="R31" i="25" s="1"/>
  <c r="C31" i="25" s="1"/>
  <c r="H31" i="25" s="1"/>
  <c r="B40" i="20"/>
  <c r="J14" i="20" s="1"/>
  <c r="B41" i="12"/>
  <c r="F41" i="12" s="1"/>
  <c r="G38" i="11"/>
  <c r="F80" i="15"/>
  <c r="G80" i="15" s="1"/>
  <c r="H80" i="15" s="1"/>
  <c r="AG220" i="4"/>
  <c r="H98" i="15"/>
  <c r="AE273" i="9"/>
  <c r="AF273" i="9" s="1"/>
  <c r="C142" i="15"/>
  <c r="AA227" i="9"/>
  <c r="AD227" i="9" s="1"/>
  <c r="AE227" i="9" s="1"/>
  <c r="AF227" i="9" s="1"/>
  <c r="F55" i="15"/>
  <c r="G55" i="15" s="1"/>
  <c r="H55" i="15" s="1"/>
  <c r="AG134" i="4"/>
  <c r="F15" i="15"/>
  <c r="G15" i="15" s="1"/>
  <c r="H15" i="15" s="1"/>
  <c r="AG25" i="4"/>
  <c r="L73" i="15"/>
  <c r="D126" i="15" s="1"/>
  <c r="C104" i="11"/>
  <c r="D99" i="11" s="1"/>
  <c r="AE244" i="9"/>
  <c r="AF244" i="9" s="1"/>
  <c r="AE204" i="9"/>
  <c r="AF204" i="9" s="1"/>
  <c r="C91" i="11"/>
  <c r="D89" i="11" s="1"/>
  <c r="C139" i="15"/>
  <c r="G26" i="11"/>
  <c r="B29" i="12"/>
  <c r="F29" i="12" s="1"/>
  <c r="F81" i="15"/>
  <c r="G81" i="15" s="1"/>
  <c r="H81" i="15" s="1"/>
  <c r="AG231" i="4"/>
  <c r="J100" i="15"/>
  <c r="C106" i="11"/>
  <c r="D105" i="11" s="1"/>
  <c r="AE249" i="9"/>
  <c r="AF249" i="9" s="1"/>
  <c r="U39" i="25"/>
  <c r="R29" i="25" s="1"/>
  <c r="C29" i="25" s="1"/>
  <c r="H29" i="25" s="1"/>
  <c r="G36" i="11"/>
  <c r="B38" i="20"/>
  <c r="B39" i="12"/>
  <c r="F39" i="12" s="1"/>
  <c r="F40" i="15"/>
  <c r="G40" i="15" s="1"/>
  <c r="H40" i="15" s="1"/>
  <c r="AG99" i="4"/>
  <c r="F92" i="15"/>
  <c r="G92" i="15" s="1"/>
  <c r="H92" i="15" s="1"/>
  <c r="AG252" i="4"/>
  <c r="J109" i="15"/>
  <c r="D119" i="15" s="1"/>
  <c r="C67" i="11"/>
  <c r="G67" i="11" s="1"/>
  <c r="U71" i="25" s="1"/>
  <c r="R72" i="25" s="1"/>
  <c r="C72" i="25" s="1"/>
  <c r="C119" i="15"/>
  <c r="AE44" i="9"/>
  <c r="AF44" i="9" s="1"/>
  <c r="AG151" i="4"/>
  <c r="F110" i="15"/>
  <c r="G110" i="15" s="1"/>
  <c r="H110" i="15" s="1"/>
  <c r="AG282" i="4"/>
  <c r="H18" i="21"/>
  <c r="I35" i="22"/>
  <c r="I36" i="22" s="1"/>
  <c r="F76" i="15"/>
  <c r="G76" i="15" s="1"/>
  <c r="H76" i="15" s="1"/>
  <c r="AG175" i="4"/>
  <c r="U28" i="25"/>
  <c r="R20" i="25" s="1"/>
  <c r="C21" i="25" s="1"/>
  <c r="H21" i="25" s="1"/>
  <c r="F73" i="15"/>
  <c r="G73" i="15" s="1"/>
  <c r="AG161" i="4"/>
  <c r="F88" i="15"/>
  <c r="G88" i="15" s="1"/>
  <c r="H88" i="15" s="1"/>
  <c r="AG247" i="4"/>
  <c r="U30" i="25"/>
  <c r="G28" i="11"/>
  <c r="B31" i="12"/>
  <c r="F31" i="12" s="1"/>
  <c r="B30" i="20"/>
  <c r="F30" i="20" s="1"/>
  <c r="G41" i="11"/>
  <c r="U44" i="25"/>
  <c r="R37" i="25" s="1"/>
  <c r="C35" i="25" s="1"/>
  <c r="H35" i="25" s="1"/>
  <c r="B44" i="12"/>
  <c r="F31" i="15"/>
  <c r="G31" i="15" s="1"/>
  <c r="H31" i="15" s="1"/>
  <c r="AG77" i="4"/>
  <c r="AE220" i="9"/>
  <c r="AF220" i="9" s="1"/>
  <c r="C97" i="11"/>
  <c r="C140" i="15"/>
  <c r="F132" i="15"/>
  <c r="E132" i="15"/>
  <c r="F133" i="15"/>
  <c r="E133" i="15"/>
  <c r="F135" i="15"/>
  <c r="F57" i="15"/>
  <c r="G57" i="15" s="1"/>
  <c r="H57" i="15" s="1"/>
  <c r="AG141" i="4"/>
  <c r="AA26" i="9"/>
  <c r="F18" i="15"/>
  <c r="G18" i="15" s="1"/>
  <c r="H18" i="15" s="1"/>
  <c r="AG40" i="4"/>
  <c r="AD213" i="9"/>
  <c r="AA208" i="9"/>
  <c r="AD208" i="9" s="1"/>
  <c r="AE208" i="9" s="1"/>
  <c r="AF208" i="9" s="1"/>
  <c r="J36" i="15"/>
  <c r="AE269" i="9"/>
  <c r="AF269" i="9" s="1"/>
  <c r="C128" i="15"/>
  <c r="U49" i="25"/>
  <c r="R39" i="25" s="1"/>
  <c r="C39" i="25" s="1"/>
  <c r="H39" i="25" s="1"/>
  <c r="G46" i="11"/>
  <c r="B49" i="12"/>
  <c r="B47" i="20"/>
  <c r="F12" i="12"/>
  <c r="C120" i="15"/>
  <c r="AD132" i="9"/>
  <c r="AE132" i="9" s="1"/>
  <c r="AF132" i="9" s="1"/>
  <c r="AG78" i="4"/>
  <c r="G27" i="11"/>
  <c r="U29" i="25"/>
  <c r="R21" i="25" s="1"/>
  <c r="C22" i="25" s="1"/>
  <c r="H22" i="25" s="1"/>
  <c r="B30" i="12"/>
  <c r="F30" i="12" s="1"/>
  <c r="B29" i="20"/>
  <c r="D20" i="11"/>
  <c r="V21" i="25" s="1"/>
  <c r="AG57" i="4"/>
  <c r="F20" i="15"/>
  <c r="G20" i="15" s="1"/>
  <c r="H20" i="15" s="1"/>
  <c r="AA247" i="9"/>
  <c r="AD247" i="9" s="1"/>
  <c r="AE247" i="9" s="1"/>
  <c r="AF247" i="9" s="1"/>
  <c r="F122" i="15"/>
  <c r="E122" i="15"/>
  <c r="AG242" i="4"/>
  <c r="AE260" i="9"/>
  <c r="AF260" i="9" s="1"/>
  <c r="C125" i="15"/>
  <c r="AE268" i="9"/>
  <c r="AF268" i="9" s="1"/>
  <c r="D112" i="11"/>
  <c r="I153" i="15"/>
  <c r="H47" i="15"/>
  <c r="AD33" i="4"/>
  <c r="AE33" i="4" s="1"/>
  <c r="AF33" i="4" s="1"/>
  <c r="AA5" i="4"/>
  <c r="AD120" i="4"/>
  <c r="AE120" i="4" s="1"/>
  <c r="AF120" i="4" s="1"/>
  <c r="AA86" i="4"/>
  <c r="AD86" i="4" s="1"/>
  <c r="AE86" i="4" s="1"/>
  <c r="AF86" i="4" s="1"/>
  <c r="F28" i="12"/>
  <c r="F32" i="15"/>
  <c r="G32" i="15" s="1"/>
  <c r="H32" i="15" s="1"/>
  <c r="AG79" i="4"/>
  <c r="AD255" i="4"/>
  <c r="AE255" i="4" s="1"/>
  <c r="AF255" i="4" s="1"/>
  <c r="AA246" i="4"/>
  <c r="AD246" i="4" s="1"/>
  <c r="AD181" i="4"/>
  <c r="AE181" i="4" s="1"/>
  <c r="AF181" i="4" s="1"/>
  <c r="AA160" i="4"/>
  <c r="G38" i="15"/>
  <c r="G29" i="11"/>
  <c r="U31" i="25"/>
  <c r="R23" i="25" s="1"/>
  <c r="C23" i="25" s="1"/>
  <c r="H23" i="25" s="1"/>
  <c r="B33" i="12"/>
  <c r="F33" i="12" s="1"/>
  <c r="B32" i="20"/>
  <c r="F32" i="20" s="1"/>
  <c r="AE45" i="9" l="1"/>
  <c r="AF45" i="9" s="1"/>
  <c r="C118" i="15"/>
  <c r="U50" i="25"/>
  <c r="R40" i="25" s="1"/>
  <c r="C40" i="25" s="1"/>
  <c r="H40" i="25" s="1"/>
  <c r="AE246" i="4"/>
  <c r="AF246" i="4" s="1"/>
  <c r="AI246" i="4"/>
  <c r="B53" i="20"/>
  <c r="J30" i="20" s="1"/>
  <c r="G52" i="11"/>
  <c r="U56" i="25"/>
  <c r="R45" i="25" s="1"/>
  <c r="C45" i="25" s="1"/>
  <c r="H45" i="25" s="1"/>
  <c r="B48" i="20"/>
  <c r="J23" i="20" s="1"/>
  <c r="B50" i="20"/>
  <c r="J25" i="20" s="1"/>
  <c r="G49" i="11"/>
  <c r="H43" i="11" s="1"/>
  <c r="U53" i="25"/>
  <c r="R42" i="25" s="1"/>
  <c r="C42" i="25" s="1"/>
  <c r="H42" i="25" s="1"/>
  <c r="D43" i="11"/>
  <c r="V46" i="25" s="1"/>
  <c r="C35" i="26"/>
  <c r="C71" i="26" s="1"/>
  <c r="G7" i="15"/>
  <c r="H7" i="15" s="1"/>
  <c r="E127" i="15"/>
  <c r="D93" i="11"/>
  <c r="B84" i="20" s="1"/>
  <c r="F84" i="20" s="1"/>
  <c r="B50" i="12"/>
  <c r="F50" i="12" s="1"/>
  <c r="B18" i="20"/>
  <c r="C11" i="20" s="1"/>
  <c r="B16" i="12"/>
  <c r="F16" i="12" s="1"/>
  <c r="G9" i="12" s="1"/>
  <c r="D35" i="11"/>
  <c r="D50" i="11" s="1"/>
  <c r="D6" i="11"/>
  <c r="D33" i="11" s="1"/>
  <c r="E118" i="15"/>
  <c r="G70" i="11"/>
  <c r="U75" i="25" s="1"/>
  <c r="R74" i="25" s="1"/>
  <c r="C75" i="25" s="1"/>
  <c r="B77" i="12"/>
  <c r="F77" i="12" s="1"/>
  <c r="G68" i="11"/>
  <c r="U73" i="25" s="1"/>
  <c r="R71" i="25" s="1"/>
  <c r="C73" i="25" s="1"/>
  <c r="B77" i="20"/>
  <c r="F77" i="20" s="1"/>
  <c r="B80" i="12"/>
  <c r="F80" i="12" s="1"/>
  <c r="K96" i="24"/>
  <c r="U12" i="25"/>
  <c r="R7" i="25" s="1"/>
  <c r="C10" i="25" s="1"/>
  <c r="D5" i="25" s="1"/>
  <c r="B43" i="20"/>
  <c r="J17" i="20" s="1"/>
  <c r="G42" i="11"/>
  <c r="H35" i="11" s="1"/>
  <c r="B45" i="12"/>
  <c r="F45" i="12" s="1"/>
  <c r="G72" i="11"/>
  <c r="U77" i="25" s="1"/>
  <c r="R76" i="25" s="1"/>
  <c r="C77" i="25" s="1"/>
  <c r="B76" i="20"/>
  <c r="F76" i="20" s="1"/>
  <c r="C161" i="15"/>
  <c r="K129" i="15"/>
  <c r="B74" i="12"/>
  <c r="F74" i="12" s="1"/>
  <c r="B56" i="12"/>
  <c r="F56" i="12" s="1"/>
  <c r="H12" i="21"/>
  <c r="B54" i="20"/>
  <c r="J31" i="20" s="1"/>
  <c r="H73" i="15"/>
  <c r="U57" i="25"/>
  <c r="R46" i="25" s="1"/>
  <c r="C46" i="25" s="1"/>
  <c r="E46" i="25" s="1"/>
  <c r="H46" i="25" s="1"/>
  <c r="D11" i="26"/>
  <c r="D47" i="26"/>
  <c r="H43" i="15"/>
  <c r="B59" i="12"/>
  <c r="F59" i="12" s="1"/>
  <c r="G56" i="11"/>
  <c r="AD4" i="9"/>
  <c r="AE4" i="9" s="1"/>
  <c r="AF4" i="9" s="1"/>
  <c r="AA272" i="9"/>
  <c r="B78" i="12"/>
  <c r="F78" i="12" s="1"/>
  <c r="B75" i="20"/>
  <c r="F75" i="20" s="1"/>
  <c r="G66" i="11"/>
  <c r="U70" i="25" s="1"/>
  <c r="R70" i="25" s="1"/>
  <c r="C71" i="25" s="1"/>
  <c r="B73" i="12"/>
  <c r="F73" i="12" s="1"/>
  <c r="B75" i="12"/>
  <c r="F75" i="12" s="1"/>
  <c r="G69" i="11"/>
  <c r="U74" i="25" s="1"/>
  <c r="R73" i="25" s="1"/>
  <c r="C74" i="25" s="1"/>
  <c r="G11" i="21"/>
  <c r="G27" i="21" s="1"/>
  <c r="I27" i="21" s="1"/>
  <c r="I17" i="25"/>
  <c r="E119" i="15"/>
  <c r="F127" i="15"/>
  <c r="D120" i="15"/>
  <c r="F120" i="15" s="1"/>
  <c r="H17" i="15"/>
  <c r="H52" i="15"/>
  <c r="D121" i="15"/>
  <c r="G126" i="15"/>
  <c r="G276" i="9"/>
  <c r="H272" i="9"/>
  <c r="F126" i="15"/>
  <c r="AB181" i="9"/>
  <c r="AD182" i="9"/>
  <c r="E126" i="15"/>
  <c r="H6" i="11"/>
  <c r="I28" i="25"/>
  <c r="D28" i="25"/>
  <c r="H109" i="15"/>
  <c r="B86" i="12"/>
  <c r="F86" i="12" s="1"/>
  <c r="B82" i="20"/>
  <c r="F82" i="20" s="1"/>
  <c r="G78" i="11"/>
  <c r="U83" i="25" s="1"/>
  <c r="R82" i="25" s="1"/>
  <c r="C83" i="25" s="1"/>
  <c r="B81" i="20"/>
  <c r="F81" i="20" s="1"/>
  <c r="B85" i="12"/>
  <c r="F85" i="12" s="1"/>
  <c r="G77" i="11"/>
  <c r="U82" i="25" s="1"/>
  <c r="R81" i="25" s="1"/>
  <c r="C82" i="25" s="1"/>
  <c r="F119" i="15"/>
  <c r="D137" i="15"/>
  <c r="H100" i="15"/>
  <c r="H20" i="11"/>
  <c r="G80" i="11"/>
  <c r="U85" i="25" s="1"/>
  <c r="R84" i="25" s="1"/>
  <c r="C85" i="25" s="1"/>
  <c r="B87" i="12"/>
  <c r="F87" i="12" s="1"/>
  <c r="B83" i="20"/>
  <c r="F83" i="20" s="1"/>
  <c r="J12" i="20"/>
  <c r="D139" i="15"/>
  <c r="L116" i="15"/>
  <c r="D17" i="25"/>
  <c r="E142" i="15"/>
  <c r="F142" i="15"/>
  <c r="AE213" i="9"/>
  <c r="AF213" i="9" s="1"/>
  <c r="C130" i="15"/>
  <c r="G23" i="12"/>
  <c r="N24" i="15"/>
  <c r="G153" i="15"/>
  <c r="I155" i="15" s="1"/>
  <c r="H62" i="15"/>
  <c r="D140" i="15"/>
  <c r="AG86" i="4"/>
  <c r="E20" i="11"/>
  <c r="E21" i="11" s="1"/>
  <c r="F50" i="15"/>
  <c r="AG120" i="4"/>
  <c r="H38" i="15"/>
  <c r="F29" i="20"/>
  <c r="G24" i="20" s="1"/>
  <c r="C24" i="20"/>
  <c r="D24" i="20" s="1"/>
  <c r="AA159" i="4"/>
  <c r="AD159" i="4" s="1"/>
  <c r="AE159" i="4" s="1"/>
  <c r="AF159" i="4" s="1"/>
  <c r="F78" i="15"/>
  <c r="AD160" i="4"/>
  <c r="AG181" i="4"/>
  <c r="AD5" i="4"/>
  <c r="AE5" i="4" s="1"/>
  <c r="AF5" i="4" s="1"/>
  <c r="AA4" i="4"/>
  <c r="AD4" i="4" s="1"/>
  <c r="G79" i="11"/>
  <c r="U84" i="25" s="1"/>
  <c r="R83" i="25" s="1"/>
  <c r="C84" i="25" s="1"/>
  <c r="B85" i="20"/>
  <c r="F85" i="20" s="1"/>
  <c r="B89" i="12"/>
  <c r="F89" i="12" s="1"/>
  <c r="H36" i="15"/>
  <c r="D128" i="15"/>
  <c r="F128" i="15" s="1"/>
  <c r="F93" i="15"/>
  <c r="AG255" i="4"/>
  <c r="U78" i="25"/>
  <c r="R77" i="25" s="1"/>
  <c r="C78" i="25" s="1"/>
  <c r="E125" i="15"/>
  <c r="F125" i="15"/>
  <c r="G125" i="15"/>
  <c r="AG246" i="4"/>
  <c r="F16" i="15"/>
  <c r="AG33" i="4"/>
  <c r="J22" i="20"/>
  <c r="C23" i="12"/>
  <c r="D23" i="12" s="1"/>
  <c r="F49" i="12"/>
  <c r="F44" i="12"/>
  <c r="I36" i="25" l="1"/>
  <c r="I43" i="25" s="1"/>
  <c r="F139" i="15"/>
  <c r="F140" i="15"/>
  <c r="AE160" i="4"/>
  <c r="AF160" i="4" s="1"/>
  <c r="AI160" i="4"/>
  <c r="AE4" i="4"/>
  <c r="AF4" i="4" s="1"/>
  <c r="AI4" i="4"/>
  <c r="G81" i="11"/>
  <c r="U86" i="25" s="1"/>
  <c r="R85" i="25" s="1"/>
  <c r="C86" i="25" s="1"/>
  <c r="B88" i="12"/>
  <c r="F88" i="12" s="1"/>
  <c r="G46" i="12"/>
  <c r="V5" i="25"/>
  <c r="E5" i="25" s="1"/>
  <c r="C44" i="20"/>
  <c r="D43" i="20" s="1"/>
  <c r="D36" i="25"/>
  <c r="D43" i="25" s="1"/>
  <c r="K19" i="20"/>
  <c r="C46" i="12"/>
  <c r="D46" i="12" s="1"/>
  <c r="D11" i="20"/>
  <c r="C9" i="12"/>
  <c r="D9" i="12" s="1"/>
  <c r="F18" i="20"/>
  <c r="G11" i="20" s="1"/>
  <c r="G35" i="20" s="1"/>
  <c r="F118" i="15"/>
  <c r="D64" i="11"/>
  <c r="H64" i="11" s="1"/>
  <c r="V38" i="25"/>
  <c r="E29" i="25" s="1"/>
  <c r="H10" i="25"/>
  <c r="I5" i="25" s="1"/>
  <c r="I26" i="25" s="1"/>
  <c r="K11" i="20"/>
  <c r="G38" i="12"/>
  <c r="C37" i="20"/>
  <c r="D36" i="20" s="1"/>
  <c r="C38" i="12"/>
  <c r="D38" i="12" s="1"/>
  <c r="H17" i="21"/>
  <c r="I12" i="21"/>
  <c r="H28" i="21"/>
  <c r="I28" i="21" s="1"/>
  <c r="I11" i="21"/>
  <c r="J11" i="22" s="1"/>
  <c r="H50" i="11"/>
  <c r="H11" i="22"/>
  <c r="D26" i="25"/>
  <c r="G36" i="12"/>
  <c r="H33" i="11"/>
  <c r="H276" i="9"/>
  <c r="H288" i="4"/>
  <c r="H286" i="4" s="1"/>
  <c r="H267" i="4" s="1"/>
  <c r="H293" i="4" s="1"/>
  <c r="E120" i="15"/>
  <c r="E121" i="15"/>
  <c r="F121" i="15"/>
  <c r="AE182" i="9"/>
  <c r="AF182" i="9" s="1"/>
  <c r="C84" i="11"/>
  <c r="AD181" i="9"/>
  <c r="AE181" i="9" s="1"/>
  <c r="AF181" i="9" s="1"/>
  <c r="AB26" i="9"/>
  <c r="AD26" i="9" s="1"/>
  <c r="AE26" i="9" s="1"/>
  <c r="AF26" i="9" s="1"/>
  <c r="E18" i="25"/>
  <c r="F137" i="15"/>
  <c r="E137" i="15"/>
  <c r="E139" i="15"/>
  <c r="AA276" i="9"/>
  <c r="AD272" i="9"/>
  <c r="AE272" i="9" s="1"/>
  <c r="AF272" i="9" s="1"/>
  <c r="G78" i="15"/>
  <c r="F72" i="15"/>
  <c r="E128" i="15"/>
  <c r="E140" i="15"/>
  <c r="V35" i="25"/>
  <c r="E50" i="11"/>
  <c r="E51" i="11" s="1"/>
  <c r="AG159" i="4"/>
  <c r="E33" i="11"/>
  <c r="E34" i="11" s="1"/>
  <c r="D130" i="15"/>
  <c r="E130" i="15" s="1"/>
  <c r="H22" i="15"/>
  <c r="V54" i="25"/>
  <c r="E6" i="11"/>
  <c r="E7" i="11" s="1"/>
  <c r="H24" i="15"/>
  <c r="N116" i="15"/>
  <c r="N123" i="15"/>
  <c r="G50" i="15"/>
  <c r="F33" i="15"/>
  <c r="G16" i="15"/>
  <c r="F6" i="15"/>
  <c r="G93" i="15"/>
  <c r="F87" i="15"/>
  <c r="AG160" i="4"/>
  <c r="C35" i="20"/>
  <c r="D34" i="20" s="1"/>
  <c r="E37" i="25" l="1"/>
  <c r="G53" i="12"/>
  <c r="K26" i="20"/>
  <c r="C71" i="12"/>
  <c r="D70" i="12" s="1"/>
  <c r="C36" i="12"/>
  <c r="D36" i="12" s="1"/>
  <c r="C51" i="20"/>
  <c r="D50" i="20" s="1"/>
  <c r="C68" i="20"/>
  <c r="G68" i="20" s="1"/>
  <c r="C53" i="12"/>
  <c r="D53" i="12" s="1"/>
  <c r="K128" i="15"/>
  <c r="K130" i="15" s="1"/>
  <c r="I16" i="22"/>
  <c r="H19" i="21"/>
  <c r="H33" i="21"/>
  <c r="E44" i="25"/>
  <c r="E27" i="25"/>
  <c r="G74" i="11"/>
  <c r="B81" i="12"/>
  <c r="B78" i="20"/>
  <c r="D65" i="11"/>
  <c r="H294" i="4"/>
  <c r="H295" i="4"/>
  <c r="F5" i="15"/>
  <c r="C154" i="15" s="1"/>
  <c r="F71" i="15"/>
  <c r="C155" i="15" s="1"/>
  <c r="C8" i="26"/>
  <c r="C44" i="26" s="1"/>
  <c r="N150" i="15"/>
  <c r="N118" i="15" s="1"/>
  <c r="H78" i="15"/>
  <c r="G72" i="15"/>
  <c r="P117" i="15"/>
  <c r="AA288" i="4"/>
  <c r="AA286" i="4" s="1"/>
  <c r="AD276" i="9"/>
  <c r="H93" i="15"/>
  <c r="G87" i="15"/>
  <c r="D67" i="20"/>
  <c r="C160" i="15"/>
  <c r="V68" i="25"/>
  <c r="D69" i="25"/>
  <c r="F130" i="15"/>
  <c r="H50" i="15"/>
  <c r="G33" i="15"/>
  <c r="H16" i="15"/>
  <c r="G6" i="15"/>
  <c r="G71" i="12" l="1"/>
  <c r="D155" i="15"/>
  <c r="D154" i="15"/>
  <c r="G5" i="15"/>
  <c r="G75" i="11"/>
  <c r="U80" i="25" s="1"/>
  <c r="R79" i="25" s="1"/>
  <c r="C80" i="25" s="1"/>
  <c r="B83" i="12"/>
  <c r="F83" i="12" s="1"/>
  <c r="B79" i="20"/>
  <c r="F79" i="20" s="1"/>
  <c r="D88" i="11"/>
  <c r="D113" i="11" s="1"/>
  <c r="D115" i="11" s="1"/>
  <c r="E88" i="11"/>
  <c r="E113" i="11" s="1"/>
  <c r="E115" i="11" s="1"/>
  <c r="F78" i="20"/>
  <c r="F81" i="12"/>
  <c r="U79" i="25"/>
  <c r="R78" i="25" s="1"/>
  <c r="C79" i="25" s="1"/>
  <c r="G71" i="15"/>
  <c r="J112" i="15"/>
  <c r="AE276" i="9"/>
  <c r="AF276" i="9" s="1"/>
  <c r="AD288" i="4"/>
  <c r="AE288" i="4" s="1"/>
  <c r="AF288" i="4" s="1"/>
  <c r="AD286" i="4"/>
  <c r="AE286" i="4" s="1"/>
  <c r="AF286" i="4" s="1"/>
  <c r="AA267" i="4"/>
  <c r="E69" i="25"/>
  <c r="N153" i="15"/>
  <c r="C7" i="26"/>
  <c r="C43" i="26" s="1"/>
  <c r="H65" i="11" l="1"/>
  <c r="V69" i="25" s="1"/>
  <c r="C72" i="12"/>
  <c r="D71" i="12" s="1"/>
  <c r="C69" i="20"/>
  <c r="C80" i="20" s="1"/>
  <c r="D70" i="25"/>
  <c r="C55" i="11"/>
  <c r="AG288" i="4"/>
  <c r="G10" i="21"/>
  <c r="C5" i="26"/>
  <c r="J116" i="15"/>
  <c r="AA293" i="4"/>
  <c r="AD267" i="4"/>
  <c r="F112" i="15"/>
  <c r="G18" i="21"/>
  <c r="AG286" i="4"/>
  <c r="H35" i="22"/>
  <c r="H36" i="22" s="1"/>
  <c r="AE267" i="4" l="1"/>
  <c r="AF267" i="4" s="1"/>
  <c r="AI267" i="4"/>
  <c r="H76" i="11"/>
  <c r="H82" i="11" s="1"/>
  <c r="C84" i="12"/>
  <c r="C90" i="12" s="1"/>
  <c r="D68" i="20"/>
  <c r="G72" i="12"/>
  <c r="G69" i="20"/>
  <c r="D79" i="20"/>
  <c r="G80" i="20"/>
  <c r="C86" i="20"/>
  <c r="E70" i="25"/>
  <c r="C87" i="25"/>
  <c r="D81" i="25"/>
  <c r="B57" i="12"/>
  <c r="G55" i="11"/>
  <c r="H57" i="11" s="1"/>
  <c r="H58" i="11" s="1"/>
  <c r="H59" i="11" s="1"/>
  <c r="D57" i="11"/>
  <c r="U59" i="25"/>
  <c r="R47" i="25" s="1"/>
  <c r="C47" i="25" s="1"/>
  <c r="B55" i="20"/>
  <c r="AG267" i="4"/>
  <c r="J35" i="22"/>
  <c r="J36" i="22" s="1"/>
  <c r="I18" i="21"/>
  <c r="G112" i="15"/>
  <c r="F101" i="15"/>
  <c r="AA294" i="4"/>
  <c r="AA295" i="4"/>
  <c r="AD293" i="4"/>
  <c r="AE293" i="4" s="1"/>
  <c r="AF293" i="4" s="1"/>
  <c r="L117" i="15"/>
  <c r="D145" i="15"/>
  <c r="E145" i="15" s="1"/>
  <c r="I10" i="21"/>
  <c r="G26" i="21"/>
  <c r="I26" i="21" s="1"/>
  <c r="G17" i="21"/>
  <c r="H10" i="22"/>
  <c r="C41" i="26"/>
  <c r="V81" i="25" l="1"/>
  <c r="E81" i="25"/>
  <c r="G84" i="12"/>
  <c r="D83" i="12"/>
  <c r="D50" i="25"/>
  <c r="D51" i="25" s="1"/>
  <c r="H47" i="25"/>
  <c r="I49" i="25" s="1"/>
  <c r="I50" i="25" s="1"/>
  <c r="C92" i="12"/>
  <c r="G90" i="12"/>
  <c r="D90" i="12"/>
  <c r="G86" i="20"/>
  <c r="C88" i="20"/>
  <c r="D85" i="20"/>
  <c r="E87" i="25"/>
  <c r="C89" i="25"/>
  <c r="H84" i="11"/>
  <c r="V89" i="25" s="1"/>
  <c r="V87" i="25"/>
  <c r="J10" i="22"/>
  <c r="I17" i="21"/>
  <c r="J16" i="22" s="1"/>
  <c r="D146" i="15"/>
  <c r="D149" i="15" s="1"/>
  <c r="D151" i="15" s="1"/>
  <c r="C6" i="26"/>
  <c r="AD294" i="4"/>
  <c r="AG293" i="4"/>
  <c r="C57" i="20"/>
  <c r="C58" i="20" s="1"/>
  <c r="J32" i="20"/>
  <c r="K34" i="20" s="1"/>
  <c r="K35" i="20" s="1"/>
  <c r="G33" i="21"/>
  <c r="I33" i="21" s="1"/>
  <c r="G19" i="21"/>
  <c r="H16" i="22"/>
  <c r="C156" i="15"/>
  <c r="D156" i="15"/>
  <c r="F114" i="15"/>
  <c r="V61" i="25"/>
  <c r="D58" i="11"/>
  <c r="H112" i="15"/>
  <c r="H115" i="15" s="1"/>
  <c r="G101" i="15"/>
  <c r="G114" i="15" s="1"/>
  <c r="G115" i="15" s="1"/>
  <c r="F57" i="12"/>
  <c r="G60" i="12" s="1"/>
  <c r="G61" i="12" s="1"/>
  <c r="C60" i="12"/>
  <c r="C61" i="12" s="1"/>
  <c r="F115" i="15" l="1"/>
  <c r="F116" i="15"/>
  <c r="E51" i="25"/>
  <c r="H116" i="15"/>
  <c r="E89" i="25"/>
  <c r="I19" i="21"/>
  <c r="I20" i="21"/>
  <c r="D87" i="20"/>
  <c r="G88" i="20"/>
  <c r="G92" i="12"/>
  <c r="D92" i="12"/>
  <c r="D56" i="20"/>
  <c r="D57" i="20"/>
  <c r="D59" i="11"/>
  <c r="V62" i="25"/>
  <c r="E53" i="25" s="1"/>
  <c r="D60" i="12"/>
  <c r="AE294" i="4"/>
  <c r="C42" i="26"/>
  <c r="C4" i="26"/>
  <c r="D61" i="12"/>
  <c r="D3" i="26" l="1"/>
  <c r="C40" i="26"/>
  <c r="D39" i="26" l="1"/>
  <c r="C32" i="26"/>
  <c r="C36" i="26" l="1"/>
  <c r="C6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Son, Se-Hwa (KR/ICE1)</author>
  </authors>
  <commentList>
    <comment ref="D1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Son, Se-Hwa (KR/ICE1):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순액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12,000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…
4Q </t>
        </r>
        <r>
          <rPr>
            <sz val="9"/>
            <color indexed="81"/>
            <rFont val="돋움"/>
            <family val="3"/>
            <charset val="129"/>
          </rPr>
          <t>업로드시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경상연구개발비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공기구비품분류</t>
        </r>
        <r>
          <rPr>
            <sz val="9"/>
            <color indexed="81"/>
            <rFont val="Tahoma"/>
            <family val="2"/>
          </rPr>
          <t>)</t>
        </r>
      </text>
    </comment>
    <comment ref="D12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Son, Se-Hwa (KR/ICE1):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순액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12,000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…
4Q </t>
        </r>
        <r>
          <rPr>
            <sz val="9"/>
            <color indexed="81"/>
            <rFont val="돋움"/>
            <family val="3"/>
            <charset val="129"/>
          </rPr>
          <t>업로드시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경상연구개발비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공기구비품분류</t>
        </r>
        <r>
          <rPr>
            <sz val="9"/>
            <color indexed="81"/>
            <rFont val="Tahoma"/>
            <family val="2"/>
          </rPr>
          <t>)</t>
        </r>
      </text>
    </comment>
    <comment ref="G23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Son, Se-Hwa (KR/ICE1):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예수금대체</t>
        </r>
        <r>
          <rPr>
            <sz val="9"/>
            <color indexed="81"/>
            <rFont val="Tahoma"/>
            <family val="2"/>
          </rPr>
          <t>(KPMG)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Cha, Young-Jun (KR/EX-Audit)</author>
    <author>심상윤(Sangyoon Shim)/회계팀/11ST</author>
  </authors>
  <commentList>
    <comment ref="AA14" authorId="0" shapeId="0" xr:uid="{EAB44D04-1E51-4ED9-97CF-7295FE7BF6B5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순액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기초만큼만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대체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당기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건중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무형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취급하며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선급금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계정임에도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미지급금이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현금유출여부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)</t>
        </r>
      </text>
    </comment>
    <comment ref="M2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기타미수수익의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넣기
</t>
        </r>
      </text>
    </comment>
    <comment ref="Q35" authorId="0" shapeId="0" xr:uid="{943B1897-2328-47B5-BDEF-F01AD1D06875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cfs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일치시킬것</t>
        </r>
      </text>
    </comment>
    <comment ref="S35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cfs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일치시킬것</t>
        </r>
      </text>
    </comment>
    <comment ref="C39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영업활동으로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분류함</t>
        </r>
        <r>
          <rPr>
            <sz val="9"/>
            <color indexed="81"/>
            <rFont val="Tahoma"/>
            <family val="2"/>
          </rPr>
          <t>.</t>
        </r>
      </text>
    </comment>
    <comment ref="I5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경상연구개발비반영전
</t>
        </r>
      </text>
    </comment>
    <comment ref="S55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fns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일치시킬것</t>
        </r>
      </text>
    </comment>
    <comment ref="I5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경상연구개발비반영전
</t>
        </r>
      </text>
    </comment>
    <comment ref="AA5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선급금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자산대체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당기증가분에도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미지급금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I76" authorId="1" shapeId="0" xr:uid="{ADAE8D38-898E-4927-810F-ACD7B03CD654}">
      <text>
        <r>
          <rPr>
            <b/>
            <sz val="9"/>
            <color indexed="81"/>
            <rFont val="돋움"/>
            <family val="3"/>
            <charset val="129"/>
          </rPr>
          <t>심상윤</t>
        </r>
        <r>
          <rPr>
            <b/>
            <sz val="9"/>
            <color indexed="81"/>
            <rFont val="Tahoma"/>
            <family val="2"/>
          </rPr>
          <t>(Sangyoon Shim)/</t>
        </r>
        <r>
          <rPr>
            <b/>
            <sz val="9"/>
            <color indexed="81"/>
            <rFont val="돋움"/>
            <family val="3"/>
            <charset val="129"/>
          </rPr>
          <t>회계팀</t>
        </r>
        <r>
          <rPr>
            <b/>
            <sz val="9"/>
            <color indexed="81"/>
            <rFont val="Tahoma"/>
            <family val="2"/>
          </rPr>
          <t>/11ST: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지급이자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M76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미지급이자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  <comment ref="O7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미지급이자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  <comment ref="AA8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선수금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대체
</t>
        </r>
      </text>
    </comment>
    <comment ref="B84" authorId="1" shapeId="0" xr:uid="{8A9E49D3-78B6-4296-8CAF-79E9330871BF}">
      <text>
        <r>
          <rPr>
            <b/>
            <sz val="9"/>
            <color indexed="81"/>
            <rFont val="돋움"/>
            <family val="3"/>
            <charset val="129"/>
          </rPr>
          <t>심상윤</t>
        </r>
        <r>
          <rPr>
            <b/>
            <sz val="9"/>
            <color indexed="81"/>
            <rFont val="Tahoma"/>
            <family val="2"/>
          </rPr>
          <t>(Sangyoon Shim)/</t>
        </r>
        <r>
          <rPr>
            <b/>
            <sz val="9"/>
            <color indexed="81"/>
            <rFont val="돋움"/>
            <family val="3"/>
            <charset val="129"/>
          </rPr>
          <t>회계팀</t>
        </r>
        <r>
          <rPr>
            <b/>
            <sz val="9"/>
            <color indexed="81"/>
            <rFont val="Tahoma"/>
            <family val="2"/>
          </rPr>
          <t>/11ST: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그룹화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I10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Cha, Young-Jun (KR/EX-Audit):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기타지급이자</t>
        </r>
      </text>
    </comment>
  </commentList>
</comments>
</file>

<file path=xl/sharedStrings.xml><?xml version="1.0" encoding="utf-8"?>
<sst xmlns="http://schemas.openxmlformats.org/spreadsheetml/2006/main" count="3932" uniqueCount="1631">
  <si>
    <t>급여조정</t>
  </si>
  <si>
    <t>세무용 감가상각비</t>
  </si>
  <si>
    <t>세무용 감가상각충당</t>
  </si>
  <si>
    <t>자금미수금조정계정</t>
  </si>
  <si>
    <t>자금미지급금조정계정</t>
  </si>
  <si>
    <t>자금이체조정</t>
  </si>
  <si>
    <t>조정계정</t>
  </si>
  <si>
    <t>본지사&amp;자산EXP&amp;조정</t>
  </si>
  <si>
    <t>매출채권매각손실</t>
  </si>
  <si>
    <t>기타지급이자</t>
  </si>
  <si>
    <t>이자비용</t>
  </si>
  <si>
    <t>제예금수입이자</t>
  </si>
  <si>
    <t>이자수익</t>
  </si>
  <si>
    <t>용역매출원가-기타</t>
  </si>
  <si>
    <t>용역매출원가</t>
  </si>
  <si>
    <t>국내매출원가-쇼핑몰</t>
  </si>
  <si>
    <t>상품매출원가</t>
  </si>
  <si>
    <t>소프트웨어상각</t>
  </si>
  <si>
    <t>기타영업권상각</t>
  </si>
  <si>
    <t>고객관계자산상각</t>
  </si>
  <si>
    <t>산업재산권상각</t>
  </si>
  <si>
    <t>무형자산상각비</t>
  </si>
  <si>
    <t>비품상각</t>
  </si>
  <si>
    <t>기계장치상각</t>
  </si>
  <si>
    <t>구축물상각</t>
  </si>
  <si>
    <t>건물상각</t>
  </si>
  <si>
    <t>유형자산상각비</t>
  </si>
  <si>
    <t>포상비</t>
  </si>
  <si>
    <t>사내방송제작비</t>
  </si>
  <si>
    <t>기타조사분석비</t>
  </si>
  <si>
    <t>조사분석비</t>
  </si>
  <si>
    <t>시외출장비</t>
  </si>
  <si>
    <t>야근교통비</t>
  </si>
  <si>
    <t>여비교통비</t>
  </si>
  <si>
    <t>채용비</t>
  </si>
  <si>
    <t>국내교육훈련비</t>
  </si>
  <si>
    <t>교육훈련비</t>
  </si>
  <si>
    <t>피해보상비</t>
  </si>
  <si>
    <t>도서구입비</t>
  </si>
  <si>
    <t>협회비</t>
  </si>
  <si>
    <t>종업원할사업소세</t>
  </si>
  <si>
    <t>세금과공과</t>
  </si>
  <si>
    <t>일반사무용소모품비</t>
  </si>
  <si>
    <t>전산장비소모품비</t>
  </si>
  <si>
    <t>소모품비</t>
  </si>
  <si>
    <t>기타임차료</t>
  </si>
  <si>
    <t>차량임차료</t>
  </si>
  <si>
    <t>사무집기임차료</t>
  </si>
  <si>
    <t>사무실임차료</t>
  </si>
  <si>
    <t>지급임차료</t>
  </si>
  <si>
    <t>사옥수리비</t>
  </si>
  <si>
    <t>수선비</t>
  </si>
  <si>
    <t>제휴수수료</t>
  </si>
  <si>
    <t>기타판촉비</t>
  </si>
  <si>
    <t>판촉행사비용</t>
  </si>
  <si>
    <t>기타매체일반광고비</t>
  </si>
  <si>
    <t>기타일반광고비</t>
  </si>
  <si>
    <t>광고선전비</t>
  </si>
  <si>
    <t>금융수수료</t>
  </si>
  <si>
    <t>물류비</t>
  </si>
  <si>
    <t>자문수수료</t>
  </si>
  <si>
    <t>일반수수료</t>
  </si>
  <si>
    <t>기타외주용역비</t>
  </si>
  <si>
    <t>사옥관리용역비</t>
  </si>
  <si>
    <t>외주용역비</t>
  </si>
  <si>
    <t>고객유지수수료</t>
  </si>
  <si>
    <t>기타전용회선료</t>
  </si>
  <si>
    <t>전용회선료</t>
  </si>
  <si>
    <t>특근자석식비</t>
  </si>
  <si>
    <t>동적요소관리비</t>
  </si>
  <si>
    <t>복지시설운영비</t>
  </si>
  <si>
    <t>장기근속-이자원가-종</t>
  </si>
  <si>
    <t>장기근속-당기근무-종</t>
  </si>
  <si>
    <t>기타일반복리비</t>
  </si>
  <si>
    <t>일반복리건강지원</t>
  </si>
  <si>
    <t>고용보험법정지원금</t>
  </si>
  <si>
    <t>산재보험법정지원금</t>
  </si>
  <si>
    <t>국민연금법정지원금</t>
  </si>
  <si>
    <t>의료보험법정지원금</t>
  </si>
  <si>
    <t>급여성복리비</t>
  </si>
  <si>
    <t>복리후생비</t>
  </si>
  <si>
    <t>퇴직급여-기대수익-임</t>
  </si>
  <si>
    <t>퇴직급여-기대수익-종</t>
  </si>
  <si>
    <t>퇴직급여-이자비용-임</t>
  </si>
  <si>
    <t>퇴직급여-이자비용-종</t>
  </si>
  <si>
    <t>퇴직급여-당기근무-임</t>
  </si>
  <si>
    <t>퇴직급여-당기근무-종</t>
  </si>
  <si>
    <t>퇴직급여</t>
  </si>
  <si>
    <t>용역직인건비</t>
  </si>
  <si>
    <t>계약직급여</t>
  </si>
  <si>
    <t>연월차수당_조정</t>
  </si>
  <si>
    <t>연월차수당</t>
  </si>
  <si>
    <t>휴일근무수당</t>
  </si>
  <si>
    <t>야간근무수당</t>
  </si>
  <si>
    <t>초과근무수당</t>
  </si>
  <si>
    <t>특별상여금</t>
  </si>
  <si>
    <t>정기상여금</t>
  </si>
  <si>
    <t>기본급</t>
  </si>
  <si>
    <t>임원급여-급여</t>
  </si>
  <si>
    <t>급여</t>
  </si>
  <si>
    <t>용역수익-기타</t>
  </si>
  <si>
    <t>용역수익-기타(매입)</t>
  </si>
  <si>
    <t>용역수익-기타(매출)</t>
  </si>
  <si>
    <t>기프티콘 제휴(B2C)</t>
  </si>
  <si>
    <t>기프티콘 B2B수수료</t>
  </si>
  <si>
    <t>기프티콘 미교환B2C</t>
  </si>
  <si>
    <t>용역수익</t>
  </si>
  <si>
    <t>쇼핑몰판매대행수익</t>
  </si>
  <si>
    <t>쇼핑몰상품매출</t>
  </si>
  <si>
    <t>쇼핑몰광고수익</t>
  </si>
  <si>
    <t>기타영업수익</t>
  </si>
  <si>
    <t>부대수익</t>
  </si>
  <si>
    <t>자기주식</t>
  </si>
  <si>
    <t>주식발행초과금</t>
  </si>
  <si>
    <t>보통주</t>
  </si>
  <si>
    <t>보통주자본금</t>
  </si>
  <si>
    <t>자본</t>
  </si>
  <si>
    <t>복구충당부채-고정</t>
  </si>
  <si>
    <t>퇴직사외적립자산-종</t>
  </si>
  <si>
    <t>퇴직보험예치금</t>
  </si>
  <si>
    <t>확정급여채무_종업원</t>
  </si>
  <si>
    <t>확정급여채무_임원</t>
  </si>
  <si>
    <t>퇴직급여충당금</t>
  </si>
  <si>
    <t>임대보증금</t>
  </si>
  <si>
    <t>보증금</t>
  </si>
  <si>
    <t>장기근속채무-종업원</t>
  </si>
  <si>
    <t>장기미지급비용</t>
  </si>
  <si>
    <t>선수수익</t>
  </si>
  <si>
    <t>선수금-화장품몰</t>
  </si>
  <si>
    <t>선수금-도서몰</t>
  </si>
  <si>
    <t>선수금-기타</t>
  </si>
  <si>
    <t>선수금</t>
  </si>
  <si>
    <t>OMP가수금</t>
  </si>
  <si>
    <t>오픈마켓가수금</t>
  </si>
  <si>
    <t>외화일반가수금</t>
  </si>
  <si>
    <t>기타일반가수금(NEW)</t>
  </si>
  <si>
    <t>가수금</t>
  </si>
  <si>
    <t>매출부가세-기타</t>
  </si>
  <si>
    <t>예수금-SyrupPay</t>
  </si>
  <si>
    <t>매출부가세</t>
  </si>
  <si>
    <t>예수금-선불카드</t>
  </si>
  <si>
    <t>예수금-ENT사업</t>
  </si>
  <si>
    <t>예수금-기프_이연</t>
  </si>
  <si>
    <t>예수금-기프티콘</t>
  </si>
  <si>
    <t>예수금-11번가쿠폰</t>
  </si>
  <si>
    <t>예수금-마일리지</t>
  </si>
  <si>
    <t>예수금-전자화폐</t>
  </si>
  <si>
    <t>예수금-쇼핑몰</t>
  </si>
  <si>
    <t>예수금-급여기타</t>
  </si>
  <si>
    <t>예수금-고용보험</t>
  </si>
  <si>
    <t>예수금-건강보험</t>
  </si>
  <si>
    <t>예수금-국민연금</t>
  </si>
  <si>
    <t>예수주민세</t>
  </si>
  <si>
    <t>예수소득세-근로소득</t>
  </si>
  <si>
    <t>예수소득세-퇴직소득</t>
  </si>
  <si>
    <t>예수소득세-사업소득</t>
  </si>
  <si>
    <t>예수소득세-기타소득</t>
  </si>
  <si>
    <t>예수금</t>
  </si>
  <si>
    <t>미지급비용_IB</t>
  </si>
  <si>
    <t>미지급비용_연월차</t>
  </si>
  <si>
    <t>미지급비용</t>
  </si>
  <si>
    <t>기타미지급금-부가세</t>
  </si>
  <si>
    <t>기타미지급금-건강</t>
  </si>
  <si>
    <t>외화미지급금</t>
  </si>
  <si>
    <t>미지급금-Clearing</t>
  </si>
  <si>
    <t>미지급금</t>
  </si>
  <si>
    <t>부채</t>
  </si>
  <si>
    <t>비품건자</t>
  </si>
  <si>
    <t>건설중인 자산</t>
  </si>
  <si>
    <t>컴퓨터소프트웨어</t>
  </si>
  <si>
    <t>기타영업권</t>
  </si>
  <si>
    <t>무형자산_회원권</t>
  </si>
  <si>
    <t>기타의 무형자산</t>
  </si>
  <si>
    <t>고객관계무형자산</t>
  </si>
  <si>
    <t>산업재산권</t>
  </si>
  <si>
    <t>기타유형자산감가상각</t>
  </si>
  <si>
    <t>비품감가상각누계액</t>
  </si>
  <si>
    <t>기타유형고정자산충당금</t>
  </si>
  <si>
    <t>기타유형자산</t>
  </si>
  <si>
    <t>비품</t>
  </si>
  <si>
    <t>기타유형고정자산</t>
  </si>
  <si>
    <t>복구자산_비품_감누</t>
  </si>
  <si>
    <t>복구충당자산충당금</t>
  </si>
  <si>
    <t>복구충당자산_비품</t>
  </si>
  <si>
    <t>복구충당자산</t>
  </si>
  <si>
    <t>기계장치감가상각누계</t>
  </si>
  <si>
    <t>기계장치충당금</t>
  </si>
  <si>
    <t>기계장치</t>
  </si>
  <si>
    <t>구축물감가상각누계액</t>
  </si>
  <si>
    <t>구축물충당금</t>
  </si>
  <si>
    <t>구축물</t>
  </si>
  <si>
    <t>건물감가상각누계액</t>
  </si>
  <si>
    <t>건물충당금</t>
  </si>
  <si>
    <t>건물</t>
  </si>
  <si>
    <t>토지</t>
  </si>
  <si>
    <t>예치보증금-기타</t>
  </si>
  <si>
    <t>예치보증금-회원가입</t>
  </si>
  <si>
    <t>장기예치금</t>
  </si>
  <si>
    <t>임차보증금</t>
  </si>
  <si>
    <t>지분법적용투자주식</t>
  </si>
  <si>
    <t>비유동자산</t>
  </si>
  <si>
    <t>재고자산-기타</t>
  </si>
  <si>
    <t>국내상품-쇼핑몰</t>
  </si>
  <si>
    <t>상품</t>
  </si>
  <si>
    <t>가지급금</t>
  </si>
  <si>
    <t>기타의 당좌자산</t>
  </si>
  <si>
    <t>선납법인세</t>
  </si>
  <si>
    <t>과세매입부가세</t>
  </si>
  <si>
    <t>매입부가세</t>
  </si>
  <si>
    <t>기타선급비용</t>
  </si>
  <si>
    <t>선급외주용역비</t>
  </si>
  <si>
    <t>기타광고선급비용</t>
  </si>
  <si>
    <t>선급일반수수료</t>
  </si>
  <si>
    <t>선급배상책임보험료</t>
  </si>
  <si>
    <t>선급화재보험료</t>
  </si>
  <si>
    <t>선급비용</t>
  </si>
  <si>
    <t>선급금-비용대체</t>
  </si>
  <si>
    <t>선급금-자산대체</t>
  </si>
  <si>
    <t>선급금</t>
  </si>
  <si>
    <t>기타미수수익</t>
  </si>
  <si>
    <t>미수이자-제예금</t>
  </si>
  <si>
    <t>미수수익</t>
  </si>
  <si>
    <t>미수금대충</t>
  </si>
  <si>
    <t>미수금-급여기타</t>
  </si>
  <si>
    <t>미수금-건강보험</t>
  </si>
  <si>
    <t>미수금-국민연금</t>
  </si>
  <si>
    <t>미수금-기타(non-rec)</t>
  </si>
  <si>
    <t>미수금-부도채권</t>
  </si>
  <si>
    <t>미수금-거래처(recon)</t>
  </si>
  <si>
    <t>미수금11번가-셀러</t>
  </si>
  <si>
    <t>미수금11번가-지급유</t>
  </si>
  <si>
    <t>미수금11번가-카드(거</t>
  </si>
  <si>
    <t>미수금</t>
  </si>
  <si>
    <t>외상매출금대충</t>
  </si>
  <si>
    <t>매출채권-대손충당금</t>
  </si>
  <si>
    <t>외상매출금-기타</t>
  </si>
  <si>
    <t>매출채권</t>
  </si>
  <si>
    <t>정기예금</t>
  </si>
  <si>
    <t>환매채(RP)</t>
  </si>
  <si>
    <t>단기금융상품</t>
  </si>
  <si>
    <t>예금-금전신탁</t>
  </si>
  <si>
    <t>현금예금</t>
  </si>
  <si>
    <t>유동자산</t>
  </si>
  <si>
    <t>제품매출원가</t>
  </si>
  <si>
    <t>업무추진비</t>
  </si>
  <si>
    <t>영업용소모품비</t>
  </si>
  <si>
    <t>기프티콘 기타(B2C)</t>
  </si>
  <si>
    <t>기프티콘 기타(B2B)</t>
  </si>
  <si>
    <t>기프티콘 제휴(B2B)</t>
  </si>
  <si>
    <t>기프티콘 미교환B2B</t>
  </si>
  <si>
    <t>쇼핑몰부가수익</t>
  </si>
  <si>
    <t>제품매출-수출매출</t>
  </si>
  <si>
    <t>제품매출-국내매출</t>
  </si>
  <si>
    <t>우선주</t>
  </si>
  <si>
    <t>예수금-기프티콘캐쉬</t>
  </si>
  <si>
    <t>미지급금-셀러지급보</t>
  </si>
  <si>
    <t>고객관계상각누계액</t>
  </si>
  <si>
    <t>국내상품-평가충당금</t>
  </si>
  <si>
    <t>제품-평가충당금</t>
  </si>
  <si>
    <t>제품-타계정출</t>
  </si>
  <si>
    <t>제품</t>
  </si>
  <si>
    <t>선납지방세</t>
  </si>
  <si>
    <t>누계잔액</t>
  </si>
  <si>
    <t>누계대변</t>
  </si>
  <si>
    <t>누계차변</t>
  </si>
  <si>
    <t>당월차이</t>
  </si>
  <si>
    <t>당월대변</t>
  </si>
  <si>
    <t>당월차변</t>
  </si>
  <si>
    <t>당월기초</t>
  </si>
  <si>
    <t>연도기초</t>
  </si>
  <si>
    <t>계정명칭</t>
  </si>
  <si>
    <t>계정코드</t>
  </si>
  <si>
    <t>중분류</t>
  </si>
  <si>
    <t>대분류</t>
  </si>
  <si>
    <t>구분</t>
    <phoneticPr fontId="2" type="noConversion"/>
  </si>
  <si>
    <t>대분류</t>
    <phoneticPr fontId="2" type="noConversion"/>
  </si>
  <si>
    <t>중분류</t>
    <phoneticPr fontId="2" type="noConversion"/>
  </si>
  <si>
    <t>계정</t>
    <phoneticPr fontId="2" type="noConversion"/>
  </si>
  <si>
    <t>계정과목</t>
    <phoneticPr fontId="2" type="noConversion"/>
  </si>
  <si>
    <t>공시용재무제표</t>
    <phoneticPr fontId="2" type="noConversion"/>
  </si>
  <si>
    <t>분류</t>
    <phoneticPr fontId="2" type="noConversion"/>
  </si>
  <si>
    <t>코드</t>
    <phoneticPr fontId="2" type="noConversion"/>
  </si>
  <si>
    <t>자산 총계</t>
    <phoneticPr fontId="2" type="noConversion"/>
  </si>
  <si>
    <t>현금및현금성자산</t>
  </si>
  <si>
    <t>소분류</t>
    <phoneticPr fontId="4" type="noConversion"/>
  </si>
  <si>
    <t>소분류</t>
  </si>
  <si>
    <t>예금-금전신탁</t>
    <phoneticPr fontId="2" type="noConversion"/>
  </si>
  <si>
    <t>신한 11번가 해외판매자 정산 계좌</t>
  </si>
  <si>
    <t>외환 외화 Multi Currencies 계좌</t>
  </si>
  <si>
    <t>중분류</t>
    <phoneticPr fontId="2" type="noConversion"/>
  </si>
  <si>
    <t>중분류</t>
    <phoneticPr fontId="2" type="noConversion"/>
  </si>
  <si>
    <t>소분류</t>
    <phoneticPr fontId="2" type="noConversion"/>
  </si>
  <si>
    <t>보증금</t>
    <phoneticPr fontId="2" type="noConversion"/>
  </si>
  <si>
    <t>이연법인세자산-유동자산</t>
  </si>
  <si>
    <t>이연법인세자산-유동</t>
  </si>
  <si>
    <t>이연법인세자산</t>
    <phoneticPr fontId="4" type="noConversion"/>
  </si>
  <si>
    <t>재고자산</t>
  </si>
  <si>
    <t>중분류</t>
    <phoneticPr fontId="2" type="noConversion"/>
  </si>
  <si>
    <t>임차보증금_현할차</t>
  </si>
  <si>
    <t>토지건자</t>
  </si>
  <si>
    <t>건물건자</t>
  </si>
  <si>
    <t>기계장치건자</t>
  </si>
  <si>
    <t>대분류</t>
    <phoneticPr fontId="2" type="noConversion"/>
  </si>
  <si>
    <t>부채 총계</t>
    <phoneticPr fontId="2" type="noConversion"/>
  </si>
  <si>
    <t>유동부채</t>
    <phoneticPr fontId="2" type="noConversion"/>
  </si>
  <si>
    <t>기타미지급금</t>
  </si>
  <si>
    <t>미지급법인세</t>
  </si>
  <si>
    <t>당기법인세부채</t>
  </si>
  <si>
    <t>미지급비용_11번가</t>
  </si>
  <si>
    <t>미지급이자</t>
  </si>
  <si>
    <t>예수소득세-이자소득</t>
  </si>
  <si>
    <t>예수소득세-비거주자</t>
  </si>
  <si>
    <t>예수소득세-다량기타</t>
  </si>
  <si>
    <t>예수소득세-다량사업</t>
  </si>
  <si>
    <t>예수농특세</t>
  </si>
  <si>
    <t>매출부가세-청구</t>
  </si>
  <si>
    <t>충당부채-유동부채</t>
  </si>
  <si>
    <t>충당부채-유동</t>
  </si>
  <si>
    <t>충당부채</t>
    <phoneticPr fontId="2" type="noConversion"/>
  </si>
  <si>
    <t>비유동부채</t>
    <phoneticPr fontId="2" type="noConversion"/>
  </si>
  <si>
    <t>장기근속채무-임원</t>
  </si>
  <si>
    <t>소분류</t>
    <phoneticPr fontId="2" type="noConversion"/>
  </si>
  <si>
    <t>임대보증금</t>
    <phoneticPr fontId="2" type="noConversion"/>
  </si>
  <si>
    <t>이연법인세부채</t>
    <phoneticPr fontId="2" type="noConversion"/>
  </si>
  <si>
    <t>이연법인세부채-고정</t>
  </si>
  <si>
    <t>자본금</t>
  </si>
  <si>
    <t>자기주식</t>
    <phoneticPr fontId="2" type="noConversion"/>
  </si>
  <si>
    <t>전기이월이익잉여금</t>
  </si>
  <si>
    <t>이월이익잉여금</t>
    <phoneticPr fontId="2" type="noConversion"/>
  </si>
  <si>
    <t>당기순이익</t>
    <phoneticPr fontId="2" type="noConversion"/>
  </si>
  <si>
    <t>이익잉여-보험손익-종</t>
  </si>
  <si>
    <t>보험수리적손익</t>
  </si>
  <si>
    <t>포괄보험손익-자산-종</t>
  </si>
  <si>
    <t>포괄보험손익-부채-종</t>
  </si>
  <si>
    <t>대분류</t>
    <phoneticPr fontId="2" type="noConversion"/>
  </si>
  <si>
    <t>부채와 자본 총계</t>
    <phoneticPr fontId="2" type="noConversion"/>
  </si>
  <si>
    <t>영업수익</t>
    <phoneticPr fontId="2" type="noConversion"/>
  </si>
  <si>
    <t>영업수익</t>
  </si>
  <si>
    <t>영업비용</t>
    <phoneticPr fontId="2" type="noConversion"/>
  </si>
  <si>
    <t>지급수수료</t>
  </si>
  <si>
    <t>판매비용</t>
  </si>
  <si>
    <t>종업원급여</t>
  </si>
  <si>
    <t>사옥관리용역비</t>
    <phoneticPr fontId="9" type="noConversion"/>
  </si>
  <si>
    <t>IT O/S용역비</t>
    <phoneticPr fontId="9" type="noConversion"/>
  </si>
  <si>
    <t>기타외주용역비</t>
    <phoneticPr fontId="9" type="noConversion"/>
  </si>
  <si>
    <t>물류비</t>
    <phoneticPr fontId="4" type="noConversion"/>
  </si>
  <si>
    <t>기타일반수수료</t>
    <phoneticPr fontId="9" type="noConversion"/>
  </si>
  <si>
    <t>임차료</t>
  </si>
  <si>
    <t>통신비</t>
  </si>
  <si>
    <t>자가사용통신비</t>
  </si>
  <si>
    <t>일반통신비</t>
  </si>
  <si>
    <t>수도광열비</t>
  </si>
  <si>
    <t>일반수도광열비</t>
  </si>
  <si>
    <t>건물분 재산세</t>
  </si>
  <si>
    <t>토지분 재산세</t>
  </si>
  <si>
    <t>종합부동산세</t>
  </si>
  <si>
    <t>법인균등할주민세</t>
  </si>
  <si>
    <t>재산할사업소세</t>
  </si>
  <si>
    <t>기타세금과공과</t>
  </si>
  <si>
    <t>차량유지비</t>
  </si>
  <si>
    <t>직책자교통비</t>
  </si>
  <si>
    <t>임원차량유지비</t>
  </si>
  <si>
    <t>보험료</t>
  </si>
  <si>
    <t>화재보험료</t>
  </si>
  <si>
    <t>배상책임보험료</t>
  </si>
  <si>
    <t>기타보험료</t>
  </si>
  <si>
    <t>해외교육훈련비</t>
  </si>
  <si>
    <t>기타교육훈련비</t>
  </si>
  <si>
    <t>시내출장비</t>
  </si>
  <si>
    <t>해외출장비</t>
  </si>
  <si>
    <t>정보이용료</t>
  </si>
  <si>
    <t>회의비</t>
  </si>
  <si>
    <t>부서회의비</t>
  </si>
  <si>
    <t>업무회의비</t>
  </si>
  <si>
    <t>노사협의비</t>
  </si>
  <si>
    <t>접대비</t>
  </si>
  <si>
    <t>접대비-대외경조사비</t>
  </si>
  <si>
    <t>임원동적요소비</t>
  </si>
  <si>
    <t>대손상각비</t>
  </si>
  <si>
    <t>대손충당금환입</t>
  </si>
  <si>
    <t>경상개발비</t>
  </si>
  <si>
    <t>연구개발용역비</t>
  </si>
  <si>
    <t xml:space="preserve">연구및경상개발비 </t>
    <phoneticPr fontId="9" type="noConversion"/>
  </si>
  <si>
    <t>감가상각비</t>
    <phoneticPr fontId="9" type="noConversion"/>
  </si>
  <si>
    <t>감가상각비</t>
  </si>
  <si>
    <t>무형자산상각비</t>
    <phoneticPr fontId="9" type="noConversion"/>
  </si>
  <si>
    <t>상품및기타구입비용</t>
  </si>
  <si>
    <t>수입임대료</t>
  </si>
  <si>
    <t>기타임대수익</t>
  </si>
  <si>
    <t>수입수수료</t>
  </si>
  <si>
    <t>기타수입수수료</t>
  </si>
  <si>
    <t>유형자산처분익</t>
  </si>
  <si>
    <t>무형자산처분익</t>
  </si>
  <si>
    <t>잡이익</t>
  </si>
  <si>
    <t>기타잡이익</t>
  </si>
  <si>
    <t>기부금</t>
  </si>
  <si>
    <t>법정기부금</t>
  </si>
  <si>
    <t>지정기부금</t>
  </si>
  <si>
    <t>기타기부금</t>
  </si>
  <si>
    <t>기타의대손상각비</t>
  </si>
  <si>
    <t>미수금대손상각</t>
  </si>
  <si>
    <t>기타대손상각</t>
  </si>
  <si>
    <t>유형자산처분손실</t>
  </si>
  <si>
    <t>무형자산처분손실</t>
  </si>
  <si>
    <t>기타영업외비용</t>
  </si>
  <si>
    <t>잡손실</t>
  </si>
  <si>
    <t>자산손상차손</t>
  </si>
  <si>
    <t>기타자산손상차손</t>
  </si>
  <si>
    <t>유형자산손상차손</t>
  </si>
  <si>
    <t>무형자산손상차손</t>
  </si>
  <si>
    <t>금융수익</t>
    <phoneticPr fontId="2" type="noConversion"/>
  </si>
  <si>
    <t>이자수익</t>
    <phoneticPr fontId="9" type="noConversion"/>
  </si>
  <si>
    <t>수입이자_임차보증금</t>
  </si>
  <si>
    <t>기타수입이자</t>
  </si>
  <si>
    <t>외환차익</t>
  </si>
  <si>
    <t>외환차익-금융</t>
  </si>
  <si>
    <t>외환차익-가격차</t>
  </si>
  <si>
    <t>외환차익-영업</t>
  </si>
  <si>
    <t>외화환산이익</t>
  </si>
  <si>
    <t>외화미지급금환산익</t>
  </si>
  <si>
    <t>외화환산이익</t>
    <phoneticPr fontId="9" type="noConversion"/>
  </si>
  <si>
    <t>외화환산익_금융기타</t>
  </si>
  <si>
    <t>외화환산이익-영업</t>
  </si>
  <si>
    <t>금융비용</t>
    <phoneticPr fontId="2" type="noConversion"/>
  </si>
  <si>
    <t>이자비용</t>
    <phoneticPr fontId="2" type="noConversion"/>
  </si>
  <si>
    <t>이자비용</t>
    <phoneticPr fontId="9" type="noConversion"/>
  </si>
  <si>
    <t>외환차손</t>
    <phoneticPr fontId="2" type="noConversion"/>
  </si>
  <si>
    <t>외환차손-금융</t>
  </si>
  <si>
    <t>외환차손</t>
    <phoneticPr fontId="9" type="noConversion"/>
  </si>
  <si>
    <t>외환차손-가격차</t>
  </si>
  <si>
    <t>외환차손</t>
  </si>
  <si>
    <t>외환차손-영업</t>
  </si>
  <si>
    <t>외화환산손실</t>
    <phoneticPr fontId="2" type="noConversion"/>
  </si>
  <si>
    <t>외화미지급금환산손실</t>
  </si>
  <si>
    <t>외화환산손실</t>
  </si>
  <si>
    <t>외화환산손_금융기타</t>
  </si>
  <si>
    <t>외화환산손실-영업</t>
  </si>
  <si>
    <t>법인세비용차감전이익(손실)</t>
    <phoneticPr fontId="2" type="noConversion"/>
  </si>
  <si>
    <t>법인세</t>
  </si>
  <si>
    <t>주민세</t>
  </si>
  <si>
    <t>당기순이익(손실)</t>
    <phoneticPr fontId="2" type="noConversion"/>
  </si>
  <si>
    <t>산업재산권상각누계액</t>
    <phoneticPr fontId="2" type="noConversion"/>
  </si>
  <si>
    <t>고객관계상각누계액</t>
    <phoneticPr fontId="2" type="noConversion"/>
  </si>
  <si>
    <t>컴퓨터SW상각누계액</t>
    <phoneticPr fontId="2" type="noConversion"/>
  </si>
  <si>
    <t>복구충당자산충당금</t>
    <phoneticPr fontId="2" type="noConversion"/>
  </si>
  <si>
    <t>복구충당자산</t>
    <phoneticPr fontId="2" type="noConversion"/>
  </si>
  <si>
    <t>무형자산_회원권</t>
    <phoneticPr fontId="2" type="noConversion"/>
  </si>
  <si>
    <t>기타영업권상각누계액</t>
    <phoneticPr fontId="2" type="noConversion"/>
  </si>
  <si>
    <t>미지급금-CP정산</t>
    <phoneticPr fontId="2" type="noConversion"/>
  </si>
  <si>
    <t>충당부채</t>
    <phoneticPr fontId="2" type="noConversion"/>
  </si>
  <si>
    <t>자본 총계</t>
    <phoneticPr fontId="2" type="noConversion"/>
  </si>
  <si>
    <t>판매수수료</t>
    <phoneticPr fontId="2" type="noConversion"/>
  </si>
  <si>
    <t>기타영업비용</t>
    <phoneticPr fontId="2" type="noConversion"/>
  </si>
  <si>
    <t>-</t>
    <phoneticPr fontId="2" type="noConversion"/>
  </si>
  <si>
    <t>기타영업외수익</t>
    <phoneticPr fontId="2" type="noConversion"/>
  </si>
  <si>
    <t>기타영업외비용</t>
    <phoneticPr fontId="2" type="noConversion"/>
  </si>
  <si>
    <t>영업용소모품비</t>
    <phoneticPr fontId="2" type="noConversion"/>
  </si>
  <si>
    <t>11번가외주비_시스템</t>
    <phoneticPr fontId="2" type="noConversion"/>
  </si>
  <si>
    <t>11번가외주비_인건비</t>
    <phoneticPr fontId="2" type="noConversion"/>
  </si>
  <si>
    <t>11번가외주비_콜센터</t>
    <phoneticPr fontId="2" type="noConversion"/>
  </si>
  <si>
    <t>상품매출</t>
    <phoneticPr fontId="2" type="noConversion"/>
  </si>
  <si>
    <t>Commerce</t>
    <phoneticPr fontId="2" type="noConversion"/>
  </si>
  <si>
    <t>용역수익</t>
    <phoneticPr fontId="2" type="noConversion"/>
  </si>
  <si>
    <t>쇼핑몰부가수익</t>
    <phoneticPr fontId="2" type="noConversion"/>
  </si>
  <si>
    <t>구축물</t>
    <phoneticPr fontId="2" type="noConversion"/>
  </si>
  <si>
    <t>구축물감가상각누계액</t>
    <phoneticPr fontId="2" type="noConversion"/>
  </si>
  <si>
    <t>외상매출금-추정(거래처)</t>
    <phoneticPr fontId="2" type="noConversion"/>
  </si>
  <si>
    <t>미수금11번가-카드(거래처)</t>
    <phoneticPr fontId="2" type="noConversion"/>
  </si>
  <si>
    <t>미수금11번가-지급유예(거래처)</t>
    <phoneticPr fontId="2" type="noConversion"/>
  </si>
  <si>
    <t>미수금-기타(non-recon)</t>
    <phoneticPr fontId="2" type="noConversion"/>
  </si>
  <si>
    <t>기계장치감가상각누계액</t>
    <phoneticPr fontId="2" type="noConversion"/>
  </si>
  <si>
    <t>미지급금-셀러지급보류</t>
    <phoneticPr fontId="2" type="noConversion"/>
  </si>
  <si>
    <t>예수금-기프티콘_낙전이연</t>
    <phoneticPr fontId="2" type="noConversion"/>
  </si>
  <si>
    <t>금융수수료</t>
    <phoneticPr fontId="2" type="noConversion"/>
  </si>
  <si>
    <t>(Proposed)</t>
    <phoneticPr fontId="2" type="noConversion"/>
  </si>
  <si>
    <t>미수수익</t>
    <phoneticPr fontId="2" type="noConversion"/>
  </si>
  <si>
    <t>현금및현금성자산</t>
    <phoneticPr fontId="2" type="noConversion"/>
  </si>
  <si>
    <t>매출채권</t>
    <phoneticPr fontId="2" type="noConversion"/>
  </si>
  <si>
    <t>미수금</t>
    <phoneticPr fontId="2" type="noConversion"/>
  </si>
  <si>
    <t>미지급금</t>
    <phoneticPr fontId="2" type="noConversion"/>
  </si>
  <si>
    <t>예수금</t>
    <phoneticPr fontId="2" type="noConversion"/>
  </si>
  <si>
    <t>SAD</t>
    <phoneticPr fontId="2" type="noConversion"/>
  </si>
  <si>
    <t>(Dr)</t>
    <phoneticPr fontId="2" type="noConversion"/>
  </si>
  <si>
    <t>(Cr)</t>
    <phoneticPr fontId="2" type="noConversion"/>
  </si>
  <si>
    <t>(Reviewed)</t>
    <phoneticPr fontId="2" type="noConversion"/>
  </si>
  <si>
    <t>Diff. ratio 
(%)</t>
    <phoneticPr fontId="2" type="noConversion"/>
  </si>
  <si>
    <t>Diff.
(KRW)</t>
    <phoneticPr fontId="2" type="noConversion"/>
  </si>
  <si>
    <t>관계회사주식</t>
  </si>
  <si>
    <t>충당부채</t>
  </si>
  <si>
    <t>우선주자본금</t>
  </si>
  <si>
    <t>Commerce</t>
  </si>
  <si>
    <t>상품매출</t>
  </si>
  <si>
    <t>기프티콘</t>
  </si>
  <si>
    <t>비용</t>
  </si>
  <si>
    <t>일반복리생수비</t>
  </si>
  <si>
    <t>고객유지</t>
  </si>
  <si>
    <t>사옥관리비</t>
  </si>
  <si>
    <t>업무지원비</t>
  </si>
  <si>
    <t>기타관리비용</t>
  </si>
  <si>
    <t>접대성경비</t>
  </si>
  <si>
    <t>영업외손익</t>
  </si>
  <si>
    <t>유동자산처분손실</t>
  </si>
  <si>
    <t>구축물충당금</t>
    <phoneticPr fontId="2" type="noConversion"/>
  </si>
  <si>
    <t>단기금융상품</t>
    <phoneticPr fontId="2" type="noConversion"/>
  </si>
  <si>
    <t>선급금</t>
    <phoneticPr fontId="2" type="noConversion"/>
  </si>
  <si>
    <t>선급비용</t>
    <phoneticPr fontId="2" type="noConversion"/>
  </si>
  <si>
    <t>재고자산</t>
    <phoneticPr fontId="2" type="noConversion"/>
  </si>
  <si>
    <t>기타유동자산</t>
    <phoneticPr fontId="2" type="noConversion"/>
  </si>
  <si>
    <t>영업</t>
    <phoneticPr fontId="2" type="noConversion"/>
  </si>
  <si>
    <t>투자</t>
    <phoneticPr fontId="2" type="noConversion"/>
  </si>
  <si>
    <t>CF분류</t>
    <phoneticPr fontId="2" type="noConversion"/>
  </si>
  <si>
    <t>유형자산</t>
    <phoneticPr fontId="2" type="noConversion"/>
  </si>
  <si>
    <t>무형자산</t>
    <phoneticPr fontId="2" type="noConversion"/>
  </si>
  <si>
    <t>법인세</t>
    <phoneticPr fontId="2" type="noConversion"/>
  </si>
  <si>
    <t>예수금-기타판매</t>
  </si>
  <si>
    <t>카드미지급금</t>
  </si>
  <si>
    <t>이연법인세자산-고정</t>
  </si>
  <si>
    <t>기말</t>
    <phoneticPr fontId="2" type="noConversion"/>
  </si>
  <si>
    <t>기초</t>
    <phoneticPr fontId="2" type="noConversion"/>
  </si>
  <si>
    <t>영업활동 현금흐름</t>
    <phoneticPr fontId="16" type="noConversion"/>
  </si>
  <si>
    <t>투자활동으로 인한 현금흐름</t>
    <phoneticPr fontId="16" type="noConversion"/>
  </si>
  <si>
    <t>재무활동으로 인한 현금흐름</t>
    <phoneticPr fontId="16" type="noConversion"/>
  </si>
  <si>
    <t>현금유출입이없는거래</t>
    <phoneticPr fontId="16" type="noConversion"/>
  </si>
  <si>
    <t>비용</t>
    <phoneticPr fontId="16" type="noConversion"/>
  </si>
  <si>
    <t>수익</t>
    <phoneticPr fontId="16" type="noConversion"/>
  </si>
  <si>
    <t>자산/부채 증감</t>
    <phoneticPr fontId="16" type="noConversion"/>
  </si>
  <si>
    <t>유입</t>
    <phoneticPr fontId="16" type="noConversion"/>
  </si>
  <si>
    <t>유출</t>
    <phoneticPr fontId="16" type="noConversion"/>
  </si>
  <si>
    <t>현금가산</t>
    <phoneticPr fontId="16" type="noConversion"/>
  </si>
  <si>
    <t>현금차감</t>
    <phoneticPr fontId="16" type="noConversion"/>
  </si>
  <si>
    <t>계정</t>
    <phoneticPr fontId="16" type="noConversion"/>
  </si>
  <si>
    <t>금액</t>
    <phoneticPr fontId="16" type="noConversion"/>
  </si>
  <si>
    <t>증감</t>
    <phoneticPr fontId="2" type="noConversion"/>
  </si>
  <si>
    <t>검증</t>
    <phoneticPr fontId="2" type="noConversion"/>
  </si>
  <si>
    <t>대손상각비</t>
    <phoneticPr fontId="2" type="noConversion"/>
  </si>
  <si>
    <t>이자수익</t>
    <phoneticPr fontId="2" type="noConversion"/>
  </si>
  <si>
    <t>건설중인자산의 증가</t>
    <phoneticPr fontId="2" type="noConversion"/>
  </si>
  <si>
    <t>현금</t>
    <phoneticPr fontId="2" type="noConversion"/>
  </si>
  <si>
    <t>미수수익증가</t>
    <phoneticPr fontId="2" type="noConversion"/>
  </si>
  <si>
    <t>미수수익감소</t>
    <phoneticPr fontId="2" type="noConversion"/>
  </si>
  <si>
    <t>이연법인세자산</t>
  </si>
  <si>
    <t>법인세비용(수익)</t>
    <phoneticPr fontId="2" type="noConversion"/>
  </si>
  <si>
    <t>법인세비용(수익)</t>
    <phoneticPr fontId="9" type="noConversion"/>
  </si>
  <si>
    <t>이연법인세자산</t>
    <phoneticPr fontId="4" type="noConversion"/>
  </si>
  <si>
    <t>이연법인세자산-고정자산</t>
    <phoneticPr fontId="2" type="noConversion"/>
  </si>
  <si>
    <t>미지급비용</t>
    <phoneticPr fontId="2" type="noConversion"/>
  </si>
  <si>
    <t>이연법인세자산대체</t>
  </si>
  <si>
    <t>&lt;제예금만 넣고, 기타미수수익은 영업활동</t>
    <phoneticPr fontId="2" type="noConversion"/>
  </si>
  <si>
    <t>고정자산 미지급금</t>
    <phoneticPr fontId="2" type="noConversion"/>
  </si>
  <si>
    <t>구분</t>
    <phoneticPr fontId="4" type="noConversion"/>
  </si>
  <si>
    <t>판매비와관리비</t>
    <phoneticPr fontId="4" type="noConversion"/>
  </si>
  <si>
    <t>CF</t>
    <phoneticPr fontId="4" type="noConversion"/>
  </si>
  <si>
    <t>검증</t>
    <phoneticPr fontId="4" type="noConversion"/>
  </si>
  <si>
    <t>이자수익</t>
    <phoneticPr fontId="28" type="noConversion"/>
  </si>
  <si>
    <t>유형자산처분손실</t>
    <phoneticPr fontId="28" type="noConversion"/>
  </si>
  <si>
    <t>당기중현금증감</t>
  </si>
  <si>
    <t>기초현금흐름</t>
  </si>
  <si>
    <t>현금의 환율변동효과</t>
    <phoneticPr fontId="28" type="noConversion"/>
  </si>
  <si>
    <t>기말현금흐름</t>
  </si>
  <si>
    <t>장부</t>
  </si>
  <si>
    <t>감가상각비</t>
    <phoneticPr fontId="2" type="noConversion"/>
  </si>
  <si>
    <t>무형자산상각비</t>
    <phoneticPr fontId="2" type="noConversion"/>
  </si>
  <si>
    <t>외화환산이익</t>
    <phoneticPr fontId="2" type="noConversion"/>
  </si>
  <si>
    <t>대손상각비</t>
    <phoneticPr fontId="9" type="noConversion"/>
  </si>
  <si>
    <t>자산감소/부채증가</t>
  </si>
  <si>
    <t>자산증가/부채감소</t>
  </si>
  <si>
    <t>금액(영업+)</t>
    <phoneticPr fontId="2" type="noConversion"/>
  </si>
  <si>
    <t>금액(영업-)</t>
    <phoneticPr fontId="2" type="noConversion"/>
  </si>
  <si>
    <t>법인세의 납부</t>
  </si>
  <si>
    <t>기계장치의 처분</t>
    <phoneticPr fontId="9" type="noConversion"/>
  </si>
  <si>
    <t>비품의 처분</t>
  </si>
  <si>
    <t>선급비용의 감소</t>
  </si>
  <si>
    <t>건설중인자산의 폐기처분</t>
    <phoneticPr fontId="9" type="noConversion"/>
  </si>
  <si>
    <t>미수수익의 감소</t>
  </si>
  <si>
    <t>예수금의 감소</t>
  </si>
  <si>
    <t>기타유동자산의 감소</t>
  </si>
  <si>
    <t>법인세의 납부</t>
    <phoneticPr fontId="9" type="noConversion"/>
  </si>
  <si>
    <t>미지급금의 증가</t>
    <phoneticPr fontId="9" type="noConversion"/>
  </si>
  <si>
    <t>미지급비용의 증가</t>
  </si>
  <si>
    <t>장기미지급비용의 증가</t>
    <phoneticPr fontId="9" type="noConversion"/>
  </si>
  <si>
    <t>선급금의 감소</t>
  </si>
  <si>
    <t>선급금의 감소</t>
    <phoneticPr fontId="9" type="noConversion"/>
  </si>
  <si>
    <t>선급비용의 감소</t>
    <phoneticPr fontId="9" type="noConversion"/>
  </si>
  <si>
    <t>매출채권의 증가</t>
  </si>
  <si>
    <t>매출채권의 증가</t>
    <phoneticPr fontId="9" type="noConversion"/>
  </si>
  <si>
    <t>미수금의 증가</t>
  </si>
  <si>
    <t>미수금의 증가</t>
    <phoneticPr fontId="9" type="noConversion"/>
  </si>
  <si>
    <t>예수금의 감소</t>
    <phoneticPr fontId="9" type="noConversion"/>
  </si>
  <si>
    <t>건설중인자산의 증가</t>
  </si>
  <si>
    <t>합계</t>
    <phoneticPr fontId="9" type="noConversion"/>
  </si>
  <si>
    <t>미지급금</t>
    <phoneticPr fontId="9" type="noConversion"/>
  </si>
  <si>
    <t>FN0040(유형자산 등의 취득 관련 미지급금)</t>
    <phoneticPr fontId="9" type="noConversion"/>
  </si>
  <si>
    <t>영업</t>
    <phoneticPr fontId="9" type="noConversion"/>
  </si>
  <si>
    <t>재무</t>
    <phoneticPr fontId="9" type="noConversion"/>
  </si>
  <si>
    <t>&lt;영업활동현금흐름&gt;</t>
    <phoneticPr fontId="9" type="noConversion"/>
  </si>
  <si>
    <t>&lt;투자활동현금흐름&gt;</t>
    <phoneticPr fontId="9" type="noConversion"/>
  </si>
  <si>
    <t>&lt;재무활동현금흐름&gt;</t>
    <phoneticPr fontId="9" type="noConversion"/>
  </si>
  <si>
    <t>2011</t>
  </si>
  <si>
    <t>2012</t>
  </si>
  <si>
    <t>2031</t>
  </si>
  <si>
    <t>2259</t>
  </si>
  <si>
    <t>2272</t>
  </si>
  <si>
    <t>2271</t>
  </si>
  <si>
    <t>2071</t>
  </si>
  <si>
    <t>2081</t>
  </si>
  <si>
    <t>2179</t>
  </si>
  <si>
    <t>2181</t>
  </si>
  <si>
    <t>2231</t>
  </si>
  <si>
    <t>2239</t>
  </si>
  <si>
    <t>2417</t>
  </si>
  <si>
    <t>2279</t>
  </si>
  <si>
    <t>2611</t>
  </si>
  <si>
    <t>2621</t>
  </si>
  <si>
    <t>2622</t>
  </si>
  <si>
    <t>2651</t>
  </si>
  <si>
    <t>2652</t>
  </si>
  <si>
    <t>2691</t>
  </si>
  <si>
    <t>2631</t>
  </si>
  <si>
    <t>2632</t>
  </si>
  <si>
    <t>2741</t>
  </si>
  <si>
    <t>2785</t>
  </si>
  <si>
    <t>2789</t>
  </si>
  <si>
    <t>2792</t>
  </si>
  <si>
    <t>2852</t>
  </si>
  <si>
    <t>2858</t>
  </si>
  <si>
    <t>2901</t>
  </si>
  <si>
    <t>2893</t>
  </si>
  <si>
    <t>4052</t>
  </si>
  <si>
    <t>4062</t>
  </si>
  <si>
    <t>4064</t>
  </si>
  <si>
    <t>4051</t>
  </si>
  <si>
    <t>4099</t>
  </si>
  <si>
    <t>4101</t>
  </si>
  <si>
    <t>4109</t>
  </si>
  <si>
    <t>4162</t>
  </si>
  <si>
    <t>4179</t>
  </si>
  <si>
    <t>4372</t>
  </si>
  <si>
    <t>4432</t>
  </si>
  <si>
    <t>4442</t>
  </si>
  <si>
    <t>4471</t>
  </si>
  <si>
    <t>4611</t>
  </si>
  <si>
    <t>4621</t>
  </si>
  <si>
    <t>4663</t>
  </si>
  <si>
    <t>2721</t>
  </si>
  <si>
    <t>2722</t>
  </si>
  <si>
    <t>기타영업비용</t>
  </si>
  <si>
    <t>선급금대충</t>
  </si>
  <si>
    <t>사보제작비</t>
  </si>
  <si>
    <t>사내홍보행사비</t>
  </si>
  <si>
    <t>사무집기수선비</t>
  </si>
  <si>
    <t>OCB 매출원가</t>
  </si>
  <si>
    <t>용역매출원가-기프티</t>
  </si>
  <si>
    <t>사내행사비</t>
  </si>
  <si>
    <t>영업활동지원비</t>
  </si>
  <si>
    <t>기타영업비용</t>
    <phoneticPr fontId="2" type="noConversion"/>
  </si>
  <si>
    <t>잡비</t>
  </si>
  <si>
    <t>사무용인쇄비</t>
  </si>
  <si>
    <t>기타후생복리비</t>
  </si>
  <si>
    <t>기타수당</t>
  </si>
  <si>
    <t>기타부대경비</t>
  </si>
  <si>
    <t>고객센터 O/S용역비</t>
  </si>
  <si>
    <t>기프티콘 CMS 환불</t>
  </si>
  <si>
    <t>미수금-다량기타</t>
  </si>
  <si>
    <t>이월이익잉여금</t>
  </si>
  <si>
    <t>임차보증금투자예산</t>
  </si>
  <si>
    <t>투자예산조정</t>
  </si>
  <si>
    <t>(Audited)</t>
    <phoneticPr fontId="2" type="noConversion"/>
  </si>
  <si>
    <t>외상매출금-부도채권</t>
  </si>
  <si>
    <t>지분법평가손실</t>
  </si>
  <si>
    <t>이익잉여금</t>
    <phoneticPr fontId="2" type="noConversion"/>
  </si>
  <si>
    <t>특정금전신탁</t>
  </si>
  <si>
    <t>외상매출금환산조정</t>
  </si>
  <si>
    <t>미수금외화환산조정</t>
  </si>
  <si>
    <t>미수금-법인세</t>
  </si>
  <si>
    <t>장기금융상품</t>
  </si>
  <si>
    <t>특정예금</t>
  </si>
  <si>
    <t>외화미지급환산조정</t>
  </si>
  <si>
    <t>특정금전신탁</t>
    <phoneticPr fontId="2" type="noConversion"/>
  </si>
  <si>
    <t>장기금융상품</t>
    <phoneticPr fontId="2" type="noConversion"/>
  </si>
  <si>
    <t>투자</t>
  </si>
  <si>
    <t>장기금융상품</t>
    <phoneticPr fontId="9" type="noConversion"/>
  </si>
  <si>
    <t>기타무형자산의 취득</t>
  </si>
  <si>
    <t>산업재산권의 처분</t>
  </si>
  <si>
    <t>매출채권의 감소</t>
  </si>
  <si>
    <t>매출채권의 감소</t>
    <phoneticPr fontId="9" type="noConversion"/>
  </si>
  <si>
    <t>미수수익의 증가</t>
    <phoneticPr fontId="9" type="noConversion"/>
  </si>
  <si>
    <t>장기금융상품의 증가</t>
  </si>
  <si>
    <t>장기금융상품의 증가</t>
    <phoneticPr fontId="9" type="noConversion"/>
  </si>
  <si>
    <t>건설중인자산 대체</t>
  </si>
  <si>
    <t>건설중인자산 대체</t>
    <phoneticPr fontId="9" type="noConversion"/>
  </si>
  <si>
    <t>기계장치의 취득</t>
    <phoneticPr fontId="9" type="noConversion"/>
  </si>
  <si>
    <t>토지의 취득</t>
    <phoneticPr fontId="9" type="noConversion"/>
  </si>
  <si>
    <t>건물의 취득</t>
    <phoneticPr fontId="9" type="noConversion"/>
  </si>
  <si>
    <t>예수금의 증가</t>
    <phoneticPr fontId="9" type="noConversion"/>
  </si>
  <si>
    <t>중분류</t>
    <phoneticPr fontId="2" type="noConversion"/>
  </si>
  <si>
    <t>법인세의 환급</t>
  </si>
  <si>
    <t>예수보증금의 증가</t>
    <phoneticPr fontId="9" type="noConversion"/>
  </si>
  <si>
    <t>지분법투자주식의 취득</t>
  </si>
  <si>
    <t>지분법투자주식의 취득</t>
    <phoneticPr fontId="9" type="noConversion"/>
  </si>
  <si>
    <t>공기구비품의 취득</t>
  </si>
  <si>
    <t>공기구비품의 처분</t>
    <phoneticPr fontId="9" type="noConversion"/>
  </si>
  <si>
    <t>회원권의 취득</t>
  </si>
  <si>
    <t>토지의 취득</t>
  </si>
  <si>
    <t>건물의 취득</t>
  </si>
  <si>
    <t>이자지급</t>
  </si>
  <si>
    <t>이자수취</t>
    <phoneticPr fontId="9" type="noConversion"/>
  </si>
  <si>
    <t>준비금 적립</t>
  </si>
  <si>
    <t>자기주식의 취득</t>
  </si>
  <si>
    <t>주식발행_우선주</t>
  </si>
  <si>
    <t>기타재무유출</t>
  </si>
  <si>
    <t>기타재무유입</t>
    <phoneticPr fontId="9" type="noConversion"/>
  </si>
  <si>
    <t>무형자산처분손실</t>
    <phoneticPr fontId="9" type="noConversion"/>
  </si>
  <si>
    <t>임시</t>
  </si>
  <si>
    <t>영업에서 발생한 환신손익</t>
    <phoneticPr fontId="9" type="noConversion"/>
  </si>
  <si>
    <t>퇴직급여채무의 감소</t>
  </si>
  <si>
    <t>사외적립자산의 증가</t>
  </si>
  <si>
    <t>재고자산의 감소</t>
    <phoneticPr fontId="9" type="noConversion"/>
  </si>
  <si>
    <t>퇴직금의 지급</t>
  </si>
  <si>
    <t>기타의 대손상각비</t>
    <phoneticPr fontId="9" type="noConversion"/>
  </si>
  <si>
    <t>지분법손실</t>
    <phoneticPr fontId="9" type="noConversion"/>
  </si>
  <si>
    <t>2039</t>
  </si>
  <si>
    <t>2174</t>
  </si>
  <si>
    <t>2261</t>
  </si>
  <si>
    <t>2515</t>
  </si>
  <si>
    <t>2541</t>
  </si>
  <si>
    <t>선수수익-기타</t>
  </si>
  <si>
    <t>4651</t>
  </si>
  <si>
    <t>4653</t>
  </si>
  <si>
    <t>계정코드
(T연결)</t>
    <phoneticPr fontId="2" type="noConversion"/>
  </si>
  <si>
    <t>계정코드
(T연결)</t>
    <phoneticPr fontId="2" type="noConversion"/>
  </si>
  <si>
    <t>이자수익</t>
    <phoneticPr fontId="9" type="noConversion"/>
  </si>
  <si>
    <t>미수법인세환급액</t>
    <phoneticPr fontId="2" type="noConversion"/>
  </si>
  <si>
    <t>유형자산</t>
    <phoneticPr fontId="2" type="noConversion"/>
  </si>
  <si>
    <t>무형자산</t>
    <phoneticPr fontId="2" type="noConversion"/>
  </si>
  <si>
    <t>유형자산</t>
    <phoneticPr fontId="2" type="noConversion"/>
  </si>
  <si>
    <t>장기미지급비용</t>
    <phoneticPr fontId="2" type="noConversion"/>
  </si>
  <si>
    <t>매출채권</t>
    <phoneticPr fontId="2" type="noConversion"/>
  </si>
  <si>
    <t>확정급여부채</t>
    <phoneticPr fontId="2" type="noConversion"/>
  </si>
  <si>
    <t>이연법인세부채</t>
    <phoneticPr fontId="2" type="noConversion"/>
  </si>
  <si>
    <t>비유동충당부채</t>
    <phoneticPr fontId="2" type="noConversion"/>
  </si>
  <si>
    <t>기타불입자본</t>
    <phoneticPr fontId="2" type="noConversion"/>
  </si>
  <si>
    <t>수선비</t>
    <phoneticPr fontId="9" type="noConversion"/>
  </si>
  <si>
    <t>소모품비</t>
    <phoneticPr fontId="9" type="noConversion"/>
  </si>
  <si>
    <t>소모품비</t>
    <phoneticPr fontId="9" type="noConversion"/>
  </si>
  <si>
    <t>세금과공과</t>
    <phoneticPr fontId="2" type="noConversion"/>
  </si>
  <si>
    <t>여비교통비</t>
    <phoneticPr fontId="9" type="noConversion"/>
  </si>
  <si>
    <t>통신비</t>
    <phoneticPr fontId="9" type="noConversion"/>
  </si>
  <si>
    <t>수도광열비</t>
    <phoneticPr fontId="9" type="noConversion"/>
  </si>
  <si>
    <t>차량유지비</t>
    <phoneticPr fontId="9" type="noConversion"/>
  </si>
  <si>
    <t>차량유지비</t>
    <phoneticPr fontId="9" type="noConversion"/>
  </si>
  <si>
    <t>대손충당금환입</t>
    <phoneticPr fontId="9" type="noConversion"/>
  </si>
  <si>
    <t>기타영업비용</t>
    <phoneticPr fontId="2" type="noConversion"/>
  </si>
  <si>
    <t>용역원가</t>
    <phoneticPr fontId="2" type="noConversion"/>
  </si>
  <si>
    <t>수입임대료</t>
    <phoneticPr fontId="9" type="noConversion"/>
  </si>
  <si>
    <t>기타수수료수익</t>
    <phoneticPr fontId="9" type="noConversion"/>
  </si>
  <si>
    <t>기부금</t>
    <phoneticPr fontId="2" type="noConversion"/>
  </si>
  <si>
    <t>기부금</t>
    <phoneticPr fontId="2" type="noConversion"/>
  </si>
  <si>
    <t>기타의대손상각비</t>
    <phoneticPr fontId="2" type="noConversion"/>
  </si>
  <si>
    <t>잡손실</t>
    <phoneticPr fontId="2" type="noConversion"/>
  </si>
  <si>
    <t>유동자산처분손실</t>
    <phoneticPr fontId="2" type="noConversion"/>
  </si>
  <si>
    <t>지분법손실</t>
    <phoneticPr fontId="2" type="noConversion"/>
  </si>
  <si>
    <t>유ㆍ무형자산처분손실</t>
  </si>
  <si>
    <t>유ㆍ무형자산처분이익</t>
  </si>
  <si>
    <t>유ㆍ무형자산처분이익</t>
    <phoneticPr fontId="2" type="noConversion"/>
  </si>
  <si>
    <t>&lt;이자의 수취&gt;</t>
    <phoneticPr fontId="9" type="noConversion"/>
  </si>
  <si>
    <t>&lt;이자의 지급&gt;</t>
    <phoneticPr fontId="9" type="noConversion"/>
  </si>
  <si>
    <t>미지급이자 감소</t>
    <phoneticPr fontId="2" type="noConversion"/>
  </si>
  <si>
    <t>미지급이자 증가</t>
    <phoneticPr fontId="2" type="noConversion"/>
  </si>
  <si>
    <t>&lt;배당금의 수취&gt;</t>
    <phoneticPr fontId="9" type="noConversion"/>
  </si>
  <si>
    <t>이익잉여금</t>
  </si>
  <si>
    <t>(Reviewed)</t>
    <phoneticPr fontId="2" type="noConversion"/>
  </si>
  <si>
    <t>단기매매증권</t>
  </si>
  <si>
    <t>유동당기금융-기타</t>
  </si>
  <si>
    <t>미수금11번가-수수료</t>
  </si>
  <si>
    <t>미수금11번가-카(수수</t>
  </si>
  <si>
    <t>기타유동자산</t>
  </si>
  <si>
    <t>유동미수금-리스순투</t>
  </si>
  <si>
    <t>매도가능금융자산</t>
  </si>
  <si>
    <t>기타포괄금융-주식</t>
  </si>
  <si>
    <t>기타의비유동자산</t>
  </si>
  <si>
    <t>장기미수금-리스순투</t>
  </si>
  <si>
    <t>기계장치(BA조정)</t>
  </si>
  <si>
    <t>기계장치누계(BA조정)</t>
  </si>
  <si>
    <t>사용권자산</t>
  </si>
  <si>
    <t>사용권자산-건물</t>
  </si>
  <si>
    <t>사용권자산-차량운반</t>
  </si>
  <si>
    <t>사용권자산-비품</t>
  </si>
  <si>
    <t>사용권자산 충당금</t>
  </si>
  <si>
    <t>사용권자산-건물감누</t>
  </si>
  <si>
    <t>사용권자산-차량감누</t>
  </si>
  <si>
    <t>사용권자산-비품감누</t>
  </si>
  <si>
    <t>비품(BA조정)</t>
  </si>
  <si>
    <t>비품누계(BA조정)</t>
  </si>
  <si>
    <t>소프트웨어(BA조정)</t>
  </si>
  <si>
    <t>미지급배당금</t>
  </si>
  <si>
    <t>예수금11번가-수수료</t>
  </si>
  <si>
    <t>유동성장기부채</t>
  </si>
  <si>
    <t>유동성장기부채-리스</t>
  </si>
  <si>
    <t>기타비유동부채</t>
  </si>
  <si>
    <t>장기리스부채</t>
  </si>
  <si>
    <t>임대보증금_현할차</t>
  </si>
  <si>
    <t>법정적립금</t>
  </si>
  <si>
    <t>이익준비금</t>
  </si>
  <si>
    <t>기타포괄손익</t>
  </si>
  <si>
    <t>부의지분법자본변동</t>
  </si>
  <si>
    <t>임원급여-상여</t>
  </si>
  <si>
    <t>외주용역비_시스템</t>
  </si>
  <si>
    <t>외주용역비_콜센터</t>
  </si>
  <si>
    <t>일반수수료-변동</t>
  </si>
  <si>
    <t>일반수수료-고정</t>
  </si>
  <si>
    <t>신규채용교육비</t>
  </si>
  <si>
    <t>시내교통비</t>
  </si>
  <si>
    <t>사용권자산상각-건물</t>
  </si>
  <si>
    <t>사용권자산상각-비품</t>
  </si>
  <si>
    <t>사용권자산상각-차량</t>
  </si>
  <si>
    <t>이자수익-리스순투유</t>
  </si>
  <si>
    <t>금융자산평가이익</t>
  </si>
  <si>
    <t>유동당기금융-평가익</t>
  </si>
  <si>
    <t>유형자산처분이익</t>
  </si>
  <si>
    <t>지체상금</t>
  </si>
  <si>
    <t>지급이자_임대보증금</t>
  </si>
  <si>
    <t>이자비용-유동장기리</t>
  </si>
  <si>
    <t>소분류</t>
    <phoneticPr fontId="2" type="noConversion"/>
  </si>
  <si>
    <t>당기손익-공정가치 측정 금융자산</t>
    <phoneticPr fontId="2" type="noConversion"/>
  </si>
  <si>
    <t>중분류</t>
    <phoneticPr fontId="2" type="noConversion"/>
  </si>
  <si>
    <t>소분류</t>
    <phoneticPr fontId="4" type="noConversion"/>
  </si>
  <si>
    <t>중분류</t>
    <phoneticPr fontId="2" type="noConversion"/>
  </si>
  <si>
    <t>기타의비유동자산</t>
    <phoneticPr fontId="2" type="noConversion"/>
  </si>
  <si>
    <t>소분류</t>
    <phoneticPr fontId="2" type="noConversion"/>
  </si>
  <si>
    <t>중분류</t>
    <phoneticPr fontId="2" type="noConversion"/>
  </si>
  <si>
    <t>기타포괄손익누계액</t>
    <phoneticPr fontId="2" type="noConversion"/>
  </si>
  <si>
    <t>기타포괄손익-공정가치측정금융자산평가이익</t>
    <phoneticPr fontId="2" type="noConversion"/>
  </si>
  <si>
    <t>임원급여-상여</t>
    <phoneticPr fontId="2" type="noConversion"/>
  </si>
  <si>
    <t>소분류</t>
    <phoneticPr fontId="4" type="noConversion"/>
  </si>
  <si>
    <t>당기손익인식금융자산평가이익</t>
    <phoneticPr fontId="2" type="noConversion"/>
  </si>
  <si>
    <t>잡이익</t>
    <phoneticPr fontId="2" type="noConversion"/>
  </si>
  <si>
    <t>기타포괄손익-공정가치 측정 금융자산</t>
    <phoneticPr fontId="2" type="noConversion"/>
  </si>
  <si>
    <t>미수금</t>
    <phoneticPr fontId="2" type="noConversion"/>
  </si>
  <si>
    <t>이연법인세자산</t>
    <phoneticPr fontId="2" type="noConversion"/>
  </si>
  <si>
    <t>FY2018 4Q</t>
    <phoneticPr fontId="2" type="noConversion"/>
  </si>
  <si>
    <t>ONLY</t>
    <phoneticPr fontId="2" type="noConversion"/>
  </si>
  <si>
    <t>Diff.</t>
    <phoneticPr fontId="2" type="noConversion"/>
  </si>
  <si>
    <t>Ratio</t>
    <phoneticPr fontId="2" type="noConversion"/>
  </si>
  <si>
    <t>소분류</t>
    <phoneticPr fontId="4" type="noConversion"/>
  </si>
  <si>
    <t>잡이익</t>
    <phoneticPr fontId="2" type="noConversion"/>
  </si>
  <si>
    <t>단기리스료</t>
  </si>
  <si>
    <t>소분류</t>
    <phoneticPr fontId="4" type="noConversion"/>
  </si>
  <si>
    <t>( 미   정  )</t>
  </si>
  <si>
    <t>( 미   정  )</t>
    <phoneticPr fontId="9" type="noConversion"/>
  </si>
  <si>
    <t>(  미  정  )</t>
  </si>
  <si>
    <t>(  미  정  )</t>
    <phoneticPr fontId="9" type="noConversion"/>
  </si>
  <si>
    <t>재무</t>
  </si>
  <si>
    <t>기타포괄손익누계액</t>
  </si>
  <si>
    <t>&lt;BS검증&gt;</t>
    <phoneticPr fontId="9" type="noConversion"/>
  </si>
  <si>
    <t>자산총계</t>
    <phoneticPr fontId="9" type="noConversion"/>
  </si>
  <si>
    <t>부채총계</t>
    <phoneticPr fontId="9" type="noConversion"/>
  </si>
  <si>
    <t>자본총계</t>
    <phoneticPr fontId="9" type="noConversion"/>
  </si>
  <si>
    <t>당기손익-공정가치 측정 금융자산</t>
  </si>
  <si>
    <t>기타포괄손익-공정가치 측정 금융자산</t>
  </si>
  <si>
    <t>단기매매증권평가이익</t>
    <phoneticPr fontId="9" type="noConversion"/>
  </si>
  <si>
    <t>단기매매증권평가손실</t>
    <phoneticPr fontId="9" type="noConversion"/>
  </si>
  <si>
    <t>선급법인세의 증가</t>
  </si>
  <si>
    <t>지분법자본변동</t>
  </si>
  <si>
    <t>지분법자본변동</t>
    <phoneticPr fontId="9" type="noConversion"/>
  </si>
  <si>
    <t>기타포괄손익인식금융자산의 취득</t>
  </si>
  <si>
    <t>장기미지급비용의 감소</t>
  </si>
  <si>
    <t>장기미지급비용의 감소</t>
    <phoneticPr fontId="9" type="noConversion"/>
  </si>
  <si>
    <t>유형자산처분이익</t>
    <phoneticPr fontId="9" type="noConversion"/>
  </si>
  <si>
    <t>DC형 전환</t>
  </si>
  <si>
    <t>미지급비용의 감소</t>
  </si>
  <si>
    <t>장기채권의 유동성 대체</t>
  </si>
  <si>
    <t>리스부채</t>
  </si>
  <si>
    <t>리스부채유동성대체</t>
  </si>
  <si>
    <t>선수수익의 증가</t>
    <phoneticPr fontId="9" type="noConversion"/>
  </si>
  <si>
    <t>(Reviewed)</t>
  </si>
  <si>
    <t>11PayPoint_무상</t>
  </si>
  <si>
    <t>예수금-11Pay</t>
  </si>
  <si>
    <t>11PAY가수금</t>
  </si>
  <si>
    <t>계약부채_Cashbag급여</t>
  </si>
  <si>
    <t>일반조사용역비</t>
  </si>
  <si>
    <t>소분류</t>
    <phoneticPr fontId="2" type="noConversion"/>
  </si>
  <si>
    <t>선급금의 증가</t>
    <phoneticPr fontId="9" type="noConversion"/>
  </si>
  <si>
    <t>선급비용의 증가</t>
    <phoneticPr fontId="9" type="noConversion"/>
  </si>
  <si>
    <t>미수금의 감소</t>
    <phoneticPr fontId="9" type="noConversion"/>
  </si>
  <si>
    <t>이자지급</t>
    <phoneticPr fontId="9" type="noConversion"/>
  </si>
  <si>
    <t>산업재산권의 취득</t>
  </si>
  <si>
    <t>산업재산권의 취득</t>
    <phoneticPr fontId="9" type="noConversion"/>
  </si>
  <si>
    <t>선수금의 증가</t>
    <phoneticPr fontId="9" type="noConversion"/>
  </si>
  <si>
    <t>미수금</t>
    <phoneticPr fontId="9" type="noConversion"/>
  </si>
  <si>
    <t>기타무형자산의 처분</t>
    <phoneticPr fontId="9" type="noConversion"/>
  </si>
  <si>
    <t>배당금의 지급</t>
  </si>
  <si>
    <t>미지급금의 감소</t>
    <phoneticPr fontId="9" type="noConversion"/>
  </si>
  <si>
    <t>미수금의 감소</t>
  </si>
  <si>
    <t>장기미지급비용의 증가</t>
  </si>
  <si>
    <t>미지급금의 감소</t>
  </si>
  <si>
    <t>선급금의 증가</t>
  </si>
  <si>
    <t>선급비용의 증가</t>
  </si>
  <si>
    <t>기계장치의 취득</t>
  </si>
  <si>
    <t>현금흐름유출이없는비용</t>
    <phoneticPr fontId="9" type="noConversion"/>
  </si>
  <si>
    <t>현금흐름유출이없는이익</t>
    <phoneticPr fontId="9" type="noConversion"/>
  </si>
  <si>
    <t>무형자산처분이익</t>
  </si>
  <si>
    <t>금융리스부채의 감소</t>
  </si>
  <si>
    <t>당기손익인식금융자산의 취득</t>
  </si>
  <si>
    <t>당기손익인식금융자산의 처분</t>
  </si>
  <si>
    <t>단기금융상품의 취득</t>
  </si>
  <si>
    <t>단기금융상품의 처분</t>
  </si>
  <si>
    <t>단기금융상품의 처분</t>
    <phoneticPr fontId="9" type="noConversion"/>
  </si>
  <si>
    <t>기타무형자산의 취득</t>
    <phoneticPr fontId="9" type="noConversion"/>
  </si>
  <si>
    <t>예치보증금의 증가</t>
  </si>
  <si>
    <t>예치보증금의 감소</t>
  </si>
  <si>
    <t>예치보증금의 감소</t>
    <phoneticPr fontId="9" type="noConversion"/>
  </si>
  <si>
    <t>2049</t>
  </si>
  <si>
    <t>2194</t>
  </si>
  <si>
    <t>2494</t>
  </si>
  <si>
    <t>2495</t>
  </si>
  <si>
    <t>2524</t>
  </si>
  <si>
    <t>2834</t>
  </si>
  <si>
    <t>2947</t>
  </si>
  <si>
    <t>2948</t>
  </si>
  <si>
    <t>2967</t>
  </si>
  <si>
    <t>2968</t>
  </si>
  <si>
    <t>4113</t>
  </si>
  <si>
    <t>4141</t>
  </si>
  <si>
    <t>4451</t>
  </si>
  <si>
    <t>4631</t>
  </si>
  <si>
    <t>4672</t>
  </si>
  <si>
    <t>유동미수금-리스순투자</t>
    <phoneticPr fontId="2" type="noConversion"/>
  </si>
  <si>
    <t>계약부채</t>
    <phoneticPr fontId="2" type="noConversion"/>
  </si>
  <si>
    <t>계약부채</t>
    <phoneticPr fontId="2" type="noConversion"/>
  </si>
  <si>
    <t>중분류</t>
    <phoneticPr fontId="2" type="noConversion"/>
  </si>
  <si>
    <t>관계기업투자주식</t>
    <phoneticPr fontId="2" type="noConversion"/>
  </si>
  <si>
    <t>(Reviewed)</t>
    <phoneticPr fontId="2" type="noConversion"/>
  </si>
  <si>
    <t>지급수수료_브랜드</t>
  </si>
  <si>
    <t>고객유지판촉비</t>
  </si>
  <si>
    <t>비품건자</t>
    <phoneticPr fontId="2" type="noConversion"/>
  </si>
  <si>
    <t>유형자산</t>
    <phoneticPr fontId="2" type="noConversion"/>
  </si>
  <si>
    <t>ONLY</t>
    <phoneticPr fontId="2" type="noConversion"/>
  </si>
  <si>
    <t>(Audited)</t>
    <phoneticPr fontId="2" type="noConversion"/>
  </si>
  <si>
    <t>(Reviewed)</t>
    <phoneticPr fontId="2" type="noConversion"/>
  </si>
  <si>
    <t>(18.9.1~9.30)
18. 3Q ONLY</t>
    <phoneticPr fontId="2" type="noConversion"/>
  </si>
  <si>
    <t>(18.10.1~12.31)
18. 4Q ONLY</t>
    <phoneticPr fontId="2" type="noConversion"/>
  </si>
  <si>
    <t>(19.1.1~3.31)
19. 1Q ONLY</t>
    <phoneticPr fontId="2" type="noConversion"/>
  </si>
  <si>
    <t>(19.4.1~6.30)
19. 2Q ONLY</t>
    <phoneticPr fontId="2" type="noConversion"/>
  </si>
  <si>
    <t>(19.7.1~9.30)
19. 3Q ONLY</t>
    <phoneticPr fontId="2" type="noConversion"/>
  </si>
  <si>
    <t>미수금 제각</t>
    <phoneticPr fontId="9" type="noConversion"/>
  </si>
  <si>
    <t>법인세의 환급</t>
    <phoneticPr fontId="9" type="noConversion"/>
  </si>
  <si>
    <t>기타무형자산의 처분</t>
  </si>
  <si>
    <t>&lt;공시용 재무상태표&gt;</t>
    <phoneticPr fontId="2" type="noConversion"/>
  </si>
  <si>
    <t>(단위: 원)</t>
    <phoneticPr fontId="2" type="noConversion"/>
  </si>
  <si>
    <t>(단위: 천원)</t>
    <phoneticPr fontId="2" type="noConversion"/>
  </si>
  <si>
    <t>계정과목</t>
    <phoneticPr fontId="2" type="noConversion"/>
  </si>
  <si>
    <t>자      산</t>
    <phoneticPr fontId="2" type="noConversion"/>
  </si>
  <si>
    <t>선급금</t>
    <phoneticPr fontId="2" type="noConversion"/>
  </si>
  <si>
    <t>선급비용</t>
    <phoneticPr fontId="2" type="noConversion"/>
  </si>
  <si>
    <t>재고자산</t>
    <phoneticPr fontId="2" type="noConversion"/>
  </si>
  <si>
    <t>관계기업투자주식</t>
    <phoneticPr fontId="2" type="noConversion"/>
  </si>
  <si>
    <t>기타포괄손익-공정가치 측정 금융자산</t>
    <phoneticPr fontId="2" type="noConversion"/>
  </si>
  <si>
    <t>유형자산</t>
  </si>
  <si>
    <t>무형자산</t>
  </si>
  <si>
    <t>보증금</t>
    <phoneticPr fontId="2" type="noConversion"/>
  </si>
  <si>
    <t>자산 총계</t>
    <phoneticPr fontId="2" type="noConversion"/>
  </si>
  <si>
    <t>부     채</t>
    <phoneticPr fontId="2" type="noConversion"/>
  </si>
  <si>
    <t>유동부채</t>
    <phoneticPr fontId="2" type="noConversion"/>
  </si>
  <si>
    <t>계약부채</t>
    <phoneticPr fontId="2" type="noConversion"/>
  </si>
  <si>
    <t>예수금</t>
    <phoneticPr fontId="2" type="noConversion"/>
  </si>
  <si>
    <t>미지급비용</t>
    <phoneticPr fontId="2" type="noConversion"/>
  </si>
  <si>
    <t>비유동부채</t>
    <phoneticPr fontId="2" type="noConversion"/>
  </si>
  <si>
    <t>임대보증금</t>
    <phoneticPr fontId="2" type="noConversion"/>
  </si>
  <si>
    <t>확정급여부채</t>
    <phoneticPr fontId="2" type="noConversion"/>
  </si>
  <si>
    <t>장기미지급비용</t>
    <phoneticPr fontId="2" type="noConversion"/>
  </si>
  <si>
    <t>부채 총계</t>
    <phoneticPr fontId="2" type="noConversion"/>
  </si>
  <si>
    <t>자      본</t>
    <phoneticPr fontId="2" type="noConversion"/>
  </si>
  <si>
    <t>자본금</t>
    <phoneticPr fontId="2" type="noConversion"/>
  </si>
  <si>
    <t>기타불입자본</t>
    <phoneticPr fontId="2" type="noConversion"/>
  </si>
  <si>
    <t>기타포괄손익누계액</t>
    <phoneticPr fontId="2" type="noConversion"/>
  </si>
  <si>
    <t>자본 총계</t>
    <phoneticPr fontId="2" type="noConversion"/>
  </si>
  <si>
    <t>부채와 자본 총계</t>
    <phoneticPr fontId="2" type="noConversion"/>
  </si>
  <si>
    <t>&lt;공시용 손익계산서&gt;</t>
    <phoneticPr fontId="2" type="noConversion"/>
  </si>
  <si>
    <t>(단위:원)</t>
    <phoneticPr fontId="2" type="noConversion"/>
  </si>
  <si>
    <t>(단위:천원)</t>
    <phoneticPr fontId="2" type="noConversion"/>
  </si>
  <si>
    <t>계정과목</t>
    <phoneticPr fontId="2" type="noConversion"/>
  </si>
  <si>
    <t>공시용재무제표</t>
    <phoneticPr fontId="2" type="noConversion"/>
  </si>
  <si>
    <t>영업수익</t>
    <phoneticPr fontId="2" type="noConversion"/>
  </si>
  <si>
    <t>영업비용</t>
    <phoneticPr fontId="2" type="noConversion"/>
  </si>
  <si>
    <t>종업원급여</t>
    <phoneticPr fontId="2" type="noConversion"/>
  </si>
  <si>
    <t>지급수수료</t>
    <phoneticPr fontId="2" type="noConversion"/>
  </si>
  <si>
    <t>감가상각비 및 무형자산상각비</t>
    <phoneticPr fontId="2" type="noConversion"/>
  </si>
  <si>
    <t>임차료</t>
    <phoneticPr fontId="2" type="noConversion"/>
  </si>
  <si>
    <t>용역원가</t>
    <phoneticPr fontId="2" type="noConversion"/>
  </si>
  <si>
    <t xml:space="preserve">연구및경상개발비 </t>
  </si>
  <si>
    <t>기타영업비용</t>
    <phoneticPr fontId="2" type="noConversion"/>
  </si>
  <si>
    <t>영업이익</t>
    <phoneticPr fontId="2" type="noConversion"/>
  </si>
  <si>
    <t>금융수익</t>
    <phoneticPr fontId="2" type="noConversion"/>
  </si>
  <si>
    <t>금융비용</t>
    <phoneticPr fontId="2" type="noConversion"/>
  </si>
  <si>
    <t>지분법평가손실</t>
    <phoneticPr fontId="2" type="noConversion"/>
  </si>
  <si>
    <t>기타영업외수익</t>
    <phoneticPr fontId="2" type="noConversion"/>
  </si>
  <si>
    <t>기타영업외비용</t>
    <phoneticPr fontId="2" type="noConversion"/>
  </si>
  <si>
    <t>기타영업비용</t>
    <phoneticPr fontId="2" type="noConversion"/>
  </si>
  <si>
    <t>법인세비용차감전이익(손실)</t>
    <phoneticPr fontId="2" type="noConversion"/>
  </si>
  <si>
    <t>법인세비용(수익)</t>
    <phoneticPr fontId="2" type="noConversion"/>
  </si>
  <si>
    <t>당기순이익(손실)</t>
    <phoneticPr fontId="2" type="noConversion"/>
  </si>
  <si>
    <t>용역원가</t>
    <phoneticPr fontId="2" type="noConversion"/>
  </si>
  <si>
    <t>영업손익</t>
    <phoneticPr fontId="2" type="noConversion"/>
  </si>
  <si>
    <t>기타영업외수익</t>
    <phoneticPr fontId="2" type="noConversion"/>
  </si>
  <si>
    <t>잡이익</t>
    <phoneticPr fontId="2" type="noConversion"/>
  </si>
  <si>
    <t>유ㆍ무형자산처분손실</t>
    <phoneticPr fontId="2" type="noConversion"/>
  </si>
  <si>
    <t>기부금</t>
    <phoneticPr fontId="2" type="noConversion"/>
  </si>
  <si>
    <t>금융수익</t>
    <phoneticPr fontId="2" type="noConversion"/>
  </si>
  <si>
    <t>당기손익인식금융자산평가이익</t>
  </si>
  <si>
    <t>금융비용</t>
    <phoneticPr fontId="2" type="noConversion"/>
  </si>
  <si>
    <t>이자비용</t>
    <phoneticPr fontId="2" type="noConversion"/>
  </si>
  <si>
    <t>외환차손</t>
    <phoneticPr fontId="2" type="noConversion"/>
  </si>
  <si>
    <t>외화환산손실</t>
    <phoneticPr fontId="2" type="noConversion"/>
  </si>
  <si>
    <t>지분법손실</t>
    <phoneticPr fontId="2" type="noConversion"/>
  </si>
  <si>
    <t>재 무 상 태 표</t>
  </si>
  <si>
    <t>십일번가 주식회사</t>
    <phoneticPr fontId="2" type="noConversion"/>
  </si>
  <si>
    <t>(단위 : 원)</t>
    <phoneticPr fontId="2" type="noConversion"/>
  </si>
  <si>
    <t>(단위 : 천원)</t>
    <phoneticPr fontId="2" type="noConversion"/>
  </si>
  <si>
    <t>과      목</t>
    <phoneticPr fontId="9" type="noConversion"/>
  </si>
  <si>
    <t>제 7(당) 기</t>
    <phoneticPr fontId="9" type="noConversion"/>
  </si>
  <si>
    <t>자    산</t>
    <phoneticPr fontId="9" type="noConversion"/>
  </si>
  <si>
    <t>I. 유동자산</t>
  </si>
  <si>
    <t>미수금</t>
    <phoneticPr fontId="9" type="noConversion"/>
  </si>
  <si>
    <t>미수수익</t>
    <phoneticPr fontId="9" type="noConversion"/>
  </si>
  <si>
    <t>재고자산</t>
    <phoneticPr fontId="9" type="noConversion"/>
  </si>
  <si>
    <t>II. 비유동자산</t>
    <phoneticPr fontId="9" type="noConversion"/>
  </si>
  <si>
    <t>관계기업투자주식</t>
  </si>
  <si>
    <t>유형자산</t>
    <phoneticPr fontId="9" type="noConversion"/>
  </si>
  <si>
    <t>무형자산</t>
    <phoneticPr fontId="9" type="noConversion"/>
  </si>
  <si>
    <t>보증금</t>
    <phoneticPr fontId="9" type="noConversion"/>
  </si>
  <si>
    <t>기타비유동자산</t>
  </si>
  <si>
    <t>자산총계</t>
    <phoneticPr fontId="9" type="noConversion"/>
  </si>
  <si>
    <t>부채</t>
    <phoneticPr fontId="9" type="noConversion"/>
  </si>
  <si>
    <t>I. 유동부채</t>
  </si>
  <si>
    <t>미지급금</t>
    <phoneticPr fontId="9" type="noConversion"/>
  </si>
  <si>
    <t>계약부채</t>
  </si>
  <si>
    <t>미지급비용</t>
    <phoneticPr fontId="9" type="noConversion"/>
  </si>
  <si>
    <t>II. 비유동부채</t>
  </si>
  <si>
    <t>확정급여부채</t>
  </si>
  <si>
    <t>비유동충당부채</t>
    <phoneticPr fontId="9" type="noConversion"/>
  </si>
  <si>
    <t>부채총계</t>
    <phoneticPr fontId="9" type="noConversion"/>
  </si>
  <si>
    <t>자본</t>
    <phoneticPr fontId="9" type="noConversion"/>
  </si>
  <si>
    <t>자본금</t>
    <phoneticPr fontId="9" type="noConversion"/>
  </si>
  <si>
    <t>기타불입자본</t>
    <phoneticPr fontId="9" type="noConversion"/>
  </si>
  <si>
    <t>이익잉여금</t>
    <phoneticPr fontId="9" type="noConversion"/>
  </si>
  <si>
    <t>자본총계</t>
    <phoneticPr fontId="9" type="noConversion"/>
  </si>
  <si>
    <t>부채 및 자본총계</t>
    <phoneticPr fontId="9" type="noConversion"/>
  </si>
  <si>
    <t>손 익 계 산 서</t>
  </si>
  <si>
    <t>십일번가 주식회사</t>
    <phoneticPr fontId="2" type="noConversion"/>
  </si>
  <si>
    <t>(단위 : 원)</t>
    <phoneticPr fontId="2" type="noConversion"/>
  </si>
  <si>
    <t>(단위 : 천원)</t>
    <phoneticPr fontId="2" type="noConversion"/>
  </si>
  <si>
    <t>과           목</t>
  </si>
  <si>
    <t>Ⅰ.영업수익</t>
  </si>
  <si>
    <t>Ⅱ.영업비용</t>
  </si>
  <si>
    <t>  종업원급여</t>
  </si>
  <si>
    <t>  지급수수료</t>
  </si>
  <si>
    <t>감가상각비</t>
    <phoneticPr fontId="2" type="noConversion"/>
  </si>
  <si>
    <t>  감가상각비</t>
  </si>
  <si>
    <t>무형자산상각비</t>
    <phoneticPr fontId="2" type="noConversion"/>
  </si>
  <si>
    <t>  무형자산상각비</t>
  </si>
  <si>
    <t>광고선전비</t>
    <phoneticPr fontId="2" type="noConversion"/>
  </si>
  <si>
    <t>  광고선전비</t>
  </si>
  <si>
    <t>임차료</t>
    <phoneticPr fontId="2" type="noConversion"/>
  </si>
  <si>
    <t>  임차료</t>
  </si>
  <si>
    <t>상품및기타구입비용</t>
    <phoneticPr fontId="2" type="noConversion"/>
  </si>
  <si>
    <t>  상품및기타구입비용</t>
  </si>
  <si>
    <t>용역원가</t>
  </si>
  <si>
    <t xml:space="preserve">  용역원가</t>
    <phoneticPr fontId="9" type="noConversion"/>
  </si>
  <si>
    <t>  연구및경상개발비</t>
  </si>
  <si>
    <t>  기타영업비용</t>
  </si>
  <si>
    <t>Ⅲ.영업이익</t>
  </si>
  <si>
    <t>  금융수익</t>
  </si>
  <si>
    <t>  금융비용</t>
  </si>
  <si>
    <t>  기타영업외이익</t>
  </si>
  <si>
    <t>기타영업외비용</t>
    <phoneticPr fontId="2" type="noConversion"/>
  </si>
  <si>
    <t>  기타영업외비용</t>
  </si>
  <si>
    <t>지분법손실</t>
    <phoneticPr fontId="2" type="noConversion"/>
  </si>
  <si>
    <t>지분법손실</t>
    <phoneticPr fontId="2" type="noConversion"/>
  </si>
  <si>
    <t>Ⅳ.법인세비용차감전손익</t>
    <phoneticPr fontId="2" type="noConversion"/>
  </si>
  <si>
    <t>Ⅴ.법인세비용</t>
  </si>
  <si>
    <t>Ⅵ.당기순이익</t>
  </si>
  <si>
    <t>11PayPoint_유상</t>
  </si>
  <si>
    <t>가수금_제로페이</t>
  </si>
  <si>
    <t>금융자산평가손-기타</t>
  </si>
  <si>
    <t>일반복리경조/화환</t>
  </si>
  <si>
    <t>지분법주식손상차손</t>
  </si>
  <si>
    <t>(19.10.1~12.31)
19. 4Q ONLY</t>
    <phoneticPr fontId="2" type="noConversion"/>
  </si>
  <si>
    <t>11PayPoint_유상</t>
    <phoneticPr fontId="2" type="noConversion"/>
  </si>
  <si>
    <t>금융자산평가손실</t>
  </si>
  <si>
    <t>사외적립자산 계정 대체</t>
    <phoneticPr fontId="9" type="noConversion"/>
  </si>
  <si>
    <t>지분법손상차손</t>
  </si>
  <si>
    <t>금융자산평가손실</t>
    <phoneticPr fontId="9" type="noConversion"/>
  </si>
  <si>
    <t>건자 정부보조금</t>
    <phoneticPr fontId="2" type="noConversion"/>
  </si>
  <si>
    <t>외화환산손_금융기타</t>
    <phoneticPr fontId="2" type="noConversion"/>
  </si>
  <si>
    <t>리스미수금 유동성대체</t>
    <phoneticPr fontId="2" type="noConversion"/>
  </si>
  <si>
    <t>사용권자산</t>
    <phoneticPr fontId="2" type="noConversion"/>
  </si>
  <si>
    <t>사용권자산</t>
    <phoneticPr fontId="2" type="noConversion"/>
  </si>
  <si>
    <t>리스부채</t>
    <phoneticPr fontId="2" type="noConversion"/>
  </si>
  <si>
    <t>장기리스부채</t>
    <phoneticPr fontId="2" type="noConversion"/>
  </si>
  <si>
    <t>리스부채</t>
    <phoneticPr fontId="2" type="noConversion"/>
  </si>
  <si>
    <t>장기리스부채</t>
    <phoneticPr fontId="9" type="noConversion"/>
  </si>
  <si>
    <t>십일번가㈜</t>
    <phoneticPr fontId="2" type="noConversion"/>
  </si>
  <si>
    <t>자본변동표</t>
    <phoneticPr fontId="2" type="noConversion"/>
  </si>
  <si>
    <t>기타자본구성요소</t>
    <phoneticPr fontId="2" type="noConversion"/>
  </si>
  <si>
    <t>총자본</t>
    <phoneticPr fontId="9" type="noConversion"/>
  </si>
  <si>
    <t>주발초</t>
  </si>
  <si>
    <t>기타</t>
    <phoneticPr fontId="2" type="noConversion"/>
  </si>
  <si>
    <t>계</t>
    <phoneticPr fontId="2" type="noConversion"/>
  </si>
  <si>
    <t>2018.9.1</t>
    <phoneticPr fontId="2" type="noConversion"/>
  </si>
  <si>
    <t>총포괄손익:</t>
    <phoneticPr fontId="9" type="noConversion"/>
  </si>
  <si>
    <t xml:space="preserve"> 당기순이익(손실)</t>
    <phoneticPr fontId="9" type="noConversion"/>
  </si>
  <si>
    <t xml:space="preserve"> 확정급여제도의 재측정요소</t>
    <phoneticPr fontId="2" type="noConversion"/>
  </si>
  <si>
    <t>자본에 직접 반영된 주주와의 거래:</t>
    <phoneticPr fontId="2" type="noConversion"/>
  </si>
  <si>
    <t xml:space="preserve"> 자기주식의 취득</t>
    <phoneticPr fontId="2" type="noConversion"/>
  </si>
  <si>
    <t xml:space="preserve"> (우선주)유상증자</t>
    <phoneticPr fontId="2" type="noConversion"/>
  </si>
  <si>
    <t xml:space="preserve"> 기타불입자본 잉여금 전입</t>
    <phoneticPr fontId="2" type="noConversion"/>
  </si>
  <si>
    <t>2018.12.31</t>
    <phoneticPr fontId="9" type="noConversion"/>
  </si>
  <si>
    <t xml:space="preserve"> 관계기업의 기타포괄손익</t>
    <phoneticPr fontId="2" type="noConversion"/>
  </si>
  <si>
    <t>이익적립금</t>
    <phoneticPr fontId="2" type="noConversion"/>
  </si>
  <si>
    <t xml:space="preserve"> 배당금 지급</t>
    <phoneticPr fontId="2" type="noConversion"/>
  </si>
  <si>
    <t>2019.12.31</t>
    <phoneticPr fontId="9" type="noConversion"/>
  </si>
  <si>
    <t>임대보증금</t>
    <phoneticPr fontId="9" type="noConversion"/>
  </si>
  <si>
    <t>유동성임대보증금</t>
  </si>
  <si>
    <t>유동성임대보증금</t>
    <phoneticPr fontId="2" type="noConversion"/>
  </si>
  <si>
    <t>유동성 임대보증금</t>
    <phoneticPr fontId="2" type="noConversion"/>
  </si>
  <si>
    <t>소분류</t>
    <phoneticPr fontId="2" type="noConversion"/>
  </si>
  <si>
    <t>선급금자산대체</t>
  </si>
  <si>
    <t>보증금유동성대체</t>
  </si>
  <si>
    <t>보증금유동성대체</t>
    <phoneticPr fontId="2" type="noConversion"/>
  </si>
  <si>
    <t>유동성보증금</t>
    <phoneticPr fontId="2" type="noConversion"/>
  </si>
  <si>
    <t>미수금</t>
    <phoneticPr fontId="2" type="noConversion"/>
  </si>
  <si>
    <t>유동성 임대보증금</t>
  </si>
  <si>
    <t>장기미수금</t>
    <phoneticPr fontId="2" type="noConversion"/>
  </si>
  <si>
    <t>장기미수금</t>
    <phoneticPr fontId="2" type="noConversion"/>
  </si>
  <si>
    <t>기타비유동자산</t>
    <phoneticPr fontId="2" type="noConversion"/>
  </si>
  <si>
    <t>퇴직금의 지급</t>
    <phoneticPr fontId="2" type="noConversion"/>
  </si>
  <si>
    <t>(Proposed)</t>
  </si>
  <si>
    <t>11PayPoint_무상</t>
    <phoneticPr fontId="2" type="noConversion"/>
  </si>
  <si>
    <t>미수금-제로페이</t>
  </si>
  <si>
    <t>비품 정부보조금</t>
  </si>
  <si>
    <t>비품 정부보조금 감누</t>
  </si>
  <si>
    <t>예수금_제로페이</t>
  </si>
  <si>
    <t>임의적립금</t>
  </si>
  <si>
    <t>개인정보손해배상준비</t>
  </si>
  <si>
    <t>전자금융거래법적립금</t>
  </si>
  <si>
    <t>직책자동적요소관리비</t>
  </si>
  <si>
    <t>개인정보손해배상준비금</t>
    <phoneticPr fontId="2" type="noConversion"/>
  </si>
  <si>
    <t>전자금융거래법적립금</t>
    <phoneticPr fontId="2" type="noConversion"/>
  </si>
  <si>
    <t>직책자동적요소관리비</t>
    <phoneticPr fontId="2" type="noConversion"/>
  </si>
  <si>
    <t>연결계정</t>
  </si>
  <si>
    <t>금액</t>
  </si>
  <si>
    <t>개인정보손해배상준비금</t>
  </si>
  <si>
    <t>계정대체</t>
  </si>
  <si>
    <t>미수금대충</t>
    <phoneticPr fontId="2" type="noConversion"/>
  </si>
  <si>
    <t>기타의 대손상각비</t>
    <phoneticPr fontId="2" type="noConversion"/>
  </si>
  <si>
    <t>전출입으로 인한 퇴직급여채무의 감소</t>
  </si>
  <si>
    <t>전출입으로 인한 퇴직급여채무의 감소</t>
    <phoneticPr fontId="9" type="noConversion"/>
  </si>
  <si>
    <t>선수금의 감소</t>
    <phoneticPr fontId="9" type="noConversion"/>
  </si>
  <si>
    <t>보조금대체</t>
  </si>
  <si>
    <t>보조금대체</t>
    <phoneticPr fontId="9" type="noConversion"/>
  </si>
  <si>
    <t>기타의 무형자산</t>
    <phoneticPr fontId="2" type="noConversion"/>
  </si>
  <si>
    <t>컴퓨터소프트웨어</t>
    <phoneticPr fontId="2" type="noConversion"/>
  </si>
  <si>
    <t>퇴직급여</t>
    <phoneticPr fontId="9" type="noConversion"/>
  </si>
  <si>
    <t>유형자산처분손실</t>
    <phoneticPr fontId="2" type="noConversion"/>
  </si>
  <si>
    <t>파생금융상품</t>
  </si>
  <si>
    <t>미수금-SK pay money</t>
  </si>
  <si>
    <t>단기예치금</t>
  </si>
  <si>
    <t>보증금-임차보증금</t>
  </si>
  <si>
    <t>예수금-SK pay money</t>
  </si>
  <si>
    <t>지로가수금-SKpay머니</t>
  </si>
  <si>
    <t>파생상품평가이익</t>
  </si>
  <si>
    <t>파생금융상품</t>
    <phoneticPr fontId="2" type="noConversion"/>
  </si>
  <si>
    <t>유동파생상품자산-옵션거래</t>
    <phoneticPr fontId="2" type="noConversion"/>
  </si>
  <si>
    <t>미수금-SK pay money</t>
    <phoneticPr fontId="2" type="noConversion"/>
  </si>
  <si>
    <t>2282</t>
  </si>
  <si>
    <t>보증금-임차보증금</t>
    <phoneticPr fontId="2" type="noConversion"/>
  </si>
  <si>
    <t>단기예치금</t>
    <phoneticPr fontId="2" type="noConversion"/>
  </si>
  <si>
    <t>예수금-SK pay money</t>
    <phoneticPr fontId="2" type="noConversion"/>
  </si>
  <si>
    <t>지로가수금-SK pay money</t>
    <phoneticPr fontId="2" type="noConversion"/>
  </si>
  <si>
    <t>지로가수금_제로페이</t>
    <phoneticPr fontId="2" type="noConversion"/>
  </si>
  <si>
    <t>파생상품평가이익</t>
    <phoneticPr fontId="2" type="noConversion"/>
  </si>
  <si>
    <t>9141</t>
  </si>
  <si>
    <t>2020년 6월 30일 현재</t>
    <phoneticPr fontId="2" type="noConversion"/>
  </si>
  <si>
    <t>파생금융상품</t>
    <phoneticPr fontId="9" type="noConversion"/>
  </si>
  <si>
    <t>보증금-임차보증금</t>
    <phoneticPr fontId="9" type="noConversion"/>
  </si>
  <si>
    <t>영업</t>
  </si>
  <si>
    <t>계정대체</t>
    <phoneticPr fontId="9" type="noConversion"/>
  </si>
  <si>
    <t>기타당좌자산의 증가</t>
  </si>
  <si>
    <t>정부보조금</t>
    <phoneticPr fontId="9" type="noConversion"/>
  </si>
  <si>
    <t>파생상품평가이익</t>
    <phoneticPr fontId="9" type="noConversion"/>
  </si>
  <si>
    <t>단기매매증권의 처분</t>
    <phoneticPr fontId="9" type="noConversion"/>
  </si>
  <si>
    <t>금융리스부채의 증가</t>
    <phoneticPr fontId="9" type="noConversion"/>
  </si>
  <si>
    <t>기타투자유입</t>
    <phoneticPr fontId="9" type="noConversion"/>
  </si>
  <si>
    <t>무형자산처분손실</t>
    <phoneticPr fontId="2" type="noConversion"/>
  </si>
  <si>
    <t>공기구비품의 취득</t>
    <phoneticPr fontId="9" type="noConversion"/>
  </si>
  <si>
    <t>2020년 1월 1일부터 2020년 6월 30일까지</t>
    <phoneticPr fontId="2" type="noConversion"/>
  </si>
  <si>
    <t>금     액</t>
    <phoneticPr fontId="9" type="noConversion"/>
  </si>
  <si>
    <t>(단위:   천원)</t>
    <phoneticPr fontId="2" type="noConversion"/>
  </si>
  <si>
    <t>제 3(당) 반기</t>
    <phoneticPr fontId="9" type="noConversion"/>
  </si>
  <si>
    <t>금        액</t>
    <phoneticPr fontId="2" type="noConversion"/>
  </si>
  <si>
    <t xml:space="preserve">                          십일번가 주식회사</t>
    <phoneticPr fontId="2" type="noConversion"/>
  </si>
  <si>
    <t>단기보증금</t>
    <phoneticPr fontId="2" type="noConversion"/>
  </si>
  <si>
    <t>평가이익</t>
    <phoneticPr fontId="2" type="noConversion"/>
  </si>
  <si>
    <t>이자지급</t>
    <phoneticPr fontId="2" type="noConversion"/>
  </si>
  <si>
    <t>단기매매증권평가이익</t>
  </si>
  <si>
    <t>임차보증금의 증가</t>
    <phoneticPr fontId="9" type="noConversion"/>
  </si>
  <si>
    <t>신규 전대리스</t>
    <phoneticPr fontId="2" type="noConversion"/>
  </si>
  <si>
    <t>신규 전대리스</t>
    <phoneticPr fontId="9" type="noConversion"/>
  </si>
  <si>
    <t>신규 리스</t>
    <phoneticPr fontId="2" type="noConversion"/>
  </si>
  <si>
    <t>임차보증금의 증가</t>
    <phoneticPr fontId="2" type="noConversion"/>
  </si>
  <si>
    <t>예수금-SK페이상품권</t>
  </si>
  <si>
    <t>퇴직사외적립자산-임</t>
  </si>
  <si>
    <t>장기성파생상품부채</t>
  </si>
  <si>
    <t>파생금융부채</t>
  </si>
  <si>
    <t>사용권자산처분</t>
  </si>
  <si>
    <t>사용권자산처분익</t>
  </si>
  <si>
    <t>사용권자산처분손실</t>
  </si>
  <si>
    <t>파생상품손실</t>
  </si>
  <si>
    <t>파생상품평가손실</t>
  </si>
  <si>
    <t>제 3(당) 기</t>
    <phoneticPr fontId="9" type="noConversion"/>
  </si>
  <si>
    <t>제 3(당)기</t>
    <phoneticPr fontId="9" type="noConversion"/>
  </si>
  <si>
    <t>제 3기 2020년 1월 1일부터 2020년 12월 31일까지</t>
    <phoneticPr fontId="2" type="noConversion"/>
  </si>
  <si>
    <t>2020.12.31</t>
    <phoneticPr fontId="9" type="noConversion"/>
  </si>
  <si>
    <t>파생금융부채</t>
    <phoneticPr fontId="2" type="noConversion"/>
  </si>
  <si>
    <t>복구충당부채 설정</t>
    <phoneticPr fontId="2" type="noConversion"/>
  </si>
  <si>
    <t>파생상품평가손실</t>
    <phoneticPr fontId="2" type="noConversion"/>
  </si>
  <si>
    <t>유동성임차보증금</t>
  </si>
  <si>
    <t>유동성임차보증금</t>
    <phoneticPr fontId="2" type="noConversion"/>
  </si>
  <si>
    <t>무형자산처분이익</t>
    <phoneticPr fontId="2" type="noConversion"/>
  </si>
  <si>
    <t>기타포괄손익인식금융자산의 처분</t>
    <phoneticPr fontId="2" type="noConversion"/>
  </si>
  <si>
    <t>신규 리스</t>
  </si>
  <si>
    <t>사용권자산처분이익</t>
    <phoneticPr fontId="2" type="noConversion"/>
  </si>
  <si>
    <t>사용권자산처분손실</t>
    <phoneticPr fontId="2" type="noConversion"/>
  </si>
  <si>
    <t>예수보증금의 감소</t>
    <phoneticPr fontId="2" type="noConversion"/>
  </si>
  <si>
    <t>금융자산처분손실</t>
  </si>
  <si>
    <t xml:space="preserve">  ZC35                          전월/전년대비(N)_FI</t>
  </si>
  <si>
    <t xml:space="preserve">  관리회계 영역                 SKT0          SK Planet Control.Area</t>
  </si>
  <si>
    <t xml:space="preserve">  코스트 센터 그룹              RD_19     </t>
    <phoneticPr fontId="2" type="noConversion"/>
  </si>
  <si>
    <t>경상연구개발비 대체</t>
  </si>
  <si>
    <t>계정과목</t>
  </si>
  <si>
    <t>당년누적</t>
  </si>
  <si>
    <t>SKT 사업보고서용</t>
  </si>
  <si>
    <t>****    수익</t>
  </si>
  <si>
    <t>***     Ⅰ.영업수익</t>
  </si>
  <si>
    <t>**      1.용역수익</t>
  </si>
  <si>
    <t>*       마케팅용역수익</t>
  </si>
  <si>
    <t>*****   공헌이익</t>
  </si>
  <si>
    <t>위탁용역비</t>
    <phoneticPr fontId="2" type="noConversion"/>
  </si>
  <si>
    <t>IT O/S용역비_폐지</t>
  </si>
  <si>
    <t>컴퓨터소프트웨어상각</t>
  </si>
  <si>
    <t>인건비</t>
  </si>
  <si>
    <t>상여금-정기상여</t>
  </si>
  <si>
    <t>상여금-특별상여</t>
  </si>
  <si>
    <t>제수당-초과근무</t>
  </si>
  <si>
    <t>제수당-야간근무</t>
  </si>
  <si>
    <t>제수당-휴일근무</t>
  </si>
  <si>
    <t>제수당-연월차</t>
  </si>
  <si>
    <t>제수당-연월차_조정</t>
  </si>
  <si>
    <t>제수당-기타</t>
  </si>
  <si>
    <t>위탁용역비</t>
  </si>
  <si>
    <t>법정복리비-의료보험</t>
  </si>
  <si>
    <t>법정복리비-국민연금</t>
  </si>
  <si>
    <t>기타</t>
  </si>
  <si>
    <t>후생복리비-기타</t>
  </si>
  <si>
    <t>*       통신비</t>
  </si>
  <si>
    <t>차량유지비-유류대</t>
  </si>
  <si>
    <t>접대비-법인카드</t>
  </si>
  <si>
    <t>사내접대비</t>
  </si>
  <si>
    <t>*       사내거래손익</t>
  </si>
  <si>
    <t>*****   영업이익</t>
  </si>
  <si>
    <t>***     영업외 손익</t>
  </si>
  <si>
    <t>**      영업외수익</t>
  </si>
  <si>
    <t>*       유무형자산처분이익</t>
  </si>
  <si>
    <t xml:space="preserve">        812200  무형자산처분익</t>
  </si>
  <si>
    <t>**      영업외비용</t>
  </si>
  <si>
    <t>*       유무형,기타자산처분손</t>
  </si>
  <si>
    <t xml:space="preserve">        833100  유형자산처분손실</t>
  </si>
  <si>
    <t xml:space="preserve">        833200  무형자산처분손실</t>
  </si>
  <si>
    <t>******  세전이익</t>
  </si>
  <si>
    <t>******* 당기순이익</t>
  </si>
  <si>
    <t>연결계정</t>
    <phoneticPr fontId="2" type="noConversion"/>
  </si>
  <si>
    <t>금액</t>
    <phoneticPr fontId="2" type="noConversion"/>
  </si>
  <si>
    <t>원재료비</t>
  </si>
  <si>
    <t>금융자산처분손실</t>
    <phoneticPr fontId="2" type="noConversion"/>
  </si>
  <si>
    <t>법인세비용(수익)</t>
  </si>
  <si>
    <t>장기금융상품의 감소</t>
    <phoneticPr fontId="2" type="noConversion"/>
  </si>
  <si>
    <t>유동성대체</t>
    <phoneticPr fontId="9" type="noConversion"/>
  </si>
  <si>
    <t>금융자산처분손실</t>
    <phoneticPr fontId="9" type="noConversion"/>
  </si>
  <si>
    <t>리스채권의회수</t>
    <phoneticPr fontId="9" type="noConversion"/>
  </si>
  <si>
    <t>리스채권의회수</t>
    <phoneticPr fontId="2" type="noConversion"/>
  </si>
  <si>
    <t>보험수리적이익</t>
    <phoneticPr fontId="2" type="noConversion"/>
  </si>
  <si>
    <t>보험수리적손실</t>
    <phoneticPr fontId="2" type="noConversion"/>
  </si>
  <si>
    <t>FVOCI법인세효과</t>
    <phoneticPr fontId="9" type="noConversion"/>
  </si>
  <si>
    <t>DC형전환</t>
    <phoneticPr fontId="2" type="noConversion"/>
  </si>
  <si>
    <t>준비금적립</t>
    <phoneticPr fontId="2" type="noConversion"/>
  </si>
  <si>
    <t>지분법자본변동 법인세효과(전기)</t>
  </si>
  <si>
    <t>선납법인세미수금조정</t>
  </si>
  <si>
    <t>임대보증금의 증가</t>
    <phoneticPr fontId="2" type="noConversion"/>
  </si>
  <si>
    <t>장기금융상품의 감소</t>
    <phoneticPr fontId="9" type="noConversion"/>
  </si>
  <si>
    <t>예수보증금의 감소</t>
    <phoneticPr fontId="9" type="noConversion"/>
  </si>
  <si>
    <t>당기법인세자산</t>
    <phoneticPr fontId="2" type="noConversion"/>
  </si>
  <si>
    <t>외화정기예금환산조정</t>
  </si>
  <si>
    <t>시내교통비(전사)</t>
  </si>
  <si>
    <t>평가이익</t>
    <phoneticPr fontId="9" type="noConversion"/>
  </si>
  <si>
    <t>재고자산의 증가</t>
    <phoneticPr fontId="9" type="noConversion"/>
  </si>
  <si>
    <t>공기구비품</t>
    <phoneticPr fontId="9" type="noConversion"/>
  </si>
  <si>
    <t>신규리스</t>
    <phoneticPr fontId="9" type="noConversion"/>
  </si>
  <si>
    <t>금융자산처분이익</t>
  </si>
  <si>
    <t>유동당기금융-처분익</t>
  </si>
  <si>
    <t>당기손익인식금융자산처분이익</t>
    <phoneticPr fontId="4" type="noConversion"/>
  </si>
  <si>
    <t>금융자산처분이익</t>
    <phoneticPr fontId="4" type="noConversion"/>
  </si>
  <si>
    <t>금융자산처분이익</t>
    <phoneticPr fontId="9" type="noConversion"/>
  </si>
  <si>
    <t>미수금 환입</t>
    <phoneticPr fontId="9" type="noConversion"/>
  </si>
  <si>
    <t>매출채권 제각</t>
  </si>
  <si>
    <t>매출채권 제각</t>
    <phoneticPr fontId="9" type="noConversion"/>
  </si>
  <si>
    <t>미수금 환입</t>
    <phoneticPr fontId="2" type="noConversion"/>
  </si>
  <si>
    <t>당기손익인식금융자산처분이익</t>
    <phoneticPr fontId="2" type="noConversion"/>
  </si>
  <si>
    <t>사외적립자산의 감소</t>
    <phoneticPr fontId="9" type="noConversion"/>
  </si>
  <si>
    <t>당기손익금융-주식</t>
  </si>
  <si>
    <t>선수수익</t>
    <phoneticPr fontId="2" type="noConversion"/>
  </si>
  <si>
    <t>외화정기예금환산조정</t>
    <phoneticPr fontId="2" type="noConversion"/>
  </si>
  <si>
    <t>이익잉여금 대체</t>
  </si>
  <si>
    <t>이익잉여금 대체</t>
    <phoneticPr fontId="9" type="noConversion"/>
  </si>
  <si>
    <t>DC형전환</t>
    <phoneticPr fontId="9" type="noConversion"/>
  </si>
  <si>
    <t>리스해지</t>
    <phoneticPr fontId="9" type="noConversion"/>
  </si>
  <si>
    <t>리스제각(전대)</t>
    <phoneticPr fontId="9" type="noConversion"/>
  </si>
  <si>
    <t>미지급비용조정</t>
  </si>
  <si>
    <t>임대보증금의 감소</t>
    <phoneticPr fontId="9" type="noConversion"/>
  </si>
  <si>
    <t>선수수익의 감소</t>
    <phoneticPr fontId="9" type="noConversion"/>
  </si>
  <si>
    <t>임차보증금의 감소</t>
    <phoneticPr fontId="9" type="noConversion"/>
  </si>
  <si>
    <t>당기손익인식금융자산의 취득</t>
    <phoneticPr fontId="9" type="noConversion"/>
  </si>
  <si>
    <t>단기대여금</t>
  </si>
  <si>
    <t>단기대여금-기타</t>
  </si>
  <si>
    <t>장기대여금</t>
  </si>
  <si>
    <t>장기대여금-기타</t>
  </si>
  <si>
    <t>예수금_SK pay money(</t>
  </si>
  <si>
    <t>주식선택권</t>
  </si>
  <si>
    <t>주식보상비용</t>
  </si>
  <si>
    <t>주식보상비용</t>
    <phoneticPr fontId="4" type="noConversion"/>
  </si>
  <si>
    <t>장기대여금</t>
    <phoneticPr fontId="2" type="noConversion"/>
  </si>
  <si>
    <t>장기대여금-기타</t>
    <phoneticPr fontId="2" type="noConversion"/>
  </si>
  <si>
    <t>대여금</t>
    <phoneticPr fontId="2" type="noConversion"/>
  </si>
  <si>
    <t>장기대여금</t>
    <phoneticPr fontId="9" type="noConversion"/>
  </si>
  <si>
    <t>대여금</t>
    <phoneticPr fontId="9" type="noConversion"/>
  </si>
  <si>
    <t>예수금-SK pay money(무상)</t>
    <phoneticPr fontId="2" type="noConversion"/>
  </si>
  <si>
    <t>예수소득세-퇴직소득</t>
    <phoneticPr fontId="2" type="noConversion"/>
  </si>
  <si>
    <t>예수금</t>
    <phoneticPr fontId="2" type="noConversion"/>
  </si>
  <si>
    <t>주식선택권</t>
    <phoneticPr fontId="2" type="noConversion"/>
  </si>
  <si>
    <t>주식선택권</t>
    <phoneticPr fontId="2" type="noConversion"/>
  </si>
  <si>
    <t>주식선택권</t>
    <phoneticPr fontId="9" type="noConversion"/>
  </si>
  <si>
    <t>주식보상비용</t>
    <phoneticPr fontId="9" type="noConversion"/>
  </si>
  <si>
    <t>리스제각</t>
    <phoneticPr fontId="9" type="noConversion"/>
  </si>
  <si>
    <t>리스제각</t>
    <phoneticPr fontId="2" type="noConversion"/>
  </si>
  <si>
    <t>주식보상비용</t>
    <phoneticPr fontId="2" type="noConversion"/>
  </si>
  <si>
    <t>과세매입부가세</t>
    <phoneticPr fontId="2" type="noConversion"/>
  </si>
  <si>
    <t>예수부가세의 증가</t>
    <phoneticPr fontId="9" type="noConversion"/>
  </si>
  <si>
    <t>예수부가세의 증가</t>
    <phoneticPr fontId="9" type="noConversion"/>
  </si>
  <si>
    <t>단기금융상품</t>
    <phoneticPr fontId="2" type="noConversion"/>
  </si>
  <si>
    <t>파생상품부채</t>
  </si>
  <si>
    <t>유동성파생금융부채</t>
  </si>
  <si>
    <t>비유동파생금융부채</t>
  </si>
  <si>
    <t>유동당기금융-평가손</t>
  </si>
  <si>
    <t>유동당기금융-평가손</t>
    <phoneticPr fontId="4" type="noConversion"/>
  </si>
  <si>
    <t>당기손익인식금융자산평가손실</t>
    <phoneticPr fontId="2" type="noConversion"/>
  </si>
  <si>
    <t>없음</t>
    <phoneticPr fontId="2" type="noConversion"/>
  </si>
  <si>
    <t>유동성파생금융부채</t>
    <phoneticPr fontId="2" type="noConversion"/>
  </si>
  <si>
    <t>유동성대체</t>
  </si>
  <si>
    <t>유동성대체</t>
    <phoneticPr fontId="9" type="noConversion"/>
  </si>
  <si>
    <t>보험수리적손실</t>
    <phoneticPr fontId="9" type="noConversion"/>
  </si>
  <si>
    <t>퇴직연금이관</t>
    <phoneticPr fontId="9" type="noConversion"/>
  </si>
  <si>
    <t>사외적립자산의 증가</t>
    <phoneticPr fontId="9" type="noConversion"/>
  </si>
  <si>
    <t>단기리스료 대체</t>
    <phoneticPr fontId="9" type="noConversion"/>
  </si>
  <si>
    <t>기타미수수익 조정</t>
    <phoneticPr fontId="9" type="noConversion"/>
  </si>
  <si>
    <t>2021년 1월 1일부터 2021년 10월 31일까지</t>
    <phoneticPr fontId="2" type="noConversion"/>
  </si>
  <si>
    <t>당기손익인식금융자산평가손실</t>
  </si>
  <si>
    <t>금융자산평가손실</t>
    <phoneticPr fontId="4" type="noConversion"/>
  </si>
  <si>
    <t>예수금-우주패스</t>
  </si>
  <si>
    <t>단기대여금-기타</t>
    <phoneticPr fontId="2" type="noConversion"/>
  </si>
  <si>
    <t>단기대여금</t>
    <phoneticPr fontId="2" type="noConversion"/>
  </si>
  <si>
    <t>예수금-우주패스</t>
    <phoneticPr fontId="2" type="noConversion"/>
  </si>
  <si>
    <t>단기대여금</t>
    <phoneticPr fontId="9" type="noConversion"/>
  </si>
  <si>
    <t>이연법인세자산대체</t>
    <phoneticPr fontId="9" type="noConversion"/>
  </si>
  <si>
    <t>단기대여금 대체</t>
  </si>
  <si>
    <t>단기대여금 대체</t>
    <phoneticPr fontId="2" type="noConversion"/>
  </si>
  <si>
    <t>보험수리적손익</t>
    <phoneticPr fontId="2" type="noConversion"/>
  </si>
  <si>
    <t>2021년 12월 31일 현재</t>
    <phoneticPr fontId="2" type="noConversion"/>
  </si>
  <si>
    <t>제 4(당) 기</t>
    <phoneticPr fontId="9" type="noConversion"/>
  </si>
  <si>
    <t>공시용 재무상태표
(2021-12-31)</t>
    <phoneticPr fontId="2" type="noConversion"/>
  </si>
  <si>
    <t>미수법인세환급액</t>
  </si>
  <si>
    <t>과                        목</t>
  </si>
  <si>
    <t>제 4(당) 기</t>
  </si>
  <si>
    <t>자                        산</t>
  </si>
  <si>
    <t>   당기법인세자산</t>
  </si>
  <si>
    <t>   보증금</t>
  </si>
  <si>
    <t>II. 비유동자산</t>
  </si>
  <si>
    <t>관계기업투자</t>
  </si>
  <si>
    <t>기타포괄손익-공정가치측정 금융자산</t>
  </si>
  <si>
    <t>장기미수금</t>
  </si>
  <si>
    <t>자      산      총      계</t>
  </si>
  <si>
    <t>부                        채</t>
  </si>
  <si>
    <t>비유동충당부채</t>
  </si>
  <si>
    <t>   파생상품부채</t>
  </si>
  <si>
    <t>부      채      총      계</t>
  </si>
  <si>
    <t>자                        본</t>
  </si>
  <si>
    <t>Ⅰ. 자본금</t>
  </si>
  <si>
    <t>Ⅱ. 기타불입자본</t>
  </si>
  <si>
    <t>Ⅲ. 이익잉여금</t>
  </si>
  <si>
    <t> IV. 기타자본구성요소</t>
  </si>
  <si>
    <t>자      본      총      계</t>
  </si>
  <si>
    <t>부  채  및  자  본  총  계</t>
  </si>
  <si>
    <t>DSD 계정</t>
    <phoneticPr fontId="2" type="noConversion"/>
  </si>
  <si>
    <t>당기손익-공정가치측정 금융자산</t>
  </si>
  <si>
    <t>당기손익-공정가치측정 금융자산</t>
    <phoneticPr fontId="2" type="noConversion"/>
  </si>
  <si>
    <t> 종업원급여</t>
  </si>
  <si>
    <t> 지급수수료</t>
  </si>
  <si>
    <t> 감가상각비 및 무형자산상각비</t>
  </si>
  <si>
    <t> 광고선전비</t>
  </si>
  <si>
    <t> 임차료</t>
  </si>
  <si>
    <t> 상품및기타구입비용</t>
  </si>
  <si>
    <t> 용역원가</t>
  </si>
  <si>
    <t> 연구및경상개발비</t>
  </si>
  <si>
    <t> 기타영업비용</t>
  </si>
  <si>
    <t>Ⅲ.영업이익(손실)</t>
  </si>
  <si>
    <t> 금융수익</t>
  </si>
  <si>
    <t> 금융비용</t>
  </si>
  <si>
    <t> 관계기업투자손실</t>
  </si>
  <si>
    <t> 기타영업외수익</t>
  </si>
  <si>
    <t> 기타영업외비용</t>
  </si>
  <si>
    <t>Ⅳ.법인세비용차감전순손실</t>
  </si>
  <si>
    <t>VIII.당기순손실</t>
  </si>
  <si>
    <t>제 3(전) 기</t>
  </si>
  <si>
    <t>Ⅰ.영업활동으로 인한 현금흐름</t>
  </si>
  <si>
    <t>    1. 영업에서 창출된 현금흐름</t>
  </si>
  <si>
    <t>     당기순손실</t>
  </si>
  <si>
    <t>     수익ㆍ비용의 조정</t>
  </si>
  <si>
    <t>     영업활동으로 인한 자산ㆍ부채의 변동</t>
  </si>
  <si>
    <t>    2. 이자의 수취</t>
  </si>
  <si>
    <t>    3. 이자의 지급</t>
  </si>
  <si>
    <t>    4. 법인세의 납부</t>
  </si>
  <si>
    <t>Ⅱ.투자활동으로 인한 현금흐름</t>
  </si>
  <si>
    <t>    (1) 투자활동으로 인한 현금유입액</t>
  </si>
  <si>
    <t>      장ㆍ단기금융상품의 감소</t>
  </si>
  <si>
    <t>      장기투자자산의 처분</t>
  </si>
  <si>
    <t>      유형자산의 처분</t>
  </si>
  <si>
    <t>      무형자산의 처분</t>
  </si>
  <si>
    <t>      정부보조금의 수령</t>
  </si>
  <si>
    <t>      리스채권의 회수</t>
  </si>
  <si>
    <t>    (2) 투자활동으로 인한 현금유출액</t>
  </si>
  <si>
    <t>      장ㆍ단기금융상품의 증가</t>
  </si>
  <si>
    <t xml:space="preserve">       장기대여금의 증가</t>
    <phoneticPr fontId="2" type="noConversion"/>
  </si>
  <si>
    <t>      관계기업투자주식의 취득</t>
  </si>
  <si>
    <t>      당기손익-공정가치 측정 금융자산의 취득</t>
    <phoneticPr fontId="2" type="noConversion"/>
  </si>
  <si>
    <t>-</t>
  </si>
  <si>
    <t>      유형자산의 취득</t>
  </si>
  <si>
    <t>      무형자산의 취득</t>
  </si>
  <si>
    <t>Ⅲ.재무활동으로 인한 현금흐름</t>
  </si>
  <si>
    <t>    (1) 재무활동으로 인한 현금유입액</t>
  </si>
  <si>
    <t>    (2) 재무활동으로 인한 현금유출액</t>
  </si>
  <si>
    <t>      배당금의 지급</t>
  </si>
  <si>
    <t>      자기주식의 취득</t>
  </si>
  <si>
    <t>      리스부채의 원금상환</t>
  </si>
  <si>
    <t>Ⅳ.현금및현금성자산의 증가(감소)(Ⅰ+Ⅱ+Ⅲ) </t>
  </si>
  <si>
    <t>Ⅴ.기초의 현금및현금성자산</t>
  </si>
  <si>
    <t>Ⅵ.외화표시 현금및현금성자산의 환율변동효과</t>
  </si>
  <si>
    <t>Ⅶ.기말의 현금및현금성자산 </t>
  </si>
  <si>
    <t>단기대여금의 증가</t>
    <phoneticPr fontId="9" type="noConversion"/>
  </si>
  <si>
    <t xml:space="preserve">       단기대여금의 증가</t>
    <phoneticPr fontId="2" type="noConversion"/>
  </si>
  <si>
    <t>2021.12.31</t>
    <phoneticPr fontId="9" type="noConversion"/>
  </si>
  <si>
    <t>2020.12.31</t>
    <phoneticPr fontId="2" type="noConversion"/>
  </si>
  <si>
    <t xml:space="preserve"> 배당금지급</t>
    <phoneticPr fontId="2" type="noConversion"/>
  </si>
  <si>
    <t xml:space="preserve"> 관계기업의 기타포괄손익의 변동</t>
    <phoneticPr fontId="2" type="noConversion"/>
  </si>
  <si>
    <t xml:space="preserve"> 주식매수선택권</t>
    <phoneticPr fontId="2" type="noConversion"/>
  </si>
  <si>
    <t>당기손익인식금융자산평가이익</t>
    <phoneticPr fontId="4" type="noConversion"/>
  </si>
  <si>
    <t>부의지분법자본변동</t>
    <phoneticPr fontId="9" type="noConversion"/>
  </si>
  <si>
    <t>부의지분법자본변동</t>
    <phoneticPr fontId="2" type="noConversion"/>
  </si>
  <si>
    <t>보험수리적손익</t>
    <phoneticPr fontId="9" type="noConversion"/>
  </si>
  <si>
    <t>단기매매증권처분이익</t>
    <phoneticPr fontId="2" type="noConversion"/>
  </si>
  <si>
    <t>기타투자자산처분손실</t>
    <phoneticPr fontId="2" type="noConversion"/>
  </si>
  <si>
    <t>법인세의 납부</t>
    <phoneticPr fontId="2" type="noConversion"/>
  </si>
  <si>
    <t>현금및현금성자산(주25,26,29)</t>
  </si>
  <si>
    <t>단기금융상품(주5,25,26)</t>
  </si>
  <si>
    <t>매출채권(주5,25,26,27)</t>
  </si>
  <si>
    <t>미수금(주5,11,25,26,27)</t>
  </si>
  <si>
    <t>미수수익(주5,25,26)</t>
  </si>
  <si>
    <t>재고자산(주6)</t>
  </si>
  <si>
    <t>당기법인세자산</t>
  </si>
  <si>
    <t>보증금(주5,25,26)</t>
  </si>
  <si>
    <t>장기금융상품(주5,25,26,28)</t>
  </si>
  <si>
    <t>관계기업투자(주8,27)</t>
  </si>
  <si>
    <t>당기손익-공정가치측정 금융자산(주7)</t>
  </si>
  <si>
    <t>유형자산(주9,11)</t>
  </si>
  <si>
    <t>무형자산(주10)</t>
  </si>
  <si>
    <t>장기미수금(주5,11,25,26)</t>
  </si>
  <si>
    <t>이연법인세자산(주24)</t>
  </si>
  <si>
    <t>미지급금(주25,26,27)</t>
  </si>
  <si>
    <t>예수금(주25,26,27)</t>
  </si>
  <si>
    <t>미지급비용(주25,26)</t>
  </si>
  <si>
    <t>리스부채(주11,25,26)</t>
  </si>
  <si>
    <t>유동성임대보증금(주25,26)</t>
  </si>
  <si>
    <t>유성동파생금융부채(주14)</t>
  </si>
  <si>
    <t>임대보증금(주25,26)</t>
  </si>
  <si>
    <t>확정급여부채(주13)</t>
  </si>
  <si>
    <t>장기미지급비용(주25,26)</t>
  </si>
  <si>
    <t>비유동충당부채(주12)</t>
  </si>
  <si>
    <t>장기리스부채(주11,25,26)</t>
  </si>
  <si>
    <t>파생금융부채(주14)</t>
  </si>
  <si>
    <t>Ⅰ. 자본금(주1,15,17)</t>
  </si>
  <si>
    <t>Ⅱ. 기타불입자본(주15,17)</t>
  </si>
  <si>
    <t>Ⅲ. 이익잉여금(주18,19)</t>
  </si>
  <si>
    <t>IV. 기타자본구성요소(주4, 16)</t>
  </si>
  <si>
    <t>SAP</t>
    <phoneticPr fontId="2" type="noConversion"/>
  </si>
  <si>
    <t>정산표코드</t>
    <phoneticPr fontId="2" type="noConversion"/>
  </si>
  <si>
    <t>SKSQ 연결코드</t>
    <phoneticPr fontId="2" type="noConversion"/>
  </si>
  <si>
    <t xml:space="preserve">        626190  일반수수료-고정</t>
    <phoneticPr fontId="2" type="noConversion"/>
  </si>
  <si>
    <t xml:space="preserve">       625900  기타외주용역비</t>
    <phoneticPr fontId="2" type="noConversion"/>
  </si>
  <si>
    <t xml:space="preserve">       625910  외주용역비_시스템</t>
    <phoneticPr fontId="2" type="noConversion"/>
  </si>
  <si>
    <t xml:space="preserve">       672100  기계장치상각</t>
    <phoneticPr fontId="2" type="noConversion"/>
  </si>
  <si>
    <t xml:space="preserve">       675100  비품상각</t>
    <phoneticPr fontId="2" type="noConversion"/>
  </si>
  <si>
    <t xml:space="preserve">       679900  컴퓨터소프트웨어상각</t>
    <phoneticPr fontId="2" type="noConversion"/>
  </si>
  <si>
    <t xml:space="preserve">       600200  기본급</t>
    <phoneticPr fontId="2" type="noConversion"/>
  </si>
  <si>
    <t xml:space="preserve">       600300  상여금-정기상여</t>
    <phoneticPr fontId="2" type="noConversion"/>
  </si>
  <si>
    <t xml:space="preserve">       600310  상여금-특별상여</t>
    <phoneticPr fontId="2" type="noConversion"/>
  </si>
  <si>
    <t xml:space="preserve">       600400  제수당-초과근무</t>
    <phoneticPr fontId="2" type="noConversion"/>
  </si>
  <si>
    <t xml:space="preserve">       600410  제수당-야간근무</t>
    <phoneticPr fontId="2" type="noConversion"/>
  </si>
  <si>
    <t xml:space="preserve">       600420  제수당-휴일근무</t>
    <phoneticPr fontId="2" type="noConversion"/>
  </si>
  <si>
    <t xml:space="preserve">       600430  제수당-연월차</t>
    <phoneticPr fontId="2" type="noConversion"/>
  </si>
  <si>
    <t xml:space="preserve">       600431  제수당-연월차_조정</t>
    <phoneticPr fontId="2" type="noConversion"/>
  </si>
  <si>
    <t xml:space="preserve">       600490  제수당-기타</t>
    <phoneticPr fontId="2" type="noConversion"/>
  </si>
  <si>
    <t xml:space="preserve">       600500  계약직급여</t>
    <phoneticPr fontId="2" type="noConversion"/>
  </si>
  <si>
    <t xml:space="preserve">       600700  용역직인건비</t>
    <phoneticPr fontId="2" type="noConversion"/>
  </si>
  <si>
    <t xml:space="preserve">       603100  급여성복리비</t>
    <phoneticPr fontId="2" type="noConversion"/>
  </si>
  <si>
    <t xml:space="preserve">       603200  법정복리비-의료보험</t>
    <phoneticPr fontId="2" type="noConversion"/>
  </si>
  <si>
    <t xml:space="preserve">       603210  법정복리비-국민연금</t>
    <phoneticPr fontId="2" type="noConversion"/>
  </si>
  <si>
    <t xml:space="preserve">       603600  특근자석식비</t>
    <phoneticPr fontId="2" type="noConversion"/>
  </si>
  <si>
    <t xml:space="preserve">       603790  후생복리비-기타</t>
    <phoneticPr fontId="2" type="noConversion"/>
  </si>
  <si>
    <t xml:space="preserve">       654100  포상비</t>
    <phoneticPr fontId="2" type="noConversion"/>
  </si>
  <si>
    <t xml:space="preserve">       646100  국내교육훈련비-전사대상교육</t>
    <phoneticPr fontId="2" type="noConversion"/>
  </si>
  <si>
    <t xml:space="preserve">       637400  일반통신비</t>
    <phoneticPr fontId="2" type="noConversion"/>
  </si>
  <si>
    <t xml:space="preserve">       642100  차량유지비-유류대</t>
    <phoneticPr fontId="2" type="noConversion"/>
  </si>
  <si>
    <t xml:space="preserve">       642300  임원차량유지비</t>
    <phoneticPr fontId="2" type="noConversion"/>
  </si>
  <si>
    <t xml:space="preserve">       643100  도서구입비</t>
    <phoneticPr fontId="2" type="noConversion"/>
  </si>
  <si>
    <t xml:space="preserve">       639300  일반사무용소모품비</t>
    <phoneticPr fontId="2" type="noConversion"/>
  </si>
  <si>
    <t xml:space="preserve">       603500  동적요소관리비</t>
    <phoneticPr fontId="2" type="noConversion"/>
  </si>
  <si>
    <t xml:space="preserve">       603700  직책자동적요소관리비</t>
    <phoneticPr fontId="2" type="noConversion"/>
  </si>
  <si>
    <t xml:space="preserve">       651200  업무회의비</t>
    <phoneticPr fontId="2" type="noConversion"/>
  </si>
  <si>
    <t xml:space="preserve">       652100  접대비-법인카드</t>
    <phoneticPr fontId="2" type="noConversion"/>
  </si>
  <si>
    <t xml:space="preserve">       652160  사내접대비</t>
    <phoneticPr fontId="2" type="noConversion"/>
  </si>
  <si>
    <t xml:space="preserve">       648200  시외출장비</t>
    <phoneticPr fontId="2" type="noConversion"/>
  </si>
  <si>
    <t xml:space="preserve">       648110  야근교통비</t>
    <phoneticPr fontId="2" type="noConversion"/>
  </si>
  <si>
    <t xml:space="preserve">       642200  직책자교통비</t>
    <phoneticPr fontId="2" type="noConversion"/>
  </si>
  <si>
    <t xml:space="preserve">       655100  잡비</t>
    <phoneticPr fontId="2" type="noConversion"/>
  </si>
  <si>
    <t>최종 산출물</t>
    <phoneticPr fontId="2" type="noConversion"/>
  </si>
  <si>
    <t>SAP 계정</t>
    <phoneticPr fontId="2" type="noConversion"/>
  </si>
  <si>
    <t>금액(누적</t>
    <phoneticPr fontId="2" type="noConversion"/>
  </si>
  <si>
    <t>성격별 분류</t>
    <phoneticPr fontId="2" type="noConversion"/>
  </si>
  <si>
    <t>계약부채_고객충성제</t>
  </si>
  <si>
    <t>직책수당</t>
  </si>
  <si>
    <t>Audited</t>
    <phoneticPr fontId="4" type="noConversion"/>
  </si>
  <si>
    <t>직책수당</t>
    <phoneticPr fontId="4" type="noConversion"/>
  </si>
  <si>
    <t>배당 부채계상</t>
    <phoneticPr fontId="2" type="noConversion"/>
  </si>
  <si>
    <t>미지급배당금</t>
    <phoneticPr fontId="2" type="noConversion"/>
  </si>
  <si>
    <t>예수부가세의 감소</t>
    <phoneticPr fontId="9" type="noConversion"/>
  </si>
  <si>
    <t>예수부가세의 감소</t>
    <phoneticPr fontId="2" type="noConversion"/>
  </si>
  <si>
    <t>V1</t>
    <phoneticPr fontId="2" type="noConversion"/>
  </si>
  <si>
    <t>수정전</t>
    <phoneticPr fontId="2" type="noConversion"/>
  </si>
  <si>
    <t>수정후</t>
    <phoneticPr fontId="2" type="noConversion"/>
  </si>
  <si>
    <t>시산표</t>
    <phoneticPr fontId="2" type="noConversion"/>
  </si>
  <si>
    <t>수정 내역</t>
    <phoneticPr fontId="2" type="noConversion"/>
  </si>
  <si>
    <t>법인세비용</t>
  </si>
  <si>
    <t>개발비</t>
  </si>
  <si>
    <t>물류비-고정</t>
  </si>
  <si>
    <t>개발비상각</t>
  </si>
  <si>
    <t>자산매각액</t>
  </si>
  <si>
    <t>자산매각액조정</t>
  </si>
  <si>
    <t>상세</t>
    <phoneticPr fontId="2" type="noConversion"/>
  </si>
  <si>
    <t>지분법투자주식의 처분</t>
  </si>
  <si>
    <t>지분법투자주식의 처분</t>
    <phoneticPr fontId="9" type="noConversion"/>
  </si>
  <si>
    <t>선급금대체</t>
    <phoneticPr fontId="2" type="noConversion"/>
  </si>
  <si>
    <t>자산 취득</t>
    <phoneticPr fontId="2" type="noConversion"/>
  </si>
  <si>
    <t>사용권자산처분이익</t>
  </si>
  <si>
    <t>신규 리스(전대)</t>
  </si>
  <si>
    <t>전대조정</t>
    <phoneticPr fontId="2" type="noConversion"/>
  </si>
  <si>
    <t>부채재각</t>
    <phoneticPr fontId="2" type="noConversion"/>
  </si>
  <si>
    <t>리스해지</t>
    <phoneticPr fontId="2" type="noConversion"/>
  </si>
  <si>
    <t xml:space="preserve">  일자:                         2022.07.09</t>
  </si>
  <si>
    <t xml:space="preserve">  요청자:                       1101382</t>
  </si>
  <si>
    <t>ㅇ</t>
    <phoneticPr fontId="2" type="noConversion"/>
  </si>
  <si>
    <t>지분법적용투자주식처분손실</t>
  </si>
  <si>
    <t>지분법주식처분손실</t>
  </si>
  <si>
    <t>전기말</t>
    <phoneticPr fontId="2" type="noConversion"/>
  </si>
  <si>
    <t>당기말</t>
    <phoneticPr fontId="2" type="noConversion"/>
  </si>
  <si>
    <t>유형자산_기계장치</t>
  </si>
  <si>
    <t>무형자산_기타무형자산</t>
  </si>
  <si>
    <t>10월 11일 기준 시산표 업데이트</t>
    <phoneticPr fontId="2" type="noConversion"/>
  </si>
  <si>
    <t>예수금-SKpay</t>
  </si>
  <si>
    <t>기타선급비용-우주</t>
  </si>
  <si>
    <t>예수금-기타공제</t>
  </si>
  <si>
    <t>예수금-기타공제</t>
    <phoneticPr fontId="2" type="noConversion"/>
  </si>
  <si>
    <t>시산표 입력</t>
    <phoneticPr fontId="2" type="noConversion"/>
  </si>
  <si>
    <t>pending &gt;&gt; 계리평가, FVPL, 아마존 콜옵션, 이연법인세회계처리, CF작성, 경상연구비 대체</t>
    <phoneticPr fontId="2" type="noConversion"/>
  </si>
  <si>
    <t>V2</t>
    <phoneticPr fontId="2" type="noConversion"/>
  </si>
  <si>
    <t>신규 시산표 입력</t>
    <phoneticPr fontId="2" type="noConversion"/>
  </si>
  <si>
    <t>유형자산_공기구비품</t>
  </si>
  <si>
    <t>복구충당부채 환입</t>
  </si>
  <si>
    <t>당기손익금융-평가익</t>
  </si>
  <si>
    <t>pending &gt;&gt; 아마존콜옵션 &amp; 관련 이연법인세</t>
    <phoneticPr fontId="2" type="noConversion"/>
  </si>
  <si>
    <t xml:space="preserve"> </t>
  </si>
  <si>
    <t>***     Ⅰ.BizCost(고정)</t>
  </si>
  <si>
    <t>**      1.지급수수수료(고정성)</t>
  </si>
  <si>
    <t>*       지급수수료(고정)</t>
  </si>
  <si>
    <t>*       외주용역비</t>
  </si>
  <si>
    <t>**      3.감가상각비</t>
  </si>
  <si>
    <t>*       유형자산상각비</t>
  </si>
  <si>
    <t>*       무형자산상각비</t>
  </si>
  <si>
    <t>***     Ⅱ.People Cost</t>
  </si>
  <si>
    <t>**      1.인건복리비</t>
  </si>
  <si>
    <t>*       인건비_급여및상여</t>
  </si>
  <si>
    <t>*       복리후생비</t>
  </si>
  <si>
    <t>**      3.관리비용</t>
  </si>
  <si>
    <t>*       교육훈련비</t>
  </si>
  <si>
    <t>국내교육훈련비-전사대상교육</t>
  </si>
  <si>
    <t>*       차량운영비</t>
  </si>
  <si>
    <t>*       업무지원비</t>
  </si>
  <si>
    <t>*       접대성비용</t>
  </si>
  <si>
    <t>*       여비교통비</t>
  </si>
  <si>
    <t>*       기타관리비</t>
  </si>
  <si>
    <t>계리평가, 이연법인세, FVPL 회계처리 입력, 경상연구개발비</t>
    <phoneticPr fontId="2" type="noConversion"/>
  </si>
  <si>
    <t>V3</t>
    <phoneticPr fontId="2" type="noConversion"/>
  </si>
  <si>
    <t>CF수정</t>
    <phoneticPr fontId="2" type="noConversion"/>
  </si>
  <si>
    <t>퇴직급여(DC) 납입분 등 입력, 장기근속 수정</t>
    <phoneticPr fontId="2" type="noConversion"/>
  </si>
  <si>
    <t>MMT 금융상품 숫자입력 오류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</si>
</sst>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;[Red]\(#,##0\);\-"/>
    <numFmt numFmtId="178" formatCode="#,##0;[Red]\(#,##0\);&quot;-&quot;"/>
    <numFmt numFmtId="179" formatCode="[Red]\▲0.00%;[Blue]\▼0.00%;\-"/>
    <numFmt numFmtId="180" formatCode="_(* #,##0_);_(* \(#,##0\);_(* &quot;-&quot;_);_(@_)"/>
    <numFmt numFmtId="181" formatCode="_-* #,##0.00_-;\-* #,##0.00_-;_-* &quot;-&quot;_-;_-@_-"/>
    <numFmt numFmtId="182" formatCode="_ * #,##0.00_ ;_ * \-#,##0.00_ ;_ * &quot;-&quot;??_ ;_ @_ "/>
    <numFmt numFmtId="183" formatCode="_ * #,##0_ ;_ * \-#,##0_ ;_ * &quot;-&quot;_ ;_ @_ "/>
    <numFmt numFmtId="184" formatCode="#,##0;[Black]\(#,##0\);\-"/>
    <numFmt numFmtId="185" formatCode="#,##0_);[Red]\(#,##0\)"/>
    <numFmt numFmtId="186" formatCode="#,##0.0000;[Red]\(#,##0.0000\);&quot;-&quot;"/>
    <numFmt numFmtId="187" formatCode="\-#,##0;#,##0;&quot; &quot;"/>
    <numFmt numFmtId="188" formatCode="#,##0;\-#,##0;&quot; &quot;"/>
    <numFmt numFmtId="189" formatCode="mm&quot;월&quot;\ dd&quot;일&quot;"/>
  </numFmts>
  <fonts count="7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u/>
      <sz val="10"/>
      <color indexed="12"/>
      <name val="Arial"/>
      <family val="2"/>
    </font>
    <font>
      <b/>
      <sz val="10"/>
      <name val="맑은 고딕"/>
      <family val="3"/>
      <charset val="129"/>
      <scheme val="minor"/>
    </font>
    <font>
      <sz val="10"/>
      <name val="굴림"/>
      <family val="3"/>
      <charset val="129"/>
    </font>
    <font>
      <sz val="10"/>
      <name val="Times New Roman"/>
      <family val="1"/>
    </font>
    <font>
      <sz val="8"/>
      <name val="돋움"/>
      <family val="3"/>
      <charset val="129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i/>
      <sz val="10"/>
      <color theme="1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sz val="8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  <scheme val="minor"/>
    </font>
    <font>
      <b/>
      <sz val="12"/>
      <color rgb="FFC00000"/>
      <name val="맑은 고딕"/>
      <family val="2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b/>
      <sz val="10"/>
      <color theme="0" tint="-4.9989318521683403E-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sz val="11"/>
      <name val="굴림"/>
      <family val="3"/>
      <charset val="129"/>
    </font>
    <font>
      <sz val="8"/>
      <color theme="4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u val="singleAccounting"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Courier"/>
    </font>
    <font>
      <b/>
      <u val="singleAccounting"/>
      <sz val="10"/>
      <color rgb="FFFF0000"/>
      <name val="맑은 고딕"/>
      <family val="3"/>
      <charset val="129"/>
      <scheme val="minor"/>
    </font>
    <font>
      <b/>
      <sz val="11"/>
      <name val="Arial"/>
      <family val="2"/>
    </font>
    <font>
      <sz val="10"/>
      <color rgb="FFFF0000"/>
      <name val="맑은 고딕"/>
      <family val="2"/>
      <charset val="129"/>
      <scheme val="minor"/>
    </font>
    <font>
      <b/>
      <sz val="10"/>
      <name val="Arial"/>
      <family val="2"/>
    </font>
    <font>
      <b/>
      <sz val="10"/>
      <color rgb="FF365F9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2"/>
      <charset val="129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7FFB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hair">
        <color theme="0"/>
      </bottom>
      <diagonal/>
    </border>
    <border>
      <left/>
      <right style="thin">
        <color theme="0"/>
      </right>
      <top style="medium">
        <color indexed="64"/>
      </top>
      <bottom style="hair">
        <color theme="0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hair">
        <color indexed="64"/>
      </bottom>
      <diagonal/>
    </border>
    <border>
      <left style="medium">
        <color rgb="FF7030A0"/>
      </left>
      <right style="medium">
        <color rgb="FF7030A0"/>
      </right>
      <top/>
      <bottom style="hair">
        <color indexed="64"/>
      </bottom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thick">
        <color rgb="FFFF0000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/>
      <right/>
      <top style="thick">
        <color rgb="FFFF0000"/>
      </top>
      <bottom style="hair">
        <color indexed="64"/>
      </bottom>
      <diagonal/>
    </border>
    <border>
      <left style="medium">
        <color rgb="FF7030A0"/>
      </left>
      <right style="medium">
        <color rgb="FF7030A0"/>
      </right>
      <top style="thick">
        <color rgb="FFFF0000"/>
      </top>
      <bottom style="hair">
        <color indexed="64"/>
      </bottom>
      <diagonal/>
    </border>
    <border>
      <left/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hair">
        <color indexed="64"/>
      </left>
      <right/>
      <top style="thick">
        <color rgb="FFFF0000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ck">
        <color rgb="FFFF0000"/>
      </top>
      <bottom style="hair">
        <color indexed="64"/>
      </bottom>
      <diagonal/>
    </border>
    <border>
      <left style="hair">
        <color indexed="64"/>
      </left>
      <right style="thick">
        <color rgb="FFFF0000"/>
      </right>
      <top style="thick">
        <color rgb="FFFF0000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/>
      <bottom style="hair">
        <color indexed="64"/>
      </bottom>
      <diagonal/>
    </border>
    <border>
      <left style="thick">
        <color rgb="FFFF0000"/>
      </left>
      <right style="hair">
        <color indexed="64"/>
      </right>
      <top/>
      <bottom style="thick">
        <color rgb="FFFF0000"/>
      </bottom>
      <diagonal/>
    </border>
    <border>
      <left style="hair">
        <color indexed="64"/>
      </left>
      <right style="hair">
        <color indexed="64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medium">
        <color rgb="FF7030A0"/>
      </left>
      <right style="medium">
        <color rgb="FF7030A0"/>
      </right>
      <top/>
      <bottom style="thick">
        <color rgb="FFFF0000"/>
      </bottom>
      <diagonal/>
    </border>
    <border>
      <left/>
      <right style="hair">
        <color indexed="64"/>
      </right>
      <top style="hair">
        <color indexed="64"/>
      </top>
      <bottom style="thick">
        <color rgb="FFFF0000"/>
      </bottom>
      <diagonal/>
    </border>
    <border>
      <left style="hair">
        <color indexed="64"/>
      </left>
      <right/>
      <top style="hair">
        <color indexed="64"/>
      </top>
      <bottom style="thick">
        <color rgb="FFFF0000"/>
      </bottom>
      <diagonal/>
    </border>
    <border>
      <left/>
      <right style="hair">
        <color indexed="64"/>
      </right>
      <top/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rgb="FFFF0000"/>
      </bottom>
      <diagonal/>
    </border>
    <border>
      <left style="hair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ck">
        <color rgb="FFFF0000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ck">
        <color rgb="FFFF0000"/>
      </bottom>
      <diagonal/>
    </border>
    <border>
      <left style="hair">
        <color indexed="64"/>
      </left>
      <right style="thick">
        <color rgb="FFFF0000"/>
      </right>
      <top/>
      <bottom style="thick">
        <color rgb="FFFF0000"/>
      </bottom>
      <diagonal/>
    </border>
    <border>
      <left style="thick">
        <color rgb="FF7030A0"/>
      </left>
      <right style="hair">
        <color indexed="64"/>
      </right>
      <top style="thick">
        <color rgb="FF7030A0"/>
      </top>
      <bottom style="thick">
        <color rgb="FF7030A0"/>
      </bottom>
      <diagonal/>
    </border>
    <border>
      <left style="hair">
        <color indexed="64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hair">
        <color indexed="64"/>
      </left>
      <right style="hair">
        <color indexed="64"/>
      </right>
      <top style="thick">
        <color rgb="FF7030A0"/>
      </top>
      <bottom style="thick">
        <color rgb="FF7030A0"/>
      </bottom>
      <diagonal/>
    </border>
    <border>
      <left/>
      <right style="hair">
        <color indexed="64"/>
      </right>
      <top style="thick">
        <color rgb="FF7030A0"/>
      </top>
      <bottom style="thick">
        <color rgb="FF7030A0"/>
      </bottom>
      <diagonal/>
    </border>
    <border>
      <left style="hair">
        <color indexed="64"/>
      </left>
      <right/>
      <top style="thick">
        <color rgb="FF7030A0"/>
      </top>
      <bottom style="thick">
        <color rgb="FF7030A0"/>
      </bottom>
      <diagonal/>
    </border>
    <border>
      <left style="medium">
        <color indexed="64"/>
      </left>
      <right style="hair">
        <color indexed="64"/>
      </right>
      <top style="thick">
        <color rgb="FF7030A0"/>
      </top>
      <bottom style="thick">
        <color rgb="FF7030A0"/>
      </bottom>
      <diagonal/>
    </border>
    <border>
      <left style="hair">
        <color indexed="64"/>
      </left>
      <right style="medium">
        <color indexed="64"/>
      </right>
      <top style="thick">
        <color rgb="FF7030A0"/>
      </top>
      <bottom style="thick">
        <color rgb="FF7030A0"/>
      </bottom>
      <diagonal/>
    </border>
    <border>
      <left style="hair">
        <color indexed="64"/>
      </left>
      <right style="thick">
        <color rgb="FFFF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rgb="FFFF0000"/>
      </right>
      <top style="hair">
        <color indexed="64"/>
      </top>
      <bottom/>
      <diagonal/>
    </border>
    <border>
      <left style="hair">
        <color indexed="64"/>
      </left>
      <right style="thick">
        <color rgb="FFFF0000"/>
      </right>
      <top style="hair">
        <color indexed="64"/>
      </top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thick">
        <color rgb="FFFF0000"/>
      </top>
      <bottom/>
      <diagonal/>
    </border>
    <border>
      <left style="hair">
        <color auto="1"/>
      </left>
      <right style="hair">
        <color indexed="64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auto="1"/>
      </bottom>
      <diagonal/>
    </border>
    <border>
      <left/>
      <right style="thick">
        <color rgb="FFFF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3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  <xf numFmtId="0" fontId="15" fillId="0" borderId="0"/>
    <xf numFmtId="0" fontId="11" fillId="0" borderId="0"/>
    <xf numFmtId="180" fontId="17" fillId="0" borderId="0" applyFont="0" applyFill="0" applyBorder="0" applyAlignment="0" applyProtection="0"/>
    <xf numFmtId="0" fontId="11" fillId="0" borderId="0"/>
    <xf numFmtId="0" fontId="30" fillId="0" borderId="0"/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41" fontId="32" fillId="0" borderId="0" applyFont="0" applyFill="0" applyBorder="0" applyAlignment="0" applyProtection="0"/>
    <xf numFmtId="41" fontId="31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11" fillId="0" borderId="0"/>
    <xf numFmtId="41" fontId="1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7" fillId="0" borderId="0"/>
    <xf numFmtId="0" fontId="11" fillId="0" borderId="0" applyNumberFormat="0" applyFill="0" applyBorder="0" applyAlignment="0" applyProtection="0"/>
    <xf numFmtId="180" fontId="14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" fillId="0" borderId="0">
      <alignment vertical="center"/>
    </xf>
    <xf numFmtId="41" fontId="11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841">
    <xf numFmtId="0" fontId="0" fillId="0" borderId="0" xfId="0">
      <alignment vertical="center"/>
    </xf>
    <xf numFmtId="0" fontId="8" fillId="0" borderId="12" xfId="0" applyFont="1" applyFill="1" applyBorder="1" applyAlignment="1">
      <alignment horizontal="center" vertical="center"/>
    </xf>
    <xf numFmtId="176" fontId="8" fillId="0" borderId="13" xfId="1" applyNumberFormat="1" applyFont="1" applyFill="1" applyBorder="1" applyAlignment="1">
      <alignment horizontal="center" vertical="center"/>
    </xf>
    <xf numFmtId="177" fontId="8" fillId="0" borderId="13" xfId="0" applyNumberFormat="1" applyFont="1" applyFill="1" applyBorder="1">
      <alignment vertical="center"/>
    </xf>
    <xf numFmtId="177" fontId="8" fillId="0" borderId="13" xfId="0" applyNumberFormat="1" applyFont="1" applyFill="1" applyBorder="1" applyAlignment="1">
      <alignment vertical="center"/>
    </xf>
    <xf numFmtId="176" fontId="8" fillId="0" borderId="10" xfId="1" applyNumberFormat="1" applyFont="1" applyFill="1" applyBorder="1" applyAlignment="1">
      <alignment horizontal="center" vertical="center"/>
    </xf>
    <xf numFmtId="177" fontId="8" fillId="0" borderId="10" xfId="0" applyNumberFormat="1" applyFont="1" applyFill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176" fontId="8" fillId="0" borderId="14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77" fontId="8" fillId="0" borderId="16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6" fillId="3" borderId="3" xfId="0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176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178" fontId="8" fillId="0" borderId="13" xfId="0" applyNumberFormat="1" applyFont="1" applyFill="1" applyBorder="1" applyAlignment="1">
      <alignment horizontal="right" vertical="center"/>
    </xf>
    <xf numFmtId="178" fontId="8" fillId="0" borderId="1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178" fontId="5" fillId="0" borderId="0" xfId="0" applyNumberFormat="1" applyFont="1" applyFill="1">
      <alignment vertical="center"/>
    </xf>
    <xf numFmtId="178" fontId="0" fillId="0" borderId="0" xfId="0" applyNumberFormat="1" applyAlignment="1">
      <alignment horizontal="right" vertical="center"/>
    </xf>
    <xf numFmtId="14" fontId="6" fillId="3" borderId="37" xfId="0" applyNumberFormat="1" applyFont="1" applyFill="1" applyBorder="1" applyAlignment="1">
      <alignment horizontal="center" vertical="center"/>
    </xf>
    <xf numFmtId="178" fontId="8" fillId="0" borderId="14" xfId="0" applyNumberFormat="1" applyFont="1" applyFill="1" applyBorder="1" applyAlignment="1">
      <alignment horizontal="right" vertical="center"/>
    </xf>
    <xf numFmtId="178" fontId="8" fillId="0" borderId="11" xfId="0" applyNumberFormat="1" applyFont="1" applyFill="1" applyBorder="1" applyAlignment="1">
      <alignment horizontal="right" vertical="center"/>
    </xf>
    <xf numFmtId="176" fontId="8" fillId="0" borderId="46" xfId="1" applyNumberFormat="1" applyFont="1" applyFill="1" applyBorder="1" applyAlignment="1">
      <alignment horizontal="center" vertical="center"/>
    </xf>
    <xf numFmtId="177" fontId="8" fillId="0" borderId="47" xfId="0" applyNumberFormat="1" applyFont="1" applyFill="1" applyBorder="1">
      <alignment vertical="center"/>
    </xf>
    <xf numFmtId="176" fontId="8" fillId="0" borderId="47" xfId="1" applyNumberFormat="1" applyFont="1" applyFill="1" applyBorder="1" applyAlignment="1">
      <alignment horizontal="center" vertical="center"/>
    </xf>
    <xf numFmtId="178" fontId="8" fillId="0" borderId="22" xfId="0" applyNumberFormat="1" applyFont="1" applyFill="1" applyBorder="1" applyAlignment="1">
      <alignment horizontal="right" vertical="center"/>
    </xf>
    <xf numFmtId="178" fontId="8" fillId="0" borderId="47" xfId="0" applyNumberFormat="1" applyFont="1" applyFill="1" applyBorder="1" applyAlignment="1">
      <alignment horizontal="right" vertical="center"/>
    </xf>
    <xf numFmtId="178" fontId="8" fillId="0" borderId="48" xfId="0" applyNumberFormat="1" applyFont="1" applyFill="1" applyBorder="1" applyAlignment="1">
      <alignment horizontal="right" vertical="center"/>
    </xf>
    <xf numFmtId="179" fontId="8" fillId="0" borderId="22" xfId="0" applyNumberFormat="1" applyFont="1" applyFill="1" applyBorder="1" applyAlignment="1">
      <alignment horizontal="right" vertical="center"/>
    </xf>
    <xf numFmtId="178" fontId="8" fillId="0" borderId="52" xfId="0" applyNumberFormat="1" applyFont="1" applyFill="1" applyBorder="1" applyAlignment="1">
      <alignment horizontal="right" vertical="center"/>
    </xf>
    <xf numFmtId="179" fontId="8" fillId="0" borderId="48" xfId="0" applyNumberFormat="1" applyFont="1" applyFill="1" applyBorder="1" applyAlignment="1">
      <alignment horizontal="right" vertical="center"/>
    </xf>
    <xf numFmtId="178" fontId="8" fillId="0" borderId="46" xfId="0" applyNumberFormat="1" applyFont="1" applyFill="1" applyBorder="1" applyAlignment="1">
      <alignment horizontal="right" vertical="center"/>
    </xf>
    <xf numFmtId="178" fontId="8" fillId="0" borderId="16" xfId="0" applyNumberFormat="1" applyFont="1" applyFill="1" applyBorder="1" applyAlignment="1">
      <alignment horizontal="right" vertical="center"/>
    </xf>
    <xf numFmtId="176" fontId="8" fillId="0" borderId="52" xfId="1" applyNumberFormat="1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4" xfId="0" applyFont="1" applyFill="1" applyBorder="1">
      <alignment vertical="center"/>
    </xf>
    <xf numFmtId="178" fontId="7" fillId="5" borderId="24" xfId="0" applyNumberFormat="1" applyFont="1" applyFill="1" applyBorder="1" applyAlignment="1">
      <alignment horizontal="right" vertical="center"/>
    </xf>
    <xf numFmtId="178" fontId="7" fillId="5" borderId="45" xfId="0" applyNumberFormat="1" applyFont="1" applyFill="1" applyBorder="1" applyAlignment="1">
      <alignment horizontal="right" vertical="center"/>
    </xf>
    <xf numFmtId="0" fontId="7" fillId="5" borderId="44" xfId="0" applyFont="1" applyFill="1" applyBorder="1" applyAlignment="1">
      <alignment horizontal="center" vertical="center"/>
    </xf>
    <xf numFmtId="178" fontId="7" fillId="5" borderId="44" xfId="0" applyNumberFormat="1" applyFont="1" applyFill="1" applyBorder="1" applyAlignment="1">
      <alignment horizontal="right" vertical="center"/>
    </xf>
    <xf numFmtId="178" fontId="7" fillId="5" borderId="49" xfId="0" applyNumberFormat="1" applyFont="1" applyFill="1" applyBorder="1" applyAlignment="1">
      <alignment horizontal="right" vertical="center"/>
    </xf>
    <xf numFmtId="178" fontId="7" fillId="5" borderId="43" xfId="0" applyNumberFormat="1" applyFont="1" applyFill="1" applyBorder="1" applyAlignment="1">
      <alignment horizontal="right" vertical="center"/>
    </xf>
    <xf numFmtId="179" fontId="7" fillId="5" borderId="49" xfId="0" applyNumberFormat="1" applyFont="1" applyFill="1" applyBorder="1" applyAlignment="1">
      <alignment horizontal="right" vertical="center"/>
    </xf>
    <xf numFmtId="176" fontId="7" fillId="5" borderId="43" xfId="1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76" fontId="7" fillId="4" borderId="10" xfId="1" applyNumberFormat="1" applyFont="1" applyFill="1" applyBorder="1" applyAlignment="1">
      <alignment horizontal="center" vertical="center"/>
    </xf>
    <xf numFmtId="177" fontId="7" fillId="4" borderId="10" xfId="0" applyNumberFormat="1" applyFont="1" applyFill="1" applyBorder="1">
      <alignment vertical="center"/>
    </xf>
    <xf numFmtId="178" fontId="7" fillId="4" borderId="11" xfId="0" applyNumberFormat="1" applyFont="1" applyFill="1" applyBorder="1" applyAlignment="1">
      <alignment horizontal="right" vertical="center"/>
    </xf>
    <xf numFmtId="178" fontId="7" fillId="4" borderId="10" xfId="0" applyNumberFormat="1" applyFont="1" applyFill="1" applyBorder="1" applyAlignment="1">
      <alignment horizontal="right" vertical="center"/>
    </xf>
    <xf numFmtId="179" fontId="7" fillId="4" borderId="21" xfId="0" applyNumberFormat="1" applyFont="1" applyFill="1" applyBorder="1" applyAlignment="1">
      <alignment horizontal="right" vertical="center"/>
    </xf>
    <xf numFmtId="178" fontId="7" fillId="4" borderId="13" xfId="0" applyNumberFormat="1" applyFont="1" applyFill="1" applyBorder="1" applyAlignment="1">
      <alignment horizontal="right" vertical="center"/>
    </xf>
    <xf numFmtId="179" fontId="7" fillId="4" borderId="22" xfId="0" applyNumberFormat="1" applyFont="1" applyFill="1" applyBorder="1" applyAlignment="1">
      <alignment horizontal="right" vertical="center"/>
    </xf>
    <xf numFmtId="178" fontId="7" fillId="4" borderId="21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176" fontId="7" fillId="4" borderId="13" xfId="1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>
      <alignment vertical="center"/>
    </xf>
    <xf numFmtId="178" fontId="7" fillId="4" borderId="22" xfId="0" applyNumberFormat="1" applyFont="1" applyFill="1" applyBorder="1" applyAlignment="1">
      <alignment horizontal="right" vertical="center"/>
    </xf>
    <xf numFmtId="0" fontId="13" fillId="5" borderId="53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>
      <alignment vertical="center"/>
    </xf>
    <xf numFmtId="178" fontId="13" fillId="5" borderId="17" xfId="0" applyNumberFormat="1" applyFont="1" applyFill="1" applyBorder="1" applyAlignment="1">
      <alignment horizontal="right" vertical="center"/>
    </xf>
    <xf numFmtId="178" fontId="13" fillId="5" borderId="18" xfId="0" applyNumberFormat="1" applyFont="1" applyFill="1" applyBorder="1" applyAlignment="1">
      <alignment horizontal="right" vertical="center"/>
    </xf>
    <xf numFmtId="179" fontId="13" fillId="5" borderId="23" xfId="0" applyNumberFormat="1" applyFont="1" applyFill="1" applyBorder="1" applyAlignment="1">
      <alignment horizontal="right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14" fontId="21" fillId="3" borderId="1" xfId="0" applyNumberFormat="1" applyFont="1" applyFill="1" applyBorder="1" applyAlignment="1">
      <alignment horizontal="center" vertical="center"/>
    </xf>
    <xf numFmtId="178" fontId="8" fillId="8" borderId="72" xfId="11" applyNumberFormat="1" applyFont="1" applyFill="1" applyBorder="1">
      <alignment vertical="center"/>
    </xf>
    <xf numFmtId="178" fontId="8" fillId="4" borderId="72" xfId="11" applyNumberFormat="1" applyFont="1" applyFill="1" applyBorder="1">
      <alignment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36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78" fontId="8" fillId="11" borderId="32" xfId="11" applyNumberFormat="1" applyFont="1" applyFill="1" applyBorder="1">
      <alignment vertical="center"/>
    </xf>
    <xf numFmtId="178" fontId="8" fillId="11" borderId="72" xfId="11" applyNumberFormat="1" applyFont="1" applyFill="1" applyBorder="1">
      <alignment vertical="center"/>
    </xf>
    <xf numFmtId="178" fontId="26" fillId="0" borderId="0" xfId="0" applyNumberFormat="1" applyFont="1" applyAlignment="1">
      <alignment horizontal="right" vertical="center"/>
    </xf>
    <xf numFmtId="178" fontId="24" fillId="0" borderId="0" xfId="0" applyNumberFormat="1" applyFont="1">
      <alignment vertical="center"/>
    </xf>
    <xf numFmtId="178" fontId="24" fillId="0" borderId="0" xfId="0" applyNumberFormat="1" applyFont="1" applyAlignment="1">
      <alignment horizontal="center" vertical="center"/>
    </xf>
    <xf numFmtId="178" fontId="23" fillId="0" borderId="0" xfId="0" applyNumberFormat="1" applyFont="1">
      <alignment vertical="center"/>
    </xf>
    <xf numFmtId="178" fontId="21" fillId="3" borderId="66" xfId="0" applyNumberFormat="1" applyFont="1" applyFill="1" applyBorder="1" applyAlignment="1">
      <alignment horizontal="center" vertical="center"/>
    </xf>
    <xf numFmtId="178" fontId="21" fillId="3" borderId="1" xfId="0" applyNumberFormat="1" applyFont="1" applyFill="1" applyBorder="1" applyAlignment="1">
      <alignment horizontal="center" vertical="center"/>
    </xf>
    <xf numFmtId="178" fontId="21" fillId="3" borderId="0" xfId="0" applyNumberFormat="1" applyFont="1" applyFill="1" applyBorder="1" applyAlignment="1">
      <alignment horizontal="center" vertical="center"/>
    </xf>
    <xf numFmtId="178" fontId="21" fillId="3" borderId="62" xfId="7" applyNumberFormat="1" applyFont="1" applyFill="1" applyBorder="1" applyAlignment="1">
      <alignment horizontal="center" vertical="center"/>
    </xf>
    <xf numFmtId="178" fontId="21" fillId="3" borderId="58" xfId="7" applyNumberFormat="1" applyFont="1" applyFill="1" applyBorder="1" applyAlignment="1">
      <alignment horizontal="center" vertical="center"/>
    </xf>
    <xf numFmtId="178" fontId="21" fillId="3" borderId="62" xfId="7" applyNumberFormat="1" applyFont="1" applyFill="1" applyBorder="1" applyAlignment="1">
      <alignment horizontal="center" vertical="center" shrinkToFit="1"/>
    </xf>
    <xf numFmtId="178" fontId="21" fillId="3" borderId="59" xfId="7" applyNumberFormat="1" applyFont="1" applyFill="1" applyBorder="1" applyAlignment="1">
      <alignment horizontal="center" vertical="center" shrinkToFit="1"/>
    </xf>
    <xf numFmtId="178" fontId="21" fillId="3" borderId="58" xfId="7" applyNumberFormat="1" applyFont="1" applyFill="1" applyBorder="1" applyAlignment="1">
      <alignment horizontal="center" vertical="center" shrinkToFit="1"/>
    </xf>
    <xf numFmtId="178" fontId="21" fillId="3" borderId="62" xfId="8" applyNumberFormat="1" applyFont="1" applyFill="1" applyBorder="1" applyAlignment="1">
      <alignment horizontal="center" vertical="center" shrinkToFit="1"/>
    </xf>
    <xf numFmtId="178" fontId="21" fillId="3" borderId="58" xfId="8" applyNumberFormat="1" applyFont="1" applyFill="1" applyBorder="1" applyAlignment="1">
      <alignment horizontal="center" vertical="center" shrinkToFit="1"/>
    </xf>
    <xf numFmtId="178" fontId="21" fillId="3" borderId="67" xfId="8" applyNumberFormat="1" applyFont="1" applyFill="1" applyBorder="1" applyAlignment="1">
      <alignment horizontal="center" vertical="center" shrinkToFit="1"/>
    </xf>
    <xf numFmtId="178" fontId="22" fillId="5" borderId="53" xfId="0" applyNumberFormat="1" applyFont="1" applyFill="1" applyBorder="1">
      <alignment vertical="center"/>
    </xf>
    <xf numFmtId="178" fontId="22" fillId="5" borderId="18" xfId="0" applyNumberFormat="1" applyFont="1" applyFill="1" applyBorder="1" applyAlignment="1">
      <alignment horizontal="center" vertical="center"/>
    </xf>
    <xf numFmtId="178" fontId="22" fillId="5" borderId="18" xfId="0" applyNumberFormat="1" applyFont="1" applyFill="1" applyBorder="1">
      <alignment vertical="center"/>
    </xf>
    <xf numFmtId="178" fontId="22" fillId="5" borderId="17" xfId="0" applyNumberFormat="1" applyFont="1" applyFill="1" applyBorder="1" applyAlignment="1">
      <alignment horizontal="right" vertical="center"/>
    </xf>
    <xf numFmtId="178" fontId="22" fillId="5" borderId="68" xfId="0" applyNumberFormat="1" applyFont="1" applyFill="1" applyBorder="1" applyAlignment="1">
      <alignment horizontal="right" vertical="center"/>
    </xf>
    <xf numFmtId="178" fontId="23" fillId="5" borderId="42" xfId="0" applyNumberFormat="1" applyFont="1" applyFill="1" applyBorder="1">
      <alignment vertical="center"/>
    </xf>
    <xf numFmtId="178" fontId="23" fillId="5" borderId="44" xfId="0" applyNumberFormat="1" applyFont="1" applyFill="1" applyBorder="1" applyAlignment="1">
      <alignment horizontal="center" vertical="center"/>
    </xf>
    <xf numFmtId="178" fontId="23" fillId="5" borderId="44" xfId="0" applyNumberFormat="1" applyFont="1" applyFill="1" applyBorder="1">
      <alignment vertical="center"/>
    </xf>
    <xf numFmtId="178" fontId="23" fillId="5" borderId="43" xfId="0" applyNumberFormat="1" applyFont="1" applyFill="1" applyBorder="1" applyAlignment="1">
      <alignment horizontal="right" vertical="center"/>
    </xf>
    <xf numFmtId="178" fontId="23" fillId="5" borderId="45" xfId="0" applyNumberFormat="1" applyFont="1" applyFill="1" applyBorder="1" applyAlignment="1">
      <alignment horizontal="right" vertical="center"/>
    </xf>
    <xf numFmtId="178" fontId="24" fillId="0" borderId="9" xfId="0" applyNumberFormat="1" applyFont="1" applyFill="1" applyBorder="1">
      <alignment vertical="center"/>
    </xf>
    <xf numFmtId="178" fontId="24" fillId="0" borderId="10" xfId="0" applyNumberFormat="1" applyFont="1" applyFill="1" applyBorder="1" applyAlignment="1">
      <alignment horizontal="center" vertical="center"/>
    </xf>
    <xf numFmtId="178" fontId="24" fillId="0" borderId="10" xfId="0" applyNumberFormat="1" applyFont="1" applyFill="1" applyBorder="1">
      <alignment vertical="center"/>
    </xf>
    <xf numFmtId="178" fontId="24" fillId="0" borderId="11" xfId="0" applyNumberFormat="1" applyFont="1" applyFill="1" applyBorder="1" applyAlignment="1">
      <alignment horizontal="right" vertical="center"/>
    </xf>
    <xf numFmtId="178" fontId="25" fillId="0" borderId="13" xfId="7" applyNumberFormat="1" applyFont="1" applyFill="1" applyBorder="1"/>
    <xf numFmtId="178" fontId="23" fillId="0" borderId="0" xfId="0" applyNumberFormat="1" applyFont="1" applyFill="1" applyBorder="1">
      <alignment vertical="center"/>
    </xf>
    <xf numFmtId="178" fontId="24" fillId="0" borderId="10" xfId="0" applyNumberFormat="1" applyFont="1" applyFill="1" applyBorder="1" applyAlignment="1">
      <alignment horizontal="right" vertical="center"/>
    </xf>
    <xf numFmtId="178" fontId="26" fillId="0" borderId="0" xfId="0" applyNumberFormat="1" applyFont="1" applyFill="1" applyAlignment="1">
      <alignment horizontal="right" vertical="center"/>
    </xf>
    <xf numFmtId="178" fontId="24" fillId="0" borderId="13" xfId="0" applyNumberFormat="1" applyFont="1" applyFill="1" applyBorder="1">
      <alignment vertical="center"/>
    </xf>
    <xf numFmtId="178" fontId="24" fillId="0" borderId="22" xfId="0" applyNumberFormat="1" applyFont="1" applyFill="1" applyBorder="1">
      <alignment vertical="center"/>
    </xf>
    <xf numFmtId="178" fontId="24" fillId="0" borderId="0" xfId="0" applyNumberFormat="1" applyFont="1" applyFill="1">
      <alignment vertical="center"/>
    </xf>
    <xf numFmtId="178" fontId="24" fillId="0" borderId="33" xfId="0" applyNumberFormat="1" applyFont="1" applyBorder="1">
      <alignment vertical="center"/>
    </xf>
    <xf numFmtId="178" fontId="24" fillId="0" borderId="0" xfId="0" applyNumberFormat="1" applyFont="1" applyBorder="1">
      <alignment vertical="center"/>
    </xf>
    <xf numFmtId="178" fontId="27" fillId="0" borderId="0" xfId="0" applyNumberFormat="1" applyFont="1" applyFill="1" applyAlignment="1">
      <alignment horizontal="right" vertical="center"/>
    </xf>
    <xf numFmtId="178" fontId="24" fillId="0" borderId="54" xfId="0" applyNumberFormat="1" applyFont="1" applyFill="1" applyBorder="1">
      <alignment vertical="center"/>
    </xf>
    <xf numFmtId="178" fontId="24" fillId="0" borderId="16" xfId="0" applyNumberFormat="1" applyFont="1" applyFill="1" applyBorder="1">
      <alignment vertical="center"/>
    </xf>
    <xf numFmtId="178" fontId="24" fillId="0" borderId="46" xfId="0" applyNumberFormat="1" applyFont="1" applyFill="1" applyBorder="1" applyAlignment="1">
      <alignment horizontal="right" vertical="center"/>
    </xf>
    <xf numFmtId="178" fontId="24" fillId="0" borderId="46" xfId="0" applyNumberFormat="1" applyFont="1" applyFill="1" applyBorder="1">
      <alignment vertical="center"/>
    </xf>
    <xf numFmtId="178" fontId="24" fillId="0" borderId="69" xfId="0" applyNumberFormat="1" applyFont="1" applyFill="1" applyBorder="1">
      <alignment vertical="center"/>
    </xf>
    <xf numFmtId="178" fontId="25" fillId="0" borderId="12" xfId="7" applyNumberFormat="1" applyFont="1" applyFill="1" applyBorder="1"/>
    <xf numFmtId="178" fontId="25" fillId="0" borderId="22" xfId="7" applyNumberFormat="1" applyFont="1" applyFill="1" applyBorder="1"/>
    <xf numFmtId="178" fontId="25" fillId="0" borderId="46" xfId="7" applyNumberFormat="1" applyFont="1" applyFill="1" applyBorder="1"/>
    <xf numFmtId="178" fontId="23" fillId="0" borderId="0" xfId="0" applyNumberFormat="1" applyFont="1" applyFill="1" applyBorder="1" applyAlignment="1">
      <alignment horizontal="center" vertical="center"/>
    </xf>
    <xf numFmtId="178" fontId="23" fillId="0" borderId="0" xfId="0" applyNumberFormat="1" applyFont="1" applyFill="1" applyBorder="1" applyAlignment="1">
      <alignment vertical="center"/>
    </xf>
    <xf numFmtId="178" fontId="23" fillId="0" borderId="0" xfId="0" applyNumberFormat="1" applyFont="1" applyFill="1">
      <alignment vertical="center"/>
    </xf>
    <xf numFmtId="178" fontId="24" fillId="0" borderId="76" xfId="0" applyNumberFormat="1" applyFont="1" applyBorder="1">
      <alignment vertical="center"/>
    </xf>
    <xf numFmtId="178" fontId="7" fillId="7" borderId="77" xfId="0" applyNumberFormat="1" applyFont="1" applyFill="1" applyBorder="1">
      <alignment vertical="center"/>
    </xf>
    <xf numFmtId="178" fontId="24" fillId="0" borderId="77" xfId="0" applyNumberFormat="1" applyFont="1" applyBorder="1">
      <alignment vertical="center"/>
    </xf>
    <xf numFmtId="178" fontId="7" fillId="7" borderId="78" xfId="0" applyNumberFormat="1" applyFont="1" applyFill="1" applyBorder="1">
      <alignment vertical="center"/>
    </xf>
    <xf numFmtId="178" fontId="7" fillId="0" borderId="76" xfId="0" applyNumberFormat="1" applyFont="1" applyFill="1" applyBorder="1">
      <alignment vertical="center"/>
    </xf>
    <xf numFmtId="178" fontId="7" fillId="0" borderId="77" xfId="0" applyNumberFormat="1" applyFont="1" applyFill="1" applyBorder="1">
      <alignment vertical="center"/>
    </xf>
    <xf numFmtId="178" fontId="7" fillId="7" borderId="70" xfId="0" applyNumberFormat="1" applyFont="1" applyFill="1" applyBorder="1" applyAlignment="1">
      <alignment horizontal="center" vertical="center"/>
    </xf>
    <xf numFmtId="178" fontId="7" fillId="7" borderId="30" xfId="0" applyNumberFormat="1" applyFont="1" applyFill="1" applyBorder="1" applyAlignment="1">
      <alignment horizontal="center" vertical="center"/>
    </xf>
    <xf numFmtId="178" fontId="7" fillId="7" borderId="32" xfId="0" applyNumberFormat="1" applyFont="1" applyFill="1" applyBorder="1" applyAlignment="1">
      <alignment horizontal="center" vertical="center"/>
    </xf>
    <xf numFmtId="178" fontId="24" fillId="0" borderId="66" xfId="0" applyNumberFormat="1" applyFont="1" applyBorder="1">
      <alignment vertical="center"/>
    </xf>
    <xf numFmtId="178" fontId="24" fillId="0" borderId="1" xfId="0" applyNumberFormat="1" applyFont="1" applyBorder="1">
      <alignment vertical="center"/>
    </xf>
    <xf numFmtId="178" fontId="24" fillId="9" borderId="68" xfId="0" applyNumberFormat="1" applyFont="1" applyFill="1" applyBorder="1">
      <alignment vertical="center"/>
    </xf>
    <xf numFmtId="178" fontId="8" fillId="0" borderId="71" xfId="0" applyNumberFormat="1" applyFont="1" applyFill="1" applyBorder="1">
      <alignment vertical="center"/>
    </xf>
    <xf numFmtId="178" fontId="8" fillId="0" borderId="33" xfId="1" applyNumberFormat="1" applyFont="1" applyFill="1" applyBorder="1">
      <alignment vertical="center"/>
    </xf>
    <xf numFmtId="178" fontId="29" fillId="4" borderId="70" xfId="10" applyNumberFormat="1" applyFont="1" applyFill="1" applyBorder="1" applyAlignment="1">
      <alignment vertical="center"/>
    </xf>
    <xf numFmtId="178" fontId="29" fillId="4" borderId="29" xfId="10" applyNumberFormat="1" applyFont="1" applyFill="1" applyBorder="1" applyAlignment="1">
      <alignment vertical="center"/>
    </xf>
    <xf numFmtId="178" fontId="8" fillId="8" borderId="70" xfId="11" applyNumberFormat="1" applyFont="1" applyFill="1" applyBorder="1">
      <alignment vertical="center"/>
    </xf>
    <xf numFmtId="178" fontId="8" fillId="8" borderId="29" xfId="11" applyNumberFormat="1" applyFont="1" applyFill="1" applyBorder="1">
      <alignment vertical="center"/>
    </xf>
    <xf numFmtId="178" fontId="8" fillId="11" borderId="70" xfId="11" applyNumberFormat="1" applyFont="1" applyFill="1" applyBorder="1">
      <alignment vertical="center"/>
    </xf>
    <xf numFmtId="178" fontId="8" fillId="11" borderId="29" xfId="11" applyNumberFormat="1" applyFont="1" applyFill="1" applyBorder="1">
      <alignment vertical="center"/>
    </xf>
    <xf numFmtId="178" fontId="29" fillId="4" borderId="71" xfId="10" applyNumberFormat="1" applyFont="1" applyFill="1" applyBorder="1" applyAlignment="1">
      <alignment vertical="center"/>
    </xf>
    <xf numFmtId="178" fontId="29" fillId="4" borderId="27" xfId="10" applyNumberFormat="1" applyFont="1" applyFill="1" applyBorder="1" applyAlignment="1">
      <alignment vertical="center"/>
    </xf>
    <xf numFmtId="178" fontId="29" fillId="4" borderId="72" xfId="10" applyNumberFormat="1" applyFont="1" applyFill="1" applyBorder="1" applyAlignment="1">
      <alignment vertical="center"/>
    </xf>
    <xf numFmtId="178" fontId="8" fillId="8" borderId="71" xfId="11" applyNumberFormat="1" applyFont="1" applyFill="1" applyBorder="1">
      <alignment vertical="center"/>
    </xf>
    <xf numFmtId="178" fontId="8" fillId="11" borderId="71" xfId="11" applyNumberFormat="1" applyFont="1" applyFill="1" applyBorder="1">
      <alignment vertical="center"/>
    </xf>
    <xf numFmtId="178" fontId="8" fillId="11" borderId="27" xfId="11" applyNumberFormat="1" applyFont="1" applyFill="1" applyBorder="1">
      <alignment vertical="center"/>
    </xf>
    <xf numFmtId="178" fontId="29" fillId="8" borderId="27" xfId="10" applyNumberFormat="1" applyFont="1" applyFill="1" applyBorder="1" applyAlignment="1">
      <alignment vertical="center"/>
    </xf>
    <xf numFmtId="178" fontId="29" fillId="11" borderId="27" xfId="10" applyNumberFormat="1" applyFont="1" applyFill="1" applyBorder="1" applyAlignment="1">
      <alignment vertical="center"/>
    </xf>
    <xf numFmtId="178" fontId="8" fillId="0" borderId="73" xfId="0" applyNumberFormat="1" applyFont="1" applyFill="1" applyBorder="1">
      <alignment vertical="center"/>
    </xf>
    <xf numFmtId="178" fontId="8" fillId="0" borderId="62" xfId="1" applyNumberFormat="1" applyFont="1" applyFill="1" applyBorder="1">
      <alignment vertical="center"/>
    </xf>
    <xf numFmtId="178" fontId="8" fillId="0" borderId="67" xfId="0" applyNumberFormat="1" applyFont="1" applyFill="1" applyBorder="1">
      <alignment vertical="center"/>
    </xf>
    <xf numFmtId="178" fontId="8" fillId="0" borderId="0" xfId="0" applyNumberFormat="1" applyFont="1" applyBorder="1">
      <alignment vertical="center"/>
    </xf>
    <xf numFmtId="178" fontId="8" fillId="0" borderId="0" xfId="1" applyNumberFormat="1" applyFont="1" applyBorder="1">
      <alignment vertical="center"/>
    </xf>
    <xf numFmtId="178" fontId="7" fillId="7" borderId="0" xfId="0" applyNumberFormat="1" applyFont="1" applyFill="1">
      <alignment vertical="center"/>
    </xf>
    <xf numFmtId="178" fontId="8" fillId="0" borderId="76" xfId="0" applyNumberFormat="1" applyFont="1" applyBorder="1">
      <alignment vertical="center"/>
    </xf>
    <xf numFmtId="178" fontId="8" fillId="0" borderId="77" xfId="0" applyNumberFormat="1" applyFont="1" applyBorder="1">
      <alignment vertical="center"/>
    </xf>
    <xf numFmtId="178" fontId="8" fillId="0" borderId="78" xfId="0" applyNumberFormat="1" applyFont="1" applyBorder="1">
      <alignment vertical="center"/>
    </xf>
    <xf numFmtId="178" fontId="24" fillId="0" borderId="78" xfId="0" applyNumberFormat="1" applyFont="1" applyBorder="1">
      <alignment vertical="center"/>
    </xf>
    <xf numFmtId="178" fontId="8" fillId="0" borderId="79" xfId="0" applyNumberFormat="1" applyFont="1" applyBorder="1">
      <alignment vertical="center"/>
    </xf>
    <xf numFmtId="178" fontId="8" fillId="0" borderId="69" xfId="0" applyNumberFormat="1" applyFont="1" applyBorder="1">
      <alignment vertical="center"/>
    </xf>
    <xf numFmtId="178" fontId="24" fillId="0" borderId="68" xfId="0" applyNumberFormat="1" applyFont="1" applyBorder="1">
      <alignment vertical="center"/>
    </xf>
    <xf numFmtId="178" fontId="8" fillId="0" borderId="0" xfId="0" applyNumberFormat="1" applyFont="1">
      <alignment vertical="center"/>
    </xf>
    <xf numFmtId="178" fontId="8" fillId="0" borderId="66" xfId="0" applyNumberFormat="1" applyFont="1" applyBorder="1">
      <alignment vertical="center"/>
    </xf>
    <xf numFmtId="178" fontId="8" fillId="0" borderId="1" xfId="0" applyNumberFormat="1" applyFont="1" applyBorder="1">
      <alignment vertical="center"/>
    </xf>
    <xf numFmtId="178" fontId="29" fillId="6" borderId="68" xfId="9" applyNumberFormat="1" applyFont="1" applyFill="1" applyBorder="1"/>
    <xf numFmtId="178" fontId="24" fillId="10" borderId="66" xfId="0" applyNumberFormat="1" applyFont="1" applyFill="1" applyBorder="1">
      <alignment vertical="center"/>
    </xf>
    <xf numFmtId="178" fontId="24" fillId="10" borderId="68" xfId="0" applyNumberFormat="1" applyFont="1" applyFill="1" applyBorder="1">
      <alignment vertical="center"/>
    </xf>
    <xf numFmtId="179" fontId="8" fillId="0" borderId="21" xfId="0" applyNumberFormat="1" applyFont="1" applyFill="1" applyBorder="1" applyAlignment="1">
      <alignment horizontal="right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176" fontId="8" fillId="0" borderId="16" xfId="1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24" fillId="0" borderId="62" xfId="0" applyNumberFormat="1" applyFont="1" applyBorder="1">
      <alignment vertical="center"/>
    </xf>
    <xf numFmtId="178" fontId="24" fillId="0" borderId="57" xfId="0" applyNumberFormat="1" applyFont="1" applyBorder="1">
      <alignment vertical="center"/>
    </xf>
    <xf numFmtId="181" fontId="24" fillId="0" borderId="0" xfId="0" applyNumberFormat="1" applyFont="1">
      <alignment vertical="center"/>
    </xf>
    <xf numFmtId="178" fontId="24" fillId="0" borderId="70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178" fontId="24" fillId="0" borderId="32" xfId="0" applyNumberFormat="1" applyFont="1" applyBorder="1">
      <alignment vertical="center"/>
    </xf>
    <xf numFmtId="178" fontId="24" fillId="0" borderId="71" xfId="0" applyNumberFormat="1" applyFont="1" applyBorder="1">
      <alignment vertical="center"/>
    </xf>
    <xf numFmtId="178" fontId="24" fillId="0" borderId="79" xfId="0" applyNumberFormat="1" applyFont="1" applyBorder="1">
      <alignment vertical="center"/>
    </xf>
    <xf numFmtId="178" fontId="24" fillId="0" borderId="69" xfId="0" applyNumberFormat="1" applyFont="1" applyBorder="1">
      <alignment vertical="center"/>
    </xf>
    <xf numFmtId="178" fontId="24" fillId="0" borderId="71" xfId="0" applyNumberFormat="1" applyFont="1" applyFill="1" applyBorder="1">
      <alignment vertical="center"/>
    </xf>
    <xf numFmtId="178" fontId="24" fillId="0" borderId="33" xfId="0" applyNumberFormat="1" applyFont="1" applyFill="1" applyBorder="1">
      <alignment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178" fontId="8" fillId="0" borderId="55" xfId="0" applyNumberFormat="1" applyFont="1" applyFill="1" applyBorder="1" applyAlignment="1">
      <alignment horizontal="right" vertical="center"/>
    </xf>
    <xf numFmtId="179" fontId="7" fillId="5" borderId="45" xfId="0" applyNumberFormat="1" applyFont="1" applyFill="1" applyBorder="1" applyAlignment="1">
      <alignment horizontal="right" vertical="center"/>
    </xf>
    <xf numFmtId="179" fontId="8" fillId="0" borderId="55" xfId="0" applyNumberFormat="1" applyFont="1" applyFill="1" applyBorder="1" applyAlignment="1">
      <alignment horizontal="right" vertical="center"/>
    </xf>
    <xf numFmtId="178" fontId="24" fillId="0" borderId="33" xfId="0" applyNumberFormat="1" applyFont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178" fontId="24" fillId="0" borderId="0" xfId="0" applyNumberFormat="1" applyFont="1" applyFill="1" applyBorder="1">
      <alignment vertical="center"/>
    </xf>
    <xf numFmtId="178" fontId="24" fillId="0" borderId="58" xfId="0" applyNumberFormat="1" applyFont="1" applyBorder="1">
      <alignment vertical="center"/>
    </xf>
    <xf numFmtId="178" fontId="24" fillId="0" borderId="64" xfId="0" applyNumberFormat="1" applyFont="1" applyBorder="1" applyAlignment="1">
      <alignment horizontal="center" vertical="center"/>
    </xf>
    <xf numFmtId="178" fontId="24" fillId="0" borderId="59" xfId="0" applyNumberFormat="1" applyFont="1" applyBorder="1">
      <alignment vertical="center"/>
    </xf>
    <xf numFmtId="178" fontId="24" fillId="0" borderId="60" xfId="0" applyNumberFormat="1" applyFont="1" applyBorder="1">
      <alignment vertical="center"/>
    </xf>
    <xf numFmtId="178" fontId="24" fillId="0" borderId="26" xfId="0" applyNumberFormat="1" applyFont="1" applyBorder="1" applyAlignment="1">
      <alignment horizontal="center" vertical="center"/>
    </xf>
    <xf numFmtId="178" fontId="24" fillId="0" borderId="25" xfId="0" applyNumberFormat="1" applyFont="1" applyBorder="1">
      <alignment vertical="center"/>
    </xf>
    <xf numFmtId="43" fontId="0" fillId="0" borderId="0" xfId="1" applyNumberFormat="1" applyFont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41" fontId="5" fillId="0" borderId="0" xfId="1" applyFont="1" applyAlignment="1">
      <alignment horizontal="center"/>
    </xf>
    <xf numFmtId="0" fontId="5" fillId="0" borderId="0" xfId="0" applyFont="1" applyAlignment="1">
      <alignment horizontal="center" wrapText="1"/>
    </xf>
    <xf numFmtId="10" fontId="5" fillId="0" borderId="0" xfId="0" applyNumberFormat="1" applyFont="1" applyAlignment="1">
      <alignment horizontal="center" wrapText="1"/>
    </xf>
    <xf numFmtId="41" fontId="5" fillId="0" borderId="0" xfId="1" applyFont="1" applyAlignment="1">
      <alignment horizontal="center" wrapText="1"/>
    </xf>
    <xf numFmtId="43" fontId="5" fillId="0" borderId="0" xfId="1" applyNumberFormat="1" applyFont="1" applyAlignment="1">
      <alignment horizontal="center" wrapText="1"/>
    </xf>
    <xf numFmtId="178" fontId="25" fillId="12" borderId="13" xfId="7" applyNumberFormat="1" applyFont="1" applyFill="1" applyBorder="1"/>
    <xf numFmtId="14" fontId="6" fillId="3" borderId="8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7" fillId="0" borderId="0" xfId="0" applyFont="1" applyAlignment="1">
      <alignment horizontal="right"/>
    </xf>
    <xf numFmtId="0" fontId="6" fillId="3" borderId="80" xfId="0" applyFont="1" applyFill="1" applyBorder="1" applyAlignment="1">
      <alignment vertical="center"/>
    </xf>
    <xf numFmtId="0" fontId="6" fillId="3" borderId="45" xfId="0" applyFont="1" applyFill="1" applyBorder="1" applyAlignment="1">
      <alignment vertical="center"/>
    </xf>
    <xf numFmtId="0" fontId="7" fillId="5" borderId="81" xfId="0" applyFont="1" applyFill="1" applyBorder="1">
      <alignment vertical="center"/>
    </xf>
    <xf numFmtId="178" fontId="7" fillId="5" borderId="42" xfId="0" applyNumberFormat="1" applyFont="1" applyFill="1" applyBorder="1" applyAlignment="1">
      <alignment horizontal="right" vertical="center"/>
    </xf>
    <xf numFmtId="0" fontId="8" fillId="0" borderId="0" xfId="0" applyFont="1" applyFill="1">
      <alignment vertical="center"/>
    </xf>
    <xf numFmtId="177" fontId="7" fillId="0" borderId="82" xfId="0" applyNumberFormat="1" applyFont="1" applyFill="1" applyBorder="1">
      <alignment vertical="center"/>
    </xf>
    <xf numFmtId="178" fontId="7" fillId="0" borderId="9" xfId="0" applyNumberFormat="1" applyFont="1" applyFill="1" applyBorder="1" applyAlignment="1">
      <alignment horizontal="right" vertical="center"/>
    </xf>
    <xf numFmtId="178" fontId="7" fillId="0" borderId="21" xfId="0" applyNumberFormat="1" applyFont="1" applyFill="1" applyBorder="1" applyAlignment="1">
      <alignment horizontal="right" vertical="center"/>
    </xf>
    <xf numFmtId="178" fontId="0" fillId="0" borderId="0" xfId="0" applyNumberFormat="1" applyFill="1">
      <alignment vertical="center"/>
    </xf>
    <xf numFmtId="177" fontId="7" fillId="0" borderId="83" xfId="0" applyNumberFormat="1" applyFont="1" applyFill="1" applyBorder="1">
      <alignment vertical="center"/>
    </xf>
    <xf numFmtId="178" fontId="7" fillId="0" borderId="54" xfId="0" applyNumberFormat="1" applyFont="1" applyFill="1" applyBorder="1" applyAlignment="1">
      <alignment horizontal="right" vertical="center"/>
    </xf>
    <xf numFmtId="178" fontId="7" fillId="0" borderId="55" xfId="0" applyNumberFormat="1" applyFont="1" applyFill="1" applyBorder="1" applyAlignment="1">
      <alignment horizontal="right" vertical="center"/>
    </xf>
    <xf numFmtId="0" fontId="13" fillId="5" borderId="81" xfId="0" applyFont="1" applyFill="1" applyBorder="1">
      <alignment vertical="center"/>
    </xf>
    <xf numFmtId="178" fontId="13" fillId="5" borderId="42" xfId="0" applyNumberFormat="1" applyFont="1" applyFill="1" applyBorder="1" applyAlignment="1">
      <alignment horizontal="right" vertical="center"/>
    </xf>
    <xf numFmtId="178" fontId="13" fillId="5" borderId="49" xfId="0" applyNumberFormat="1" applyFont="1" applyFill="1" applyBorder="1" applyAlignment="1">
      <alignment horizontal="right" vertical="center"/>
    </xf>
    <xf numFmtId="0" fontId="0" fillId="0" borderId="77" xfId="0" applyBorder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4" fontId="6" fillId="3" borderId="41" xfId="0" applyNumberFormat="1" applyFont="1" applyFill="1" applyBorder="1" applyAlignment="1">
      <alignment horizontal="center" vertical="center"/>
    </xf>
    <xf numFmtId="0" fontId="7" fillId="5" borderId="42" xfId="0" applyFont="1" applyFill="1" applyBorder="1">
      <alignment vertical="center"/>
    </xf>
    <xf numFmtId="178" fontId="7" fillId="0" borderId="0" xfId="0" applyNumberFormat="1" applyFont="1" applyFill="1" applyBorder="1" applyAlignment="1">
      <alignment horizontal="right" vertical="center"/>
    </xf>
    <xf numFmtId="178" fontId="7" fillId="0" borderId="10" xfId="0" applyNumberFormat="1" applyFont="1" applyFill="1" applyBorder="1" applyAlignment="1">
      <alignment horizontal="right" vertical="center"/>
    </xf>
    <xf numFmtId="177" fontId="7" fillId="0" borderId="9" xfId="0" applyNumberFormat="1" applyFont="1" applyFill="1" applyBorder="1">
      <alignment vertical="center"/>
    </xf>
    <xf numFmtId="178" fontId="7" fillId="0" borderId="13" xfId="0" applyNumberFormat="1" applyFont="1" applyFill="1" applyBorder="1" applyAlignment="1">
      <alignment horizontal="right" vertical="center"/>
    </xf>
    <xf numFmtId="178" fontId="7" fillId="0" borderId="22" xfId="0" applyNumberFormat="1" applyFont="1" applyFill="1" applyBorder="1" applyAlignment="1">
      <alignment horizontal="right" vertical="center"/>
    </xf>
    <xf numFmtId="177" fontId="7" fillId="0" borderId="12" xfId="0" applyNumberFormat="1" applyFont="1" applyFill="1" applyBorder="1">
      <alignment vertical="center"/>
    </xf>
    <xf numFmtId="178" fontId="7" fillId="0" borderId="12" xfId="0" applyNumberFormat="1" applyFont="1" applyFill="1" applyBorder="1" applyAlignment="1">
      <alignment horizontal="right" vertical="center"/>
    </xf>
    <xf numFmtId="184" fontId="3" fillId="0" borderId="0" xfId="0" applyNumberFormat="1" applyFont="1" applyFill="1">
      <alignment vertical="center"/>
    </xf>
    <xf numFmtId="184" fontId="7" fillId="0" borderId="0" xfId="0" applyNumberFormat="1" applyFont="1" applyFill="1">
      <alignment vertical="center"/>
    </xf>
    <xf numFmtId="184" fontId="8" fillId="0" borderId="0" xfId="0" applyNumberFormat="1" applyFont="1" applyFill="1">
      <alignment vertical="center"/>
    </xf>
    <xf numFmtId="184" fontId="23" fillId="0" borderId="0" xfId="0" applyNumberFormat="1" applyFont="1" applyFill="1">
      <alignment vertical="center"/>
    </xf>
    <xf numFmtId="0" fontId="37" fillId="0" borderId="0" xfId="0" applyFont="1" applyAlignment="1">
      <alignment horizontal="left" wrapText="1"/>
    </xf>
    <xf numFmtId="0" fontId="37" fillId="0" borderId="0" xfId="0" applyFont="1" applyAlignment="1">
      <alignment horizontal="right" wrapText="1"/>
    </xf>
    <xf numFmtId="184" fontId="8" fillId="0" borderId="0" xfId="1" applyNumberFormat="1" applyFont="1" applyFill="1">
      <alignment vertical="center"/>
    </xf>
    <xf numFmtId="184" fontId="24" fillId="0" borderId="0" xfId="0" applyNumberFormat="1" applyFont="1" applyFill="1">
      <alignment vertical="center"/>
    </xf>
    <xf numFmtId="184" fontId="38" fillId="0" borderId="33" xfId="0" applyNumberFormat="1" applyFont="1" applyFill="1" applyBorder="1" applyAlignment="1">
      <alignment horizontal="center" vertical="center" wrapText="1"/>
    </xf>
    <xf numFmtId="184" fontId="37" fillId="0" borderId="33" xfId="0" applyNumberFormat="1" applyFont="1" applyFill="1" applyBorder="1" applyAlignment="1">
      <alignment horizontal="center" vertical="center" wrapText="1"/>
    </xf>
    <xf numFmtId="184" fontId="39" fillId="0" borderId="33" xfId="0" applyNumberFormat="1" applyFont="1" applyFill="1" applyBorder="1" applyAlignment="1">
      <alignment vertical="top" wrapText="1"/>
    </xf>
    <xf numFmtId="184" fontId="39" fillId="0" borderId="33" xfId="0" applyNumberFormat="1" applyFont="1" applyFill="1" applyBorder="1" applyAlignment="1">
      <alignment horizontal="right" vertical="top" wrapText="1"/>
    </xf>
    <xf numFmtId="184" fontId="37" fillId="0" borderId="33" xfId="0" applyNumberFormat="1" applyFont="1" applyFill="1" applyBorder="1" applyAlignment="1">
      <alignment vertical="top" wrapText="1"/>
    </xf>
    <xf numFmtId="184" fontId="37" fillId="0" borderId="33" xfId="0" applyNumberFormat="1" applyFont="1" applyFill="1" applyBorder="1" applyAlignment="1">
      <alignment horizontal="right" vertical="top" wrapText="1"/>
    </xf>
    <xf numFmtId="184" fontId="8" fillId="0" borderId="33" xfId="0" applyNumberFormat="1" applyFont="1" applyFill="1" applyBorder="1" applyAlignment="1">
      <alignment horizontal="left" vertical="center" indent="1"/>
    </xf>
    <xf numFmtId="184" fontId="24" fillId="0" borderId="33" xfId="0" applyNumberFormat="1" applyFont="1" applyFill="1" applyBorder="1" applyAlignment="1">
      <alignment horizontal="left" vertical="center" indent="1"/>
    </xf>
    <xf numFmtId="184" fontId="40" fillId="0" borderId="33" xfId="0" applyNumberFormat="1" applyFont="1" applyFill="1" applyBorder="1" applyAlignment="1">
      <alignment horizontal="right" vertical="top" wrapText="1"/>
    </xf>
    <xf numFmtId="184" fontId="39" fillId="0" borderId="33" xfId="1" applyNumberFormat="1" applyFont="1" applyFill="1" applyBorder="1" applyAlignment="1">
      <alignment horizontal="right" vertical="top" wrapText="1"/>
    </xf>
    <xf numFmtId="184" fontId="41" fillId="0" borderId="0" xfId="0" applyNumberFormat="1" applyFont="1" applyFill="1">
      <alignment vertical="center"/>
    </xf>
    <xf numFmtId="9" fontId="24" fillId="0" borderId="0" xfId="38" applyNumberFormat="1" applyFont="1" applyFill="1">
      <alignment vertical="center"/>
    </xf>
    <xf numFmtId="184" fontId="39" fillId="0" borderId="33" xfId="0" applyNumberFormat="1" applyFont="1" applyFill="1" applyBorder="1" applyAlignment="1">
      <alignment horizontal="left" vertical="top" wrapText="1" indent="1"/>
    </xf>
    <xf numFmtId="184" fontId="40" fillId="0" borderId="33" xfId="0" applyNumberFormat="1" applyFont="1" applyFill="1" applyBorder="1" applyAlignment="1">
      <alignment vertical="top" wrapText="1"/>
    </xf>
    <xf numFmtId="184" fontId="39" fillId="0" borderId="33" xfId="0" applyNumberFormat="1" applyFont="1" applyFill="1" applyBorder="1" applyAlignment="1">
      <alignment horizontal="left" vertical="top" indent="1"/>
    </xf>
    <xf numFmtId="184" fontId="29" fillId="0" borderId="33" xfId="0" applyNumberFormat="1" applyFont="1" applyFill="1" applyBorder="1" applyAlignment="1">
      <alignment horizontal="right" vertical="top" wrapText="1"/>
    </xf>
    <xf numFmtId="184" fontId="40" fillId="0" borderId="33" xfId="0" applyNumberFormat="1" applyFont="1" applyFill="1" applyBorder="1" applyAlignment="1">
      <alignment vertical="top"/>
    </xf>
    <xf numFmtId="184" fontId="29" fillId="0" borderId="33" xfId="0" applyNumberFormat="1" applyFont="1" applyFill="1" applyBorder="1" applyAlignment="1">
      <alignment horizontal="left" vertical="top" indent="1"/>
    </xf>
    <xf numFmtId="184" fontId="29" fillId="0" borderId="33" xfId="0" applyNumberFormat="1" applyFont="1" applyFill="1" applyBorder="1" applyAlignment="1">
      <alignment horizontal="left" vertical="top" wrapText="1" indent="1"/>
    </xf>
    <xf numFmtId="184" fontId="25" fillId="0" borderId="33" xfId="0" applyNumberFormat="1" applyFont="1" applyFill="1" applyBorder="1" applyAlignment="1">
      <alignment vertical="top" wrapText="1"/>
    </xf>
    <xf numFmtId="184" fontId="25" fillId="0" borderId="33" xfId="0" applyNumberFormat="1" applyFont="1" applyFill="1" applyBorder="1" applyAlignment="1">
      <alignment horizontal="right" vertical="top" wrapText="1"/>
    </xf>
    <xf numFmtId="184" fontId="29" fillId="0" borderId="33" xfId="0" applyNumberFormat="1" applyFont="1" applyFill="1" applyBorder="1" applyAlignment="1">
      <alignment vertical="top" wrapText="1"/>
    </xf>
    <xf numFmtId="184" fontId="22" fillId="0" borderId="33" xfId="0" applyNumberFormat="1" applyFont="1" applyFill="1" applyBorder="1" applyAlignment="1">
      <alignment vertical="top" wrapText="1"/>
    </xf>
    <xf numFmtId="184" fontId="22" fillId="0" borderId="33" xfId="0" applyNumberFormat="1" applyFont="1" applyFill="1" applyBorder="1" applyAlignment="1">
      <alignment horizontal="right" vertical="top" wrapText="1"/>
    </xf>
    <xf numFmtId="184" fontId="42" fillId="0" borderId="33" xfId="0" applyNumberFormat="1" applyFont="1" applyFill="1" applyBorder="1" applyAlignment="1">
      <alignment horizontal="right" vertical="top" wrapText="1"/>
    </xf>
    <xf numFmtId="184" fontId="42" fillId="0" borderId="0" xfId="0" applyNumberFormat="1" applyFont="1" applyFill="1">
      <alignment vertical="center"/>
    </xf>
    <xf numFmtId="184" fontId="43" fillId="0" borderId="33" xfId="0" applyNumberFormat="1" applyFont="1" applyFill="1" applyBorder="1" applyAlignment="1">
      <alignment horizontal="right" vertical="top" wrapText="1"/>
    </xf>
    <xf numFmtId="184" fontId="22" fillId="0" borderId="33" xfId="0" applyNumberFormat="1" applyFont="1" applyFill="1" applyBorder="1" applyAlignment="1">
      <alignment vertical="top"/>
    </xf>
    <xf numFmtId="184" fontId="29" fillId="0" borderId="33" xfId="1" applyNumberFormat="1" applyFont="1" applyFill="1" applyBorder="1" applyAlignment="1">
      <alignment horizontal="right" vertical="top" wrapText="1"/>
    </xf>
    <xf numFmtId="184" fontId="0" fillId="0" borderId="0" xfId="0" applyNumberFormat="1">
      <alignment vertical="center"/>
    </xf>
    <xf numFmtId="178" fontId="24" fillId="0" borderId="14" xfId="0" applyNumberFormat="1" applyFont="1" applyFill="1" applyBorder="1">
      <alignment vertical="center"/>
    </xf>
    <xf numFmtId="178" fontId="24" fillId="0" borderId="84" xfId="0" applyNumberFormat="1" applyFont="1" applyFill="1" applyBorder="1">
      <alignment vertical="center"/>
    </xf>
    <xf numFmtId="178" fontId="24" fillId="0" borderId="88" xfId="0" applyNumberFormat="1" applyFont="1" applyBorder="1">
      <alignment vertical="center"/>
    </xf>
    <xf numFmtId="178" fontId="24" fillId="0" borderId="89" xfId="0" applyNumberFormat="1" applyFont="1" applyBorder="1">
      <alignment vertical="center"/>
    </xf>
    <xf numFmtId="178" fontId="24" fillId="0" borderId="91" xfId="0" applyNumberFormat="1" applyFont="1" applyBorder="1">
      <alignment vertical="center"/>
    </xf>
    <xf numFmtId="178" fontId="24" fillId="0" borderId="92" xfId="0" applyNumberFormat="1" applyFont="1" applyBorder="1">
      <alignment vertical="center"/>
    </xf>
    <xf numFmtId="178" fontId="24" fillId="0" borderId="93" xfId="0" applyNumberFormat="1" applyFont="1" applyBorder="1">
      <alignment vertical="center"/>
    </xf>
    <xf numFmtId="178" fontId="24" fillId="0" borderId="94" xfId="0" applyNumberFormat="1" applyFont="1" applyBorder="1">
      <alignment vertical="center"/>
    </xf>
    <xf numFmtId="178" fontId="24" fillId="0" borderId="95" xfId="0" applyNumberFormat="1" applyFont="1" applyBorder="1">
      <alignment vertical="center"/>
    </xf>
    <xf numFmtId="178" fontId="24" fillId="0" borderId="96" xfId="0" applyNumberFormat="1" applyFont="1" applyBorder="1">
      <alignment vertical="center"/>
    </xf>
    <xf numFmtId="178" fontId="25" fillId="0" borderId="84" xfId="7" applyNumberFormat="1" applyFont="1" applyFill="1" applyBorder="1"/>
    <xf numFmtId="178" fontId="24" fillId="0" borderId="47" xfId="0" applyNumberFormat="1" applyFont="1" applyFill="1" applyBorder="1">
      <alignment vertical="center"/>
    </xf>
    <xf numFmtId="178" fontId="24" fillId="0" borderId="16" xfId="0" applyNumberFormat="1" applyFont="1" applyFill="1" applyBorder="1" applyAlignment="1">
      <alignment horizontal="center" vertical="center"/>
    </xf>
    <xf numFmtId="178" fontId="24" fillId="0" borderId="16" xfId="0" applyNumberFormat="1" applyFont="1" applyFill="1" applyBorder="1" applyAlignment="1">
      <alignment horizontal="right" vertical="center"/>
    </xf>
    <xf numFmtId="178" fontId="25" fillId="0" borderId="47" xfId="7" applyNumberFormat="1" applyFont="1" applyFill="1" applyBorder="1"/>
    <xf numFmtId="178" fontId="25" fillId="0" borderId="10" xfId="7" applyNumberFormat="1" applyFont="1" applyFill="1" applyBorder="1"/>
    <xf numFmtId="178" fontId="24" fillId="0" borderId="52" xfId="0" applyNumberFormat="1" applyFont="1" applyFill="1" applyBorder="1">
      <alignment vertical="center"/>
    </xf>
    <xf numFmtId="178" fontId="24" fillId="0" borderId="48" xfId="0" applyNumberFormat="1" applyFont="1" applyFill="1" applyBorder="1">
      <alignment vertical="center"/>
    </xf>
    <xf numFmtId="178" fontId="24" fillId="0" borderId="55" xfId="0" applyNumberFormat="1" applyFont="1" applyFill="1" applyBorder="1">
      <alignment vertical="center"/>
    </xf>
    <xf numFmtId="178" fontId="25" fillId="0" borderId="14" xfId="7" applyNumberFormat="1" applyFont="1" applyFill="1" applyBorder="1"/>
    <xf numFmtId="178" fontId="24" fillId="0" borderId="98" xfId="0" applyNumberFormat="1" applyFont="1" applyFill="1" applyBorder="1">
      <alignment vertical="center"/>
    </xf>
    <xf numFmtId="178" fontId="24" fillId="0" borderId="85" xfId="0" applyNumberFormat="1" applyFont="1" applyFill="1" applyBorder="1">
      <alignment vertical="center"/>
    </xf>
    <xf numFmtId="178" fontId="24" fillId="0" borderId="11" xfId="0" applyNumberFormat="1" applyFont="1" applyFill="1" applyBorder="1">
      <alignment vertical="center"/>
    </xf>
    <xf numFmtId="178" fontId="24" fillId="0" borderId="21" xfId="0" applyNumberFormat="1" applyFont="1" applyFill="1" applyBorder="1">
      <alignment vertical="center"/>
    </xf>
    <xf numFmtId="178" fontId="22" fillId="5" borderId="1" xfId="0" applyNumberFormat="1" applyFont="1" applyFill="1" applyBorder="1" applyAlignment="1">
      <alignment horizontal="right" vertical="center"/>
    </xf>
    <xf numFmtId="178" fontId="23" fillId="5" borderId="24" xfId="0" applyNumberFormat="1" applyFont="1" applyFill="1" applyBorder="1" applyAlignment="1">
      <alignment horizontal="right" vertical="center"/>
    </xf>
    <xf numFmtId="178" fontId="21" fillId="3" borderId="73" xfId="7" applyNumberFormat="1" applyFont="1" applyFill="1" applyBorder="1" applyAlignment="1">
      <alignment horizontal="center" vertical="center" shrinkToFit="1"/>
    </xf>
    <xf numFmtId="178" fontId="22" fillId="5" borderId="53" xfId="0" applyNumberFormat="1" applyFont="1" applyFill="1" applyBorder="1" applyAlignment="1">
      <alignment horizontal="right" vertical="center"/>
    </xf>
    <xf numFmtId="178" fontId="23" fillId="5" borderId="42" xfId="0" applyNumberFormat="1" applyFont="1" applyFill="1" applyBorder="1" applyAlignment="1">
      <alignment horizontal="right" vertical="center"/>
    </xf>
    <xf numFmtId="178" fontId="24" fillId="0" borderId="12" xfId="0" applyNumberFormat="1" applyFont="1" applyFill="1" applyBorder="1">
      <alignment vertical="center"/>
    </xf>
    <xf numFmtId="178" fontId="21" fillId="3" borderId="73" xfId="8" applyNumberFormat="1" applyFont="1" applyFill="1" applyBorder="1" applyAlignment="1">
      <alignment horizontal="center" vertical="center" shrinkToFit="1"/>
    </xf>
    <xf numFmtId="178" fontId="21" fillId="3" borderId="67" xfId="7" applyNumberFormat="1" applyFont="1" applyFill="1" applyBorder="1" applyAlignment="1">
      <alignment horizontal="center" vertical="center" shrinkToFit="1"/>
    </xf>
    <xf numFmtId="178" fontId="21" fillId="3" borderId="58" xfId="7" quotePrefix="1" applyNumberFormat="1" applyFont="1" applyFill="1" applyBorder="1" applyAlignment="1">
      <alignment horizontal="center" vertical="center" shrinkToFit="1"/>
    </xf>
    <xf numFmtId="178" fontId="24" fillId="0" borderId="101" xfId="0" applyNumberFormat="1" applyFont="1" applyFill="1" applyBorder="1" applyAlignment="1">
      <alignment horizontal="right" vertical="center"/>
    </xf>
    <xf numFmtId="178" fontId="24" fillId="0" borderId="103" xfId="0" applyNumberFormat="1" applyFont="1" applyFill="1" applyBorder="1" applyAlignment="1">
      <alignment horizontal="right" vertical="center"/>
    </xf>
    <xf numFmtId="178" fontId="24" fillId="0" borderId="15" xfId="0" applyNumberFormat="1" applyFont="1" applyFill="1" applyBorder="1">
      <alignment vertical="center"/>
    </xf>
    <xf numFmtId="0" fontId="45" fillId="0" borderId="105" xfId="0" applyFont="1" applyBorder="1" applyAlignment="1">
      <alignment horizontal="center" vertical="center" wrapText="1"/>
    </xf>
    <xf numFmtId="0" fontId="46" fillId="0" borderId="107" xfId="0" applyFont="1" applyBorder="1" applyAlignment="1">
      <alignment horizontal="left" vertical="top" wrapText="1"/>
    </xf>
    <xf numFmtId="0" fontId="46" fillId="0" borderId="108" xfId="0" applyFont="1" applyBorder="1" applyAlignment="1">
      <alignment horizontal="right" vertical="top" wrapText="1"/>
    </xf>
    <xf numFmtId="3" fontId="46" fillId="0" borderId="108" xfId="0" applyNumberFormat="1" applyFont="1" applyBorder="1" applyAlignment="1">
      <alignment horizontal="right" vertical="top" wrapText="1"/>
    </xf>
    <xf numFmtId="3" fontId="44" fillId="0" borderId="0" xfId="0" applyNumberFormat="1" applyFont="1">
      <alignment vertical="center"/>
    </xf>
    <xf numFmtId="3" fontId="47" fillId="0" borderId="108" xfId="0" applyNumberFormat="1" applyFont="1" applyBorder="1" applyAlignment="1">
      <alignment horizontal="right" vertical="top" wrapText="1"/>
    </xf>
    <xf numFmtId="0" fontId="46" fillId="0" borderId="109" xfId="0" applyFont="1" applyBorder="1" applyAlignment="1">
      <alignment horizontal="left" vertical="top" wrapText="1"/>
    </xf>
    <xf numFmtId="0" fontId="46" fillId="0" borderId="110" xfId="0" applyFont="1" applyBorder="1" applyAlignment="1">
      <alignment horizontal="left" vertical="top" wrapText="1"/>
    </xf>
    <xf numFmtId="0" fontId="46" fillId="0" borderId="111" xfId="0" applyFont="1" applyBorder="1" applyAlignment="1">
      <alignment horizontal="right" vertical="top" wrapText="1"/>
    </xf>
    <xf numFmtId="3" fontId="0" fillId="0" borderId="0" xfId="0" applyNumberFormat="1">
      <alignment vertical="center"/>
    </xf>
    <xf numFmtId="0" fontId="48" fillId="0" borderId="0" xfId="0" applyFont="1">
      <alignment vertical="center"/>
    </xf>
    <xf numFmtId="3" fontId="48" fillId="0" borderId="0" xfId="0" applyNumberFormat="1" applyFont="1">
      <alignment vertical="center"/>
    </xf>
    <xf numFmtId="41" fontId="48" fillId="0" borderId="0" xfId="1" applyFont="1">
      <alignment vertical="center"/>
    </xf>
    <xf numFmtId="3" fontId="46" fillId="0" borderId="113" xfId="0" applyNumberFormat="1" applyFont="1" applyBorder="1" applyAlignment="1">
      <alignment horizontal="right" vertical="top" wrapText="1"/>
    </xf>
    <xf numFmtId="0" fontId="46" fillId="0" borderId="113" xfId="0" applyFont="1" applyBorder="1" applyAlignment="1">
      <alignment horizontal="right" vertical="top" wrapText="1"/>
    </xf>
    <xf numFmtId="0" fontId="46" fillId="0" borderId="114" xfId="0" applyFont="1" applyBorder="1" applyAlignment="1">
      <alignment horizontal="right" vertical="top" wrapText="1"/>
    </xf>
    <xf numFmtId="3" fontId="46" fillId="0" borderId="115" xfId="0" applyNumberFormat="1" applyFont="1" applyBorder="1" applyAlignment="1">
      <alignment horizontal="right" vertical="top" wrapText="1"/>
    </xf>
    <xf numFmtId="0" fontId="46" fillId="0" borderId="0" xfId="0" applyFont="1" applyBorder="1" applyAlignment="1">
      <alignment horizontal="right" vertical="top" wrapText="1"/>
    </xf>
    <xf numFmtId="3" fontId="46" fillId="0" borderId="0" xfId="0" applyNumberFormat="1" applyFont="1" applyBorder="1" applyAlignment="1">
      <alignment horizontal="right" vertical="top" wrapText="1"/>
    </xf>
    <xf numFmtId="0" fontId="49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/>
    </xf>
    <xf numFmtId="14" fontId="50" fillId="0" borderId="0" xfId="0" applyNumberFormat="1" applyFont="1" applyAlignment="1">
      <alignment horizontal="center" vertical="center"/>
    </xf>
    <xf numFmtId="0" fontId="52" fillId="0" borderId="12" xfId="0" applyFont="1" applyBorder="1" applyAlignment="1">
      <alignment vertical="center" wrapText="1"/>
    </xf>
    <xf numFmtId="0" fontId="52" fillId="0" borderId="15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178" fontId="24" fillId="0" borderId="0" xfId="0" applyNumberFormat="1" applyFont="1" applyFill="1" applyBorder="1" applyAlignment="1">
      <alignment horizontal="right" vertical="center"/>
    </xf>
    <xf numFmtId="178" fontId="25" fillId="0" borderId="52" xfId="7" applyNumberFormat="1" applyFont="1" applyFill="1" applyBorder="1"/>
    <xf numFmtId="178" fontId="25" fillId="0" borderId="98" xfId="7" applyNumberFormat="1" applyFont="1" applyFill="1" applyBorder="1"/>
    <xf numFmtId="178" fontId="25" fillId="0" borderId="11" xfId="7" applyNumberFormat="1" applyFont="1" applyFill="1" applyBorder="1"/>
    <xf numFmtId="178" fontId="24" fillId="0" borderId="132" xfId="0" applyNumberFormat="1" applyFont="1" applyFill="1" applyBorder="1">
      <alignment vertical="center"/>
    </xf>
    <xf numFmtId="178" fontId="24" fillId="0" borderId="133" xfId="0" applyNumberFormat="1" applyFont="1" applyFill="1" applyBorder="1" applyAlignment="1">
      <alignment horizontal="center" vertical="center"/>
    </xf>
    <xf numFmtId="178" fontId="24" fillId="0" borderId="133" xfId="0" applyNumberFormat="1" applyFont="1" applyFill="1" applyBorder="1">
      <alignment vertical="center"/>
    </xf>
    <xf numFmtId="178" fontId="24" fillId="0" borderId="134" xfId="0" applyNumberFormat="1" applyFont="1" applyFill="1" applyBorder="1" applyAlignment="1">
      <alignment horizontal="right" vertical="center"/>
    </xf>
    <xf numFmtId="178" fontId="25" fillId="0" borderId="136" xfId="7" applyNumberFormat="1" applyFont="1" applyFill="1" applyBorder="1"/>
    <xf numFmtId="178" fontId="25" fillId="0" borderId="133" xfId="7" applyNumberFormat="1" applyFont="1" applyFill="1" applyBorder="1"/>
    <xf numFmtId="178" fontId="24" fillId="0" borderId="137" xfId="0" applyNumberFormat="1" applyFont="1" applyFill="1" applyBorder="1">
      <alignment vertical="center"/>
    </xf>
    <xf numFmtId="178" fontId="24" fillId="0" borderId="138" xfId="0" applyNumberFormat="1" applyFont="1" applyFill="1" applyBorder="1">
      <alignment vertical="center"/>
    </xf>
    <xf numFmtId="178" fontId="24" fillId="0" borderId="139" xfId="0" applyNumberFormat="1" applyFont="1" applyFill="1" applyBorder="1">
      <alignment vertical="center"/>
    </xf>
    <xf numFmtId="178" fontId="24" fillId="0" borderId="136" xfId="0" applyNumberFormat="1" applyFont="1" applyFill="1" applyBorder="1">
      <alignment vertical="center"/>
    </xf>
    <xf numFmtId="178" fontId="24" fillId="0" borderId="140" xfId="0" applyNumberFormat="1" applyFont="1" applyFill="1" applyBorder="1">
      <alignment vertical="center"/>
    </xf>
    <xf numFmtId="178" fontId="24" fillId="0" borderId="141" xfId="0" applyNumberFormat="1" applyFont="1" applyFill="1" applyBorder="1">
      <alignment vertical="center"/>
    </xf>
    <xf numFmtId="178" fontId="24" fillId="0" borderId="142" xfId="0" applyNumberFormat="1" applyFont="1" applyFill="1" applyBorder="1">
      <alignment vertical="center"/>
    </xf>
    <xf numFmtId="178" fontId="24" fillId="0" borderId="143" xfId="0" applyNumberFormat="1" applyFont="1" applyFill="1" applyBorder="1" applyAlignment="1">
      <alignment horizontal="center" vertical="center"/>
    </xf>
    <xf numFmtId="178" fontId="24" fillId="0" borderId="143" xfId="0" applyNumberFormat="1" applyFont="1" applyFill="1" applyBorder="1">
      <alignment vertical="center"/>
    </xf>
    <xf numFmtId="178" fontId="24" fillId="0" borderId="144" xfId="0" applyNumberFormat="1" applyFont="1" applyFill="1" applyBorder="1" applyAlignment="1">
      <alignment horizontal="right" vertical="center"/>
    </xf>
    <xf numFmtId="178" fontId="25" fillId="0" borderId="146" xfId="7" applyNumberFormat="1" applyFont="1" applyFill="1" applyBorder="1"/>
    <xf numFmtId="178" fontId="25" fillId="0" borderId="147" xfId="7" applyNumberFormat="1" applyFont="1" applyFill="1" applyBorder="1"/>
    <xf numFmtId="178" fontId="24" fillId="0" borderId="148" xfId="0" applyNumberFormat="1" applyFont="1" applyFill="1" applyBorder="1">
      <alignment vertical="center"/>
    </xf>
    <xf numFmtId="178" fontId="24" fillId="0" borderId="149" xfId="0" applyNumberFormat="1" applyFont="1" applyFill="1" applyBorder="1">
      <alignment vertical="center"/>
    </xf>
    <xf numFmtId="178" fontId="24" fillId="0" borderId="147" xfId="0" applyNumberFormat="1" applyFont="1" applyFill="1" applyBorder="1">
      <alignment vertical="center"/>
    </xf>
    <xf numFmtId="178" fontId="24" fillId="0" borderId="150" xfId="0" applyNumberFormat="1" applyFont="1" applyFill="1" applyBorder="1">
      <alignment vertical="center"/>
    </xf>
    <xf numFmtId="178" fontId="24" fillId="0" borderId="151" xfId="0" applyNumberFormat="1" applyFont="1" applyFill="1" applyBorder="1">
      <alignment vertical="center"/>
    </xf>
    <xf numFmtId="178" fontId="24" fillId="0" borderId="152" xfId="0" applyNumberFormat="1" applyFont="1" applyFill="1" applyBorder="1">
      <alignment vertical="center"/>
    </xf>
    <xf numFmtId="178" fontId="24" fillId="0" borderId="146" xfId="0" applyNumberFormat="1" applyFont="1" applyFill="1" applyBorder="1">
      <alignment vertical="center"/>
    </xf>
    <xf numFmtId="178" fontId="24" fillId="0" borderId="153" xfId="0" applyNumberFormat="1" applyFont="1" applyFill="1" applyBorder="1">
      <alignment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0" fontId="8" fillId="0" borderId="13" xfId="1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7" fillId="5" borderId="43" xfId="0" applyNumberFormat="1" applyFont="1" applyFill="1" applyBorder="1" applyAlignment="1">
      <alignment horizontal="center" vertical="center"/>
    </xf>
    <xf numFmtId="176" fontId="7" fillId="5" borderId="44" xfId="0" applyNumberFormat="1" applyFont="1" applyFill="1" applyBorder="1" applyAlignment="1">
      <alignment horizontal="center" vertical="center"/>
    </xf>
    <xf numFmtId="0" fontId="8" fillId="0" borderId="47" xfId="1" applyNumberFormat="1" applyFont="1" applyFill="1" applyBorder="1" applyAlignment="1">
      <alignment horizontal="center" vertical="center"/>
    </xf>
    <xf numFmtId="0" fontId="8" fillId="0" borderId="16" xfId="1" applyNumberFormat="1" applyFont="1" applyFill="1" applyBorder="1" applyAlignment="1">
      <alignment horizontal="center" vertical="center"/>
    </xf>
    <xf numFmtId="0" fontId="7" fillId="5" borderId="44" xfId="0" applyNumberFormat="1" applyFont="1" applyFill="1" applyBorder="1" applyAlignment="1">
      <alignment horizontal="center" vertical="center"/>
    </xf>
    <xf numFmtId="178" fontId="24" fillId="0" borderId="154" xfId="0" applyNumberFormat="1" applyFont="1" applyFill="1" applyBorder="1">
      <alignment vertical="center"/>
    </xf>
    <xf numFmtId="178" fontId="24" fillId="0" borderId="156" xfId="0" applyNumberFormat="1" applyFont="1" applyFill="1" applyBorder="1" applyAlignment="1">
      <alignment horizontal="center" vertical="center"/>
    </xf>
    <xf numFmtId="178" fontId="24" fillId="0" borderId="156" xfId="0" applyNumberFormat="1" applyFont="1" applyFill="1" applyBorder="1">
      <alignment vertical="center"/>
    </xf>
    <xf numFmtId="178" fontId="24" fillId="0" borderId="157" xfId="0" applyNumberFormat="1" applyFont="1" applyFill="1" applyBorder="1" applyAlignment="1">
      <alignment horizontal="right" vertical="center"/>
    </xf>
    <xf numFmtId="178" fontId="24" fillId="0" borderId="156" xfId="0" applyNumberFormat="1" applyFont="1" applyFill="1" applyBorder="1" applyAlignment="1">
      <alignment horizontal="right" vertical="center"/>
    </xf>
    <xf numFmtId="178" fontId="25" fillId="0" borderId="156" xfId="7" applyNumberFormat="1" applyFont="1" applyFill="1" applyBorder="1"/>
    <xf numFmtId="178" fontId="24" fillId="0" borderId="158" xfId="0" applyNumberFormat="1" applyFont="1" applyFill="1" applyBorder="1">
      <alignment vertical="center"/>
    </xf>
    <xf numFmtId="178" fontId="24" fillId="0" borderId="159" xfId="0" applyNumberFormat="1" applyFont="1" applyFill="1" applyBorder="1">
      <alignment vertical="center"/>
    </xf>
    <xf numFmtId="178" fontId="24" fillId="0" borderId="160" xfId="0" applyNumberFormat="1" applyFont="1" applyFill="1" applyBorder="1">
      <alignment vertical="center"/>
    </xf>
    <xf numFmtId="178" fontId="24" fillId="0" borderId="157" xfId="0" applyNumberFormat="1" applyFont="1" applyFill="1" applyBorder="1">
      <alignment vertical="center"/>
    </xf>
    <xf numFmtId="178" fontId="24" fillId="0" borderId="155" xfId="0" applyNumberFormat="1" applyFont="1" applyFill="1" applyBorder="1">
      <alignment vertical="center"/>
    </xf>
    <xf numFmtId="178" fontId="25" fillId="0" borderId="101" xfId="7" applyNumberFormat="1" applyFont="1" applyFill="1" applyBorder="1"/>
    <xf numFmtId="178" fontId="24" fillId="0" borderId="161" xfId="0" applyNumberFormat="1" applyFont="1" applyFill="1" applyBorder="1">
      <alignment vertical="center"/>
    </xf>
    <xf numFmtId="178" fontId="24" fillId="0" borderId="135" xfId="0" applyNumberFormat="1" applyFont="1" applyFill="1" applyBorder="1" applyAlignment="1">
      <alignment horizontal="right" vertical="center"/>
    </xf>
    <xf numFmtId="178" fontId="24" fillId="0" borderId="145" xfId="0" applyNumberFormat="1" applyFont="1" applyFill="1" applyBorder="1" applyAlignment="1">
      <alignment horizontal="right" vertical="center"/>
    </xf>
    <xf numFmtId="178" fontId="24" fillId="0" borderId="104" xfId="0" applyNumberFormat="1" applyFont="1" applyFill="1" applyBorder="1" applyAlignment="1">
      <alignment horizontal="right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178" fontId="25" fillId="0" borderId="16" xfId="7" applyNumberFormat="1" applyFont="1" applyFill="1" applyBorder="1"/>
    <xf numFmtId="178" fontId="24" fillId="0" borderId="13" xfId="0" applyNumberFormat="1" applyFont="1" applyFill="1" applyBorder="1" applyAlignment="1">
      <alignment horizontal="center" vertical="center"/>
    </xf>
    <xf numFmtId="178" fontId="24" fillId="0" borderId="14" xfId="0" applyNumberFormat="1" applyFont="1" applyFill="1" applyBorder="1" applyAlignment="1">
      <alignment horizontal="right" vertical="center"/>
    </xf>
    <xf numFmtId="178" fontId="24" fillId="0" borderId="13" xfId="0" applyNumberFormat="1" applyFont="1" applyFill="1" applyBorder="1" applyAlignment="1">
      <alignment horizontal="right" vertical="center"/>
    </xf>
    <xf numFmtId="186" fontId="24" fillId="0" borderId="52" xfId="0" applyNumberFormat="1" applyFont="1" applyFill="1" applyBorder="1">
      <alignment vertical="center"/>
    </xf>
    <xf numFmtId="178" fontId="24" fillId="0" borderId="131" xfId="0" applyNumberFormat="1" applyFont="1" applyFill="1" applyBorder="1" applyAlignment="1">
      <alignment horizontal="right" vertical="center"/>
    </xf>
    <xf numFmtId="178" fontId="25" fillId="0" borderId="149" xfId="7" applyNumberFormat="1" applyFont="1" applyFill="1" applyBorder="1"/>
    <xf numFmtId="178" fontId="23" fillId="0" borderId="43" xfId="0" applyNumberFormat="1" applyFont="1" applyFill="1" applyBorder="1" applyAlignment="1">
      <alignment horizontal="right" vertical="center"/>
    </xf>
    <xf numFmtId="178" fontId="24" fillId="0" borderId="102" xfId="0" applyNumberFormat="1" applyFont="1" applyFill="1" applyBorder="1" applyAlignment="1">
      <alignment horizontal="right" vertical="center"/>
    </xf>
    <xf numFmtId="178" fontId="24" fillId="0" borderId="92" xfId="0" applyNumberFormat="1" applyFont="1" applyFill="1" applyBorder="1">
      <alignment vertical="center"/>
    </xf>
    <xf numFmtId="178" fontId="24" fillId="0" borderId="86" xfId="0" applyNumberFormat="1" applyFont="1" applyFill="1" applyBorder="1">
      <alignment vertical="center"/>
    </xf>
    <xf numFmtId="178" fontId="24" fillId="0" borderId="87" xfId="0" applyNumberFormat="1" applyFont="1" applyFill="1" applyBorder="1">
      <alignment vertical="center"/>
    </xf>
    <xf numFmtId="178" fontId="24" fillId="0" borderId="88" xfId="0" applyNumberFormat="1" applyFont="1" applyFill="1" applyBorder="1">
      <alignment vertical="center"/>
    </xf>
    <xf numFmtId="178" fontId="24" fillId="0" borderId="90" xfId="0" applyNumberFormat="1" applyFont="1" applyFill="1" applyBorder="1">
      <alignment vertical="center"/>
    </xf>
    <xf numFmtId="178" fontId="24" fillId="0" borderId="72" xfId="0" applyNumberFormat="1" applyFont="1" applyFill="1" applyBorder="1">
      <alignment vertical="center"/>
    </xf>
    <xf numFmtId="0" fontId="36" fillId="0" borderId="0" xfId="0" applyFont="1" applyAlignment="1">
      <alignment horizontal="center" vertical="center" wrapText="1"/>
    </xf>
    <xf numFmtId="184" fontId="51" fillId="3" borderId="123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0" fontId="55" fillId="0" borderId="0" xfId="0" applyFont="1" applyAlignment="1">
      <alignment horizontal="right" vertical="center"/>
    </xf>
    <xf numFmtId="184" fontId="37" fillId="0" borderId="164" xfId="0" applyNumberFormat="1" applyFont="1" applyFill="1" applyBorder="1" applyAlignment="1">
      <alignment horizontal="right" vertical="top" wrapText="1"/>
    </xf>
    <xf numFmtId="184" fontId="40" fillId="0" borderId="164" xfId="0" applyNumberFormat="1" applyFont="1" applyFill="1" applyBorder="1" applyAlignment="1">
      <alignment horizontal="right" vertical="top" wrapText="1"/>
    </xf>
    <xf numFmtId="184" fontId="37" fillId="0" borderId="25" xfId="0" applyNumberFormat="1" applyFont="1" applyFill="1" applyBorder="1" applyAlignment="1">
      <alignment horizontal="right" vertical="top" wrapText="1"/>
    </xf>
    <xf numFmtId="184" fontId="37" fillId="0" borderId="165" xfId="0" applyNumberFormat="1" applyFont="1" applyFill="1" applyBorder="1" applyAlignment="1">
      <alignment vertical="top" wrapText="1"/>
    </xf>
    <xf numFmtId="184" fontId="24" fillId="0" borderId="165" xfId="0" applyNumberFormat="1" applyFont="1" applyFill="1" applyBorder="1" applyAlignment="1">
      <alignment horizontal="left" vertical="center" indent="1"/>
    </xf>
    <xf numFmtId="0" fontId="40" fillId="0" borderId="0" xfId="0" applyFont="1" applyAlignment="1">
      <alignment vertical="center" wrapText="1"/>
    </xf>
    <xf numFmtId="0" fontId="54" fillId="0" borderId="0" xfId="0" applyFont="1" applyAlignment="1">
      <alignment horizontal="center" vertical="center" wrapText="1"/>
    </xf>
    <xf numFmtId="0" fontId="0" fillId="0" borderId="164" xfId="0" applyBorder="1">
      <alignment vertical="center"/>
    </xf>
    <xf numFmtId="184" fontId="8" fillId="0" borderId="165" xfId="0" applyNumberFormat="1" applyFont="1" applyFill="1" applyBorder="1" applyAlignment="1">
      <alignment horizontal="left" vertical="center" indent="1"/>
    </xf>
    <xf numFmtId="0" fontId="0" fillId="0" borderId="165" xfId="0" applyBorder="1">
      <alignment vertical="center"/>
    </xf>
    <xf numFmtId="0" fontId="0" fillId="0" borderId="57" xfId="0" applyBorder="1">
      <alignment vertical="center"/>
    </xf>
    <xf numFmtId="184" fontId="37" fillId="0" borderId="62" xfId="0" applyNumberFormat="1" applyFont="1" applyFill="1" applyBorder="1" applyAlignment="1">
      <alignment horizontal="right" vertical="top" wrapText="1"/>
    </xf>
    <xf numFmtId="184" fontId="37" fillId="0" borderId="165" xfId="0" applyNumberFormat="1" applyFont="1" applyFill="1" applyBorder="1" applyAlignment="1">
      <alignment horizontal="right" vertical="top" wrapText="1"/>
    </xf>
    <xf numFmtId="184" fontId="40" fillId="0" borderId="165" xfId="0" applyNumberFormat="1" applyFont="1" applyFill="1" applyBorder="1" applyAlignment="1">
      <alignment horizontal="right" vertical="top" wrapText="1"/>
    </xf>
    <xf numFmtId="184" fontId="37" fillId="0" borderId="166" xfId="0" applyNumberFormat="1" applyFont="1" applyFill="1" applyBorder="1" applyAlignment="1">
      <alignment horizontal="right" vertical="top" wrapText="1"/>
    </xf>
    <xf numFmtId="184" fontId="36" fillId="0" borderId="62" xfId="0" applyNumberFormat="1" applyFont="1" applyFill="1" applyBorder="1" applyAlignment="1">
      <alignment vertical="top" wrapText="1"/>
    </xf>
    <xf numFmtId="184" fontId="36" fillId="0" borderId="62" xfId="0" applyNumberFormat="1" applyFont="1" applyFill="1" applyBorder="1" applyAlignment="1">
      <alignment horizontal="right" vertical="top" wrapText="1"/>
    </xf>
    <xf numFmtId="184" fontId="36" fillId="0" borderId="165" xfId="0" applyNumberFormat="1" applyFont="1" applyFill="1" applyBorder="1" applyAlignment="1">
      <alignment vertical="top" wrapText="1"/>
    </xf>
    <xf numFmtId="184" fontId="36" fillId="0" borderId="165" xfId="0" applyNumberFormat="1" applyFont="1" applyFill="1" applyBorder="1" applyAlignment="1">
      <alignment horizontal="right" vertical="top" wrapText="1"/>
    </xf>
    <xf numFmtId="184" fontId="54" fillId="0" borderId="165" xfId="0" applyNumberFormat="1" applyFont="1" applyFill="1" applyBorder="1" applyAlignment="1">
      <alignment vertical="top" wrapText="1"/>
    </xf>
    <xf numFmtId="184" fontId="54" fillId="0" borderId="165" xfId="0" applyNumberFormat="1" applyFont="1" applyFill="1" applyBorder="1" applyAlignment="1">
      <alignment horizontal="right" vertical="top" wrapText="1"/>
    </xf>
    <xf numFmtId="184" fontId="54" fillId="0" borderId="165" xfId="0" applyNumberFormat="1" applyFont="1" applyFill="1" applyBorder="1" applyAlignment="1">
      <alignment vertical="top"/>
    </xf>
    <xf numFmtId="184" fontId="57" fillId="0" borderId="165" xfId="0" applyNumberFormat="1" applyFont="1" applyFill="1" applyBorder="1" applyAlignment="1">
      <alignment vertical="top" wrapText="1"/>
    </xf>
    <xf numFmtId="184" fontId="57" fillId="0" borderId="165" xfId="0" applyNumberFormat="1" applyFont="1" applyFill="1" applyBorder="1" applyAlignment="1">
      <alignment horizontal="right" vertical="top" wrapText="1"/>
    </xf>
    <xf numFmtId="184" fontId="58" fillId="0" borderId="165" xfId="0" applyNumberFormat="1" applyFont="1" applyFill="1" applyBorder="1" applyAlignment="1">
      <alignment vertical="top" wrapText="1"/>
    </xf>
    <xf numFmtId="184" fontId="58" fillId="0" borderId="165" xfId="0" applyNumberFormat="1" applyFont="1" applyFill="1" applyBorder="1" applyAlignment="1">
      <alignment horizontal="right" vertical="top" wrapText="1"/>
    </xf>
    <xf numFmtId="184" fontId="59" fillId="0" borderId="165" xfId="0" applyNumberFormat="1" applyFont="1" applyFill="1" applyBorder="1" applyAlignment="1">
      <alignment horizontal="right" vertical="top" wrapText="1"/>
    </xf>
    <xf numFmtId="184" fontId="60" fillId="0" borderId="165" xfId="0" applyNumberFormat="1" applyFont="1" applyFill="1" applyBorder="1" applyAlignment="1">
      <alignment horizontal="left" vertical="top" wrapText="1" indent="1"/>
    </xf>
    <xf numFmtId="184" fontId="58" fillId="0" borderId="165" xfId="0" applyNumberFormat="1" applyFont="1" applyFill="1" applyBorder="1" applyAlignment="1">
      <alignment vertical="top"/>
    </xf>
    <xf numFmtId="184" fontId="36" fillId="0" borderId="167" xfId="0" applyNumberFormat="1" applyFont="1" applyFill="1" applyBorder="1" applyAlignment="1">
      <alignment horizontal="right" vertical="top" wrapText="1"/>
    </xf>
    <xf numFmtId="184" fontId="61" fillId="0" borderId="165" xfId="0" applyNumberFormat="1" applyFont="1" applyFill="1" applyBorder="1" applyAlignment="1">
      <alignment vertical="top" wrapText="1"/>
    </xf>
    <xf numFmtId="184" fontId="36" fillId="0" borderId="168" xfId="0" applyNumberFormat="1" applyFont="1" applyFill="1" applyBorder="1" applyAlignment="1">
      <alignment horizontal="right" vertical="top" wrapText="1"/>
    </xf>
    <xf numFmtId="0" fontId="3" fillId="0" borderId="165" xfId="0" applyFont="1" applyBorder="1">
      <alignment vertical="center"/>
    </xf>
    <xf numFmtId="0" fontId="3" fillId="0" borderId="57" xfId="0" applyFont="1" applyBorder="1">
      <alignment vertical="center"/>
    </xf>
    <xf numFmtId="0" fontId="40" fillId="0" borderId="0" xfId="0" applyFont="1" applyAlignment="1">
      <alignment horizontal="right" wrapText="1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84" fontId="5" fillId="13" borderId="9" xfId="0" applyNumberFormat="1" applyFont="1" applyFill="1" applyBorder="1">
      <alignment vertical="center"/>
    </xf>
    <xf numFmtId="185" fontId="5" fillId="13" borderId="10" xfId="1" applyNumberFormat="1" applyFont="1" applyFill="1" applyBorder="1">
      <alignment vertical="center"/>
    </xf>
    <xf numFmtId="185" fontId="5" fillId="13" borderId="85" xfId="1" applyNumberFormat="1" applyFont="1" applyFill="1" applyBorder="1">
      <alignment vertical="center"/>
    </xf>
    <xf numFmtId="185" fontId="5" fillId="13" borderId="21" xfId="0" applyNumberFormat="1" applyFont="1" applyFill="1" applyBorder="1">
      <alignment vertical="center"/>
    </xf>
    <xf numFmtId="184" fontId="3" fillId="0" borderId="12" xfId="0" applyNumberFormat="1" applyFont="1" applyBorder="1">
      <alignment vertical="center"/>
    </xf>
    <xf numFmtId="185" fontId="3" fillId="0" borderId="13" xfId="1" applyNumberFormat="1" applyFont="1" applyBorder="1">
      <alignment vertical="center"/>
    </xf>
    <xf numFmtId="185" fontId="3" fillId="0" borderId="84" xfId="1" applyNumberFormat="1" applyFont="1" applyBorder="1">
      <alignment vertical="center"/>
    </xf>
    <xf numFmtId="185" fontId="3" fillId="0" borderId="22" xfId="0" applyNumberFormat="1" applyFont="1" applyBorder="1">
      <alignment vertical="center"/>
    </xf>
    <xf numFmtId="185" fontId="3" fillId="0" borderId="47" xfId="1" applyNumberFormat="1" applyFont="1" applyBorder="1">
      <alignment vertical="center"/>
    </xf>
    <xf numFmtId="185" fontId="3" fillId="0" borderId="98" xfId="1" applyNumberFormat="1" applyFont="1" applyBorder="1">
      <alignment vertical="center"/>
    </xf>
    <xf numFmtId="184" fontId="5" fillId="13" borderId="127" xfId="0" applyNumberFormat="1" applyFont="1" applyFill="1" applyBorder="1">
      <alignment vertical="center"/>
    </xf>
    <xf numFmtId="185" fontId="5" fillId="13" borderId="128" xfId="1" applyNumberFormat="1" applyFont="1" applyFill="1" applyBorder="1">
      <alignment vertical="center"/>
    </xf>
    <xf numFmtId="185" fontId="5" fillId="13" borderId="129" xfId="1" applyNumberFormat="1" applyFont="1" applyFill="1" applyBorder="1">
      <alignment vertical="center"/>
    </xf>
    <xf numFmtId="185" fontId="5" fillId="13" borderId="130" xfId="1" applyNumberFormat="1" applyFont="1" applyFill="1" applyBorder="1">
      <alignment vertical="center"/>
    </xf>
    <xf numFmtId="185" fontId="3" fillId="0" borderId="86" xfId="1" applyNumberFormat="1" applyFont="1" applyBorder="1">
      <alignment vertical="center"/>
    </xf>
    <xf numFmtId="185" fontId="3" fillId="0" borderId="0" xfId="0" applyNumberFormat="1" applyFont="1">
      <alignment vertical="center"/>
    </xf>
    <xf numFmtId="185" fontId="3" fillId="2" borderId="84" xfId="1" applyNumberFormat="1" applyFont="1" applyFill="1" applyBorder="1">
      <alignment vertical="center"/>
    </xf>
    <xf numFmtId="184" fontId="3" fillId="0" borderId="15" xfId="0" applyNumberFormat="1" applyFont="1" applyBorder="1">
      <alignment vertical="center"/>
    </xf>
    <xf numFmtId="185" fontId="3" fillId="0" borderId="0" xfId="1" applyNumberFormat="1" applyFont="1">
      <alignment vertical="center"/>
    </xf>
    <xf numFmtId="41" fontId="3" fillId="0" borderId="0" xfId="1" applyFont="1">
      <alignment vertical="center"/>
    </xf>
    <xf numFmtId="41" fontId="3" fillId="0" borderId="0" xfId="0" applyNumberFormat="1" applyFont="1">
      <alignment vertical="center"/>
    </xf>
    <xf numFmtId="0" fontId="55" fillId="0" borderId="0" xfId="0" applyFont="1">
      <alignment vertical="center"/>
    </xf>
    <xf numFmtId="178" fontId="23" fillId="0" borderId="42" xfId="0" applyNumberFormat="1" applyFont="1" applyFill="1" applyBorder="1" applyAlignment="1">
      <alignment horizontal="right" vertical="center"/>
    </xf>
    <xf numFmtId="178" fontId="23" fillId="0" borderId="45" xfId="0" applyNumberFormat="1" applyFont="1" applyFill="1" applyBorder="1" applyAlignment="1">
      <alignment horizontal="right" vertical="center"/>
    </xf>
    <xf numFmtId="178" fontId="24" fillId="0" borderId="162" xfId="0" applyNumberFormat="1" applyFont="1" applyFill="1" applyBorder="1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84" fontId="51" fillId="3" borderId="123" xfId="0" applyNumberFormat="1" applyFont="1" applyFill="1" applyBorder="1" applyAlignment="1">
      <alignment horizontal="center" vertical="center"/>
    </xf>
    <xf numFmtId="178" fontId="8" fillId="0" borderId="13" xfId="0" applyNumberFormat="1" applyFont="1" applyBorder="1" applyAlignment="1">
      <alignment horizontal="right" vertical="center"/>
    </xf>
    <xf numFmtId="178" fontId="8" fillId="0" borderId="47" xfId="0" applyNumberFormat="1" applyFont="1" applyBorder="1" applyAlignment="1">
      <alignment horizontal="right" vertical="center"/>
    </xf>
    <xf numFmtId="178" fontId="8" fillId="0" borderId="10" xfId="0" applyNumberFormat="1" applyFont="1" applyBorder="1" applyAlignment="1">
      <alignment horizontal="right" vertical="center"/>
    </xf>
    <xf numFmtId="178" fontId="7" fillId="4" borderId="14" xfId="0" applyNumberFormat="1" applyFont="1" applyFill="1" applyBorder="1" applyAlignment="1">
      <alignment horizontal="right" vertical="center"/>
    </xf>
    <xf numFmtId="178" fontId="8" fillId="0" borderId="16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8" fontId="25" fillId="2" borderId="13" xfId="7" applyNumberFormat="1" applyFont="1" applyFill="1" applyBorder="1"/>
    <xf numFmtId="0" fontId="45" fillId="0" borderId="0" xfId="0" applyFont="1" applyBorder="1" applyAlignment="1">
      <alignment horizontal="center" vertical="center" wrapText="1"/>
    </xf>
    <xf numFmtId="0" fontId="0" fillId="14" borderId="0" xfId="0" applyFill="1">
      <alignment vertical="center"/>
    </xf>
    <xf numFmtId="0" fontId="62" fillId="0" borderId="0" xfId="26" applyFont="1"/>
    <xf numFmtId="0" fontId="17" fillId="0" borderId="0" xfId="26"/>
    <xf numFmtId="0" fontId="33" fillId="0" borderId="0" xfId="0" applyFont="1" applyAlignment="1"/>
    <xf numFmtId="0" fontId="63" fillId="0" borderId="0" xfId="0" applyFont="1" applyAlignment="1">
      <alignment horizontal="center" vertical="center"/>
    </xf>
    <xf numFmtId="37" fontId="7" fillId="0" borderId="0" xfId="0" applyNumberFormat="1" applyFont="1" applyAlignment="1"/>
    <xf numFmtId="49" fontId="64" fillId="0" borderId="57" xfId="26" applyNumberFormat="1" applyFont="1" applyBorder="1" applyAlignment="1">
      <alignment horizontal="left"/>
    </xf>
    <xf numFmtId="49" fontId="64" fillId="0" borderId="57" xfId="26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9" fontId="17" fillId="0" borderId="57" xfId="26" applyNumberFormat="1" applyBorder="1" applyAlignment="1">
      <alignment horizontal="left"/>
    </xf>
    <xf numFmtId="187" fontId="17" fillId="0" borderId="57" xfId="26" applyNumberFormat="1" applyBorder="1"/>
    <xf numFmtId="49" fontId="17" fillId="0" borderId="165" xfId="26" applyNumberFormat="1" applyBorder="1" applyAlignment="1">
      <alignment horizontal="left"/>
    </xf>
    <xf numFmtId="187" fontId="17" fillId="0" borderId="165" xfId="26" applyNumberFormat="1" applyBorder="1"/>
    <xf numFmtId="188" fontId="33" fillId="0" borderId="0" xfId="0" applyNumberFormat="1" applyFont="1" applyAlignment="1"/>
    <xf numFmtId="49" fontId="17" fillId="0" borderId="33" xfId="26" applyNumberFormat="1" applyBorder="1" applyAlignment="1">
      <alignment horizontal="left"/>
    </xf>
    <xf numFmtId="187" fontId="17" fillId="0" borderId="33" xfId="26" applyNumberFormat="1" applyBorder="1"/>
    <xf numFmtId="188" fontId="17" fillId="0" borderId="57" xfId="26" applyNumberFormat="1" applyBorder="1"/>
    <xf numFmtId="188" fontId="17" fillId="0" borderId="165" xfId="26" applyNumberFormat="1" applyBorder="1"/>
    <xf numFmtId="0" fontId="8" fillId="0" borderId="0" xfId="0" applyFont="1" applyAlignment="1"/>
    <xf numFmtId="185" fontId="8" fillId="0" borderId="0" xfId="0" applyNumberFormat="1" applyFont="1" applyAlignment="1"/>
    <xf numFmtId="0" fontId="8" fillId="13" borderId="26" xfId="0" applyFont="1" applyFill="1" applyBorder="1" applyAlignment="1">
      <alignment horizontal="center" vertical="center"/>
    </xf>
    <xf numFmtId="0" fontId="67" fillId="15" borderId="0" xfId="0" applyFont="1" applyFill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177" fontId="7" fillId="0" borderId="54" xfId="0" applyNumberFormat="1" applyFont="1" applyFill="1" applyBorder="1">
      <alignment vertical="center"/>
    </xf>
    <xf numFmtId="0" fontId="46" fillId="0" borderId="0" xfId="0" applyFont="1" applyBorder="1" applyAlignment="1">
      <alignment horizontal="left" vertical="top" wrapText="1"/>
    </xf>
    <xf numFmtId="3" fontId="44" fillId="0" borderId="0" xfId="0" applyNumberFormat="1" applyFont="1" applyBorder="1">
      <alignment vertical="center"/>
    </xf>
    <xf numFmtId="3" fontId="47" fillId="0" borderId="0" xfId="0" applyNumberFormat="1" applyFont="1" applyBorder="1" applyAlignment="1">
      <alignment horizontal="right" vertical="top" wrapText="1"/>
    </xf>
    <xf numFmtId="178" fontId="24" fillId="0" borderId="136" xfId="0" applyNumberFormat="1" applyFont="1" applyFill="1" applyBorder="1" applyAlignment="1">
      <alignment horizontal="right" vertical="center"/>
    </xf>
    <xf numFmtId="178" fontId="24" fillId="0" borderId="133" xfId="0" applyNumberFormat="1" applyFont="1" applyFill="1" applyBorder="1" applyAlignment="1">
      <alignment horizontal="right" vertical="center"/>
    </xf>
    <xf numFmtId="178" fontId="24" fillId="0" borderId="148" xfId="0" applyNumberFormat="1" applyFont="1" applyFill="1" applyBorder="1" applyAlignment="1">
      <alignment horizontal="right" vertical="center"/>
    </xf>
    <xf numFmtId="178" fontId="24" fillId="0" borderId="143" xfId="0" applyNumberFormat="1" applyFont="1" applyFill="1" applyBorder="1" applyAlignment="1">
      <alignment horizontal="right" vertical="center"/>
    </xf>
    <xf numFmtId="178" fontId="24" fillId="0" borderId="163" xfId="0" applyNumberFormat="1" applyFont="1" applyFill="1" applyBorder="1">
      <alignment vertical="center"/>
    </xf>
    <xf numFmtId="177" fontId="7" fillId="0" borderId="171" xfId="0" applyNumberFormat="1" applyFont="1" applyFill="1" applyBorder="1">
      <alignment vertical="center"/>
    </xf>
    <xf numFmtId="178" fontId="7" fillId="0" borderId="127" xfId="0" applyNumberFormat="1" applyFont="1" applyFill="1" applyBorder="1" applyAlignment="1">
      <alignment horizontal="right" vertical="center"/>
    </xf>
    <xf numFmtId="178" fontId="7" fillId="0" borderId="130" xfId="0" applyNumberFormat="1" applyFont="1" applyFill="1" applyBorder="1" applyAlignment="1">
      <alignment horizontal="right" vertical="center"/>
    </xf>
    <xf numFmtId="178" fontId="7" fillId="0" borderId="172" xfId="0" applyNumberFormat="1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78" fontId="23" fillId="0" borderId="24" xfId="0" applyNumberFormat="1" applyFont="1" applyFill="1" applyBorder="1" applyAlignment="1">
      <alignment horizontal="right" vertical="center"/>
    </xf>
    <xf numFmtId="178" fontId="24" fillId="0" borderId="169" xfId="0" applyNumberFormat="1" applyFont="1" applyFill="1" applyBorder="1">
      <alignment vertical="center"/>
    </xf>
    <xf numFmtId="178" fontId="23" fillId="0" borderId="42" xfId="0" applyNumberFormat="1" applyFont="1" applyFill="1" applyBorder="1">
      <alignment vertical="center"/>
    </xf>
    <xf numFmtId="178" fontId="23" fillId="0" borderId="44" xfId="0" applyNumberFormat="1" applyFont="1" applyFill="1" applyBorder="1" applyAlignment="1">
      <alignment horizontal="center" vertical="center"/>
    </xf>
    <xf numFmtId="178" fontId="23" fillId="0" borderId="44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5" fillId="2" borderId="0" xfId="0" applyFont="1" applyFill="1">
      <alignment vertical="center"/>
    </xf>
    <xf numFmtId="0" fontId="0" fillId="0" borderId="0" xfId="0">
      <alignment vertical="center"/>
    </xf>
    <xf numFmtId="178" fontId="8" fillId="0" borderId="62" xfId="0" applyNumberFormat="1" applyFont="1" applyFill="1" applyBorder="1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78" fontId="24" fillId="14" borderId="13" xfId="0" applyNumberFormat="1" applyFont="1" applyFill="1" applyBorder="1">
      <alignment vertical="center"/>
    </xf>
    <xf numFmtId="178" fontId="24" fillId="14" borderId="133" xfId="0" applyNumberFormat="1" applyFont="1" applyFill="1" applyBorder="1">
      <alignment vertical="center"/>
    </xf>
    <xf numFmtId="178" fontId="24" fillId="14" borderId="149" xfId="0" applyNumberFormat="1" applyFont="1" applyFill="1" applyBorder="1">
      <alignment vertical="center"/>
    </xf>
    <xf numFmtId="178" fontId="24" fillId="5" borderId="156" xfId="0" applyNumberFormat="1" applyFont="1" applyFill="1" applyBorder="1">
      <alignment vertical="center"/>
    </xf>
    <xf numFmtId="178" fontId="24" fillId="5" borderId="10" xfId="0" applyNumberFormat="1" applyFont="1" applyFill="1" applyBorder="1">
      <alignment vertical="center"/>
    </xf>
    <xf numFmtId="178" fontId="24" fillId="5" borderId="13" xfId="0" applyNumberFormat="1" applyFont="1" applyFill="1" applyBorder="1">
      <alignment vertical="center"/>
    </xf>
    <xf numFmtId="178" fontId="24" fillId="0" borderId="13" xfId="0" applyNumberFormat="1" applyFont="1" applyBorder="1">
      <alignment vertical="center"/>
    </xf>
    <xf numFmtId="178" fontId="24" fillId="0" borderId="84" xfId="0" applyNumberFormat="1" applyFont="1" applyBorder="1">
      <alignment vertical="center"/>
    </xf>
    <xf numFmtId="178" fontId="24" fillId="0" borderId="12" xfId="0" applyNumberFormat="1" applyFont="1" applyBorder="1">
      <alignment vertical="center"/>
    </xf>
    <xf numFmtId="178" fontId="24" fillId="0" borderId="22" xfId="0" applyNumberFormat="1" applyFont="1" applyBorder="1">
      <alignment vertical="center"/>
    </xf>
    <xf numFmtId="178" fontId="24" fillId="0" borderId="9" xfId="0" applyNumberFormat="1" applyFont="1" applyBorder="1">
      <alignment vertical="center"/>
    </xf>
    <xf numFmtId="178" fontId="24" fillId="0" borderId="14" xfId="0" applyNumberFormat="1" applyFont="1" applyBorder="1">
      <alignment vertical="center"/>
    </xf>
    <xf numFmtId="178" fontId="24" fillId="0" borderId="10" xfId="0" applyNumberFormat="1" applyFont="1" applyBorder="1">
      <alignment vertical="center"/>
    </xf>
    <xf numFmtId="178" fontId="24" fillId="0" borderId="21" xfId="0" applyNumberFormat="1" applyFont="1" applyBorder="1">
      <alignment vertical="center"/>
    </xf>
    <xf numFmtId="178" fontId="24" fillId="0" borderId="47" xfId="0" applyNumberFormat="1" applyFont="1" applyBorder="1">
      <alignment vertical="center"/>
    </xf>
    <xf numFmtId="178" fontId="24" fillId="0" borderId="98" xfId="0" applyNumberFormat="1" applyFont="1" applyBorder="1">
      <alignment vertical="center"/>
    </xf>
    <xf numFmtId="178" fontId="24" fillId="0" borderId="54" xfId="0" applyNumberFormat="1" applyFont="1" applyBorder="1">
      <alignment vertical="center"/>
    </xf>
    <xf numFmtId="178" fontId="24" fillId="0" borderId="48" xfId="0" applyNumberFormat="1" applyFont="1" applyBorder="1">
      <alignment vertical="center"/>
    </xf>
    <xf numFmtId="178" fontId="24" fillId="0" borderId="15" xfId="0" applyNumberFormat="1" applyFont="1" applyBorder="1">
      <alignment vertical="center"/>
    </xf>
    <xf numFmtId="178" fontId="24" fillId="0" borderId="16" xfId="0" applyNumberFormat="1" applyFont="1" applyBorder="1">
      <alignment vertical="center"/>
    </xf>
    <xf numFmtId="178" fontId="24" fillId="0" borderId="86" xfId="0" applyNumberFormat="1" applyFont="1" applyBorder="1">
      <alignment vertical="center"/>
    </xf>
    <xf numFmtId="178" fontId="24" fillId="0" borderId="55" xfId="0" applyNumberFormat="1" applyFont="1" applyBorder="1">
      <alignment vertical="center"/>
    </xf>
    <xf numFmtId="178" fontId="24" fillId="0" borderId="11" xfId="0" applyNumberFormat="1" applyFont="1" applyBorder="1">
      <alignment vertical="center"/>
    </xf>
    <xf numFmtId="178" fontId="24" fillId="0" borderId="85" xfId="0" applyNumberFormat="1" applyFont="1" applyBorder="1">
      <alignment vertical="center"/>
    </xf>
    <xf numFmtId="0" fontId="0" fillId="0" borderId="0" xfId="0">
      <alignment vertical="center"/>
    </xf>
    <xf numFmtId="178" fontId="24" fillId="5" borderId="84" xfId="0" applyNumberFormat="1" applyFont="1" applyFill="1" applyBorder="1">
      <alignment vertical="center"/>
    </xf>
    <xf numFmtId="178" fontId="24" fillId="5" borderId="149" xfId="0" applyNumberFormat="1" applyFont="1" applyFill="1" applyBorder="1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1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41" fontId="33" fillId="0" borderId="0" xfId="1" applyFont="1">
      <alignment vertical="center"/>
    </xf>
    <xf numFmtId="178" fontId="0" fillId="0" borderId="0" xfId="0" applyNumberFormat="1" applyAlignment="1">
      <alignment horizontal="center" vertical="center"/>
    </xf>
    <xf numFmtId="0" fontId="30" fillId="0" borderId="0" xfId="0" applyFont="1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85" fontId="5" fillId="0" borderId="0" xfId="0" applyNumberFormat="1" applyFont="1">
      <alignment vertical="center"/>
    </xf>
    <xf numFmtId="41" fontId="0" fillId="0" borderId="0" xfId="1" applyFont="1" applyFill="1">
      <alignment vertical="center"/>
    </xf>
    <xf numFmtId="41" fontId="0" fillId="0" borderId="0" xfId="0" applyNumberFormat="1" applyFill="1">
      <alignment vertical="center"/>
    </xf>
    <xf numFmtId="178" fontId="7" fillId="0" borderId="0" xfId="0" applyNumberFormat="1" applyFont="1">
      <alignment vertical="center"/>
    </xf>
    <xf numFmtId="178" fontId="25" fillId="0" borderId="11" xfId="0" applyNumberFormat="1" applyFont="1" applyFill="1" applyBorder="1">
      <alignment vertical="center"/>
    </xf>
    <xf numFmtId="178" fontId="25" fillId="0" borderId="14" xfId="0" applyNumberFormat="1" applyFont="1" applyFill="1" applyBorder="1">
      <alignment vertical="center"/>
    </xf>
    <xf numFmtId="178" fontId="8" fillId="0" borderId="72" xfId="0" applyNumberFormat="1" applyFont="1" applyFill="1" applyBorder="1">
      <alignment vertical="center"/>
    </xf>
    <xf numFmtId="178" fontId="8" fillId="0" borderId="75" xfId="0" applyNumberFormat="1" applyFont="1" applyFill="1" applyBorder="1">
      <alignment vertical="center"/>
    </xf>
    <xf numFmtId="176" fontId="8" fillId="2" borderId="13" xfId="1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178" fontId="8" fillId="0" borderId="21" xfId="0" applyNumberFormat="1" applyFont="1" applyFill="1" applyBorder="1" applyAlignment="1">
      <alignment horizontal="right" vertical="center"/>
    </xf>
    <xf numFmtId="0" fontId="8" fillId="0" borderId="12" xfId="0" applyFont="1" applyBorder="1" applyAlignment="1">
      <alignment horizontal="center" vertical="center"/>
    </xf>
    <xf numFmtId="177" fontId="8" fillId="0" borderId="13" xfId="0" applyNumberFormat="1" applyFont="1" applyBorder="1">
      <alignment vertical="center"/>
    </xf>
    <xf numFmtId="0" fontId="8" fillId="16" borderId="13" xfId="1" applyNumberFormat="1" applyFont="1" applyFill="1" applyBorder="1" applyAlignment="1">
      <alignment horizontal="center" vertical="center"/>
    </xf>
    <xf numFmtId="178" fontId="8" fillId="16" borderId="13" xfId="0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0" fontId="8" fillId="17" borderId="0" xfId="0" applyFont="1" applyFill="1" applyAlignment="1"/>
    <xf numFmtId="185" fontId="8" fillId="17" borderId="0" xfId="0" applyNumberFormat="1" applyFont="1" applyFill="1" applyAlignment="1"/>
    <xf numFmtId="0" fontId="7" fillId="0" borderId="0" xfId="0" applyFont="1" applyAlignment="1"/>
    <xf numFmtId="0" fontId="17" fillId="0" borderId="165" xfId="26" applyFill="1" applyBorder="1" applyAlignment="1">
      <alignment horizontal="left"/>
    </xf>
    <xf numFmtId="0" fontId="33" fillId="0" borderId="0" xfId="0" applyFont="1" applyFill="1" applyAlignment="1"/>
    <xf numFmtId="188" fontId="33" fillId="0" borderId="0" xfId="0" applyNumberFormat="1" applyFont="1" applyFill="1" applyAlignment="1"/>
    <xf numFmtId="0" fontId="65" fillId="0" borderId="0" xfId="0" applyFont="1" applyFill="1" applyAlignment="1"/>
    <xf numFmtId="0" fontId="0" fillId="2" borderId="0" xfId="0" applyFill="1">
      <alignment vertical="center"/>
    </xf>
    <xf numFmtId="14" fontId="6" fillId="3" borderId="8" xfId="0" applyNumberFormat="1" applyFont="1" applyFill="1" applyBorder="1" applyAlignment="1">
      <alignment horizontal="center" vertical="center"/>
    </xf>
    <xf numFmtId="178" fontId="24" fillId="2" borderId="13" xfId="0" applyNumberFormat="1" applyFont="1" applyFill="1" applyBorder="1">
      <alignment vertical="center"/>
    </xf>
    <xf numFmtId="178" fontId="29" fillId="2" borderId="72" xfId="10" applyNumberFormat="1" applyFont="1" applyFill="1" applyBorder="1" applyAlignment="1">
      <alignment vertical="center"/>
    </xf>
    <xf numFmtId="178" fontId="29" fillId="18" borderId="27" xfId="10" applyNumberFormat="1" applyFont="1" applyFill="1" applyBorder="1" applyAlignment="1">
      <alignment vertical="center"/>
    </xf>
    <xf numFmtId="178" fontId="24" fillId="19" borderId="13" xfId="0" applyNumberFormat="1" applyFont="1" applyFill="1" applyBorder="1">
      <alignment vertical="center"/>
    </xf>
    <xf numFmtId="178" fontId="24" fillId="19" borderId="84" xfId="0" applyNumberFormat="1" applyFont="1" applyFill="1" applyBorder="1">
      <alignment vertical="center"/>
    </xf>
    <xf numFmtId="178" fontId="29" fillId="19" borderId="71" xfId="10" applyNumberFormat="1" applyFont="1" applyFill="1" applyBorder="1" applyAlignment="1">
      <alignment vertical="center"/>
    </xf>
    <xf numFmtId="178" fontId="29" fillId="19" borderId="27" xfId="10" applyNumberFormat="1" applyFont="1" applyFill="1" applyBorder="1" applyAlignment="1">
      <alignment vertical="center"/>
    </xf>
    <xf numFmtId="178" fontId="24" fillId="19" borderId="47" xfId="0" applyNumberFormat="1" applyFont="1" applyFill="1" applyBorder="1">
      <alignment vertical="center"/>
    </xf>
    <xf numFmtId="178" fontId="24" fillId="19" borderId="98" xfId="0" applyNumberFormat="1" applyFont="1" applyFill="1" applyBorder="1">
      <alignment vertical="center"/>
    </xf>
    <xf numFmtId="178" fontId="24" fillId="16" borderId="12" xfId="0" applyNumberFormat="1" applyFont="1" applyFill="1" applyBorder="1">
      <alignment vertical="center"/>
    </xf>
    <xf numFmtId="178" fontId="24" fillId="16" borderId="13" xfId="0" applyNumberFormat="1" applyFont="1" applyFill="1" applyBorder="1">
      <alignment vertical="center"/>
    </xf>
    <xf numFmtId="178" fontId="24" fillId="16" borderId="22" xfId="0" applyNumberFormat="1" applyFont="1" applyFill="1" applyBorder="1">
      <alignment vertical="center"/>
    </xf>
    <xf numFmtId="178" fontId="24" fillId="20" borderId="22" xfId="0" applyNumberFormat="1" applyFont="1" applyFill="1" applyBorder="1">
      <alignment vertical="center"/>
    </xf>
    <xf numFmtId="178" fontId="24" fillId="20" borderId="10" xfId="0" applyNumberFormat="1" applyFont="1" applyFill="1" applyBorder="1">
      <alignment vertical="center"/>
    </xf>
    <xf numFmtId="178" fontId="24" fillId="20" borderId="13" xfId="0" applyNumberFormat="1" applyFont="1" applyFill="1" applyBorder="1">
      <alignment vertical="center"/>
    </xf>
    <xf numFmtId="178" fontId="24" fillId="20" borderId="156" xfId="0" applyNumberFormat="1" applyFont="1" applyFill="1" applyBorder="1">
      <alignment vertical="center"/>
    </xf>
    <xf numFmtId="178" fontId="24" fillId="20" borderId="160" xfId="0" applyNumberFormat="1" applyFont="1" applyFill="1" applyBorder="1">
      <alignment vertical="center"/>
    </xf>
    <xf numFmtId="178" fontId="24" fillId="20" borderId="161" xfId="0" applyNumberFormat="1" applyFont="1" applyFill="1" applyBorder="1">
      <alignment vertical="center"/>
    </xf>
    <xf numFmtId="178" fontId="24" fillId="20" borderId="139" xfId="0" applyNumberFormat="1" applyFont="1" applyFill="1" applyBorder="1">
      <alignment vertical="center"/>
    </xf>
    <xf numFmtId="178" fontId="24" fillId="20" borderId="152" xfId="0" applyNumberFormat="1" applyFont="1" applyFill="1" applyBorder="1">
      <alignment vertical="center"/>
    </xf>
    <xf numFmtId="178" fontId="24" fillId="20" borderId="21" xfId="0" applyNumberFormat="1" applyFont="1" applyFill="1" applyBorder="1">
      <alignment vertical="center"/>
    </xf>
    <xf numFmtId="178" fontId="24" fillId="20" borderId="140" xfId="0" applyNumberFormat="1" applyFont="1" applyFill="1" applyBorder="1">
      <alignment vertical="center"/>
    </xf>
    <xf numFmtId="178" fontId="24" fillId="20" borderId="133" xfId="0" applyNumberFormat="1" applyFont="1" applyFill="1" applyBorder="1">
      <alignment vertical="center"/>
    </xf>
    <xf numFmtId="178" fontId="24" fillId="20" borderId="155" xfId="0" applyNumberFormat="1" applyFont="1" applyFill="1" applyBorder="1">
      <alignment vertical="center"/>
    </xf>
    <xf numFmtId="178" fontId="24" fillId="20" borderId="163" xfId="0" applyNumberFormat="1" applyFont="1" applyFill="1" applyBorder="1">
      <alignment vertical="center"/>
    </xf>
    <xf numFmtId="178" fontId="24" fillId="20" borderId="170" xfId="0" applyNumberFormat="1" applyFont="1" applyFill="1" applyBorder="1">
      <alignment vertical="center"/>
    </xf>
    <xf numFmtId="178" fontId="24" fillId="20" borderId="0" xfId="0" applyNumberFormat="1" applyFont="1" applyFill="1">
      <alignment vertical="center"/>
    </xf>
    <xf numFmtId="178" fontId="24" fillId="20" borderId="48" xfId="0" applyNumberFormat="1" applyFont="1" applyFill="1" applyBorder="1">
      <alignment vertical="center"/>
    </xf>
    <xf numFmtId="41" fontId="8" fillId="0" borderId="0" xfId="1" applyFont="1" applyFill="1">
      <alignment vertical="center"/>
    </xf>
    <xf numFmtId="41" fontId="7" fillId="0" borderId="0" xfId="1" applyFont="1" applyAlignment="1">
      <alignment horizontal="right" vertical="center"/>
    </xf>
    <xf numFmtId="41" fontId="6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right" vertical="center"/>
    </xf>
    <xf numFmtId="41" fontId="35" fillId="0" borderId="0" xfId="1" applyFont="1" applyFill="1" applyBorder="1" applyAlignment="1">
      <alignment horizontal="right" vertical="center"/>
    </xf>
    <xf numFmtId="0" fontId="68" fillId="0" borderId="0" xfId="0" applyFont="1" applyFill="1">
      <alignment vertical="center"/>
    </xf>
    <xf numFmtId="0" fontId="46" fillId="0" borderId="107" xfId="0" applyFont="1" applyBorder="1" applyAlignment="1">
      <alignment horizontal="left" vertical="top" wrapText="1" indent="1"/>
    </xf>
    <xf numFmtId="3" fontId="0" fillId="2" borderId="0" xfId="0" applyNumberFormat="1" applyFill="1">
      <alignment vertical="center"/>
    </xf>
    <xf numFmtId="3" fontId="46" fillId="0" borderId="175" xfId="0" applyNumberFormat="1" applyFont="1" applyBorder="1" applyAlignment="1">
      <alignment horizontal="right" vertical="top" wrapText="1"/>
    </xf>
    <xf numFmtId="3" fontId="46" fillId="0" borderId="111" xfId="0" applyNumberFormat="1" applyFont="1" applyBorder="1" applyAlignment="1">
      <alignment horizontal="right" vertical="top" wrapText="1"/>
    </xf>
    <xf numFmtId="3" fontId="46" fillId="0" borderId="176" xfId="0" applyNumberFormat="1" applyFont="1" applyBorder="1" applyAlignment="1">
      <alignment horizontal="right" vertical="top" wrapText="1"/>
    </xf>
    <xf numFmtId="184" fontId="51" fillId="3" borderId="123" xfId="0" applyNumberFormat="1" applyFont="1" applyFill="1" applyBorder="1" applyAlignment="1">
      <alignment horizontal="center" vertical="center"/>
    </xf>
    <xf numFmtId="0" fontId="46" fillId="0" borderId="105" xfId="0" applyFont="1" applyBorder="1" applyAlignment="1">
      <alignment horizontal="left" vertical="top" wrapText="1"/>
    </xf>
    <xf numFmtId="0" fontId="46" fillId="0" borderId="175" xfId="0" applyFont="1" applyBorder="1" applyAlignment="1">
      <alignment horizontal="right" vertical="top" wrapText="1"/>
    </xf>
    <xf numFmtId="41" fontId="46" fillId="0" borderId="108" xfId="1" applyFont="1" applyBorder="1" applyAlignment="1">
      <alignment horizontal="right" vertical="top" wrapText="1"/>
    </xf>
    <xf numFmtId="0" fontId="46" fillId="18" borderId="107" xfId="0" applyFont="1" applyFill="1" applyBorder="1" applyAlignment="1">
      <alignment horizontal="left" vertical="top" wrapText="1"/>
    </xf>
    <xf numFmtId="41" fontId="46" fillId="18" borderId="108" xfId="1" applyFont="1" applyFill="1" applyBorder="1" applyAlignment="1">
      <alignment horizontal="right" vertical="top" wrapText="1"/>
    </xf>
    <xf numFmtId="3" fontId="46" fillId="18" borderId="108" xfId="0" applyNumberFormat="1" applyFont="1" applyFill="1" applyBorder="1" applyAlignment="1">
      <alignment horizontal="right" vertical="top" wrapText="1"/>
    </xf>
    <xf numFmtId="0" fontId="46" fillId="18" borderId="175" xfId="0" applyFont="1" applyFill="1" applyBorder="1" applyAlignment="1">
      <alignment horizontal="right" vertical="top" wrapText="1"/>
    </xf>
    <xf numFmtId="41" fontId="46" fillId="0" borderId="111" xfId="1" applyFont="1" applyBorder="1" applyAlignment="1">
      <alignment horizontal="right" vertical="top" wrapText="1"/>
    </xf>
    <xf numFmtId="184" fontId="3" fillId="0" borderId="125" xfId="0" applyNumberFormat="1" applyFont="1" applyBorder="1">
      <alignment vertical="center"/>
    </xf>
    <xf numFmtId="185" fontId="3" fillId="0" borderId="126" xfId="0" applyNumberFormat="1" applyFont="1" applyBorder="1">
      <alignment vertical="center"/>
    </xf>
    <xf numFmtId="3" fontId="3" fillId="0" borderId="0" xfId="0" applyNumberFormat="1" applyFont="1">
      <alignment vertical="center"/>
    </xf>
    <xf numFmtId="0" fontId="0" fillId="0" borderId="0" xfId="0">
      <alignment vertical="center"/>
    </xf>
    <xf numFmtId="0" fontId="8" fillId="2" borderId="13" xfId="1" applyNumberFormat="1" applyFont="1" applyFill="1" applyBorder="1" applyAlignment="1">
      <alignment horizontal="center" vertical="center"/>
    </xf>
    <xf numFmtId="178" fontId="24" fillId="2" borderId="12" xfId="0" applyNumberFormat="1" applyFont="1" applyFill="1" applyBorder="1">
      <alignment vertical="center"/>
    </xf>
    <xf numFmtId="178" fontId="24" fillId="2" borderId="22" xfId="0" applyNumberFormat="1" applyFont="1" applyFill="1" applyBorder="1">
      <alignment vertical="center"/>
    </xf>
    <xf numFmtId="178" fontId="24" fillId="21" borderId="13" xfId="0" applyNumberFormat="1" applyFont="1" applyFill="1" applyBorder="1">
      <alignment vertical="center"/>
    </xf>
    <xf numFmtId="178" fontId="24" fillId="21" borderId="14" xfId="0" applyNumberFormat="1" applyFont="1" applyFill="1" applyBorder="1">
      <alignment vertical="center"/>
    </xf>
    <xf numFmtId="178" fontId="24" fillId="21" borderId="22" xfId="0" applyNumberFormat="1" applyFont="1" applyFill="1" applyBorder="1">
      <alignment vertical="center"/>
    </xf>
    <xf numFmtId="178" fontId="8" fillId="4" borderId="71" xfId="0" applyNumberFormat="1" applyFont="1" applyFill="1" applyBorder="1">
      <alignment vertical="center"/>
    </xf>
    <xf numFmtId="178" fontId="8" fillId="4" borderId="33" xfId="1" applyNumberFormat="1" applyFont="1" applyFill="1" applyBorder="1">
      <alignment vertical="center"/>
    </xf>
    <xf numFmtId="178" fontId="8" fillId="4" borderId="73" xfId="0" applyNumberFormat="1" applyFont="1" applyFill="1" applyBorder="1">
      <alignment vertical="center"/>
    </xf>
    <xf numFmtId="178" fontId="8" fillId="4" borderId="62" xfId="1" applyNumberFormat="1" applyFont="1" applyFill="1" applyBorder="1">
      <alignment vertical="center"/>
    </xf>
    <xf numFmtId="178" fontId="8" fillId="4" borderId="74" xfId="0" applyNumberFormat="1" applyFont="1" applyFill="1" applyBorder="1">
      <alignment vertical="center"/>
    </xf>
    <xf numFmtId="178" fontId="8" fillId="4" borderId="35" xfId="1" applyNumberFormat="1" applyFont="1" applyFill="1" applyBorder="1">
      <alignment vertical="center"/>
    </xf>
    <xf numFmtId="178" fontId="8" fillId="4" borderId="35" xfId="0" applyNumberFormat="1" applyFont="1" applyFill="1" applyBorder="1">
      <alignment vertical="center"/>
    </xf>
    <xf numFmtId="41" fontId="5" fillId="0" borderId="0" xfId="0" applyNumberFormat="1" applyFont="1">
      <alignment vertical="center"/>
    </xf>
    <xf numFmtId="3" fontId="0" fillId="0" borderId="0" xfId="0" applyNumberFormat="1" applyFill="1">
      <alignment vertical="center"/>
    </xf>
    <xf numFmtId="178" fontId="8" fillId="22" borderId="72" xfId="11" applyNumberFormat="1" applyFont="1" applyFill="1" applyBorder="1">
      <alignment vertical="center"/>
    </xf>
    <xf numFmtId="178" fontId="29" fillId="22" borderId="72" xfId="10" applyNumberFormat="1" applyFont="1" applyFill="1" applyBorder="1" applyAlignment="1">
      <alignment vertical="center"/>
    </xf>
    <xf numFmtId="178" fontId="8" fillId="19" borderId="33" xfId="0" applyNumberFormat="1" applyFont="1" applyFill="1" applyBorder="1">
      <alignment vertical="center"/>
    </xf>
    <xf numFmtId="178" fontId="8" fillId="19" borderId="62" xfId="0" applyNumberFormat="1" applyFont="1" applyFill="1" applyBorder="1">
      <alignment vertical="center"/>
    </xf>
    <xf numFmtId="178" fontId="29" fillId="19" borderId="72" xfId="10" applyNumberFormat="1" applyFont="1" applyFill="1" applyBorder="1" applyAlignment="1">
      <alignment vertical="center"/>
    </xf>
    <xf numFmtId="178" fontId="8" fillId="19" borderId="72" xfId="11" applyNumberFormat="1" applyFont="1" applyFill="1" applyBorder="1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0" fontId="70" fillId="0" borderId="33" xfId="0" applyFont="1" applyBorder="1">
      <alignment vertical="center"/>
    </xf>
    <xf numFmtId="0" fontId="0" fillId="23" borderId="0" xfId="0" applyFill="1">
      <alignment vertical="center"/>
    </xf>
    <xf numFmtId="0" fontId="51" fillId="23" borderId="0" xfId="0" applyFont="1" applyFill="1">
      <alignment vertical="center"/>
    </xf>
    <xf numFmtId="185" fontId="8" fillId="24" borderId="0" xfId="0" applyNumberFormat="1" applyFont="1" applyFill="1" applyAlignment="1"/>
    <xf numFmtId="0" fontId="0" fillId="24" borderId="0" xfId="0" applyFill="1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88" fontId="17" fillId="2" borderId="165" xfId="26" applyNumberFormat="1" applyFill="1" applyBorder="1"/>
    <xf numFmtId="0" fontId="17" fillId="0" borderId="165" xfId="26" applyNumberFormat="1" applyBorder="1" applyAlignment="1">
      <alignment horizontal="left"/>
    </xf>
    <xf numFmtId="37" fontId="7" fillId="0" borderId="0" xfId="0" applyNumberFormat="1" applyFont="1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78" fontId="24" fillId="23" borderId="156" xfId="0" applyNumberFormat="1" applyFont="1" applyFill="1" applyBorder="1">
      <alignment vertical="center"/>
    </xf>
    <xf numFmtId="178" fontId="24" fillId="2" borderId="161" xfId="0" applyNumberFormat="1" applyFont="1" applyFill="1" applyBorder="1">
      <alignment vertical="center"/>
    </xf>
    <xf numFmtId="178" fontId="24" fillId="2" borderId="155" xfId="0" applyNumberFormat="1" applyFont="1" applyFill="1" applyBorder="1">
      <alignment vertical="center"/>
    </xf>
    <xf numFmtId="3" fontId="24" fillId="0" borderId="0" xfId="0" applyNumberFormat="1" applyFont="1" applyFill="1">
      <alignment vertical="center"/>
    </xf>
    <xf numFmtId="3" fontId="24" fillId="0" borderId="0" xfId="0" applyNumberFormat="1" applyFont="1">
      <alignment vertical="center"/>
    </xf>
    <xf numFmtId="3" fontId="8" fillId="0" borderId="62" xfId="0" applyNumberFormat="1" applyFont="1" applyFill="1" applyBorder="1">
      <alignment vertical="center"/>
    </xf>
    <xf numFmtId="188" fontId="17" fillId="0" borderId="33" xfId="26" applyNumberFormat="1" applyBorder="1"/>
    <xf numFmtId="0" fontId="0" fillId="0" borderId="0" xfId="0">
      <alignment vertical="center"/>
    </xf>
    <xf numFmtId="0" fontId="17" fillId="0" borderId="165" xfId="26" applyBorder="1" applyAlignment="1">
      <alignment horizontal="left"/>
    </xf>
    <xf numFmtId="49" fontId="71" fillId="0" borderId="165" xfId="26" applyNumberFormat="1" applyFont="1" applyBorder="1" applyAlignment="1">
      <alignment horizontal="left"/>
    </xf>
    <xf numFmtId="49" fontId="69" fillId="0" borderId="165" xfId="26" applyNumberFormat="1" applyFont="1" applyBorder="1" applyAlignment="1">
      <alignment horizontal="left"/>
    </xf>
    <xf numFmtId="49" fontId="66" fillId="0" borderId="57" xfId="26" applyNumberFormat="1" applyFont="1" applyBorder="1" applyAlignment="1">
      <alignment horizontal="left"/>
    </xf>
    <xf numFmtId="187" fontId="66" fillId="0" borderId="57" xfId="26" applyNumberFormat="1" applyFont="1" applyBorder="1"/>
    <xf numFmtId="49" fontId="66" fillId="0" borderId="33" xfId="26" applyNumberFormat="1" applyFont="1" applyBorder="1" applyAlignment="1">
      <alignment horizontal="left"/>
    </xf>
    <xf numFmtId="187" fontId="66" fillId="0" borderId="33" xfId="26" applyNumberFormat="1" applyFont="1" applyBorder="1"/>
    <xf numFmtId="0" fontId="0" fillId="0" borderId="0" xfId="0">
      <alignment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8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1" fillId="25" borderId="0" xfId="0" applyFont="1" applyFill="1">
      <alignment vertical="center"/>
    </xf>
    <xf numFmtId="3" fontId="24" fillId="8" borderId="0" xfId="0" applyNumberFormat="1" applyFont="1" applyFill="1">
      <alignment vertical="center"/>
    </xf>
    <xf numFmtId="178" fontId="24" fillId="8" borderId="13" xfId="0" applyNumberFormat="1" applyFont="1" applyFill="1" applyBorder="1">
      <alignment vertical="center"/>
    </xf>
    <xf numFmtId="178" fontId="24" fillId="8" borderId="84" xfId="0" applyNumberFormat="1" applyFont="1" applyFill="1" applyBorder="1">
      <alignment vertical="center"/>
    </xf>
    <xf numFmtId="0" fontId="17" fillId="0" borderId="165" xfId="26" applyNumberFormat="1" applyFill="1" applyBorder="1" applyAlignment="1">
      <alignment horizontal="left"/>
    </xf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6" fillId="3" borderId="38" xfId="0" applyNumberFormat="1" applyFont="1" applyFill="1" applyBorder="1" applyAlignment="1">
      <alignment horizontal="center" vertical="center"/>
    </xf>
    <xf numFmtId="14" fontId="6" fillId="3" borderId="39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 wrapText="1"/>
    </xf>
    <xf numFmtId="176" fontId="6" fillId="3" borderId="8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6" fillId="3" borderId="50" xfId="0" applyNumberFormat="1" applyFont="1" applyFill="1" applyBorder="1" applyAlignment="1">
      <alignment horizontal="center" vertical="center"/>
    </xf>
    <xf numFmtId="14" fontId="6" fillId="3" borderId="5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 wrapText="1"/>
    </xf>
    <xf numFmtId="14" fontId="6" fillId="3" borderId="19" xfId="0" applyNumberFormat="1" applyFont="1" applyFill="1" applyBorder="1" applyAlignment="1">
      <alignment horizontal="center" vertical="center" wrapText="1"/>
    </xf>
    <xf numFmtId="14" fontId="6" fillId="3" borderId="20" xfId="0" applyNumberFormat="1" applyFont="1" applyFill="1" applyBorder="1" applyAlignment="1">
      <alignment horizontal="center" vertical="center"/>
    </xf>
    <xf numFmtId="14" fontId="6" fillId="3" borderId="40" xfId="0" applyNumberFormat="1" applyFont="1" applyFill="1" applyBorder="1" applyAlignment="1">
      <alignment horizontal="center" vertical="center"/>
    </xf>
    <xf numFmtId="14" fontId="6" fillId="3" borderId="36" xfId="0" applyNumberFormat="1" applyFont="1" applyFill="1" applyBorder="1" applyAlignment="1">
      <alignment horizontal="center" vertical="center"/>
    </xf>
    <xf numFmtId="14" fontId="6" fillId="3" borderId="19" xfId="0" applyNumberFormat="1" applyFont="1" applyFill="1" applyBorder="1" applyAlignment="1">
      <alignment horizontal="center" vertical="center"/>
    </xf>
    <xf numFmtId="178" fontId="26" fillId="0" borderId="173" xfId="0" applyNumberFormat="1" applyFont="1" applyFill="1" applyBorder="1" applyAlignment="1">
      <alignment horizontal="center" vertical="center"/>
    </xf>
    <xf numFmtId="178" fontId="23" fillId="0" borderId="1" xfId="0" applyNumberFormat="1" applyFont="1" applyBorder="1" applyAlignment="1">
      <alignment horizontal="left" vertical="center"/>
    </xf>
    <xf numFmtId="178" fontId="21" fillId="3" borderId="61" xfId="6" applyNumberFormat="1" applyFont="1" applyFill="1" applyBorder="1" applyAlignment="1">
      <alignment horizontal="center" vertical="center"/>
    </xf>
    <xf numFmtId="178" fontId="21" fillId="3" borderId="34" xfId="6" applyNumberFormat="1" applyFont="1" applyFill="1" applyBorder="1" applyAlignment="1">
      <alignment horizontal="center" vertical="center"/>
    </xf>
    <xf numFmtId="178" fontId="21" fillId="3" borderId="100" xfId="6" applyNumberFormat="1" applyFont="1" applyFill="1" applyBorder="1" applyAlignment="1">
      <alignment horizontal="center" vertical="center"/>
    </xf>
    <xf numFmtId="178" fontId="21" fillId="3" borderId="27" xfId="6" applyNumberFormat="1" applyFont="1" applyFill="1" applyBorder="1" applyAlignment="1">
      <alignment horizontal="center" vertical="center"/>
    </xf>
    <xf numFmtId="178" fontId="21" fillId="3" borderId="5" xfId="0" applyNumberFormat="1" applyFont="1" applyFill="1" applyBorder="1" applyAlignment="1">
      <alignment horizontal="center" vertical="center"/>
    </xf>
    <xf numFmtId="178" fontId="21" fillId="3" borderId="8" xfId="0" applyNumberFormat="1" applyFont="1" applyFill="1" applyBorder="1" applyAlignment="1">
      <alignment horizontal="center" vertical="center"/>
    </xf>
    <xf numFmtId="178" fontId="21" fillId="3" borderId="31" xfId="6" applyNumberFormat="1" applyFont="1" applyFill="1" applyBorder="1" applyAlignment="1">
      <alignment horizontal="center" vertical="center"/>
    </xf>
    <xf numFmtId="178" fontId="21" fillId="3" borderId="2" xfId="6" applyNumberFormat="1" applyFont="1" applyFill="1" applyBorder="1" applyAlignment="1">
      <alignment horizontal="center" vertical="center"/>
    </xf>
    <xf numFmtId="178" fontId="21" fillId="3" borderId="99" xfId="6" applyNumberFormat="1" applyFont="1" applyFill="1" applyBorder="1" applyAlignment="1">
      <alignment horizontal="center" vertical="center"/>
    </xf>
    <xf numFmtId="178" fontId="21" fillId="3" borderId="65" xfId="6" applyNumberFormat="1" applyFont="1" applyFill="1" applyBorder="1" applyAlignment="1">
      <alignment horizontal="center" vertical="center"/>
    </xf>
    <xf numFmtId="178" fontId="21" fillId="3" borderId="56" xfId="0" applyNumberFormat="1" applyFont="1" applyFill="1" applyBorder="1" applyAlignment="1">
      <alignment horizontal="center" vertical="center"/>
    </xf>
    <xf numFmtId="178" fontId="21" fillId="3" borderId="63" xfId="0" applyNumberFormat="1" applyFont="1" applyFill="1" applyBorder="1" applyAlignment="1">
      <alignment horizontal="center" vertical="center"/>
    </xf>
    <xf numFmtId="178" fontId="21" fillId="3" borderId="19" xfId="0" applyNumberFormat="1" applyFont="1" applyFill="1" applyBorder="1" applyAlignment="1">
      <alignment horizontal="center" vertical="center"/>
    </xf>
    <xf numFmtId="178" fontId="21" fillId="3" borderId="20" xfId="0" applyNumberFormat="1" applyFont="1" applyFill="1" applyBorder="1" applyAlignment="1">
      <alignment horizontal="center" vertical="center"/>
    </xf>
    <xf numFmtId="178" fontId="21" fillId="3" borderId="28" xfId="6" applyNumberFormat="1" applyFont="1" applyFill="1" applyBorder="1" applyAlignment="1">
      <alignment horizontal="center" vertical="center"/>
    </xf>
    <xf numFmtId="0" fontId="45" fillId="0" borderId="106" xfId="0" applyFont="1" applyBorder="1" applyAlignment="1">
      <alignment horizontal="center" vertical="center" wrapText="1"/>
    </xf>
    <xf numFmtId="0" fontId="45" fillId="0" borderId="177" xfId="0" applyFont="1" applyBorder="1" applyAlignment="1">
      <alignment horizontal="center" vertical="center" wrapText="1"/>
    </xf>
    <xf numFmtId="0" fontId="45" fillId="0" borderId="174" xfId="0" applyFont="1" applyBorder="1" applyAlignment="1">
      <alignment horizontal="center" vertical="center" wrapText="1"/>
    </xf>
    <xf numFmtId="3" fontId="45" fillId="0" borderId="106" xfId="0" applyNumberFormat="1" applyFont="1" applyBorder="1" applyAlignment="1">
      <alignment horizontal="center" vertical="center" wrapText="1"/>
    </xf>
    <xf numFmtId="3" fontId="45" fillId="0" borderId="174" xfId="0" applyNumberFormat="1" applyFont="1" applyBorder="1" applyAlignment="1">
      <alignment horizontal="center" vertical="center" wrapText="1"/>
    </xf>
    <xf numFmtId="184" fontId="51" fillId="3" borderId="121" xfId="0" applyNumberFormat="1" applyFont="1" applyFill="1" applyBorder="1" applyAlignment="1">
      <alignment horizontal="center" vertical="center"/>
    </xf>
    <xf numFmtId="184" fontId="51" fillId="3" borderId="124" xfId="0" applyNumberFormat="1" applyFont="1" applyFill="1" applyBorder="1" applyAlignment="1">
      <alignment horizontal="center" vertical="center"/>
    </xf>
    <xf numFmtId="184" fontId="3" fillId="0" borderId="125" xfId="0" applyNumberFormat="1" applyFont="1" applyBorder="1" applyAlignment="1">
      <alignment horizontal="left" vertical="center"/>
    </xf>
    <xf numFmtId="184" fontId="3" fillId="0" borderId="97" xfId="0" applyNumberFormat="1" applyFont="1" applyBorder="1" applyAlignment="1">
      <alignment horizontal="left" vertical="center"/>
    </xf>
    <xf numFmtId="184" fontId="3" fillId="0" borderId="126" xfId="0" applyNumberFormat="1" applyFont="1" applyBorder="1" applyAlignment="1">
      <alignment horizontal="left" vertical="center"/>
    </xf>
    <xf numFmtId="0" fontId="51" fillId="3" borderId="116" xfId="0" applyFont="1" applyFill="1" applyBorder="1" applyAlignment="1">
      <alignment horizontal="center" vertical="center"/>
    </xf>
    <xf numFmtId="0" fontId="51" fillId="3" borderId="122" xfId="0" applyFont="1" applyFill="1" applyBorder="1" applyAlignment="1">
      <alignment horizontal="center" vertical="center"/>
    </xf>
    <xf numFmtId="184" fontId="51" fillId="3" borderId="117" xfId="0" applyNumberFormat="1" applyFont="1" applyFill="1" applyBorder="1" applyAlignment="1">
      <alignment horizontal="center" vertical="center"/>
    </xf>
    <xf numFmtId="184" fontId="51" fillId="3" borderId="123" xfId="0" applyNumberFormat="1" applyFont="1" applyFill="1" applyBorder="1" applyAlignment="1">
      <alignment horizontal="center" vertical="center"/>
    </xf>
    <xf numFmtId="184" fontId="51" fillId="3" borderId="118" xfId="0" applyNumberFormat="1" applyFont="1" applyFill="1" applyBorder="1" applyAlignment="1">
      <alignment horizontal="center" vertical="center"/>
    </xf>
    <xf numFmtId="184" fontId="51" fillId="3" borderId="119" xfId="0" applyNumberFormat="1" applyFont="1" applyFill="1" applyBorder="1" applyAlignment="1">
      <alignment horizontal="center" vertical="center"/>
    </xf>
    <xf numFmtId="184" fontId="51" fillId="3" borderId="120" xfId="0" applyNumberFormat="1" applyFont="1" applyFill="1" applyBorder="1" applyAlignment="1">
      <alignment horizontal="center" vertical="center"/>
    </xf>
    <xf numFmtId="14" fontId="6" fillId="3" borderId="76" xfId="0" applyNumberFormat="1" applyFont="1" applyFill="1" applyBorder="1" applyAlignment="1">
      <alignment horizontal="center" vertical="center" wrapText="1"/>
    </xf>
    <xf numFmtId="14" fontId="6" fillId="3" borderId="78" xfId="0" applyNumberFormat="1" applyFont="1" applyFill="1" applyBorder="1" applyAlignment="1">
      <alignment horizontal="center" vertical="center"/>
    </xf>
    <xf numFmtId="14" fontId="6" fillId="3" borderId="79" xfId="0" applyNumberFormat="1" applyFont="1" applyFill="1" applyBorder="1" applyAlignment="1">
      <alignment horizontal="center" vertical="center"/>
    </xf>
    <xf numFmtId="14" fontId="6" fillId="3" borderId="69" xfId="0" applyNumberFormat="1" applyFont="1" applyFill="1" applyBorder="1" applyAlignment="1">
      <alignment horizontal="center" vertical="center"/>
    </xf>
    <xf numFmtId="14" fontId="6" fillId="3" borderId="56" xfId="0" applyNumberFormat="1" applyFont="1" applyFill="1" applyBorder="1" applyAlignment="1">
      <alignment horizontal="center" vertical="center"/>
    </xf>
    <xf numFmtId="14" fontId="6" fillId="3" borderId="63" xfId="0" applyNumberFormat="1" applyFont="1" applyFill="1" applyBorder="1" applyAlignment="1">
      <alignment horizontal="center" vertical="center"/>
    </xf>
    <xf numFmtId="14" fontId="6" fillId="3" borderId="41" xfId="0" applyNumberFormat="1" applyFont="1" applyFill="1" applyBorder="1" applyAlignment="1">
      <alignment horizontal="center" vertical="center"/>
    </xf>
    <xf numFmtId="14" fontId="6" fillId="3" borderId="68" xfId="0" applyNumberFormat="1" applyFont="1" applyFill="1" applyBorder="1" applyAlignment="1">
      <alignment horizontal="center" vertical="center"/>
    </xf>
    <xf numFmtId="14" fontId="6" fillId="3" borderId="76" xfId="0" applyNumberFormat="1" applyFont="1" applyFill="1" applyBorder="1" applyAlignment="1">
      <alignment horizontal="center" vertical="center"/>
    </xf>
    <xf numFmtId="14" fontId="6" fillId="3" borderId="66" xfId="0" applyNumberFormat="1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 wrapText="1"/>
    </xf>
    <xf numFmtId="184" fontId="38" fillId="0" borderId="61" xfId="0" applyNumberFormat="1" applyFont="1" applyFill="1" applyBorder="1" applyAlignment="1">
      <alignment horizontal="center" vertical="center" wrapText="1"/>
    </xf>
    <xf numFmtId="184" fontId="38" fillId="0" borderId="27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4" fontId="24" fillId="0" borderId="64" xfId="0" applyNumberFormat="1" applyFont="1" applyFill="1" applyBorder="1" applyAlignment="1">
      <alignment horizontal="center" vertical="center"/>
    </xf>
    <xf numFmtId="184" fontId="24" fillId="0" borderId="59" xfId="0" applyNumberFormat="1" applyFont="1" applyFill="1" applyBorder="1" applyAlignment="1">
      <alignment horizontal="center" vertical="center"/>
    </xf>
    <xf numFmtId="184" fontId="38" fillId="0" borderId="60" xfId="0" applyNumberFormat="1" applyFont="1" applyFill="1" applyBorder="1" applyAlignment="1">
      <alignment horizontal="center" vertical="center" wrapText="1"/>
    </xf>
    <xf numFmtId="184" fontId="38" fillId="0" borderId="25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184" fontId="37" fillId="0" borderId="62" xfId="0" applyNumberFormat="1" applyFont="1" applyFill="1" applyBorder="1" applyAlignment="1">
      <alignment horizontal="center" vertical="center" wrapText="1"/>
    </xf>
    <xf numFmtId="184" fontId="37" fillId="0" borderId="57" xfId="0" applyNumberFormat="1" applyFont="1" applyFill="1" applyBorder="1" applyAlignment="1">
      <alignment horizontal="center" vertical="center" wrapText="1"/>
    </xf>
    <xf numFmtId="184" fontId="36" fillId="0" borderId="62" xfId="0" applyNumberFormat="1" applyFont="1" applyFill="1" applyBorder="1" applyAlignment="1">
      <alignment horizontal="center" vertical="center" wrapText="1"/>
    </xf>
    <xf numFmtId="184" fontId="36" fillId="0" borderId="57" xfId="0" applyNumberFormat="1" applyFont="1" applyFill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5" fillId="0" borderId="112" xfId="0" applyFont="1" applyBorder="1" applyAlignment="1">
      <alignment horizontal="center" vertical="center" wrapText="1"/>
    </xf>
    <xf numFmtId="184" fontId="24" fillId="0" borderId="58" xfId="0" applyNumberFormat="1" applyFont="1" applyFill="1" applyBorder="1" applyAlignment="1">
      <alignment horizontal="center" vertical="center"/>
    </xf>
    <xf numFmtId="184" fontId="56" fillId="0" borderId="58" xfId="0" applyNumberFormat="1" applyFont="1" applyFill="1" applyBorder="1" applyAlignment="1">
      <alignment horizontal="center" vertical="center" wrapText="1"/>
    </xf>
    <xf numFmtId="184" fontId="56" fillId="0" borderId="59" xfId="0" applyNumberFormat="1" applyFont="1" applyFill="1" applyBorder="1" applyAlignment="1">
      <alignment horizontal="center" vertical="center" wrapText="1"/>
    </xf>
  </cellXfs>
  <cellStyles count="39">
    <cellStyle name="_WTB_06_잉크테크_SN_V 1" xfId="6" xr:uid="{00000000-0005-0000-0000-000000000000}"/>
    <cellStyle name="0,0_x000d__x000a_NA_x000d__x000a_" xfId="18" xr:uid="{00000000-0005-0000-0000-000001000000}"/>
    <cellStyle name="0,0_x000d__x000a_NA_x000d__x000a_ 2" xfId="10" xr:uid="{00000000-0005-0000-0000-000002000000}"/>
    <cellStyle name="백분율" xfId="38" builtinId="5"/>
    <cellStyle name="백분율 2" xfId="5" xr:uid="{00000000-0005-0000-0000-000004000000}"/>
    <cellStyle name="백분율 2 16" xfId="23" xr:uid="{00000000-0005-0000-0000-000005000000}"/>
    <cellStyle name="백분율 2 2" xfId="34" xr:uid="{00000000-0005-0000-0000-000006000000}"/>
    <cellStyle name="쉼표 [0]" xfId="1" builtinId="6"/>
    <cellStyle name="쉼표 [0] 10" xfId="24" xr:uid="{00000000-0005-0000-0000-000008000000}"/>
    <cellStyle name="쉼표 [0] 10 2 3" xfId="13" xr:uid="{00000000-0005-0000-0000-000009000000}"/>
    <cellStyle name="쉼표 [0] 13" xfId="29" xr:uid="{00000000-0005-0000-0000-00000A000000}"/>
    <cellStyle name="쉼표 [0] 13 2" xfId="33" xr:uid="{00000000-0005-0000-0000-00000B000000}"/>
    <cellStyle name="쉼표 [0] 15" xfId="15" xr:uid="{00000000-0005-0000-0000-00000C000000}"/>
    <cellStyle name="쉼표 [0] 2" xfId="12" xr:uid="{00000000-0005-0000-0000-00000D000000}"/>
    <cellStyle name="쉼표 [0] 21" xfId="16" xr:uid="{00000000-0005-0000-0000-00000E000000}"/>
    <cellStyle name="쉼표 [0] 3" xfId="36" xr:uid="{00000000-0005-0000-0000-00000F000000}"/>
    <cellStyle name="쉼표 [0] 4" xfId="37" xr:uid="{00000000-0005-0000-0000-000010000000}"/>
    <cellStyle name="쉼표 [0] 5" xfId="20" xr:uid="{00000000-0005-0000-0000-000011000000}"/>
    <cellStyle name="쉼표 [0] 6" xfId="28" xr:uid="{00000000-0005-0000-0000-000012000000}"/>
    <cellStyle name="쉼표 [0]_054QCNS현금흐름표" xfId="8" xr:uid="{00000000-0005-0000-0000-000013000000}"/>
    <cellStyle name="쉼표 2" xfId="27" xr:uid="{00000000-0005-0000-0000-000014000000}"/>
    <cellStyle name="표준" xfId="0" builtinId="0"/>
    <cellStyle name="표준 12" xfId="14" xr:uid="{00000000-0005-0000-0000-000016000000}"/>
    <cellStyle name="표준 2" xfId="2" xr:uid="{00000000-0005-0000-0000-000017000000}"/>
    <cellStyle name="표준 2 2" xfId="3" xr:uid="{00000000-0005-0000-0000-000018000000}"/>
    <cellStyle name="표준 2 3" xfId="11" xr:uid="{00000000-0005-0000-0000-000019000000}"/>
    <cellStyle name="표준 2 3 2" xfId="26" xr:uid="{00000000-0005-0000-0000-00001A000000}"/>
    <cellStyle name="표준 3" xfId="17" xr:uid="{00000000-0005-0000-0000-00001B000000}"/>
    <cellStyle name="표준 3 2" xfId="35" xr:uid="{00000000-0005-0000-0000-00001C000000}"/>
    <cellStyle name="표준 3 3" xfId="25" xr:uid="{00000000-0005-0000-0000-00001D000000}"/>
    <cellStyle name="표준 32" xfId="19" xr:uid="{00000000-0005-0000-0000-00001E000000}"/>
    <cellStyle name="표준 4" xfId="30" xr:uid="{00000000-0005-0000-0000-00001F000000}"/>
    <cellStyle name="표준 42" xfId="21" xr:uid="{00000000-0005-0000-0000-000020000000}"/>
    <cellStyle name="표준 42 2" xfId="22" xr:uid="{00000000-0005-0000-0000-000021000000}"/>
    <cellStyle name="표준 42 3" xfId="32" xr:uid="{00000000-0005-0000-0000-000022000000}"/>
    <cellStyle name="표준 99" xfId="31" xr:uid="{00000000-0005-0000-0000-000023000000}"/>
    <cellStyle name="표준_a-sheet" xfId="9" xr:uid="{00000000-0005-0000-0000-000024000000}"/>
    <cellStyle name="표준_WTB_06_잉크테크_SN_V 1" xfId="7" xr:uid="{00000000-0005-0000-0000-000025000000}"/>
    <cellStyle name="하이퍼링크 2" xfId="4" xr:uid="{00000000-0005-0000-0000-000026000000}"/>
  </cellStyles>
  <dxfs count="3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CCCC"/>
      <color rgb="FFCCCCFF"/>
      <color rgb="FFCCFFCC"/>
      <color rgb="FFB7FFB7"/>
      <color rgb="FFC5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1095375</xdr:colOff>
      <xdr:row>1</xdr:row>
      <xdr:rowOff>133350</xdr:rowOff>
    </xdr:from>
    <xdr:to>
      <xdr:col>8</xdr:col>
      <xdr:colOff>1619250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6DE7E-D7FB-4D9F-830D-10C9F791DA32}"/>
            </a:ext>
          </a:extLst>
        </xdr:cNvPr>
        <xdr:cNvSpPr txBox="1"/>
      </xdr:nvSpPr>
      <xdr:spPr>
        <a:xfrm>
          <a:off x="3657600" y="342900"/>
          <a:ext cx="30956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                             재</a:t>
          </a:r>
          <a:r>
            <a:rPr lang="ko-KR" altLang="en-US" sz="1100" baseline="0"/>
            <a:t> 무 상 태 표</a:t>
          </a:r>
          <a:br>
            <a:rPr lang="en-US" altLang="ko-KR" sz="1100" baseline="0"/>
          </a:br>
          <a:r>
            <a:rPr lang="en-US" altLang="ko-KR" sz="1100" baseline="0"/>
            <a:t>             </a:t>
          </a:r>
          <a:r>
            <a:rPr lang="ko-KR" altLang="en-US" sz="1100" baseline="0"/>
            <a:t>제 </a:t>
          </a:r>
          <a:r>
            <a:rPr lang="en-US" altLang="ko-KR" sz="1100" baseline="0"/>
            <a:t>3</a:t>
          </a:r>
          <a:r>
            <a:rPr lang="ko-KR" altLang="en-US" sz="1100" baseline="0"/>
            <a:t>기 </a:t>
          </a:r>
          <a:r>
            <a:rPr lang="en-US" altLang="ko-KR" sz="1100" baseline="0"/>
            <a:t>2020</a:t>
          </a:r>
          <a:r>
            <a:rPr lang="ko-KR" altLang="en-US" sz="1100" baseline="0"/>
            <a:t>년 </a:t>
          </a:r>
          <a:r>
            <a:rPr lang="en-US" altLang="ko-KR" sz="1100" baseline="0"/>
            <a:t>12</a:t>
          </a:r>
          <a:r>
            <a:rPr lang="ko-KR" altLang="en-US" sz="1100" baseline="0"/>
            <a:t>월 </a:t>
          </a:r>
          <a:r>
            <a:rPr lang="en-US" altLang="ko-KR" sz="1100" baseline="0"/>
            <a:t>31</a:t>
          </a:r>
          <a:r>
            <a:rPr lang="ko-KR" altLang="en-US" sz="1100" baseline="0"/>
            <a:t>일 현재</a:t>
          </a:r>
          <a:br>
            <a:rPr lang="en-US" altLang="ko-KR" sz="1100" baseline="0"/>
          </a:br>
          <a:r>
            <a:rPr lang="en-US" altLang="ko-KR" sz="1100" baseline="0"/>
            <a:t>                           </a:t>
          </a:r>
          <a:r>
            <a:rPr lang="ko-KR" altLang="en-US" sz="1100" baseline="0"/>
            <a:t>십일번가 주식회사</a:t>
          </a: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9457;&#50756;\&#50896;&#44032;2\111\MSOFFICE\HEXCEL\&#47700;&#47540;&#47536;&#52236;\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OWER7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hwason/Desktop/FY18/8.%20&#51228;&#45432;&#54252;&#52964;&#49828;/1.%202Q/1.%20&#51221;&#49328;&#54364;/FY2018_2Q_&#51228;&#45432;&#54252;&#52964;&#49828;_&#48324;&#46020;_final_&#49464;&#54868;&#44288;&#47532;&#5085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PMG/1.%20Audit/3.%20&#51228;&#45432;&#54252;&#52964;&#49828;/FY2017/1.%202Q/WP/FY17.2Q_&#51228;&#45432;&#54252;&#52964;&#49828;_W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st/Desktop/&#49900;&#49345;&#50980;/1.&#48516;&#44592;&#44208;&#49328;/20&#45380;%202&#48516;&#44592;/&#52572;&#51333;/@11&#48264;&#44032;_FY2020%202Q_&#51221;&#49328;&#54364;_200714_v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st/Desktop/&#51076;&#46041;&#54788;/1,&#51116;&#47924;&#54924;&#44228;/&#54924;&#44228;&#44048;&#49324;/FY20/20.3Q/@11&#48264;&#44032;_FY2020%203Q_&#51221;&#49328;&#54364;_v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st/Desktop/&#49900;&#49345;&#50980;/1.&#48516;&#44592;&#44208;&#49328;/21&#45380;%204&#48516;&#44592;/11&#48264;&#44032;_&#44221;&#49345;&#50672;&#44396;&#44060;&#48156;&#48708;&#45824;&#52404;_214Q%20&#44032;&#44208;&#49328;&#49884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Summary"/>
      <sheetName val="Cover"/>
      <sheetName val="Switches"/>
      <sheetName val="Trans"/>
      <sheetName val="Summary"/>
      <sheetName val="RatioSens"/>
      <sheetName val="Merger"/>
      <sheetName val="Ass."/>
      <sheetName val="Contri"/>
      <sheetName val="IS"/>
      <sheetName val="CF"/>
      <sheetName val="BS"/>
      <sheetName val="98Init BS"/>
      <sheetName val="Init BS"/>
      <sheetName val="Debt"/>
      <sheetName val="D&amp;A"/>
      <sheetName val="E_Returns"/>
      <sheetName val="CF_Returns"/>
      <sheetName val="ppt output"/>
      <sheetName val="CHECK"/>
      <sheetName val="BACKUP"/>
      <sheetName val="CFSens"/>
      <sheetName val="bar 입고"/>
      <sheetName val="원장"/>
      <sheetName val="정산표_10_기말"/>
      <sheetName val="조정분개_11_2Q"/>
      <sheetName val="정산표_11_1Q"/>
      <sheetName val="조정분개_10_기말"/>
      <sheetName val="sap"/>
      <sheetName val="재무상태변동표"/>
      <sheetName val="선급비용"/>
      <sheetName val="#REF"/>
      <sheetName val="단가"/>
      <sheetName val="cv"/>
      <sheetName val="Sheet1"/>
      <sheetName val="Macro2"/>
      <sheetName val="전부인쇄"/>
      <sheetName val="2월"/>
      <sheetName val="계열사현황종합"/>
      <sheetName val="경비공통"/>
      <sheetName val="Macro4"/>
      <sheetName val="수주단가"/>
      <sheetName val="consolidated"/>
      <sheetName val="평가&amp;선급.미지급"/>
      <sheetName val="점수계산1-2"/>
      <sheetName val="7682LA SKD(12.4)"/>
      <sheetName val="#1 Basic"/>
      <sheetName val="Weekly (2)"/>
      <sheetName val="CAP"/>
      <sheetName val="변수"/>
      <sheetName val="TFT 저항"/>
      <sheetName val="FAB별"/>
      <sheetName val="Array-CF-Cell(Sum)"/>
      <sheetName val="Data"/>
      <sheetName val="Structure_Summary"/>
      <sheetName val="Ass_"/>
      <sheetName val="98Init_BS"/>
      <sheetName val="Init_BS"/>
      <sheetName val="ppt_output"/>
      <sheetName val="95TOTREV"/>
      <sheetName val="6월인원"/>
      <sheetName val="고정자산-회사제시"/>
      <sheetName val="5사남"/>
      <sheetName val="시산표"/>
      <sheetName val="실적_월별"/>
      <sheetName val="comps LFY+"/>
      <sheetName val="HDI implied"/>
      <sheetName val="형번별"/>
      <sheetName val="수출반재고"/>
      <sheetName val="Code"/>
      <sheetName val="U100"/>
      <sheetName val="조선소시수"/>
      <sheetName val="I"/>
      <sheetName val="00생산실적"/>
      <sheetName val="요인별시수추이"/>
      <sheetName val="X13"/>
      <sheetName val="Sapphire"/>
      <sheetName val="利润表"/>
      <sheetName val="资产负债表"/>
      <sheetName val="所有者权益（股东权益）变动表"/>
      <sheetName val="기본 상수"/>
      <sheetName val="14.1sxga+(L3)"/>
      <sheetName val="변수2"/>
      <sheetName val="저항"/>
      <sheetName val="dV&amp;Cl"/>
      <sheetName val="입력변수"/>
      <sheetName val="요구ion"/>
      <sheetName val="R"/>
      <sheetName val="충전율"/>
      <sheetName val="한계원가"/>
      <sheetName val="국내"/>
      <sheetName val="110inch量产生产汇总表 (2014.02)"/>
      <sheetName val="报表 1"/>
      <sheetName val="老产业资金预算-汇总"/>
      <sheetName val="외화금융(97-03)"/>
      <sheetName val="MDL FG-Code"/>
      <sheetName val="재무제표"/>
      <sheetName val="Natures"/>
      <sheetName val="投影仪"/>
      <sheetName val="분배"/>
      <sheetName val="자재"/>
      <sheetName val="추정99"/>
      <sheetName val="재무정보"/>
      <sheetName val="유효성 검사"/>
      <sheetName val="참조"/>
      <sheetName val="평가&amp;선급_미지급"/>
      <sheetName val="#1_Basic"/>
      <sheetName val="bar_입고"/>
      <sheetName val="7682LA_SKD(12_4)"/>
      <sheetName val="Structure_Summary1"/>
      <sheetName val="Ass_1"/>
      <sheetName val="98Init_BS1"/>
      <sheetName val="Init_BS1"/>
      <sheetName val="ppt_output1"/>
      <sheetName val="bar_입고1"/>
      <sheetName val="평가&amp;선급_미지급1"/>
      <sheetName val="#1_Basic1"/>
      <sheetName val="7682LA_SKD(12_4)1"/>
      <sheetName val="comps_LFY+"/>
      <sheetName val="HDI_implied"/>
      <sheetName val="버스 탑승지역 배정"/>
      <sheetName val="기념품"/>
      <sheetName val="Sheet2"/>
      <sheetName val="보일러"/>
      <sheetName val="MRS세부"/>
      <sheetName val="차수"/>
      <sheetName val="예금명세"/>
      <sheetName val="BP사（20.10월 기준)"/>
      <sheetName val="Weekly_(2)"/>
      <sheetName val="TFT_저항"/>
      <sheetName val="기본_상수"/>
      <sheetName val="14_1sxga+(L3)"/>
      <sheetName val="110inch量产生产汇总表_(2014_02)"/>
      <sheetName val="报表_1"/>
      <sheetName val="MDL_FG-Code"/>
      <sheetName val="유효성_검사"/>
      <sheetName val="외화계약"/>
      <sheetName val="#연결차입금 (2)"/>
      <sheetName val="List vị trí"/>
      <sheetName val="카테고리"/>
      <sheetName val="Sheet14"/>
      <sheetName val="Var."/>
      <sheetName val="日报嫁动Code注册"/>
      <sheetName val="标准有效性"/>
      <sheetName val="공용정보"/>
      <sheetName val="통계자료"/>
      <sheetName val="시설이용권명세서"/>
      <sheetName val="Var_"/>
      <sheetName val="Bank&amp;Cell In"/>
      <sheetName val="客户名称"/>
      <sheetName val="风险因素"/>
      <sheetName val="不良数据源"/>
      <sheetName val="PR Loss数据源"/>
      <sheetName val="数据验证"/>
      <sheetName val="奖励明细团队"/>
      <sheetName val="参考"/>
      <sheetName val="Repair Mov"/>
      <sheetName val="CFO1"/>
      <sheetName val="Inputs"/>
      <sheetName val="AcqIS"/>
      <sheetName val="AcqBSCF"/>
      <sheetName val="Weekly_(2)1"/>
      <sheetName val="TFT_저항1"/>
      <sheetName val="기본_상수1"/>
      <sheetName val="14_1sxga+(L3)1"/>
      <sheetName val="110inch量产生产汇总表_(2014_02)1"/>
      <sheetName val="报表_11"/>
      <sheetName val="MDL_FG-Code1"/>
      <sheetName val="Var_1"/>
      <sheetName val="Bank&amp;Cell_In"/>
      <sheetName val="PR_Loss数据源"/>
      <sheetName val="Repair_Mov"/>
      <sheetName val="BU&amp;工厂"/>
      <sheetName val="TV"/>
      <sheetName val="尺寸别"/>
      <sheetName val="中大产线产品集中化规划"/>
      <sheetName val="产能情况"/>
      <sheetName val="Sheet3"/>
      <sheetName val="辅助数据页"/>
      <sheetName val="辅助（数据源）"/>
      <sheetName val="3.月度人员变化"/>
      <sheetName val="Sens"/>
      <sheetName val="설계명세서(선로)"/>
      <sheetName val="+A - S&amp;U (Annually)"/>
      <sheetName val="Control Panel"/>
      <sheetName val="1.변경범위"/>
      <sheetName val="TSCLFEB"/>
      <sheetName val="PUR-12K"/>
      <sheetName val="장기차입금"/>
      <sheetName val="외매-기타&amp;접속"/>
      <sheetName val="미수"/>
      <sheetName val="코드"/>
      <sheetName val="조정"/>
      <sheetName val="Confirmation"/>
      <sheetName val="c_data"/>
      <sheetName val="co_code"/>
      <sheetName val="Register"/>
      <sheetName val="statement 1998"/>
      <sheetName val="K31X"/>
      <sheetName val="XVIa(i) - average price (2)"/>
      <sheetName val="153541"/>
      <sheetName val="PLAC"/>
      <sheetName val="수정시산표"/>
      <sheetName val="전력_추가설비 검토"/>
      <sheetName val="Call_strike"/>
      <sheetName val="Parm"/>
      <sheetName val="DE"/>
      <sheetName val="COUNTRY AT ACTUAL"/>
      <sheetName val="리스트"/>
      <sheetName val="INCIDENT 유형"/>
      <sheetName val="유산스"/>
      <sheetName val="Structure_Summary2"/>
      <sheetName val="Ass_2"/>
      <sheetName val="98Init_BS2"/>
      <sheetName val="Init_BS2"/>
      <sheetName val="ppt_output2"/>
      <sheetName val="평가&amp;선급_미지급2"/>
      <sheetName val="7682LA_SKD(12_4)2"/>
      <sheetName val="bar_입고2"/>
      <sheetName val="#1_Basic2"/>
      <sheetName val="comps_LFY+1"/>
      <sheetName val="HDI_implied1"/>
      <sheetName val="Weekly_(2)2"/>
      <sheetName val="TFT_저항2"/>
      <sheetName val="기본_상수2"/>
      <sheetName val="14_1sxga+(L3)2"/>
      <sheetName val="110inch量产生产汇总表_(2014_02)2"/>
      <sheetName val="报表_12"/>
      <sheetName val="MDL_FG-Code2"/>
      <sheetName val="유효성_검사1"/>
      <sheetName val="버스_탑승지역_배정"/>
      <sheetName val="BP사（20_10월_기준)"/>
      <sheetName val="List_vị_trí"/>
      <sheetName val="Var_2"/>
      <sheetName val="Bank&amp;Cell_In1"/>
      <sheetName val="PR_Loss数据源1"/>
      <sheetName val="Repair_Mov1"/>
      <sheetName val="3_月度人员变化"/>
      <sheetName val="#연결차입금_(2)"/>
      <sheetName val="+A_-_S&amp;U_(Annually)"/>
      <sheetName val="Control_Panel"/>
      <sheetName val="1_변경범위"/>
      <sheetName val="현금경비중역"/>
      <sheetName val="CODE (2)"/>
      <sheetName val="불량유형"/>
      <sheetName val="표지★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hitachi"/>
      <sheetName val="3ND 64M"/>
      <sheetName val="제품별"/>
      <sheetName val="국영"/>
      <sheetName val="asy_o"/>
      <sheetName val="95TOTREV"/>
      <sheetName val="FAB"/>
      <sheetName val="시실누(모) "/>
      <sheetName val="중장SR"/>
      <sheetName val="공용정보"/>
      <sheetName val="Low YLD Reject"/>
      <sheetName val="국산화"/>
      <sheetName val="FOB발"/>
      <sheetName val="ALL"/>
      <sheetName val="서류검사"/>
      <sheetName val="SSMITM"/>
      <sheetName val="#REF"/>
      <sheetName val="예적금"/>
      <sheetName val="BAY실적"/>
      <sheetName val="data_MM"/>
      <sheetName val="지수"/>
      <sheetName val="960318-1"/>
      <sheetName val="fab_o"/>
      <sheetName val="data (누계)"/>
      <sheetName val="data(실적)"/>
      <sheetName val="data (전년동기)"/>
      <sheetName val="통계자료"/>
      <sheetName val="수요일"/>
      <sheetName val="금요일"/>
      <sheetName val="설비운영"/>
      <sheetName val="shutt_bi"/>
      <sheetName val="품의"/>
      <sheetName val="Sheet1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2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6월인원"/>
      <sheetName val="ASP"/>
      <sheetName val="CHIP_O"/>
      <sheetName val="FAB_I"/>
      <sheetName val="FRT_O"/>
      <sheetName val="PKG_I"/>
      <sheetName val="FT_금액"/>
      <sheetName val="YIELD"/>
      <sheetName val="DDR"/>
      <sheetName val="장비목록"/>
      <sheetName val="원가관리"/>
      <sheetName val="내역서"/>
      <sheetName val="DATA-2001"/>
      <sheetName val="자재 집계표"/>
      <sheetName val="BOM"/>
      <sheetName val="summary"/>
      <sheetName val="HSA"/>
      <sheetName val="현우실적"/>
      <sheetName val="Aries_all_char"/>
      <sheetName val="StepperValues"/>
      <sheetName val="TG9504"/>
      <sheetName val="Ref2"/>
      <sheetName val="3-1-4 교_x0002__x0000_数8"/>
      <sheetName val=""/>
      <sheetName val="Credit Calc"/>
      <sheetName val="FAB2_Á_x0000_"/>
      <sheetName val="F4-F7"/>
      <sheetName val="CAPA분석 360K"/>
      <sheetName val="F5"/>
      <sheetName val="소특"/>
      <sheetName val="팀별"/>
      <sheetName val="J"/>
      <sheetName val="카드키식수내역"/>
      <sheetName val="8)중점관리장비현황"/>
      <sheetName val="현재"/>
      <sheetName val="3-1-4 교_x0002_"/>
      <sheetName val="FAB4생산"/>
      <sheetName val="鄴ႄ뛶棕饭䌋±ONFMRENCE)"/>
      <sheetName val=" 55 BA 장입기 091203.xlsx"/>
      <sheetName val="입력DATA"/>
      <sheetName val="Vendor"/>
      <sheetName val="조명투자및환수계획"/>
      <sheetName val="제조중간결과"/>
      <sheetName val="입찰내역 발주처 양식"/>
      <sheetName val="견적을지"/>
      <sheetName val="목표세부명세"/>
      <sheetName val="장기차입금"/>
      <sheetName val="Source"/>
      <sheetName val="Sheet4"/>
      <sheetName val="불합리 적출 및 관리"/>
      <sheetName val="Controls"/>
      <sheetName val="부품별 매입현황"/>
      <sheetName val="FAB2_Á_x005f_x0000_"/>
      <sheetName val="Cgs계산값1"/>
      <sheetName val="기본 상수"/>
      <sheetName val="FAB2_Á?"/>
      <sheetName val="data"/>
      <sheetName val="DRT102"/>
      <sheetName val="DRT502"/>
      <sheetName val="3-1-4 교_x0002_?数8"/>
      <sheetName val="저항"/>
      <sheetName val="POWER"/>
      <sheetName val="费用预算"/>
      <sheetName val="변수1"/>
      <sheetName val="FAB2_Á_x005f_x005f_x005f_x0000_"/>
      <sheetName val="설계상수"/>
      <sheetName val="DATA1"/>
      <sheetName val="DATA2"/>
      <sheetName val="DATA3"/>
      <sheetName val="CAP"/>
      <sheetName val="변수"/>
      <sheetName val="TFT 저항"/>
      <sheetName val="FAB2_Á_x005f_x005f_x005f_x005f_x005f_x005f_x005f_x0000_"/>
      <sheetName val="3-1-4 교_x005f_x0002__x005f_x0000_数8"/>
      <sheetName val="전압하강"/>
      <sheetName val="dV&amp;Cl"/>
      <sheetName val="F-T Voltage"/>
      <sheetName val="ELECTRIC"/>
      <sheetName val="CTEMCOST"/>
      <sheetName val="SCHEDULE"/>
      <sheetName val="sum"/>
      <sheetName val="XY tilt 2nd"/>
      <sheetName val="1. Angle confirm"/>
      <sheetName val="Var."/>
      <sheetName val="R"/>
      <sheetName val="정리"/>
      <sheetName val="보고서"/>
      <sheetName val="L2"/>
      <sheetName val="L1"/>
      <sheetName val="Map"/>
      <sheetName val="FAB2_Á_"/>
      <sheetName val="국내"/>
      <sheetName val="FAB2_Á_x005f_x005f_x005f_x005f_x005f_x005f_x005f_x005f_"/>
      <sheetName val="Array PI"/>
      <sheetName val="Cgs계산식1"/>
      <sheetName val="Pandora"/>
      <sheetName val="VIZIO DA가격"/>
      <sheetName val="기타 DA가격"/>
      <sheetName val="LGE DA가격"/>
      <sheetName val="잉여처분"/>
      <sheetName val="Prices"/>
      <sheetName val="DATA6"/>
      <sheetName val="지우지말것"/>
      <sheetName val="B"/>
      <sheetName val="96재료"/>
      <sheetName val="category"/>
      <sheetName val="3-1-4 교_x005f_x0002_"/>
      <sheetName val="X13"/>
      <sheetName val="Sapphire"/>
      <sheetName val="TOEIC기준점수"/>
      <sheetName val="MatchCode"/>
      <sheetName val="근로(생)"/>
      <sheetName val="1월"/>
      <sheetName val="옥외등신설"/>
      <sheetName val="저케CV22신설"/>
      <sheetName val="저케CV38신설"/>
      <sheetName val="저케CV8신설"/>
      <sheetName val="접지3종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외화금융(97-03)"/>
      <sheetName val="MOTOR"/>
      <sheetName val="MRS세부"/>
      <sheetName val="물가지수!"/>
      <sheetName val="SALE"/>
      <sheetName val="수불1Q"/>
      <sheetName val="수불2Q"/>
      <sheetName val="수불3Q"/>
      <sheetName val="수불4Q"/>
      <sheetName val="FLASH_생산"/>
      <sheetName val="FLASH_CHIP"/>
      <sheetName val="FLASH_sales"/>
      <sheetName val="IF5_F"/>
      <sheetName val="IF5_S"/>
      <sheetName val="IF6_S"/>
      <sheetName val="SRAM_생산"/>
      <sheetName val="SRAM_CHIP"/>
      <sheetName val="SRAM_sales"/>
      <sheetName val="첨부1"/>
      <sheetName val="Data&amp;Assumptions"/>
      <sheetName val="가동비율"/>
      <sheetName val="기상도"/>
      <sheetName val="개인별 프로젝트"/>
      <sheetName val="산출기준(파견전산실)"/>
      <sheetName val="단가산출서(기계)"/>
      <sheetName val="96 기타 전시회 경비"/>
      <sheetName val="96 상반기 전시회 경비"/>
      <sheetName val="96 하반기 전시회 경비"/>
      <sheetName val="개요"/>
      <sheetName val="단가"/>
      <sheetName val="SUB (N)"/>
      <sheetName val="그림"/>
      <sheetName val="기상도월"/>
      <sheetName val="11월 Red Zone 기상도"/>
      <sheetName val="Lot Status"/>
      <sheetName val="Xunit (단위환산)"/>
      <sheetName val="6F8"/>
      <sheetName val="생산직"/>
      <sheetName val="단일장비탐색1"/>
      <sheetName val="일위목록"/>
      <sheetName val="간접비계산"/>
      <sheetName val="Sheet1 (2)"/>
      <sheetName val="연수원"/>
      <sheetName val="Hynix &amp; SYS IC Co"/>
      <sheetName val="Code 2"/>
      <sheetName val="FACTOR"/>
      <sheetName val="MP01"/>
      <sheetName val="atd"/>
      <sheetName val="atm"/>
      <sheetName val="표지"/>
      <sheetName val="PKG_O"/>
      <sheetName val="BEST"/>
      <sheetName val="수정시산표"/>
      <sheetName val="ORIGINAL"/>
      <sheetName val="장비명"/>
      <sheetName val="영업본부US$실적 (2)"/>
      <sheetName val="BTS-시범물량"/>
      <sheetName val="ABUT수량-A1"/>
      <sheetName val="Sheet6"/>
      <sheetName val="3-1-4 교_x0002__数8"/>
      <sheetName val="작업공사목록"/>
      <sheetName val="3-1-4 교_x005f_x005f_x005f_x0002__x005f_x005f_x000"/>
      <sheetName val="3-1-4 교_x005f_x0002__数8"/>
      <sheetName val="3-1-4 ɐ_x0000__x0000__x0000_␀"/>
      <sheetName val="PwC"/>
      <sheetName val="Co_Scoresheet_FY104Q"/>
      <sheetName val="PopCache"/>
      <sheetName val="3-1-4 ɐ"/>
      <sheetName val="원가표"/>
      <sheetName val="제조혁신(이지연, 윤수향)"/>
      <sheetName val="팀장평가"/>
      <sheetName val="값목록(Do not touch)"/>
      <sheetName val="기별월별손익"/>
      <sheetName val="24.보증금(전신전화가입권)"/>
      <sheetName val="EQT-ESTN"/>
      <sheetName val="근로소득 세액표"/>
      <sheetName val="건강보험 표준요율표"/>
      <sheetName val="국민연금 표준요율표"/>
      <sheetName val="원가절감실적(계정별)"/>
      <sheetName val="토목검측서"/>
      <sheetName val="계약1차"/>
      <sheetName val="DATE변환2"/>
      <sheetName val="자판실행"/>
      <sheetName val="전등설비"/>
      <sheetName val="견적"/>
      <sheetName val="RESULT"/>
      <sheetName val="EXTENSION현황"/>
      <sheetName val="PKG"/>
      <sheetName val="_M10C DIFF 산포 개선 사례_BASE PRESSU"/>
      <sheetName val="산근"/>
      <sheetName val="노임"/>
      <sheetName val="조정명세서"/>
      <sheetName val="Laser Alignment Target Spec"/>
      <sheetName val="Laser Focus Spec"/>
      <sheetName val="FAB#7"/>
      <sheetName val="_M10C DIFF 산포 개선 사례_7자 GAS LINE"/>
      <sheetName val="Graph Data"/>
      <sheetName val="환률"/>
      <sheetName val="부대"/>
      <sheetName val="실행내역서 "/>
      <sheetName val="BP-이발-RJ TREND"/>
      <sheetName val="대치판정"/>
      <sheetName val="유해위험요인 분류체계"/>
      <sheetName val="GF2"/>
      <sheetName val="512sd"/>
      <sheetName val="TAT"/>
      <sheetName val="M5_S"/>
      <sheetName val="M6_S"/>
      <sheetName val="DAILY CHECK"/>
      <sheetName val="Total_Cost"/>
      <sheetName val="특정현금과예금"/>
      <sheetName val="L_repair"/>
      <sheetName val="EPM Raw"/>
      <sheetName val="PT1H Raw"/>
      <sheetName val="PT2C_Raw"/>
      <sheetName val="16M"/>
      <sheetName val="1M4M"/>
      <sheetName val="판매실적 종합"/>
      <sheetName val="견적서"/>
      <sheetName val="선급법인세"/>
      <sheetName val="영업보증금"/>
      <sheetName val="CHIP_INV"/>
      <sheetName val="code"/>
      <sheetName val="공통가설"/>
      <sheetName val="Down Time"/>
      <sheetName val="TPM지표"/>
      <sheetName val="H.P견적(참조)"/>
      <sheetName val="97센_협"/>
      <sheetName val="원본"/>
      <sheetName val="RAW_Data"/>
      <sheetName val="전기"/>
      <sheetName val="Tot_Sum"/>
      <sheetName val="M8_Sum"/>
      <sheetName val="M9_Sum"/>
      <sheetName val="경수97.02"/>
      <sheetName val="SALE&amp;COST"/>
      <sheetName val="연구9월"/>
      <sheetName val="1995년 섹터별 매출"/>
      <sheetName val="MFAB"/>
      <sheetName val="MFRT"/>
      <sheetName val="MPKG"/>
      <sheetName val="MPRD"/>
      <sheetName val="고장이력"/>
      <sheetName val="4-8.공통"/>
      <sheetName val="cuslist"/>
      <sheetName val="해트트릭"/>
      <sheetName val="Fabless comp ROE"/>
      <sheetName val="견적율"/>
      <sheetName val="Daily-status"/>
      <sheetName val="DI"/>
      <sheetName val="CODE표"/>
      <sheetName val="Making Order"/>
      <sheetName val="1.현금예금"/>
      <sheetName val="1.현금및현금성자산"/>
      <sheetName val="선급금(에프)"/>
      <sheetName val="256D_OUT_TAT"/>
      <sheetName val="취합"/>
      <sheetName val="Trans"/>
      <sheetName val="コントロールパネル"/>
      <sheetName val="데이터유효성"/>
      <sheetName val="일위대가표"/>
      <sheetName val="공정분류기준"/>
      <sheetName val="SUB9601"/>
      <sheetName val="6)Matl analysis"/>
      <sheetName val="1)Assumptions"/>
      <sheetName val="9609Aß"/>
      <sheetName val="TEMP1"/>
      <sheetName val="TEMP2"/>
      <sheetName val="BS"/>
      <sheetName val="99선급비용"/>
      <sheetName val="별첨4_전담운영PM(1)"/>
      <sheetName val="차량실적1"/>
      <sheetName val="PC%계산"/>
      <sheetName val="9-1차이내역"/>
      <sheetName val="VLOOKUP"/>
      <sheetName val="EQUIP LIST"/>
      <sheetName val="유효성"/>
      <sheetName val="TFT 측정(2)"/>
      <sheetName val="사유 구분"/>
      <sheetName val="3-1-1_여비교통비"/>
      <sheetName val="3-1-2_사무용품비"/>
      <sheetName val="3-1-3_소모품비"/>
      <sheetName val="3-1-4_교육훈련비"/>
      <sheetName val="3-1-5_운반비"/>
      <sheetName val="3-1-6_통신비"/>
      <sheetName val="3-1-7_전산정보이용료"/>
      <sheetName val="3-1-8_도서비"/>
      <sheetName val="3-1-9_수선비"/>
      <sheetName val="3-1-10_경상개발비(지급수수료)"/>
      <sheetName val="3ND_64M"/>
      <sheetName val="자재_집계표"/>
      <sheetName val="시실누(모)_"/>
      <sheetName val="Credit_Calc"/>
      <sheetName val="CAPA분석_360K"/>
      <sheetName val="3-1-4_교数8"/>
      <sheetName val="입찰내역_발주처_양식"/>
      <sheetName val="3-1-4_교"/>
      <sheetName val="_55_BA_장입기_091203_xlsx"/>
      <sheetName val="3-1-1_여비교통비1"/>
      <sheetName val="3-1-2_사무용품비1"/>
      <sheetName val="3-1-3_소모품비1"/>
      <sheetName val="3-1-4_교육훈련비1"/>
      <sheetName val="3-1-5_운반비1"/>
      <sheetName val="3-1-6_통신비1"/>
      <sheetName val="3-1-7_전산정보이용료1"/>
      <sheetName val="3-1-8_도서비1"/>
      <sheetName val="3-1-9_수선비1"/>
      <sheetName val="3-1-10_경상개발비(지급수수료)1"/>
      <sheetName val="3ND_64M1"/>
      <sheetName val="자재_집계표1"/>
      <sheetName val="시실누(모)_1"/>
      <sheetName val="Credit_Calc1"/>
      <sheetName val="CAPA분석_360K1"/>
      <sheetName val="입찰내역_발주처_양식1"/>
      <sheetName val="_55_BA_장입기_091203_xlsx1"/>
      <sheetName val="FAB2_Á_x005f_x005f_x005f_x005f_"/>
      <sheetName val="14.1&quot; Cst 변화"/>
      <sheetName val="계조에 따른 특성"/>
      <sheetName val="인력관리_Code"/>
      <sheetName val="PIPING"/>
      <sheetName val="Total-P&amp;L(Local)"/>
      <sheetName val="키워드"/>
      <sheetName val="THIN"/>
      <sheetName val="한국단가계약표"/>
      <sheetName val="무상 Part List(BW)"/>
      <sheetName val="노동부강사"/>
      <sheetName val="강사과정"/>
      <sheetName val="개인정보"/>
      <sheetName val="노동필터"/>
      <sheetName val="노동부DB"/>
      <sheetName val="자료입력"/>
      <sheetName val="노동부_조견단가"/>
      <sheetName val="훈련비계산"/>
      <sheetName val="불합리_적출_및_관리"/>
      <sheetName val="부품별_매입현황"/>
      <sheetName val="기본_상수"/>
      <sheetName val="3-1-4_교?数8"/>
      <sheetName val="TFT_저항"/>
      <sheetName val="3-1-4_교_x005f_x0002__x005f_x0000_数8"/>
      <sheetName val="F-T_Voltage"/>
      <sheetName val="XY_tilt_2nd"/>
      <sheetName val="1__Angle_confirm"/>
      <sheetName val="Var_"/>
      <sheetName val="Array_PI"/>
      <sheetName val="VIZIO_DA가격"/>
      <sheetName val="기타_DA가격"/>
      <sheetName val="LGE_DA가격"/>
      <sheetName val="3-1-4_교_x005f_x0002_"/>
      <sheetName val="영업본부US$실적_(2)"/>
      <sheetName val="2)인력관리_Code_Flash"/>
      <sheetName val="※ 참고사항"/>
      <sheetName val="건물"/>
      <sheetName val="일년TOTAL"/>
      <sheetName val=" T3B-SN SOD SKIP + SIGE No Dela"/>
      <sheetName val="앞면인쇄후180도_회전"/>
      <sheetName val="BWipList"/>
      <sheetName val="TWipList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PBS"/>
      <sheetName val="내역"/>
      <sheetName val="MVMT_row2"/>
      <sheetName val="F"/>
      <sheetName val="Wip Status"/>
      <sheetName val="차수"/>
      <sheetName val="정부노임단가"/>
      <sheetName val="공사비내역서"/>
      <sheetName val="도급양식"/>
      <sheetName val="Raw Data"/>
      <sheetName val="7682LA SKD(12.4)"/>
      <sheetName val="Header"/>
      <sheetName val="sapactivexlhiddensheet"/>
      <sheetName val="공종별 집계"/>
      <sheetName val="1단계"/>
      <sheetName val="init"/>
      <sheetName val="공사비 내역 (가)"/>
      <sheetName val="BSD (2)"/>
      <sheetName val="TABLE"/>
      <sheetName val="N賃率-職"/>
      <sheetName val="직재"/>
      <sheetName val="토공(완충)"/>
      <sheetName val="PUMP"/>
      <sheetName val="Proposal"/>
      <sheetName val="차액보증"/>
      <sheetName val="차량구입"/>
      <sheetName val=" 견적서"/>
      <sheetName val="설산1.나"/>
      <sheetName val="본사S"/>
      <sheetName val="건축원가계산서"/>
      <sheetName val="예산M12A"/>
      <sheetName val="CONCRETE"/>
      <sheetName val="목록"/>
      <sheetName val="자료"/>
      <sheetName val="임시"/>
      <sheetName val="US 94 COST CENTER LIST"/>
      <sheetName val="Process Tools-Owned"/>
      <sheetName val="LUC-CAL"/>
      <sheetName val="SG&amp;A Allocation"/>
      <sheetName val="Policy"/>
      <sheetName val="AR County"/>
      <sheetName val="Revenue"/>
      <sheetName val="Consulting"/>
      <sheetName val="Equip_Purch"/>
      <sheetName val="Equip_Repair"/>
      <sheetName val="Exp_Software"/>
      <sheetName val="Mailing"/>
      <sheetName val="Mkt_Exp"/>
      <sheetName val="Motivation"/>
      <sheetName val="Office_Supplies"/>
      <sheetName val="Print_Copy"/>
      <sheetName val="Recruiting"/>
      <sheetName val="Temp_Help"/>
      <sheetName val="Training"/>
      <sheetName val="Travel"/>
      <sheetName val="Invoice"/>
      <sheetName val="PLAN_Units"/>
      <sheetName val="AccumOptions"/>
      <sheetName val="Rev Module Retrieve"/>
      <sheetName val="Accretion - Dilution"/>
      <sheetName val="166.415"/>
      <sheetName val="Customer SAB101 Issues Sort"/>
      <sheetName val="BU Commentary"/>
      <sheetName val="FebGL"/>
      <sheetName val="JanGL"/>
      <sheetName val="Low_YLD_Reject"/>
      <sheetName val="data_(누계)"/>
      <sheetName val="환율"/>
      <sheetName val="재무상태변동표"/>
      <sheetName val="선급비용"/>
      <sheetName val="개인별장비관리"/>
      <sheetName val="정산표"/>
      <sheetName val="A"/>
      <sheetName val="工作表"/>
      <sheetName val="시산표"/>
      <sheetName val="data_(전년동기)"/>
      <sheetName val="FY-07 Personal Property Tax"/>
      <sheetName val="FY-07 Real Property Tax"/>
      <sheetName val="Fcst Summary"/>
      <sheetName val="June01brio sort"/>
      <sheetName val="Period Pivot Summary"/>
      <sheetName val="Summary_by_Account"/>
      <sheetName val="Cube by Product Line"/>
      <sheetName val="공문"/>
      <sheetName val="1_汇总"/>
      <sheetName val="担当工程师"/>
      <sheetName val="반입시나리오(area별 조정)"/>
      <sheetName val="기준정보"/>
      <sheetName val="유통망계획"/>
      <sheetName val="Nand"/>
      <sheetName val="cF4P"/>
      <sheetName val="Nandp"/>
      <sheetName val="한계원가"/>
      <sheetName val="도기류"/>
      <sheetName val="개인별_프로젝트"/>
      <sheetName val="96_기타_전시회_경비"/>
      <sheetName val="96_상반기_전시회_경비"/>
      <sheetName val="96_하반기_전시회_경비"/>
      <sheetName val="SUB_(N)"/>
      <sheetName val="11월_Red_Zone_기상도"/>
      <sheetName val="Lot_Status"/>
      <sheetName val="Xunit_(단위환산)"/>
      <sheetName val="Sheet1_(2)"/>
      <sheetName val="Hynix_&amp;_SYS_IC_Co"/>
      <sheetName val="Code_2"/>
      <sheetName val="3-1-4_교_数8"/>
      <sheetName val="3-1-4_교_x005f_x005f_x005f_x0002__x005f_x005f_x000"/>
      <sheetName val="3-1-4_교_x005f_x0002__数8"/>
      <sheetName val="3-1-4_ɐ␀"/>
      <sheetName val="3-1-4_ɐ"/>
      <sheetName val="제조혁신(이지연,_윤수향)"/>
      <sheetName val="값목록(Do_not_touch)"/>
      <sheetName val="24_보증금(전신전화가입권)"/>
      <sheetName val="근로소득_세액표"/>
      <sheetName val="건강보험_표준요율표"/>
      <sheetName val="국민연금_표준요율표"/>
      <sheetName val="_M10C_DIFF_산포_개선_사례_BASE_PRESSU"/>
      <sheetName val="Laser_Alignment_Target_Spec"/>
      <sheetName val="Laser_Focus_Spec"/>
      <sheetName val="_M10C_DIFF_산포_개선_사례_7자_GAS_LINE"/>
      <sheetName val="Graph_Data"/>
      <sheetName val="실행내역서_"/>
      <sheetName val="BP-이발-RJ_TREND"/>
      <sheetName val="유해위험요인_분류체계"/>
      <sheetName val="DAILY_CHECK"/>
      <sheetName val="EPM_Raw"/>
      <sheetName val="PT1H_Raw"/>
      <sheetName val="판매실적_종합"/>
      <sheetName val="Down_Time"/>
      <sheetName val="H_P견적(참조)"/>
      <sheetName val="경수97_02"/>
      <sheetName val="1995년_섹터별_매출"/>
      <sheetName val="4-8_공통"/>
      <sheetName val="Fabless_comp_ROE"/>
      <sheetName val="Making_Order"/>
      <sheetName val="DataBase 작성 샘플"/>
      <sheetName val="TFT 활동"/>
      <sheetName val="MLM(OL)"/>
      <sheetName val="전일EOH"/>
      <sheetName val="2SL"/>
      <sheetName val="항목(1)"/>
      <sheetName val="수리결과"/>
      <sheetName val="가수현황"/>
      <sheetName val="RUL2"/>
      <sheetName val="1.BS"/>
      <sheetName val="2.PL"/>
      <sheetName val="PL(Input)"/>
      <sheetName val="BS(Output)"/>
      <sheetName val="Master"/>
      <sheetName val="Drop Memu"/>
      <sheetName val="은행"/>
      <sheetName val="임차보증금"/>
      <sheetName val="누PL"/>
      <sheetName val="해외출자현황(원본틀)"/>
      <sheetName val="개발담당자 "/>
      <sheetName val="종합2"/>
      <sheetName val="May."/>
      <sheetName val="2공장"/>
      <sheetName val="3공장"/>
      <sheetName val="Book1"/>
      <sheetName val="고장명"/>
      <sheetName val="256D_OUT_TAT1"/>
      <sheetName val="3ND_64M2"/>
      <sheetName val="시실누(모)_2"/>
      <sheetName val="Low_YLD_Reject1"/>
      <sheetName val="data_(누계)1"/>
      <sheetName val="data_(전년동기)1"/>
      <sheetName val="3-1-1_여비교통비2"/>
      <sheetName val="3-1-2_사무용품비2"/>
      <sheetName val="3-1-3_소모품비2"/>
      <sheetName val="3-1-4_교육훈련비2"/>
      <sheetName val="3-1-5_운반비2"/>
      <sheetName val="3-1-6_통신비2"/>
      <sheetName val="3-1-7_전산정보이용료2"/>
      <sheetName val="3-1-8_도서비2"/>
      <sheetName val="3-1-9_수선비2"/>
      <sheetName val="3-1-10_경상개발비(지급수수료)2"/>
      <sheetName val="자재_집계표2"/>
      <sheetName val="Credit_Calc2"/>
      <sheetName val="CAPA분석_360K2"/>
      <sheetName val="_55_BA_장입기_091203_xlsx2"/>
      <sheetName val="입찰내역_발주처_양식2"/>
      <sheetName val="불합리_적출_및_관리1"/>
      <sheetName val="부품별_매입현황1"/>
      <sheetName val="기본_상수1"/>
      <sheetName val="TFT_저항1"/>
      <sheetName val="3-1-4_교_x005f_x0002__x005f_x0000_数81"/>
      <sheetName val="F-T_Voltage1"/>
      <sheetName val="XY_tilt_2nd1"/>
      <sheetName val="1__Angle_confirm1"/>
      <sheetName val="Var_1"/>
      <sheetName val="Array_PI1"/>
      <sheetName val="VIZIO_DA가격1"/>
      <sheetName val="기타_DA가격1"/>
      <sheetName val="LGE_DA가격1"/>
      <sheetName val="3-1-4_교_x005f_x0002_1"/>
      <sheetName val="개인별_프로젝트1"/>
      <sheetName val="96_기타_전시회_경비1"/>
      <sheetName val="96_상반기_전시회_경비1"/>
      <sheetName val="96_하반기_전시회_경비1"/>
      <sheetName val="SUB_(N)1"/>
      <sheetName val="11월_Red_Zone_기상도1"/>
      <sheetName val="Lot_Status1"/>
      <sheetName val="Xunit_(단위환산)1"/>
      <sheetName val="Sheet1_(2)1"/>
      <sheetName val="Hynix_&amp;_SYS_IC_Co1"/>
      <sheetName val="Code_21"/>
      <sheetName val="영업본부US$실적_(2)1"/>
      <sheetName val="3-1-4_교_x005f_x005f_x005f_x0002__x005f_x005f_x001"/>
      <sheetName val="3-1-4_교_x005f_x0002__数81"/>
      <sheetName val="3-1-4_ɐ1"/>
      <sheetName val="제조혁신(이지연,_윤수향)1"/>
      <sheetName val="값목록(Do_not_touch)1"/>
      <sheetName val="24_보증금(전신전화가입권)1"/>
      <sheetName val="근로소득_세액표1"/>
      <sheetName val="건강보험_표준요율표1"/>
      <sheetName val="국민연금_표준요율표1"/>
      <sheetName val="_M10C_DIFF_산포_개선_사례_BASE_PRESS1"/>
      <sheetName val="Laser_Alignment_Target_Spec1"/>
      <sheetName val="Laser_Focus_Spec1"/>
      <sheetName val="_M10C_DIFF_산포_개선_사례_7자_GAS_LIN1"/>
      <sheetName val="Graph_Data1"/>
      <sheetName val="실행내역서_1"/>
      <sheetName val="BP-이발-RJ_TREND1"/>
      <sheetName val="유해위험요인_분류체계1"/>
      <sheetName val="DAILY_CHECK1"/>
      <sheetName val="EPM_Raw1"/>
      <sheetName val="PT1H_Raw1"/>
      <sheetName val="판매실적_종합1"/>
      <sheetName val="Down_Time1"/>
      <sheetName val="H_P견적(참조)1"/>
      <sheetName val="경수97_021"/>
      <sheetName val="1995년_섹터별_매출1"/>
      <sheetName val="4-8_공통1"/>
      <sheetName val="Fabless_comp_ROE1"/>
      <sheetName val="Making_Order1"/>
      <sheetName val="6)Matl_analysis"/>
      <sheetName val="EQUIP_LIST"/>
      <sheetName val="TFT_측정(2)"/>
      <sheetName val="사유_구분"/>
      <sheetName val="14_1&quot;_Cst_변화"/>
      <sheetName val="계조에_따른_특성"/>
      <sheetName val="무상_Part_List(BW)"/>
      <sheetName val="※_참고사항"/>
      <sheetName val="_T3B-SN_SOD_SKIP_+_SIGE_No_Dela"/>
      <sheetName val="Wip_Status"/>
      <sheetName val="7682LA_SKD(12_4)"/>
      <sheetName val="공종별_집계"/>
      <sheetName val="공사비_내역_(가)"/>
      <sheetName val="BSD_(2)"/>
      <sheetName val="_견적서"/>
      <sheetName val="설산1_나"/>
      <sheetName val="US_94_COST_CENTER_LIST"/>
      <sheetName val="Process_Tools-Owned"/>
      <sheetName val="SG&amp;A_Allocation"/>
      <sheetName val="AR_County"/>
      <sheetName val="Rev_Module_Retrieve"/>
      <sheetName val="Accretion_-_Dilution"/>
      <sheetName val="166_415"/>
      <sheetName val="Customer_SAB101_Issues_Sort"/>
      <sheetName val="BU_Commentary"/>
      <sheetName val="FY-07_Personal_Property_Tax"/>
      <sheetName val="FY-07_Real_Property_Tax"/>
      <sheetName val="Fcst_Summary"/>
      <sheetName val="June01brio_sort"/>
      <sheetName val="Period_Pivot_Summary"/>
      <sheetName val="Cube_by_Product_Line"/>
      <sheetName val="반입시나리오(area별_조정)"/>
      <sheetName val="DataBase_작성_샘플"/>
      <sheetName val="TFT_활동"/>
      <sheetName val="1_현금예금"/>
      <sheetName val="1_현금및현금성자산"/>
      <sheetName val="Drop_Memu"/>
      <sheetName val="ValueList_Helper"/>
      <sheetName val="재고 및 일일 TREND"/>
      <sheetName val="일일정산 TREND"/>
      <sheetName val="일일재고관리20045"/>
      <sheetName val="일일재고관리20046"/>
      <sheetName val="일일재고관리20047"/>
      <sheetName val="제조부대설비월정산"/>
      <sheetName val="유형"/>
      <sheetName val="효율M14"/>
      <sheetName val="월별예산"/>
      <sheetName val="info"/>
      <sheetName val="구분"/>
      <sheetName val="Rule"/>
      <sheetName val="세부 대응"/>
      <sheetName val="건들지마세요"/>
      <sheetName val="CScore February"/>
      <sheetName val="Mapping"/>
      <sheetName val="Series C Options"/>
      <sheetName val="Updated FY2010 Wkg FCST"/>
      <sheetName val="Aug 2010 MSPP Purchase"/>
      <sheetName val="MSPP weighted- QTD"/>
      <sheetName val="Stock Price NASDAQ"/>
      <sheetName val="DSU weighted- QTD"/>
      <sheetName val="MSPP weighted- YTD"/>
      <sheetName val="DSU weighted- YTD"/>
      <sheetName val="SL Input"/>
      <sheetName val="O_I_US"/>
      <sheetName val="GL Recon"/>
      <sheetName val="Lists"/>
      <sheetName val="Operating LR (Q1 - Q4)"/>
      <sheetName val="OB DTL"/>
      <sheetName val="AR AGING"/>
      <sheetName val="HOME"/>
      <sheetName val="RET_LOC"/>
      <sheetName val="RET_USD"/>
      <sheetName val="Lookup"/>
      <sheetName val="J2"/>
      <sheetName val="J3.4"/>
      <sheetName val="J1"/>
      <sheetName val="RATE CHART"/>
      <sheetName val="HW"/>
      <sheetName val="U1.5"/>
      <sheetName val="U1.2"/>
      <sheetName val="U1.4"/>
      <sheetName val="U1.1"/>
      <sheetName val="U1.3"/>
      <sheetName val="Rent Analysis"/>
      <sheetName val="FCST"/>
      <sheetName val="ACTUAL"/>
      <sheetName val="Japan"/>
      <sheetName val="Coverpage"/>
      <sheetName val="Drop Down"/>
      <sheetName val="Game changer priorities"/>
      <sheetName val="Emp Exercise Table"/>
      <sheetName val="SG&amp;Named"/>
      <sheetName val="acctdesc"/>
      <sheetName val="ACTIVITY_TABLE"/>
      <sheetName val="Earn &amp; E&amp;P &amp; Taxes ENXX_06"/>
      <sheetName val="Prelim FPHCI"/>
      <sheetName val="T"/>
      <sheetName val="Details FY00"/>
      <sheetName val="Validation"/>
      <sheetName val="Parameters"/>
      <sheetName val="Expansion Expenses"/>
      <sheetName val="PCP Recruitment &amp; Productivity"/>
      <sheetName val="State Franchise Taxes{C&amp;S}"/>
      <sheetName val="UNADJUSTED FROM PS"/>
      <sheetName val="96수표어음"/>
      <sheetName val="외상매출금현황-수정분 A2"/>
      <sheetName val="범례"/>
      <sheetName val="유효성_테이블"/>
      <sheetName val="데이터유효성검사_목록LIST"/>
      <sheetName val="세보설계 인력"/>
      <sheetName val="S영업외손익(연결)"/>
      <sheetName val="Total"/>
      <sheetName val="전체실적"/>
      <sheetName val="사업소계"/>
      <sheetName val="평가&amp;선급.미지급"/>
      <sheetName val="C"/>
      <sheetName val="01is(누계)"/>
      <sheetName val="LA(INVENTORY)"/>
      <sheetName val="감가상각비"/>
      <sheetName val="SA"/>
      <sheetName val="대차합동"/>
      <sheetName val="building"/>
      <sheetName val="월간단가"/>
      <sheetName val="주주명부&lt;끝&gt;"/>
      <sheetName val="basic_info"/>
      <sheetName val="일수"/>
      <sheetName val="97년추정손익계산서"/>
      <sheetName val="HISTORY REPORT-ARMOR ALL &amp; STP"/>
      <sheetName val="대차총괄"/>
      <sheetName val="DB"/>
      <sheetName val="Cover"/>
      <sheetName val="관세"/>
      <sheetName val="RR Allocation"/>
      <sheetName val="Links"/>
      <sheetName val="Indoor Disposer"/>
      <sheetName val="DATA-2003"/>
      <sheetName val="SLS UPLOAD"/>
      <sheetName val="재고현황(Unit)"/>
      <sheetName val="AFS(국문)"/>
      <sheetName val="미실현손익명세서"/>
      <sheetName val="3월"/>
      <sheetName val="98CKL"/>
      <sheetName val="12월수불자료"/>
      <sheetName val="KMT물량"/>
      <sheetName val="02"/>
      <sheetName val="03"/>
      <sheetName val="01"/>
      <sheetName val="현금흐름표"/>
      <sheetName val="분석내용"/>
      <sheetName val="(99)-상품제품수불 -본지점"/>
      <sheetName val="01월TTL"/>
      <sheetName val="DWS303"/>
      <sheetName val="DWS324"/>
      <sheetName val="TXRF"/>
      <sheetName val="경비"/>
      <sheetName val="일반"/>
      <sheetName val="시설이용권명세서"/>
      <sheetName val="CD-실적"/>
      <sheetName val="목창호"/>
      <sheetName val="노무비단가"/>
      <sheetName val="요율"/>
      <sheetName val="경  비 "/>
      <sheetName val="노무비"/>
      <sheetName val="재료비"/>
      <sheetName val="일일정리"/>
      <sheetName val="Test1"/>
      <sheetName val="배부기준"/>
      <sheetName val="BND"/>
      <sheetName val="T48a"/>
      <sheetName val="ASIC08-W-SPEC-MO"/>
      <sheetName val="단기차입금(200006)"/>
      <sheetName val="장비별 메이커"/>
      <sheetName val="가설"/>
      <sheetName val="설계내역서"/>
      <sheetName val="MDOD DATA"/>
      <sheetName val="인건비"/>
      <sheetName val="Index_삭제금지"/>
      <sheetName val="데이터이름"/>
      <sheetName val="삭제금지"/>
      <sheetName val="시그네틱스"/>
      <sheetName val="노임단가"/>
      <sheetName val="AHU"/>
      <sheetName val="pcw"/>
      <sheetName val="HiPas일보 in"/>
      <sheetName val="Q4 VE Saving( vs Q3)"/>
      <sheetName val="세무서코드"/>
      <sheetName val="사업자등록증"/>
      <sheetName val="Selection List"/>
      <sheetName val="참조"/>
      <sheetName val="상품입고집계"/>
      <sheetName val="EBARA PM현황"/>
      <sheetName val="가격표"/>
      <sheetName val="목록표"/>
      <sheetName val="14.1부"/>
      <sheetName val="126.255"/>
      <sheetName val="^Control^"/>
      <sheetName val="98년"/>
      <sheetName val="고객데이터"/>
      <sheetName val="0-Basics"/>
      <sheetName val="세액계산"/>
      <sheetName val="45,46"/>
      <sheetName val="COA-17"/>
      <sheetName val="C-18"/>
      <sheetName val="1-1"/>
      <sheetName val="HiPas일보_in"/>
      <sheetName val="Q4_VE_Saving(_vs_Q3)"/>
      <sheetName val="14_1부"/>
      <sheetName val="할증"/>
      <sheetName val="GAEYO"/>
      <sheetName val="명단"/>
      <sheetName val="연락처"/>
      <sheetName val="건설"/>
      <sheetName val="손익분석"/>
      <sheetName val="9609추"/>
      <sheetName val="CHART_DATA_PLAN_RESULT_TREND"/>
      <sheetName val="PARAM"/>
      <sheetName val="CHART_DATA_RADAR"/>
      <sheetName val="D_HOT_CHAGER"/>
      <sheetName val="D_CSFKPIID"/>
      <sheetName val="D_INSIDEID"/>
      <sheetName val="D_LEVEL"/>
      <sheetName val="D_UNIT"/>
      <sheetName val="D_WORK_DT"/>
      <sheetName val="SCK"/>
      <sheetName val="평가기준"/>
      <sheetName val="MATL"/>
      <sheetName val="AuWire"/>
      <sheetName val="Epoxy"/>
      <sheetName val="MoldComp"/>
      <sheetName val="Æo°¡±aAØ"/>
      <sheetName val="Assumptions"/>
      <sheetName val="CPK Job Codes"/>
      <sheetName val="CPK Salary Structure"/>
      <sheetName val="Global Job Codes - Mgmt"/>
      <sheetName val="Mercer Data"/>
      <sheetName val="Budget Control - local Currency"/>
      <sheetName val="기초코드"/>
      <sheetName val="FY-FinModel1.0"/>
      <sheetName val="토목주소"/>
      <sheetName val="프랜트면허"/>
      <sheetName val="CAT_5"/>
      <sheetName val="变更复原基准"/>
      <sheetName val="CPK_Job_Codes"/>
      <sheetName val="CPK_Salary_Structure"/>
      <sheetName val="Global_Job_Codes_-_Mgmt"/>
      <sheetName val="Mercer_Data"/>
      <sheetName val="Budget_Control_-_local_Currency"/>
      <sheetName val="FY-FinModel1_0"/>
      <sheetName val="WACC"/>
      <sheetName val="단가산출"/>
      <sheetName val="손익분기점 데이터"/>
      <sheetName val="경제성분석"/>
      <sheetName val="금액집계"/>
      <sheetName val="설계조건"/>
      <sheetName val="피엘"/>
      <sheetName val="데이터유효성목록"/>
      <sheetName val="민감도"/>
      <sheetName val="공통부대비"/>
      <sheetName val="98비정기소모"/>
      <sheetName val="FANDBS"/>
      <sheetName val="GRDATA"/>
      <sheetName val="SHAFTDBSE"/>
      <sheetName val="XREF"/>
      <sheetName val="영업.일1"/>
      <sheetName val="전신전화가입권"/>
      <sheetName val="데이타"/>
      <sheetName val="식재인부"/>
      <sheetName val="손익차9월2"/>
      <sheetName val="G2설비도급"/>
      <sheetName val="97-98"/>
      <sheetName val="관람석제출"/>
      <sheetName val="기초자료입력"/>
      <sheetName val="00000"/>
      <sheetName val="1_當期시산표"/>
      <sheetName val="TB"/>
      <sheetName val="PAJE,PRJE"/>
      <sheetName val="WTB"/>
      <sheetName val="손익"/>
      <sheetName val="건설중인자산"/>
      <sheetName val="개발 RTL.TEST적용"/>
      <sheetName val="양식_WBS(L2)"/>
      <sheetName val="光源条件"/>
      <sheetName val="電圧条件表"/>
      <sheetName val="駆動仕様"/>
      <sheetName val="GraphTemp"/>
      <sheetName val="비정기tel"/>
      <sheetName val="WP"/>
      <sheetName val="INPUT"/>
      <sheetName val="가도공"/>
      <sheetName val="실행철강하도"/>
      <sheetName val="영업_일1"/>
      <sheetName val="경__비_"/>
      <sheetName val="BID"/>
      <sheetName val="표지 (2)"/>
      <sheetName val="원가data"/>
      <sheetName val="실행"/>
      <sheetName val="Spec.Infomation Notice Cover"/>
      <sheetName val="내역1"/>
      <sheetName val="정의"/>
      <sheetName val="5311"/>
      <sheetName val="예수금"/>
      <sheetName val="4월 건강정산-기"/>
      <sheetName val="그래프"/>
      <sheetName val="DATE변환"/>
      <sheetName val="작업장"/>
      <sheetName val="소망"/>
      <sheetName val="Mirra"/>
      <sheetName val="AIH수질경향"/>
      <sheetName val="BCD수질경향"/>
      <sheetName val="EFG수질경향"/>
      <sheetName val="GKL수질경향"/>
      <sheetName val="APT"/>
      <sheetName val="Tool trouble"/>
      <sheetName val="4TH 64M"/>
      <sheetName val="Pad 좌표&amp;Location"/>
      <sheetName val="1. H2SO4_SUPPLY"/>
      <sheetName val="CC별"/>
      <sheetName val="사전공사"/>
      <sheetName val="設定"/>
      <sheetName val="현재STEP"/>
      <sheetName val="Test"/>
      <sheetName val="일위대가(1)"/>
      <sheetName val="데이터 유효성검사"/>
      <sheetName val="유효성검사"/>
      <sheetName val="시운전연료"/>
      <sheetName val="일위대가"/>
      <sheetName val="RETICLE (HSG8255ROA)"/>
      <sheetName val="RETICLE (HIPER 1MEGA)"/>
      <sheetName val="RETICLE (27C64) 57006"/>
      <sheetName val="RETICLE (27C128) 57005"/>
      <sheetName val="RETICLE (27C512) 57004"/>
      <sheetName val="RETICLE (27C256) 57003"/>
      <sheetName val="RETICLE (27256) 54002"/>
      <sheetName val="lOT 별 cHECK 사항"/>
      <sheetName val="1,2공구원가계산서"/>
      <sheetName val="2공구산출내역"/>
      <sheetName val="1공구산출내역서"/>
      <sheetName val="원내역"/>
      <sheetName val="SULKEA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Tool_trouble"/>
      <sheetName val="4TH_64M"/>
      <sheetName val="1__H2SO4_SUPPLY"/>
      <sheetName val="Pad_좌표&amp;Location"/>
      <sheetName val="설계"/>
      <sheetName val="안전관리신규교육참석자"/>
      <sheetName val="11월 매출 f'cst"/>
      <sheetName val="2010 확산 SDET"/>
      <sheetName val="산출내역서집계표"/>
      <sheetName val="SIMS_RAW"/>
      <sheetName val="시화점실행"/>
      <sheetName val="회사정보"/>
      <sheetName val="R1"/>
      <sheetName val="Low_YLD_Reject2"/>
      <sheetName val="개인별_프로젝트2"/>
      <sheetName val="96_기타_전시회_경비2"/>
      <sheetName val="96_상반기_전시회_경비2"/>
      <sheetName val="96_하반기_전시회_경비2"/>
      <sheetName val="Lot_Status2"/>
      <sheetName val="11월_Red_Zone_기상도2"/>
      <sheetName val="SUB_(N)2"/>
      <sheetName val="Xunit_(단위환산)2"/>
      <sheetName val="Sheet1_(2)2"/>
      <sheetName val="Hynix_&amp;_SYS_IC_Co2"/>
      <sheetName val="Code_22"/>
      <sheetName val="Tool_trouble1"/>
      <sheetName val="Q4_VE_Saving(_vs_Q3)1"/>
      <sheetName val="4TH_64M1"/>
      <sheetName val="1__H2SO4_SUPPLY1"/>
      <sheetName val="Pad_좌표&amp;Location1"/>
      <sheetName val="데이터_유효성검사"/>
      <sheetName val="RETICLE_(HSG8255ROA)"/>
      <sheetName val="RETICLE_(HIPER_1MEGA)"/>
      <sheetName val="RETICLE_(27C64)_57006"/>
      <sheetName val="RETICLE_(27C128)_57005"/>
      <sheetName val="RETICLE_(27C512)_57004"/>
      <sheetName val="RETICLE_(27C256)_57003"/>
      <sheetName val="RETICLE_(27256)_54002"/>
      <sheetName val="lOT_별_cHECK_사항"/>
      <sheetName val="11월_매출_f'cst"/>
      <sheetName val="2010_확산_SDET"/>
      <sheetName val="금융비용"/>
      <sheetName val="样式2附件 分类体系"/>
      <sheetName val="보고-BS"/>
      <sheetName val="구분자 표준 초안"/>
      <sheetName val="유효성목록"/>
      <sheetName val="개발담당자_"/>
      <sheetName val="May_"/>
      <sheetName val="차입금 및 담보현황"/>
      <sheetName val="주주 및 채권자 현황v"/>
      <sheetName val="현대성우캐스팅"/>
      <sheetName val="남양금속"/>
      <sheetName val="부산주공"/>
      <sheetName val="메티아"/>
      <sheetName val="FitOutConfCentre"/>
      <sheetName val="부속동"/>
      <sheetName val="할증 "/>
      <sheetName val="조명율표"/>
      <sheetName val="Mkt_Eᙪ"/>
      <sheetName val="Mkt_E빴"/>
      <sheetName val="Mkt_Eᙪ"/>
      <sheetName val="Mkt_Eᙪ"/>
      <sheetName val="Mkt_E魪"/>
      <sheetName val="Mkt_E魪"/>
      <sheetName val="VDID"/>
      <sheetName val="VGID_Hot Carrier"/>
      <sheetName val="BV"/>
      <sheetName val="6.Machine Lis"/>
      <sheetName val="dfrt"/>
      <sheetName val="근태Master"/>
      <sheetName val="Mkt_E"/>
      <sheetName val="VGID_Body Effect"/>
      <sheetName val="목록이름"/>
      <sheetName val="Mkt_E홪"/>
      <sheetName val="Mkt_E렀푶"/>
      <sheetName val="기준"/>
      <sheetName val="통계"/>
      <sheetName val="2_汇总"/>
      <sheetName val="할증_"/>
      <sheetName val="6_Machine_Lis"/>
      <sheetName val="VGID_Hot_Carrier"/>
      <sheetName val="VGID_Body_Effect"/>
      <sheetName val="충주"/>
      <sheetName val="총투입계"/>
      <sheetName val="인사자료총집계"/>
      <sheetName val="DRUM"/>
      <sheetName val="12CGOU"/>
      <sheetName val="3-1-4 교_x005f_x0002_?数8"/>
      <sheetName val="3-1-4 교_x005f_x005f_x005f_x005f_x005f_x005f_x0002"/>
      <sheetName val="3-1-4 교_x005f_x005f_x005f_x0002_"/>
      <sheetName val="3-1-4 교_x005f_x005f_x005f_x0002__数8"/>
      <sheetName val="게이트 지연시간 설정 2"/>
      <sheetName val="其他"/>
      <sheetName val="培训费"/>
      <sheetName val="保险费及物流保险"/>
      <sheetName val="研究开发费"/>
      <sheetName val="租赁费"/>
      <sheetName val="图书费"/>
      <sheetName val="免费样品"/>
      <sheetName val="售后服务费"/>
      <sheetName val="质检费"/>
      <sheetName val="宿舍食堂运营费"/>
      <sheetName val="温湿度测试曲线"/>
      <sheetName val="夜班温湿度数据"/>
      <sheetName val="Particle测试曲线"/>
      <sheetName val="3-1-4 교_x005f_x0002__x000"/>
      <sheetName val="3-1-4 교_x005f_x005f_x0002"/>
      <sheetName val="3-1-4 ɐ_x005f_x0000__x005f_x0000__x005f_x0000_␀"/>
      <sheetName val="FAB2_Á_x005f_x005f_"/>
      <sheetName val="유첨1_WW47"/>
      <sheetName val="CIPI-IN01"/>
      <sheetName val="파손이력"/>
      <sheetName val="VAC Robot 현황"/>
      <sheetName val="후공정 장비반 업무 List"/>
      <sheetName val="불량율오산_Law"/>
      <sheetName val="Main Data"/>
      <sheetName val="비고"/>
      <sheetName val="3-1-4 교_x0002__x000"/>
      <sheetName val="3-1-4 교_x0002"/>
      <sheetName val="dummyd2"/>
      <sheetName val="Report"/>
      <sheetName val="+ Weekly Progress(KO)"/>
      <sheetName val="연습"/>
      <sheetName val="입출재고현황 (2)"/>
      <sheetName val="당월(1)"/>
      <sheetName val="판매계획"/>
      <sheetName val="재무"/>
      <sheetName val="ROIC"/>
      <sheetName val="당초"/>
      <sheetName val="환율change"/>
      <sheetName val="BAND不合理统计"/>
      <sheetName val="첨부."/>
      <sheetName val="04월_IO기준"/>
      <sheetName val="cYLD"/>
      <sheetName val="cM8"/>
      <sheetName val="iE1"/>
      <sheetName val="iM5"/>
      <sheetName val="iM6"/>
      <sheetName val="iM7"/>
      <sheetName val="iYLD"/>
      <sheetName val="NET"/>
      <sheetName val="cF5p"/>
      <sheetName val="cM8p"/>
      <sheetName val="iE1p"/>
      <sheetName val="iM5p"/>
      <sheetName val="iM6p"/>
      <sheetName val="iM7p"/>
      <sheetName val="PLAN"/>
      <sheetName val="MA"/>
      <sheetName val="MT(ET&amp;AVI)"/>
      <sheetName val="数据有效性"/>
      <sheetName val="Mkt_E᠇⨺"/>
      <sheetName val="FA&amp;REV History Guideline(삭제금지)"/>
      <sheetName val="Hauptdaten"/>
      <sheetName val="자재 기준정보"/>
      <sheetName val="수선비기준정보"/>
      <sheetName val="Device 기준정보"/>
      <sheetName val="Tester Infra 기준정보"/>
      <sheetName val="실장기 Infra 기준정보"/>
      <sheetName val="업무 List"/>
      <sheetName val="목록_수정및 삭제 금지"/>
      <sheetName val="목록이름_접근금지"/>
      <sheetName val="6동"/>
      <sheetName val="下拉菜单数据源_不可删除"/>
      <sheetName val="PR_APW"/>
      <sheetName val="Mkt_E렆☲"/>
      <sheetName val="Mkt_E蠈‵"/>
      <sheetName val="Mkt_Eᘳ"/>
      <sheetName val="Mkt_E砅έ"/>
      <sheetName val="Mkt_Eꠈ┵"/>
      <sheetName val="Mkt_E"/>
      <sheetName val="3-1-4 교_x005f_x005f_x005f_x0002__x000"/>
      <sheetName val="引用页"/>
      <sheetName val="Mkt_E項ㅸ"/>
      <sheetName val="첨부1.Utility 물질명, 배관 재질(수정 금지)"/>
      <sheetName val="2_完成实绩"/>
      <sheetName val="不要删除"/>
      <sheetName val="인력현황"/>
      <sheetName val="Infra 기준정보"/>
      <sheetName val="실장기 기준정보"/>
      <sheetName val="04-1.(참고)해외출장비기준"/>
      <sheetName val="참고)미기원 국제학회 Pool&amp;일정"/>
      <sheetName val="3-1-4 교_x005f_x005f_x005f_x005f_x0002"/>
      <sheetName val="3-1-4 교_x005f_x005f_x005f_x005f_x005f_x005f_x005f"/>
      <sheetName val="3-1-4 ɐ_x005f_x005f_x005f_x0000__x005f_x005f_x000"/>
      <sheetName val="3-1-4 교_x005f_x005f_x005f_x0002_?数8"/>
      <sheetName val="별첨3.Marco 기준정보(수정 금지)"/>
      <sheetName val="유형분류"/>
      <sheetName val="참고. 유효성 검사"/>
      <sheetName val="요약"/>
      <sheetName val="유효성_Cell전"/>
      <sheetName val="Category(삭제금지)"/>
      <sheetName val="긴급발주기준"/>
      <sheetName val="팀&amp;계정 Code"/>
      <sheetName val="참고"/>
      <sheetName val="TP_유효성"/>
      <sheetName val="CSOT T3 기구 견적서 양식_rev1.xlsx"/>
      <sheetName val="파트장 지시업무"/>
      <sheetName val="유효성 기준"/>
      <sheetName val="区域引用"/>
      <sheetName val="1指标.周间"/>
      <sheetName val="全社"/>
      <sheetName val="항목분류"/>
      <sheetName val="조달설치비계산서"/>
      <sheetName val="원가"/>
      <sheetName val="신우"/>
      <sheetName val="SG"/>
      <sheetName val="3-1-4_교_x005f_x005f_x005f_x0002_"/>
      <sheetName val="3-1-4 교_x005f_x005f_x005f"/>
      <sheetName val="3-1-4 ɐ_x005f_x0000__x000"/>
      <sheetName val="3-1-4_교_x005f_x0002__x000"/>
      <sheetName val="3-1-4_교_x005f_x005f_x0002"/>
      <sheetName val="3-1-4_교_x005f_x005f_x005f_x005f_x005f_x005f_x0002"/>
      <sheetName val="3-1-4_교_x005f_x005f_x005f_x0002__数8"/>
      <sheetName val="3-1-4 ɐ___␀"/>
      <sheetName val="3-1-4 ɐ???␀"/>
      <sheetName val="营业成本表"/>
      <sheetName val="CVP-边际贡献表"/>
      <sheetName val="应收应付票据"/>
      <sheetName val="预收账款账龄分析"/>
      <sheetName val="#REF!"/>
      <sheetName val="입력변수"/>
      <sheetName val="요구ion"/>
      <sheetName val="충전율"/>
      <sheetName val="Para."/>
      <sheetName val="변수2"/>
      <sheetName val="1-9.7&quot;"/>
      <sheetName val="AC List"/>
      <sheetName val="ADJTBL 3100"/>
      <sheetName val="FPY"/>
      <sheetName val="ΔVp &amp; Ω"/>
      <sheetName val="KOR"/>
      <sheetName val="1.1主表"/>
      <sheetName val="Weekly (2)"/>
      <sheetName val="Calculation"/>
      <sheetName val="NCD产品"/>
      <sheetName val="NCD数字"/>
      <sheetName val="3)"/>
      <sheetName val="_Hidden1"/>
      <sheetName val="미구주"/>
      <sheetName val="제품 Master"/>
      <sheetName val="256D_OUT_TAT2"/>
      <sheetName val="3ND_64M3"/>
      <sheetName val="시실누(모)_3"/>
      <sheetName val="data_(누계)2"/>
      <sheetName val="data_(전년동기)2"/>
      <sheetName val="3-1-1_여비교통비3"/>
      <sheetName val="3-1-2_사무용품비3"/>
      <sheetName val="3-1-3_소모품비3"/>
      <sheetName val="3-1-4_교육훈련비3"/>
      <sheetName val="3-1-5_운반비3"/>
      <sheetName val="3-1-6_통신비3"/>
      <sheetName val="3-1-7_전산정보이용료3"/>
      <sheetName val="3-1-8_도서비3"/>
      <sheetName val="3-1-9_수선비3"/>
      <sheetName val="3-1-10_경상개발비(지급수수료)3"/>
      <sheetName val="자재_집계표3"/>
      <sheetName val="Credit_Calc3"/>
      <sheetName val="CAPA분석_360K3"/>
      <sheetName val="_55_BA_장입기_091203_xlsx3"/>
      <sheetName val="입찰내역_발주처_양식3"/>
      <sheetName val="불합리_적출_및_관리2"/>
      <sheetName val="부품별_매입현황2"/>
      <sheetName val="기본_상수2"/>
      <sheetName val="TFT_저항2"/>
      <sheetName val="3-1-4_교_x005f_x0002__x005f_x0000_数82"/>
      <sheetName val="F-T_Voltage2"/>
      <sheetName val="XY_tilt_2nd2"/>
      <sheetName val="1__Angle_confirm2"/>
      <sheetName val="Var_2"/>
      <sheetName val="Array_PI2"/>
      <sheetName val="VIZIO_DA가격2"/>
      <sheetName val="기타_DA가격2"/>
      <sheetName val="LGE_DA가격2"/>
      <sheetName val="3-1-4_교_x005f_x0002_2"/>
      <sheetName val="영업본부US$실적_(2)2"/>
      <sheetName val="3-1-4_교_x005f_x005f_x005f_x0002__x005f_x005f_x002"/>
      <sheetName val="3-1-4_교_x005f_x0002__数82"/>
      <sheetName val="3-1-4_ɐ2"/>
      <sheetName val="제조혁신(이지연,_윤수향)2"/>
      <sheetName val="값목록(Do_not_touch)2"/>
      <sheetName val="24_보증금(전신전화가입권)2"/>
      <sheetName val="근로소득_세액표2"/>
      <sheetName val="건강보험_표준요율표2"/>
      <sheetName val="국민연금_표준요율표2"/>
      <sheetName val="_M10C_DIFF_산포_개선_사례_BASE_PRESS2"/>
      <sheetName val="Laser_Alignment_Target_Spec2"/>
      <sheetName val="Laser_Focus_Spec2"/>
      <sheetName val="_M10C_DIFF_산포_개선_사례_7자_GAS_LIN2"/>
      <sheetName val="Graph_Data2"/>
      <sheetName val="실행내역서_2"/>
      <sheetName val="BP-이발-RJ_TREND2"/>
      <sheetName val="유해위험요인_분류체계2"/>
      <sheetName val="DAILY_CHECK2"/>
      <sheetName val="EPM_Raw2"/>
      <sheetName val="PT1H_Raw2"/>
      <sheetName val="판매실적_종합2"/>
      <sheetName val="Down_Time2"/>
      <sheetName val="H_P견적(참조)2"/>
      <sheetName val="경수97_022"/>
      <sheetName val="1995년_섹터별_매출2"/>
      <sheetName val="4-8_공통2"/>
      <sheetName val="Fabless_comp_ROE2"/>
      <sheetName val="Making_Order2"/>
      <sheetName val="6)Matl_analysis1"/>
      <sheetName val="EQUIP_LIST1"/>
      <sheetName val="TFT_측정(2)1"/>
      <sheetName val="사유_구분1"/>
      <sheetName val="14_1&quot;_Cst_변화1"/>
      <sheetName val="계조에_따른_특성1"/>
      <sheetName val="무상_Part_List(BW)1"/>
      <sheetName val="※_참고사항1"/>
      <sheetName val="_T3B-SN_SOD_SKIP_+_SIGE_No_Del1"/>
      <sheetName val="Wip_Status1"/>
      <sheetName val="7682LA_SKD(12_4)1"/>
      <sheetName val="공종별_집계1"/>
      <sheetName val="공사비_내역_(가)1"/>
      <sheetName val="BSD_(2)1"/>
      <sheetName val="_견적서1"/>
      <sheetName val="설산1_나1"/>
      <sheetName val="US_94_COST_CENTER_LIST1"/>
      <sheetName val="Process_Tools-Owned1"/>
      <sheetName val="SG&amp;A_Allocation1"/>
      <sheetName val="AR_County1"/>
      <sheetName val="Rev_Module_Retrieve1"/>
      <sheetName val="Accretion_-_Dilution1"/>
      <sheetName val="166_4151"/>
      <sheetName val="Customer_SAB101_Issues_Sort1"/>
      <sheetName val="BU_Commentary1"/>
      <sheetName val="FY-07_Personal_Property_Tax1"/>
      <sheetName val="FY-07_Real_Property_Tax1"/>
      <sheetName val="Fcst_Summary1"/>
      <sheetName val="June01brio_sort1"/>
      <sheetName val="Period_Pivot_Summary1"/>
      <sheetName val="Cube_by_Product_Line1"/>
      <sheetName val="반입시나리오(area별_조정)1"/>
      <sheetName val="DataBase_작성_샘플1"/>
      <sheetName val="1_현금예금1"/>
      <sheetName val="1_현금및현금성자산1"/>
      <sheetName val="TFT_활동1"/>
      <sheetName val="Drop_Memu1"/>
      <sheetName val="재고_및_일일_TREND"/>
      <sheetName val="일일정산_TREND"/>
      <sheetName val="세부_대응"/>
      <sheetName val="세보설계_인력"/>
      <sheetName val="1_BS"/>
      <sheetName val="2_PL"/>
      <sheetName val="장비별_메이커"/>
      <sheetName val="CScore_February"/>
      <sheetName val="Series_C_Options"/>
      <sheetName val="Updated_FY2010_Wkg_FCST"/>
      <sheetName val="Aug_2010_MSPP_Purchase"/>
      <sheetName val="MSPP_weighted-_QTD"/>
      <sheetName val="Stock_Price_NASDAQ"/>
      <sheetName val="DSU_weighted-_QTD"/>
      <sheetName val="MSPP_weighted-_YTD"/>
      <sheetName val="DSU_weighted-_YTD"/>
      <sheetName val="SL_Input"/>
      <sheetName val="GL_Recon"/>
      <sheetName val="Operating_LR_(Q1_-_Q4)"/>
      <sheetName val="OB_DTL"/>
      <sheetName val="AR_AGING"/>
      <sheetName val="J3_4"/>
      <sheetName val="RATE_CHART"/>
      <sheetName val="U1_5"/>
      <sheetName val="U1_2"/>
      <sheetName val="U1_4"/>
      <sheetName val="U1_1"/>
      <sheetName val="U1_3"/>
      <sheetName val="Rent_Analysis"/>
      <sheetName val="Drop_Down"/>
      <sheetName val="Game_changer_priorities"/>
      <sheetName val="Emp_Exercise_Table"/>
      <sheetName val="Earn_&amp;_E&amp;P_&amp;_Taxes_ENXX_06"/>
      <sheetName val="Prelim_FPHCI"/>
      <sheetName val="Details_FY00"/>
      <sheetName val="Expansion_Expenses"/>
      <sheetName val="PCP_Recruitment_&amp;_Productivity"/>
      <sheetName val="State_Franchise_Taxes{C&amp;S}"/>
      <sheetName val="UNADJUSTED_FROM_PS"/>
      <sheetName val="MDOD_DATA"/>
      <sheetName val="구분자_표준_초안"/>
      <sheetName val="CAUDIT"/>
      <sheetName val="3-1-4_교_x0002__x0000_数8"/>
      <sheetName val="3-1-4_교_x0002_"/>
      <sheetName val="3-1-4_교_x0002__数8"/>
      <sheetName val="3-1-4_교_x0002__x0000_数81"/>
      <sheetName val="3-1-4_교_x0002_1"/>
      <sheetName val="3-1-4_교_x0002__数81"/>
      <sheetName val="3-1-4_교_x0002__x000"/>
      <sheetName val="3-1-4_교_x0002__x001"/>
      <sheetName val="3-1-4_교_x005f_x0002__x001"/>
      <sheetName val="HP1AMLIST"/>
      <sheetName val="항목"/>
      <sheetName val="Mkt_E_xd808_ሶ"/>
      <sheetName val="1"/>
      <sheetName val="할증_1"/>
      <sheetName val="6_Machine_Lis1"/>
      <sheetName val="VGID_Hot_Carrier1"/>
      <sheetName val="VGID_Body_Effect1"/>
      <sheetName val="3-1-4_교_x005f_x0002_?数8"/>
      <sheetName val="게이트_지연시간_설정_2"/>
      <sheetName val="3-1-4_ɐ_x005f_x0000__x005f_x0000__x005f_x0000_␀"/>
      <sheetName val="VAC_Robot_현황"/>
      <sheetName val="후공정_장비반_업무_List"/>
      <sheetName val="Main_Data"/>
      <sheetName val="3-1-4_교_x000"/>
      <sheetName val="3-1-4_교_x0002"/>
      <sheetName val="+_Weekly_Progress(KO)"/>
      <sheetName val="입출재고현황_(2)"/>
      <sheetName val="첨부_"/>
      <sheetName val="업무_List"/>
      <sheetName val="목록_수정및_삭제_금지"/>
      <sheetName val="FA&amp;REV_History_Guideline(삭제금지)"/>
      <sheetName val="자재_기준정보"/>
      <sheetName val="Device_기준정보"/>
      <sheetName val="Tester_Infra_기준정보"/>
      <sheetName val="실장기_Infra_기준정보"/>
      <sheetName val="3-1-4_교_x005f_x005f_x005f_x0002__x000"/>
      <sheetName val="첨부1_Utility_물질명,_배관_재질(수정_금지)"/>
      <sheetName val="Sheet"/>
      <sheetName val="통폐합유형 작성기준"/>
      <sheetName val="EQD-FGM1"/>
      <sheetName val="3-1-4 ɐ_x005f_x005f_x005f_x005f_x005f_x005f_x0000"/>
      <sheetName val="부품인정 현황"/>
      <sheetName val="3-1-4 ɐ_x005f_x005f_x005f_x005f_x005f_x005f_x005f"/>
      <sheetName val="여비"/>
      <sheetName val="Simulation"/>
      <sheetName val="설비기준정보"/>
      <sheetName val="참고.유효성 검사"/>
      <sheetName val="Back Data"/>
      <sheetName val="불량명"/>
      <sheetName val="근태 Trend"/>
      <sheetName val="List"/>
      <sheetName val="고장분류"/>
      <sheetName val="부외등급"/>
      <sheetName val="分类"/>
      <sheetName val="팀코드"/>
      <sheetName val="인원시간"/>
      <sheetName val="FORM-0"/>
      <sheetName val="定义"/>
      <sheetName val="별첨2.Toxic Gas 배관 시공 기준(수정 금지)"/>
      <sheetName val="Macro_STD_Info"/>
      <sheetName val="예산실적전체당월"/>
      <sheetName val="제품_Master"/>
      <sheetName val="양식3"/>
      <sheetName val="Laser Focu0_x0000_砀_x000c__x0000__x0000_"/>
      <sheetName val="(참조)"/>
      <sheetName val="표준대차대조표(갑)"/>
      <sheetName val="평균단가"/>
      <sheetName val="월별기성현황"/>
      <sheetName val="Laser Focu0"/>
      <sheetName val="인피년 출하list"/>
      <sheetName val="Market_Share"/>
      <sheetName val="부서코드"/>
      <sheetName val="★상세내역(이동계획)"/>
      <sheetName val="TOTAL-PL"/>
      <sheetName val="时刻别出库"/>
      <sheetName val="Option"/>
      <sheetName val="5M1E 목록"/>
      <sheetName val="사업부구분코드"/>
      <sheetName val="ARION"/>
      <sheetName val="96TOTREV"/>
      <sheetName val="준검 내역서"/>
      <sheetName val="Mkt_E?ሶ"/>
      <sheetName val="구성원"/>
      <sheetName val="이동계획"/>
      <sheetName val="참고)출장비 반영 기준표"/>
      <sheetName val="결재"/>
      <sheetName val="구매자재팀 집계"/>
      <sheetName val="구매자재팀 목표"/>
      <sheetName val="Payroll-final"/>
      <sheetName val="UFPrn20020304112952"/>
      <sheetName val="노원열병합  건축공사기성내역서"/>
      <sheetName val="신관(1)"/>
      <sheetName val="처음"/>
      <sheetName val="WORK"/>
      <sheetName val="Languages"/>
      <sheetName val="터널조도"/>
      <sheetName val="Macro1"/>
      <sheetName val="Macro2"/>
      <sheetName val="주형"/>
      <sheetName val="PARAMETER"/>
      <sheetName val="LEGEND"/>
      <sheetName val="기준액"/>
      <sheetName val="DCVD공정요약"/>
      <sheetName val="512M"/>
      <sheetName val="64M"/>
      <sheetName val="COVER SHEET "/>
      <sheetName val="기둥(원형)"/>
      <sheetName val="MEXICO-C"/>
      <sheetName val="OD5000"/>
      <sheetName val="---FAB#1업무일지---"/>
      <sheetName val="TYPE-A"/>
      <sheetName val="도급"/>
      <sheetName val="Macro4"/>
      <sheetName val="5"/>
      <sheetName val="DATE"/>
      <sheetName val="특별교실"/>
      <sheetName val="전기일위대가"/>
      <sheetName val="__MAIN"/>
      <sheetName val="laroux"/>
      <sheetName val="TIE-INS"/>
      <sheetName val="118.세금과공과"/>
      <sheetName val="현관"/>
      <sheetName val="Graph (LGEN)"/>
      <sheetName val="out_prog"/>
      <sheetName val="선적schedule (2)"/>
      <sheetName val="공사개요"/>
      <sheetName val="노임(1차)"/>
      <sheetName val="MP02"/>
      <sheetName val="kimre scrubber"/>
      <sheetName val="총괄"/>
      <sheetName val="인건-측정"/>
      <sheetName val="PROCESS"/>
      <sheetName val="CHITIET VL-NC"/>
      <sheetName val="DON GIA"/>
      <sheetName val="일위대가(원본)"/>
      <sheetName val="상용_mp"/>
      <sheetName val="단가비교표"/>
      <sheetName val="유기공정"/>
      <sheetName val="결재판(삭제하지말아주세요)"/>
      <sheetName val="POST COL. 일위대가_호표"/>
      <sheetName val="고정자산원본"/>
      <sheetName val="뒤차축소"/>
      <sheetName val="F9804"/>
      <sheetName val="제품별.XLS"/>
      <sheetName val="%EC%A0%9C%ED%92%88%EB%B3%84.XLS"/>
      <sheetName val="노임이"/>
      <sheetName val="표시트"/>
      <sheetName val="사번순"/>
      <sheetName val="비품"/>
      <sheetName val="보고"/>
      <sheetName val="고호석"/>
      <sheetName val="전체내역"/>
      <sheetName val="5사남"/>
      <sheetName val="LS"/>
      <sheetName val="HCCE01"/>
      <sheetName val="평가결과_부서별3"/>
      <sheetName val="1월22일기준인원"/>
      <sheetName val="호봉표"/>
      <sheetName val="사급연봉(2.5)"/>
      <sheetName val="오급연봉(2.5)"/>
      <sheetName val="구급연봉(2.5)"/>
      <sheetName val="선임연봉(2.5)"/>
      <sheetName val="수석연봉(2.5)"/>
      <sheetName val="전임연봉(2.5)"/>
      <sheetName val="책임연봉(2.5)"/>
      <sheetName val="인사파일"/>
      <sheetName val="TABLE01"/>
      <sheetName val="기초분물량표"/>
      <sheetName val="fmv"/>
      <sheetName val="TBUS"/>
      <sheetName val="wall"/>
      <sheetName val="Error별건수실적"/>
      <sheetName val="spread"/>
      <sheetName val="93상각비"/>
      <sheetName val="부대대비"/>
      <sheetName val="냉연집계"/>
      <sheetName val="경비예산"/>
      <sheetName val="생산성(2차)"/>
      <sheetName val="요약(1차)"/>
      <sheetName val="인원"/>
      <sheetName val="단가표"/>
      <sheetName val="일위대가목차"/>
      <sheetName val="PM DATA"/>
      <sheetName val="실적분석"/>
      <sheetName val="교육"/>
      <sheetName val="95WBS"/>
      <sheetName val="분당임차변경"/>
      <sheetName val="공모펀드추가"/>
      <sheetName val="분석결과"/>
      <sheetName val="TH VL, NC, DDHT Thanhphuoc"/>
      <sheetName val="IX 20 Yr"/>
      <sheetName val="PROP_95"/>
      <sheetName val="수입2"/>
      <sheetName val="임차비용"/>
      <sheetName val="임테블"/>
      <sheetName val="7 (2)"/>
      <sheetName val="PP%계산(초기공정능력)"/>
      <sheetName val="3-1-4 ɐ_x005f_x005f_x0000"/>
      <sheetName val="3-1-4 ɐ_x005f_x005f_x005f"/>
      <sheetName val="Sheet 효율"/>
      <sheetName val="기본"/>
      <sheetName val="Subcons"/>
      <sheetName val="경기남부"/>
      <sheetName val="config"/>
      <sheetName val="3.기준(외화1)"/>
      <sheetName val="Sheet1 (3)"/>
      <sheetName val="매출(본)"/>
      <sheetName val="대구은행"/>
      <sheetName val="BaseData"/>
      <sheetName val="ﾛﾎﾞｯﾄ搬送時間ﾃﾞｰﾀ"/>
      <sheetName val="voucher"/>
      <sheetName val="수입"/>
      <sheetName val="5.임직원 사진"/>
      <sheetName val="0.조회"/>
      <sheetName val="s"/>
      <sheetName val="Sheet5"/>
      <sheetName val="추가예산"/>
      <sheetName val="산출내역서"/>
      <sheetName val="집계표"/>
      <sheetName val="Low_YLD_Reject3"/>
      <sheetName val="개인별_프로젝트3"/>
      <sheetName val="11월_Red_Zone_기상도3"/>
      <sheetName val="96_기타_전시회_경비3"/>
      <sheetName val="96_상반기_전시회_경비3"/>
      <sheetName val="96_하반기_전시회_경비3"/>
      <sheetName val="SUB_(N)3"/>
      <sheetName val="Lot_Status3"/>
      <sheetName val="Xunit_(단위환산)3"/>
      <sheetName val="Sheet1_(2)3"/>
      <sheetName val="Hynix_&amp;_SYS_IC_Co3"/>
      <sheetName val="Code_23"/>
      <sheetName val="Pad_좌표&amp;Location2"/>
      <sheetName val="Q4_VE_Saving(_vs_Q3)2"/>
      <sheetName val="Tool_trouble2"/>
      <sheetName val="4TH_64M2"/>
      <sheetName val="1__H2SO4_SUPPLY2"/>
      <sheetName val="데이터_유효성검사1"/>
      <sheetName val="RETICLE_(HSG8255ROA)1"/>
      <sheetName val="RETICLE_(HIPER_1MEGA)1"/>
      <sheetName val="RETICLE_(27C64)_570061"/>
      <sheetName val="RETICLE_(27C128)_570051"/>
      <sheetName val="RETICLE_(27C512)_570041"/>
      <sheetName val="RETICLE_(27C256)_570031"/>
      <sheetName val="RETICLE_(27256)_540021"/>
      <sheetName val="lOT_별_cHECK_사항1"/>
      <sheetName val="11월_매출_f'cst1"/>
      <sheetName val="2010_확산_SDET1"/>
      <sheetName val="样式2附件_分类体系"/>
      <sheetName val="O_970122"/>
      <sheetName val="WAFER X-Y AM03-008581A"/>
      <sheetName val="Anti"/>
      <sheetName val="토목수량(공정)"/>
      <sheetName val="96갑지"/>
      <sheetName val="다목적갑"/>
      <sheetName val="미익SUB"/>
      <sheetName val="기초부품"/>
      <sheetName val="인건비 내역서"/>
      <sheetName val="PLarp"/>
      <sheetName val="US$ I (SEG.)"/>
      <sheetName val="CJ"/>
      <sheetName val="XL4Poppy"/>
      <sheetName val="comm"/>
      <sheetName val="현금"/>
      <sheetName val="법인구분"/>
      <sheetName val="생산현황"/>
      <sheetName val="노무비-TT"/>
      <sheetName val="팀별손익"/>
      <sheetName val="7.세무조정"/>
      <sheetName val="식물림"/>
      <sheetName val="제출용BS(한일+할부)"/>
      <sheetName val="Sheet1_(3)"/>
      <sheetName val="126_255"/>
      <sheetName val="MATRLDATA"/>
      <sheetName val="Balance Sheet"/>
      <sheetName val="Income Statement"/>
      <sheetName val="客戶清單customer list"/>
      <sheetName val="comparables"/>
      <sheetName val="Deduction"/>
      <sheetName val="other"/>
      <sheetName val="conclusion"/>
      <sheetName val="결정단가"/>
      <sheetName val="수보제한 (2)"/>
      <sheetName val="고합"/>
      <sheetName val="AFE's  By Afe"/>
      <sheetName val="Disclaimer"/>
      <sheetName val="청도"/>
      <sheetName val="Id"/>
      <sheetName val="Intro2"/>
      <sheetName val="개발_RTL_TEST적용"/>
      <sheetName val="PROCURE"/>
      <sheetName val="10고객별 담당자"/>
      <sheetName val="발행"/>
      <sheetName val="갑지"/>
      <sheetName val="Позиция"/>
      <sheetName val="개산공사비"/>
      <sheetName val="매출월"/>
      <sheetName val="생산매출 (3)"/>
      <sheetName val="대차대조표"/>
      <sheetName val="지급어음"/>
      <sheetName val="갑지(추정)"/>
      <sheetName val="9700"/>
      <sheetName val="집계표(수배전제조구매)"/>
      <sheetName val="품셈"/>
      <sheetName val="인상효1"/>
      <sheetName val="07DATA"/>
      <sheetName val="SILICATE"/>
      <sheetName val="수정용피벗"/>
      <sheetName val="Register"/>
      <sheetName val="支払手形"/>
      <sheetName val="雑収"/>
      <sheetName val="SLAB&quot;1&quot;"/>
      <sheetName val="Pricing"/>
      <sheetName val="CSDL"/>
      <sheetName val="업무분장 "/>
      <sheetName val="사급연봉(2_5)"/>
      <sheetName val="오급연봉(2_5)"/>
      <sheetName val="구급연봉(2_5)"/>
      <sheetName val="선임연봉(2_5)"/>
      <sheetName val="수석연봉(2_5)"/>
      <sheetName val="전임연봉(2_5)"/>
      <sheetName val="책임연봉(2_5)"/>
      <sheetName val="8월차잔"/>
      <sheetName val="Cutting Dies "/>
      <sheetName val="유형자산LS"/>
      <sheetName val="합계잔액시산표"/>
      <sheetName val="현자재그룹내역"/>
      <sheetName val="별첨2-1"/>
      <sheetName val="기준정보_(Main_Dual_LN)_CHDZ-Y663A"/>
      <sheetName val="GAP log template 가이드"/>
      <sheetName val="RCM Guideline"/>
      <sheetName val="CPK_Job_Codes1"/>
      <sheetName val="CPK_Salary_Structure1"/>
      <sheetName val="Global_Job_Codes_-_Mgmt1"/>
      <sheetName val="Mercer_Data1"/>
      <sheetName val="Budget_Control_-_local_Currenc1"/>
      <sheetName val="FY-FinModel1_01"/>
      <sheetName val="1106  APS RATE "/>
      <sheetName val="금액내역서"/>
      <sheetName val="ss"/>
      <sheetName val="MEM수율입고"/>
      <sheetName val="판매종합"/>
      <sheetName val="(99)-상품제품수불_-본지점"/>
      <sheetName val="자재단가"/>
      <sheetName val="경상비내역"/>
      <sheetName val="Sheet14"/>
      <sheetName val="Sheet13"/>
      <sheetName val="BOQ-1"/>
      <sheetName val="2.대외공문"/>
      <sheetName val="부하집계표"/>
      <sheetName val="Cost Reduction"/>
      <sheetName val="법인세비용_2004"/>
      <sheetName val="전산자료조회(060418)"/>
      <sheetName val="주당순이익"/>
      <sheetName val="감사회사"/>
      <sheetName val="재고자산미실현이익제거"/>
      <sheetName val="수불명세서"/>
      <sheetName val="외상매출금현황-수정분_A2"/>
      <sheetName val="개발담당자_1"/>
      <sheetName val="May_1"/>
      <sheetName val="평가&amp;선급_미지급"/>
      <sheetName val="HISTORY_REPORT-ARMOR_ALL_&amp;_STP"/>
      <sheetName val="RR_Allocation"/>
      <sheetName val="Indoor_Disposer"/>
      <sheetName val="SLS_UPLOAD"/>
      <sheetName val="차입금_및_담보현황"/>
      <sheetName val="주주_및_채권자_현황v"/>
      <sheetName val="3-1-4_교_x005f_x005f_x005f_x005f_x005f_x005f_x0001"/>
      <sheetName val="3-1-4_교_x005f_x005f_x005f_x0002_1"/>
      <sheetName val="3-1-4_교_x005f_x005f_x005f_x0002__数81"/>
      <sheetName val="3-1-4_교_x005f_x0002__x0001"/>
      <sheetName val="3-1-4_교_x005f_x005f_x00021"/>
      <sheetName val="Infra_기준정보"/>
      <sheetName val="실장기_기준정보"/>
      <sheetName val="04-1_(참고)해외출장비기준"/>
      <sheetName val="참고)미기원_국제학회_Pool&amp;일정"/>
      <sheetName val="3-1-4_교_x005f_x005f_x005f_x005f_x0002"/>
      <sheetName val="3-1-4_교_x005f_x005f_x005f_x005f_x005f_x005f_x005f"/>
      <sheetName val="3-1-4_ɐ_x005f_x005f_x005f_x0000__x005f_x005f_x000"/>
      <sheetName val="3-1-4_교_x005f_x005f_x005f_x0002_?数8"/>
      <sheetName val="별첨3_Marco_기준정보(수정_금지)"/>
      <sheetName val="참고__유효성_검사"/>
      <sheetName val="팀&amp;계정_Code"/>
      <sheetName val="CSOT_T3_기구_견적서_양식_rev1_xlsx"/>
      <sheetName val="파트장_지시업무"/>
      <sheetName val="유효성_기준"/>
      <sheetName val="1指标_周间"/>
      <sheetName val="3-1-4_교_x005f_x005f_x005f"/>
      <sheetName val="3-1-4_ɐ_x005f_x0000__x000"/>
      <sheetName val="3-1-4_ɐ___␀"/>
      <sheetName val="3-1-4_ɐ???␀"/>
      <sheetName val="Para_"/>
      <sheetName val="1-9_7&quot;"/>
      <sheetName val="AC_List"/>
      <sheetName val="ADJTBL_3100"/>
      <sheetName val="ΔVp_&amp;_Ω"/>
      <sheetName val="1_1主表"/>
      <sheetName val="Weekly_(2)"/>
      <sheetName val="갑지1"/>
      <sheetName val="제조원가계산서"/>
      <sheetName val="FG"/>
      <sheetName val="대비"/>
      <sheetName val="00내역서"/>
      <sheetName val="20관리비율"/>
      <sheetName val="F1YLD"/>
      <sheetName val="F5YLD"/>
      <sheetName val="F8YLD"/>
      <sheetName val="iM1"/>
      <sheetName val="iM1p"/>
      <sheetName val="ASEM내역"/>
      <sheetName val="6,000"/>
      <sheetName val="Macro(전선)"/>
      <sheetName val="배관"/>
      <sheetName val="소비자가"/>
      <sheetName val="건축집계표"/>
      <sheetName val="FRP내역서"/>
      <sheetName val="집계표(OPTION)"/>
      <sheetName val="eq_data"/>
      <sheetName val="Sheet2 (2)"/>
      <sheetName val="공틀공사"/>
      <sheetName val="Y-WORK"/>
      <sheetName val="hMC1"/>
      <sheetName val="hMC2"/>
      <sheetName val="hMP"/>
      <sheetName val="hcYLD"/>
      <sheetName val="iMC1p"/>
      <sheetName val="iMC2p"/>
      <sheetName val="hMPp"/>
      <sheetName val="cM9"/>
      <sheetName val="cM9p"/>
      <sheetName val="f_in"/>
      <sheetName val="물량표"/>
      <sheetName val="적용환율"/>
      <sheetName val="사급자재"/>
      <sheetName val="전체내역 (2)"/>
      <sheetName val="BOQ"/>
      <sheetName val="일반공사"/>
      <sheetName val="AS복구"/>
      <sheetName val="중기터파기"/>
      <sheetName val="변수값"/>
      <sheetName val="중기상차"/>
      <sheetName val="포장복구집계"/>
      <sheetName val="잡철물"/>
      <sheetName val="전사집계"/>
      <sheetName val="FND"/>
      <sheetName val="FNDp"/>
      <sheetName val="一発シート"/>
      <sheetName val="UR2-Calculation"/>
      <sheetName val="BP2000 Month"/>
      <sheetName val="조명시설"/>
      <sheetName val="내역서을지"/>
      <sheetName val="을지"/>
      <sheetName val="차입금"/>
      <sheetName val="환율021231"/>
      <sheetName val="미확인자산list(171제외)"/>
      <sheetName val="TIE-IN"/>
      <sheetName val="Data base"/>
      <sheetName val="TOTAL(ITEM)"/>
      <sheetName val="원형맨홀수량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inter"/>
      <sheetName val="PTR台손익"/>
      <sheetName val="골조시행"/>
      <sheetName val="3BL공동구 수량"/>
      <sheetName val="화산경계"/>
      <sheetName val="HISTORICAL"/>
      <sheetName val="FORECASTING"/>
      <sheetName val="WW14"/>
      <sheetName val="WW15"/>
      <sheetName val="견적의뢰"/>
      <sheetName val="집계"/>
      <sheetName val="소방사항"/>
      <sheetName val="중기일위대가"/>
      <sheetName val="CAPVC"/>
      <sheetName val="BM_NEW2"/>
      <sheetName val="실행견적"/>
      <sheetName val="Data_base"/>
      <sheetName val="노원열병합__건축공사기성내역서"/>
      <sheetName val="Raw_Data1"/>
      <sheetName val="Data_base1"/>
      <sheetName val="노원열병합__건축공사기성내역서1"/>
      <sheetName val="비핵심자산"/>
      <sheetName val="Gox_INT"/>
      <sheetName val="P1_INT"/>
      <sheetName val="TST_Gox"/>
      <sheetName val="ﾘｽﾄ"/>
      <sheetName val="물량산출근거"/>
      <sheetName val="estimate"/>
      <sheetName val="원형1호맨홀토공수량"/>
      <sheetName val="진행조건_및_CD_Data"/>
      <sheetName val="APW"/>
      <sheetName val="단가조사서"/>
      <sheetName val="V5"/>
      <sheetName val="電気設備表"/>
      <sheetName val="구미"/>
      <sheetName val="토목내역"/>
      <sheetName val="남양시작동자105노65기1.3화1.2"/>
      <sheetName val="안정계산"/>
      <sheetName val="단면검토"/>
      <sheetName val="Chiet tinh dz35"/>
      <sheetName val="채권(하반기)"/>
      <sheetName val="경비2내역"/>
      <sheetName val="Sheet28"/>
      <sheetName val="Sheet29"/>
      <sheetName val="P.M 별"/>
      <sheetName val="merger"/>
      <sheetName val="Yield Target"/>
      <sheetName val="T6-6(2)"/>
      <sheetName val="자재표"/>
      <sheetName val="총물량"/>
      <sheetName val="상품보조수불"/>
      <sheetName val="부문손익"/>
      <sheetName val="일위_파일"/>
      <sheetName val="Ekog10"/>
      <sheetName val="개소별수량산출"/>
      <sheetName val=" FURNACE현설"/>
      <sheetName val="식재수량표"/>
      <sheetName val="Baby일위대가"/>
      <sheetName val="예총"/>
      <sheetName val="b_balju-단가단가단가"/>
      <sheetName val=" 내역서"/>
      <sheetName val="항목등록"/>
      <sheetName val="산출근거#2-3"/>
      <sheetName val="공비대비"/>
      <sheetName val="형틀공사"/>
      <sheetName val="단가목록"/>
      <sheetName val="코드"/>
      <sheetName val="일정요약"/>
      <sheetName val="b_balju"/>
      <sheetName val="견적내역"/>
      <sheetName val="2-2-1-3"/>
      <sheetName val="중기"/>
      <sheetName val="조직"/>
      <sheetName val=" LC-1"/>
      <sheetName val="PI"/>
      <sheetName val="위생기구"/>
      <sheetName val="기계실냉난방"/>
      <sheetName val="CABLE SIZE-1"/>
      <sheetName val="9811"/>
      <sheetName val="단가표 (2)"/>
      <sheetName val="설비투자"/>
      <sheetName val="설비"/>
      <sheetName val="시설"/>
      <sheetName val="PT_ED"/>
      <sheetName val="DIAINCH"/>
      <sheetName val="C_d"/>
      <sheetName val="정보"/>
      <sheetName val="1인1테마"/>
      <sheetName val="9GNG운반"/>
      <sheetName val="시산표(매출조정전)"/>
      <sheetName val="10월상품입고"/>
      <sheetName val="BEND LOSS"/>
      <sheetName val="_FURNACE현설"/>
      <sheetName val="_내역서"/>
      <sheetName val="_FURNACE현설1"/>
      <sheetName val="_내역서1"/>
      <sheetName val="철거 내역서"/>
      <sheetName val="견적서 을지"/>
      <sheetName val="Amount of Itemized"/>
      <sheetName val="4차원가계산서"/>
      <sheetName val="유림총괄"/>
      <sheetName val="건축공사 집계표"/>
      <sheetName val="골조"/>
      <sheetName val="터파기및재료"/>
      <sheetName val="단위중량"/>
      <sheetName val="실행(표지,갑,을)"/>
      <sheetName val="TRIM data(sheet1)"/>
      <sheetName val="기번기준"/>
      <sheetName val="영업총괄"/>
      <sheetName val="영업권1114"/>
      <sheetName val="발생Trend (장비별)"/>
      <sheetName val="유림골조"/>
      <sheetName val="내역서(기계)"/>
      <sheetName val="수목데이타 "/>
      <sheetName val="9509"/>
      <sheetName val="출하생산일보"/>
      <sheetName val="관리,공감"/>
      <sheetName val="HVAC"/>
      <sheetName val="공통갑지"/>
      <sheetName val="일반부표"/>
      <sheetName val="법인세-2005년"/>
      <sheetName val="3.생산계획"/>
      <sheetName val="MAIN"/>
      <sheetName val="파일"/>
      <sheetName val="설비내역서"/>
      <sheetName val="O＆P"/>
      <sheetName val="백호우계수"/>
      <sheetName val="패널"/>
      <sheetName val="VXXXXXXX"/>
      <sheetName val="확약서"/>
      <sheetName val="기타코드"/>
      <sheetName val="Tracking Groups"/>
      <sheetName val="BASEMODL"/>
      <sheetName val="중연"/>
      <sheetName val="용연"/>
      <sheetName val="예산M11A"/>
      <sheetName val="3CHBDC"/>
      <sheetName val="FCU (2)"/>
      <sheetName val="7-1단위세대오배수FUD"/>
      <sheetName val="누락일위대가내역"/>
      <sheetName val="计算稿"/>
      <sheetName val="BM2D_5G3"/>
      <sheetName val="VIAD_5G3"/>
      <sheetName val="VIACHN_5G3"/>
      <sheetName val="기본데이타"/>
      <sheetName val="4 LINE"/>
      <sheetName val="7 th"/>
      <sheetName val="확산동"/>
      <sheetName val="차압계산"/>
      <sheetName val="공조기"/>
      <sheetName val="공조기휀"/>
      <sheetName val="AHU집계"/>
      <sheetName val="ACE"/>
      <sheetName val="5.동별횡주관경"/>
      <sheetName val="비케이엘씨디"/>
      <sheetName val="PSTS(2008)"/>
      <sheetName val="영업_일11"/>
      <sheetName val="경__비_1"/>
      <sheetName val="Spec_Infomation_Notice_Cover"/>
      <sheetName val="표지_(2)"/>
      <sheetName val="견적단가"/>
      <sheetName val="빙장비사양"/>
      <sheetName val="장비사양"/>
      <sheetName val="등록양식 (2)"/>
      <sheetName val="수량산출"/>
      <sheetName val="해외세목"/>
      <sheetName val="컨베어"/>
      <sheetName val="환경기계공정표 (3)"/>
      <sheetName val="실행(ALT1)"/>
      <sheetName val="FRP PIPING 일위대가"/>
      <sheetName val="자재대"/>
      <sheetName val="VMB Utility"/>
      <sheetName val="wssm"/>
      <sheetName val="수로BOX"/>
      <sheetName val="설계서(본관)"/>
      <sheetName val="해외법인"/>
      <sheetName val="제조원가"/>
      <sheetName val="10월작업불량"/>
      <sheetName val="Build Plan All"/>
      <sheetName val="※ Code2. 危险性分类｜위험성분류"/>
      <sheetName val="비교표"/>
      <sheetName val="옥외배관기본공량"/>
      <sheetName val="총괄갑 "/>
      <sheetName val="CPk"/>
      <sheetName val="赤"/>
      <sheetName val="Wafer별Data"/>
      <sheetName val="FAB1(생산부)"/>
      <sheetName val="TRE TABLE"/>
      <sheetName val="TOTAL인원"/>
      <sheetName val="C-3,Ass'y"/>
      <sheetName val="설비원가"/>
      <sheetName val="選択肢マスタ"/>
      <sheetName val="타워기초"/>
      <sheetName val="교각1"/>
      <sheetName val="일보"/>
      <sheetName val="HDPDEP"/>
      <sheetName val="PT1"/>
      <sheetName val="Lot처리"/>
      <sheetName val="Status"/>
      <sheetName val="STIET_O2"/>
      <sheetName val="Construction"/>
      <sheetName val="comps LFY+"/>
      <sheetName val="HDI implied"/>
      <sheetName val="가공"/>
      <sheetName val="입력List(입)"/>
      <sheetName val="Data Table"/>
      <sheetName val="ProcessFlow"/>
      <sheetName val="iMPp"/>
      <sheetName val="Fab2summary"/>
      <sheetName val="Trend 그래프用"/>
      <sheetName val="plan-it"/>
      <sheetName val="Sch PR-2"/>
      <sheetName val="Sch PR-3"/>
      <sheetName val="선급법인세 (2)"/>
      <sheetName val="실행(계획,실행)"/>
      <sheetName val="계정code"/>
      <sheetName val="기초단가"/>
      <sheetName val="Trend_그래프用"/>
      <sheetName val="Sch_PR-2"/>
      <sheetName val="Sch_PR-3"/>
      <sheetName val="선급법인세_(2)"/>
      <sheetName val="중기조종사 단위단가"/>
      <sheetName val="노무"/>
      <sheetName val="PST209"/>
      <sheetName val="일위대가 "/>
      <sheetName val="달력"/>
      <sheetName val="달력원본"/>
      <sheetName val="연간근무편성표"/>
      <sheetName val="계정"/>
      <sheetName val="TRIAS_TI"/>
      <sheetName val="FAB7_BPM"/>
      <sheetName val="상불"/>
      <sheetName val="서보,PLC단가표"/>
      <sheetName val="항목구분"/>
      <sheetName val="원가계산서"/>
      <sheetName val="Pumping"/>
      <sheetName val="산출0"/>
      <sheetName val="콘크리트타설집계표"/>
      <sheetName val="※ Code1. 部门｜부서(팀) "/>
      <sheetName val="256D_OUT_TAT3"/>
      <sheetName val="3ND_64M4"/>
      <sheetName val="시실누(모)_4"/>
      <sheetName val="data_(누계)3"/>
      <sheetName val="data_(전년동기)3"/>
      <sheetName val="1_현금예금2"/>
      <sheetName val="1_현금및현금성자산2"/>
      <sheetName val="1_BS1"/>
      <sheetName val="2_PL1"/>
      <sheetName val="3-1-1_여비교통비4"/>
      <sheetName val="3-1-2_사무용품비4"/>
      <sheetName val="3-1-3_소모품비4"/>
      <sheetName val="3-1-4_교육훈련비4"/>
      <sheetName val="3-1-5_운반비4"/>
      <sheetName val="3-1-6_통신비4"/>
      <sheetName val="3-1-7_전산정보이용료4"/>
      <sheetName val="3-1-8_도서비4"/>
      <sheetName val="3-1-9_수선비4"/>
      <sheetName val="3-1-10_경상개발비(지급수수료)4"/>
      <sheetName val="자재_집계표4"/>
      <sheetName val="3-1-4_교数82"/>
      <sheetName val="Credit_Calc4"/>
      <sheetName val="CAPA분석_360K4"/>
      <sheetName val="3-1-4_교2"/>
      <sheetName val="_55_BA_장입기_091203_xlsx4"/>
      <sheetName val="입찰내역_발주처_양식4"/>
      <sheetName val="불합리_적출_및_관리3"/>
      <sheetName val="부품별_매입현황3"/>
      <sheetName val="기본_상수3"/>
      <sheetName val="TFT_저항3"/>
      <sheetName val="3-1-4_교_x005f_x0002__x005f_x0000_数83"/>
      <sheetName val="F-T_Voltage3"/>
      <sheetName val="XY_tilt_2nd3"/>
      <sheetName val="1__Angle_confirm3"/>
      <sheetName val="Var_3"/>
      <sheetName val="Array_PI3"/>
      <sheetName val="VIZIO_DA가격3"/>
      <sheetName val="기타_DA가격3"/>
      <sheetName val="LGE_DA가격3"/>
      <sheetName val="3-1-4_교_x005f_x0002_3"/>
      <sheetName val="영업본부US$실적_(2)3"/>
      <sheetName val="3-1-4_교_数82"/>
      <sheetName val="3-1-4_교_x005f_x005f_x005f_x0002__x005f_x005f_x003"/>
      <sheetName val="3-1-4_교_x005f_x0002__数83"/>
      <sheetName val="3-1-4_ɐ3"/>
      <sheetName val="제조혁신(이지연,_윤수향)3"/>
      <sheetName val="값목록(Do_not_touch)3"/>
      <sheetName val="24_보증금(전신전화가입권)3"/>
      <sheetName val="근로소득_세액표3"/>
      <sheetName val="건강보험_표준요율표3"/>
      <sheetName val="국민연금_표준요율표3"/>
      <sheetName val="_M10C_DIFF_산포_개선_사례_BASE_PRESS3"/>
      <sheetName val="Laser_Alignment_Target_Spec3"/>
      <sheetName val="Laser_Focus_Spec3"/>
      <sheetName val="_M10C_DIFF_산포_개선_사례_7자_GAS_LIN3"/>
      <sheetName val="Graph_Data3"/>
      <sheetName val="실행내역서_3"/>
      <sheetName val="BP-이발-RJ_TREND3"/>
      <sheetName val="유해위험요인_분류체계3"/>
      <sheetName val="DAILY_CHECK3"/>
      <sheetName val="EPM_Raw3"/>
      <sheetName val="PT1H_Raw3"/>
      <sheetName val="판매실적_종합3"/>
      <sheetName val="Down_Time3"/>
      <sheetName val="H_P견적(참조)3"/>
      <sheetName val="경수97_023"/>
      <sheetName val="1995년_섹터별_매출3"/>
      <sheetName val="4-8_공통3"/>
      <sheetName val="Fabless_comp_ROE3"/>
      <sheetName val="Making_Order3"/>
      <sheetName val="6)Matl_analysis2"/>
      <sheetName val="EQUIP_LIST2"/>
      <sheetName val="TFT_측정(2)2"/>
      <sheetName val="사유_구분2"/>
      <sheetName val="14_1&quot;_Cst_변화2"/>
      <sheetName val="계조에_따른_특성2"/>
      <sheetName val="무상_Part_List(BW)2"/>
      <sheetName val="※_참고사항2"/>
      <sheetName val="_T3B-SN_SOD_SKIP_+_SIGE_No_Del2"/>
      <sheetName val="Wip_Status2"/>
      <sheetName val="7682LA_SKD(12_4)2"/>
      <sheetName val="공종별_집계2"/>
      <sheetName val="공사비_내역_(가)2"/>
      <sheetName val="BSD_(2)2"/>
      <sheetName val="_견적서2"/>
      <sheetName val="설산1_나2"/>
      <sheetName val="US_94_COST_CENTER_LIST2"/>
      <sheetName val="Process_Tools-Owned2"/>
      <sheetName val="SG&amp;A_Allocation2"/>
      <sheetName val="AR_County2"/>
      <sheetName val="Rev_Module_Retrieve2"/>
      <sheetName val="Accretion_-_Dilution2"/>
      <sheetName val="166_4152"/>
      <sheetName val="Customer_SAB101_Issues_Sort2"/>
      <sheetName val="BU_Commentary2"/>
      <sheetName val="FY-07_Personal_Property_Tax2"/>
      <sheetName val="FY-07_Real_Property_Tax2"/>
      <sheetName val="Fcst_Summary2"/>
      <sheetName val="June01brio_sort2"/>
      <sheetName val="Period_Pivot_Summary2"/>
      <sheetName val="Cube_by_Product_Line2"/>
      <sheetName val="반입시나리오(area별_조정)2"/>
      <sheetName val="DataBase_작성_샘플2"/>
      <sheetName val="TFT_활동2"/>
      <sheetName val="Drop_Memu2"/>
      <sheetName val="재고_및_일일_TREND1"/>
      <sheetName val="일일정산_TREND1"/>
      <sheetName val="세부_대응1"/>
      <sheetName val="CScore_February1"/>
      <sheetName val="Series_C_Options1"/>
      <sheetName val="Updated_FY2010_Wkg_FCST1"/>
      <sheetName val="Aug_2010_MSPP_Purchase1"/>
      <sheetName val="MSPP_weighted-_QTD1"/>
      <sheetName val="Stock_Price_NASDAQ1"/>
      <sheetName val="DSU_weighted-_QTD1"/>
      <sheetName val="MSPP_weighted-_YTD1"/>
      <sheetName val="DSU_weighted-_YTD1"/>
      <sheetName val="SL_Input1"/>
      <sheetName val="GL_Recon1"/>
      <sheetName val="Operating_LR_(Q1_-_Q4)1"/>
      <sheetName val="OB_DTL1"/>
      <sheetName val="AR_AGING1"/>
      <sheetName val="J3_41"/>
      <sheetName val="RATE_CHART1"/>
      <sheetName val="U1_51"/>
      <sheetName val="U1_21"/>
      <sheetName val="U1_41"/>
      <sheetName val="U1_11"/>
      <sheetName val="U1_31"/>
      <sheetName val="Rent_Analysis1"/>
      <sheetName val="Drop_Down1"/>
      <sheetName val="Game_changer_priorities1"/>
      <sheetName val="Emp_Exercise_Table1"/>
      <sheetName val="Earn_&amp;_E&amp;P_&amp;_Taxes_ENXX_061"/>
      <sheetName val="Prelim_FPHCI1"/>
      <sheetName val="Details_FY001"/>
      <sheetName val="Expansion_Expenses1"/>
      <sheetName val="PCP_Recruitment_&amp;_Productivity1"/>
      <sheetName val="State_Franchise_Taxes{C&amp;S}1"/>
      <sheetName val="UNADJUSTED_FROM_PS1"/>
      <sheetName val="세보설계_인력1"/>
      <sheetName val="장비별_메이커1"/>
      <sheetName val="MDOD_DATA1"/>
      <sheetName val="HiPas일보_in1"/>
      <sheetName val="Selection_List"/>
      <sheetName val="EBARA_PM현황"/>
      <sheetName val="14_1부1"/>
      <sheetName val="손익분기점_데이터"/>
      <sheetName val="4월_건강정산-기"/>
      <sheetName val="구분자_표준_초안1"/>
      <sheetName val="3-1-4_교_x0001"/>
      <sheetName val="3-1-4_교数81"/>
      <sheetName val="3-1-4_교1"/>
      <sheetName val="3-1-4_교_数81"/>
      <sheetName val="3-1-4_교_x001"/>
      <sheetName val="예금구좌"/>
      <sheetName val="MOTO"/>
      <sheetName val="월별"/>
      <sheetName val="F45"/>
      <sheetName val="F45(1Q)"/>
      <sheetName val="재단재고"/>
      <sheetName val="C5200"/>
      <sheetName val="C5200_2(501)"/>
      <sheetName val="C5200_2(712)"/>
      <sheetName val="C5200MXP+"/>
      <sheetName val="C5200_2(702)"/>
      <sheetName val="C5200_2(701)"/>
      <sheetName val="C5200_2(303)"/>
      <sheetName val="C5200DPS"/>
      <sheetName val="C5200DPS_2(509)"/>
      <sheetName val="C5200IPS"/>
      <sheetName val="C5200IPS_2"/>
      <sheetName val="9408"/>
      <sheetName val="9408_2(403)"/>
      <sheetName val="9408_2(404)"/>
      <sheetName val="9408_2(406)"/>
      <sheetName val="9408_2(511)"/>
      <sheetName val="9608"/>
      <sheetName val="9608_2"/>
      <sheetName val="4528"/>
      <sheetName val="4528_2"/>
      <sheetName val="etc"/>
      <sheetName val="조립자재_Pivot"/>
      <sheetName val="pre-anal손익계산서"/>
      <sheetName val="pre-anal대차대조표"/>
      <sheetName val="Decision"/>
      <sheetName val="5530"/>
      <sheetName val="MARCsheet"/>
      <sheetName val="YOEMAGU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 refreshError="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 refreshError="1"/>
      <sheetData sheetId="575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/>
      <sheetData sheetId="925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/>
      <sheetData sheetId="963"/>
      <sheetData sheetId="964"/>
      <sheetData sheetId="965"/>
      <sheetData sheetId="966"/>
      <sheetData sheetId="967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 refreshError="1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 refreshError="1"/>
      <sheetData sheetId="1465" refreshError="1"/>
      <sheetData sheetId="1466" refreshError="1"/>
      <sheetData sheetId="1467" refreshError="1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/>
      <sheetData sheetId="1726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/>
      <sheetData sheetId="1786"/>
      <sheetData sheetId="1787"/>
      <sheetData sheetId="1788"/>
      <sheetData sheetId="1789"/>
      <sheetData sheetId="1790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/>
      <sheetData sheetId="1936"/>
      <sheetData sheetId="1937"/>
      <sheetData sheetId="1938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/>
      <sheetData sheetId="2076"/>
      <sheetData sheetId="2077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7"/>
      <sheetName val="시산"/>
      <sheetName val="연장집계 (2)"/>
      <sheetName val="R&amp;D"/>
      <sheetName val="차수"/>
      <sheetName val="01월TTL"/>
      <sheetName val="2001.03"/>
      <sheetName val="환율021231"/>
      <sheetName val=""/>
      <sheetName val="Menu"/>
      <sheetName val="부산4"/>
      <sheetName val="제조부문배부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FAB별"/>
      <sheetName val="외화금융(97-03)"/>
      <sheetName val="dV&amp;Cl"/>
      <sheetName val="CAP"/>
      <sheetName val="변수"/>
      <sheetName val="전압하강"/>
      <sheetName val="F-T Voltage"/>
      <sheetName val="02"/>
      <sheetName val="품의"/>
      <sheetName val="송전기본"/>
      <sheetName val="FAB4생산"/>
      <sheetName val="건강보험"/>
      <sheetName val="장기대여금"/>
      <sheetName val="중요성"/>
      <sheetName val="대차총괄"/>
      <sheetName val="영업일보"/>
      <sheetName val="표지"/>
      <sheetName val="Controls"/>
      <sheetName val="AcqIS"/>
      <sheetName val="AcqBSCF"/>
      <sheetName val="Inputs"/>
      <sheetName val="bs"/>
      <sheetName val="lam-moi"/>
      <sheetName val="DONGIA"/>
      <sheetName val="thao-go"/>
      <sheetName val="TH XL"/>
      <sheetName val="Financials"/>
      <sheetName val="LS re sales"/>
      <sheetName val="^Control^"/>
      <sheetName val="DATA"/>
      <sheetName val="Configuration"/>
      <sheetName val="JournalSummary"/>
      <sheetName val="WorkFile"/>
      <sheetName val="#REF"/>
      <sheetName val="Sch7a (토요일)"/>
      <sheetName val="노무비"/>
      <sheetName val="MAIN"/>
      <sheetName val="95D"/>
      <sheetName val="94D"/>
      <sheetName val="Sheet2"/>
      <sheetName val="270"/>
      <sheetName val="별첨 4. No.3 PTA 작업 내용"/>
      <sheetName val="Summary Sheets"/>
      <sheetName val="예산M11A"/>
      <sheetName val="스낵물량"/>
      <sheetName val="별첨.8 H.E Datasheet"/>
      <sheetName val="PRCPL.MCR"/>
      <sheetName val="DIAMOND"/>
      <sheetName val="분석mast"/>
      <sheetName val="이자율"/>
      <sheetName val="95TOTREV"/>
      <sheetName val="입력변수"/>
      <sheetName val="chart"/>
      <sheetName val="R"/>
      <sheetName val="F-T_Voltage"/>
      <sheetName val="3ND 64M"/>
      <sheetName val="9-1차이내역"/>
      <sheetName val="특판현황(원화)"/>
      <sheetName val="명단"/>
      <sheetName val="03"/>
      <sheetName val="01"/>
      <sheetName val="완성차 미수금"/>
      <sheetName val="960318-1"/>
      <sheetName val="월별예산"/>
      <sheetName val="FAB"/>
      <sheetName val="잡손실"/>
      <sheetName val="년도별개발"/>
      <sheetName val="수정시산표"/>
      <sheetName val="협조전"/>
      <sheetName val="CF-DETAILED"/>
      <sheetName val="CALC data (3)"/>
      <sheetName val="판가반영"/>
      <sheetName val="생산액data"/>
      <sheetName val="부산물평가"/>
      <sheetName val="DATA for Bill"/>
      <sheetName val="SOS_PLC &amp; Panel"/>
      <sheetName val="F-Assump"/>
      <sheetName val="Q-Data"/>
      <sheetName val="Y-Data"/>
      <sheetName val="CapEx"/>
      <sheetName val="작성기준"/>
      <sheetName val="East Europe"/>
      <sheetName val="통관"/>
      <sheetName val="Control Sheet"/>
      <sheetName val="raw_CH"/>
      <sheetName val="raw_team"/>
      <sheetName val="ΔVp &amp; Ω"/>
      <sheetName val="★외출12"/>
      <sheetName val="6월인원"/>
      <sheetName val="Sheet3"/>
      <sheetName val="Basic_Information"/>
      <sheetName val="Code"/>
      <sheetName val="T6-6(2)"/>
      <sheetName val="95"/>
      <sheetName val="A11_1"/>
      <sheetName val="투자사유"/>
      <sheetName val="Dati_Bloomberg"/>
      <sheetName val="Dividend Analysis Assumptions"/>
      <sheetName val="DCF Output"/>
      <sheetName val="Casto Fin"/>
      <sheetName val="Cover"/>
      <sheetName val="ProForma"/>
      <sheetName val="ORIGN"/>
      <sheetName val="현장관리비"/>
      <sheetName val="실행내역"/>
      <sheetName val="회사정보"/>
      <sheetName val="11월내역"/>
      <sheetName val="投影仪"/>
      <sheetName val="기준정보"/>
      <sheetName val="분배"/>
      <sheetName val="상불"/>
      <sheetName val="진행 DATA (2)"/>
      <sheetName val="GB-IC Villingen GG"/>
      <sheetName val="외주현황.wq1"/>
      <sheetName val="Sensitivity"/>
      <sheetName val="Assumption"/>
      <sheetName val="D&amp;A"/>
      <sheetName val="IS"/>
      <sheetName val="Assumptions"/>
      <sheetName val="REV"/>
      <sheetName val="Détail mensuel"/>
      <sheetName val="Personalizza"/>
      <sheetName val="Voucher"/>
      <sheetName val="7682LA SKD(12.4)"/>
      <sheetName val="MRS세부"/>
      <sheetName val="Sheet1"/>
      <sheetName val="FC-101"/>
      <sheetName val="경제성분석"/>
      <sheetName val="1batch량"/>
      <sheetName val="inter"/>
      <sheetName val="F-T_Voltage1"/>
      <sheetName val="별첨_8_H_E_Datasheet"/>
      <sheetName val="PRCPL_MCR"/>
      <sheetName val="완성차_미수금"/>
      <sheetName val="LS_re_sales"/>
      <sheetName val="TH_XL"/>
      <sheetName val="연장집계_(2)"/>
      <sheetName val="3ND_64M"/>
      <sheetName val="2001_03"/>
      <sheetName val="Sch7a_(토요일)"/>
      <sheetName val="별첨_4__No_3_PTA_작업_내용"/>
      <sheetName val="Summary_Sheets"/>
      <sheetName val="ΔVp_&amp;_Ω"/>
      <sheetName val="CALC_data_(3)"/>
      <sheetName val="DATA_for_Bill"/>
      <sheetName val="SOS_PLC_&amp;_Panel"/>
      <sheetName val="East_Europe"/>
      <sheetName val="Control_Sheet"/>
      <sheetName val="Dividend_Analysis_Assumptions"/>
      <sheetName val="DCF_Output"/>
      <sheetName val="Casto_Fin"/>
      <sheetName val="AIZ graph"/>
      <sheetName val="Merger"/>
      <sheetName val="comps LFY+"/>
      <sheetName val="HDI implied"/>
      <sheetName val="Dati"/>
      <sheetName val="Public Comps"/>
      <sheetName val="CD+Viasat"/>
      <sheetName val="CD Summary P&amp;L"/>
      <sheetName val="Assumptions CD"/>
      <sheetName val="POWER7.XLA"/>
      <sheetName val="선택박스"/>
      <sheetName val="회계감사"/>
      <sheetName val="산출내역서집계표"/>
      <sheetName val="#RIF"/>
      <sheetName val="손익12월"/>
      <sheetName val="손익계산서"/>
      <sheetName val="업무분장 "/>
      <sheetName val="인사현황(부서)"/>
      <sheetName val="Asset9809CAK"/>
      <sheetName val="One-Pager"/>
      <sheetName val="comps_LFY+"/>
      <sheetName val="HDI_implied"/>
      <sheetName val="Public_Comps"/>
      <sheetName val="CD_Summary_P&amp;L"/>
      <sheetName val="Assumptions_CD"/>
      <sheetName val="Index utilityvsMIB30"/>
      <sheetName val="Control Switch"/>
      <sheetName val="TYPES"/>
      <sheetName val="Dividend_Analysis_Assumptions1"/>
      <sheetName val="DCF_Output1"/>
      <sheetName val="Casto_Fin1"/>
      <sheetName val="Capital"/>
      <sheetName val="Preliminary Info"/>
      <sheetName val="CAMBI"/>
      <sheetName val="Operational Input"/>
      <sheetName val="Summary"/>
      <sheetName val="Sources &amp; Uses"/>
      <sheetName val="Financing"/>
      <sheetName val="Summary Results"/>
      <sheetName val="\\srvfs2\PianificazioneControll"/>
      <sheetName val="Données Spéc."/>
      <sheetName val="Test"/>
      <sheetName val="PRT_BS"/>
      <sheetName val="PRT_PL"/>
      <sheetName val="#1 Basic"/>
      <sheetName val="POWER7_XLA"/>
      <sheetName val="#1_Basic"/>
      <sheetName val="Ｂｒａｎｄ"/>
      <sheetName val="EDS고정비"/>
      <sheetName val="CaseComp5"/>
      <sheetName val="CODE (2)"/>
      <sheetName val="Sheet5"/>
      <sheetName val="Sheet6 (3)"/>
      <sheetName val="수리결과"/>
      <sheetName val="Trans"/>
      <sheetName val="한계원가"/>
      <sheetName val="표지 "/>
      <sheetName val="1.6 成本中心组映射"/>
      <sheetName val="1.5 成本中心组"/>
      <sheetName val="1.2 成本元素列表"/>
      <sheetName val="1.3 成本元素映射"/>
      <sheetName val="1.1 损益科目标准化"/>
      <sheetName val="Loss测算底稿"/>
      <sheetName val="14.1&quot; Cst 변화"/>
      <sheetName val="시설이용권명세서"/>
      <sheetName val="BEST"/>
      <sheetName val="인력현황2000"/>
      <sheetName val="conf"/>
      <sheetName val="Working"/>
      <sheetName val="TH_XL1"/>
      <sheetName val="LS_re_sales1"/>
      <sheetName val="연장집계_(2)1"/>
      <sheetName val="3ND_64M1"/>
      <sheetName val="2001_031"/>
      <sheetName val="월별손익"/>
      <sheetName val="8월차잔"/>
      <sheetName val="사업일정"/>
      <sheetName val="Info"/>
      <sheetName val="Operating Scenario"/>
      <sheetName val="Offer &amp; Structure"/>
      <sheetName val="BUDGET Revenue"/>
      <sheetName val="Title"/>
      <sheetName val="CURRENT YEAR Revenue"/>
      <sheetName val="LAST YEAR Revenue"/>
      <sheetName val="장려금"/>
      <sheetName val="전사_판매수수료_읽기전용"/>
      <sheetName val="Raw장애(data)"/>
      <sheetName val="Raw회선(data)"/>
      <sheetName val="Raw장애(Voice)"/>
      <sheetName val="Actuals (LY-1)"/>
      <sheetName val="Actuals (LY)"/>
      <sheetName val="Actuals (TY)"/>
      <sheetName val="Budget"/>
      <sheetName val="Control"/>
      <sheetName val="Mkt Cap"/>
      <sheetName val="INPUT"/>
      <sheetName val="START"/>
      <sheetName val="P&amp;L"/>
      <sheetName val="Mkt_Cap"/>
      <sheetName val="Sheet6_(3)"/>
      <sheetName val="Börskurser"/>
      <sheetName val="금액내역서"/>
      <sheetName val="부대"/>
      <sheetName val="환률"/>
      <sheetName val="Config"/>
      <sheetName val="PETTYCASH$"/>
      <sheetName val="Average Mkt cap"/>
      <sheetName val="SETTORE"/>
      <sheetName val="PARAMETER"/>
      <sheetName val="HFM 2019 &amp; 2020 OEM"/>
      <sheetName val="HFM 2019 Y 2020 REN"/>
      <sheetName val="Organic Growth"/>
      <sheetName val="Market Share 2020"/>
      <sheetName val="Target Customers"/>
      <sheetName val="Target Customers (2)"/>
      <sheetName val="Go to market strategy"/>
      <sheetName val="Large Projects"/>
      <sheetName val="Products"/>
      <sheetName val="Strategic Growth"/>
      <sheetName val="Depreciation"/>
      <sheetName val="income"/>
      <sheetName val="부도어음"/>
      <sheetName val="CHAB"/>
    </sheetNames>
    <definedNames>
      <definedName name="ChangeRange"/>
      <definedName name="ContentsHelp"/>
      <definedName name="CreateTable"/>
      <definedName name="DeleteRange"/>
      <definedName name="DeleteTable"/>
      <definedName name="MerrillPrintIt"/>
      <definedName name="NewRange"/>
      <definedName name="RedefinePrintTableRang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공시용BS"/>
      <sheetName val="공시용IS"/>
      <sheetName val="공시용CE"/>
      <sheetName val="공시용CF"/>
      <sheetName val="SAD"/>
      <sheetName val="CF정산표"/>
      <sheetName val="CF피벗"/>
      <sheetName val="금융보증부채"/>
      <sheetName val="BS_WTB"/>
      <sheetName val="IS_WTB"/>
      <sheetName val="BS_AR"/>
      <sheetName val="IS_AR"/>
      <sheetName val="EMreview(별도)"/>
      <sheetName val="세화개인탭1"/>
      <sheetName val="세화개인탭2"/>
      <sheetName val="&gt;&gt;주석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6(ver.2)"/>
      <sheetName val="주가"/>
      <sheetName val="27"/>
      <sheetName val="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_AR"/>
      <sheetName val="IS_AR"/>
      <sheetName val="주석사항_Assign_별도"/>
      <sheetName val="별도FN&gt;"/>
      <sheetName val="4 "/>
      <sheetName val="7 "/>
      <sheetName val="8 "/>
      <sheetName val="15 "/>
      <sheetName val="21 "/>
      <sheetName val="27 "/>
      <sheetName val="연결정산표"/>
      <sheetName val="연결조정분개"/>
      <sheetName val="주석사항_Assign_연결"/>
      <sheetName val="연결FN&gt;"/>
      <sheetName val="5"/>
      <sheetName val="8"/>
      <sheetName val="9"/>
      <sheetName val="15"/>
      <sheetName val="21"/>
      <sheetName val="27"/>
      <sheetName val="주석사항_Assign"/>
      <sheetName val="FN"/>
      <sheetName val="별도FN"/>
      <sheetName val="4"/>
    </sheetNames>
    <sheetDataSet>
      <sheetData sheetId="0">
        <row r="3">
          <cell r="E3" t="str">
            <v>공시용재무제표</v>
          </cell>
        </row>
      </sheetData>
      <sheetData sheetId="1">
        <row r="6">
          <cell r="H6">
            <v>3104432324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F11">
            <v>673347980</v>
          </cell>
        </row>
      </sheetData>
      <sheetData sheetId="11">
        <row r="15">
          <cell r="F15">
            <v>1300000000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_WTB"/>
      <sheetName val="BS_WTB"/>
      <sheetName val="전사시산표(3단계)_200710"/>
      <sheetName val="경상연구개발"/>
      <sheetName val="CF정산표"/>
      <sheetName val="전달용"/>
      <sheetName val="공시용"/>
      <sheetName val="자본변동표_천원"/>
      <sheetName val="자본변동표"/>
    </sheetNames>
    <sheetDataSet>
      <sheetData sheetId="0">
        <row r="2">
          <cell r="C2" t="str">
            <v>계정</v>
          </cell>
          <cell r="D2" t="str">
            <v>계정코드
(T연결)</v>
          </cell>
          <cell r="E2" t="str">
            <v>계정과목</v>
          </cell>
          <cell r="F2" t="str">
            <v>공시용재무제표</v>
          </cell>
          <cell r="G2">
            <v>43373</v>
          </cell>
          <cell r="H2" t="str">
            <v>FY2018 4Q</v>
          </cell>
          <cell r="I2">
            <v>43465</v>
          </cell>
          <cell r="J2">
            <v>43555</v>
          </cell>
          <cell r="K2">
            <v>43646</v>
          </cell>
          <cell r="L2">
            <v>43646</v>
          </cell>
          <cell r="M2">
            <v>43738</v>
          </cell>
          <cell r="N2">
            <v>43738</v>
          </cell>
          <cell r="O2">
            <v>43830</v>
          </cell>
          <cell r="P2">
            <v>43830</v>
          </cell>
          <cell r="Q2">
            <v>43921</v>
          </cell>
          <cell r="R2">
            <v>44012</v>
          </cell>
          <cell r="S2" t="str">
            <v>SAD</v>
          </cell>
          <cell r="T2"/>
          <cell r="U2">
            <v>44012</v>
          </cell>
        </row>
        <row r="3">
          <cell r="C3" t="str">
            <v>코드</v>
          </cell>
          <cell r="D3"/>
          <cell r="E3"/>
          <cell r="F3"/>
          <cell r="G3" t="str">
            <v>(Reviewed)</v>
          </cell>
          <cell r="H3" t="str">
            <v>ONLY</v>
          </cell>
          <cell r="I3" t="str">
            <v>(Audited)</v>
          </cell>
          <cell r="J3" t="str">
            <v>(Reviewed)</v>
          </cell>
          <cell r="K3" t="str">
            <v>ONLY</v>
          </cell>
          <cell r="L3" t="str">
            <v>(Reviewed)</v>
          </cell>
          <cell r="M3" t="str">
            <v>ONLY</v>
          </cell>
          <cell r="N3" t="str">
            <v>(Reviewed)</v>
          </cell>
          <cell r="O3" t="str">
            <v>ONLY</v>
          </cell>
          <cell r="P3" t="str">
            <v>(Proposed)</v>
          </cell>
          <cell r="Q3" t="str">
            <v>(Proposed)</v>
          </cell>
          <cell r="R3" t="str">
            <v>(Proposed)</v>
          </cell>
          <cell r="S3" t="str">
            <v>(Dr)</v>
          </cell>
          <cell r="T3" t="str">
            <v>(Cr)</v>
          </cell>
          <cell r="U3" t="str">
            <v>(Proposed)</v>
          </cell>
        </row>
        <row r="4">
          <cell r="C4">
            <v>500</v>
          </cell>
          <cell r="D4"/>
          <cell r="E4" t="str">
            <v>영업수익</v>
          </cell>
          <cell r="F4"/>
          <cell r="G4">
            <v>51711587723</v>
          </cell>
          <cell r="H4">
            <v>176288545988</v>
          </cell>
          <cell r="I4">
            <v>228000133711</v>
          </cell>
          <cell r="J4">
            <v>156944536061</v>
          </cell>
          <cell r="K4">
            <v>145810239318</v>
          </cell>
          <cell r="L4">
            <v>302754775379</v>
          </cell>
          <cell r="M4">
            <v>140507888139</v>
          </cell>
          <cell r="N4">
            <v>443262663518</v>
          </cell>
          <cell r="O4">
            <v>-185674159631</v>
          </cell>
          <cell r="P4">
            <v>530488787303</v>
          </cell>
          <cell r="Q4">
            <v>257588503887</v>
          </cell>
          <cell r="R4">
            <v>257588503887</v>
          </cell>
          <cell r="S4">
            <v>0</v>
          </cell>
          <cell r="T4">
            <v>0</v>
          </cell>
          <cell r="U4">
            <v>257588503887</v>
          </cell>
        </row>
        <row r="5">
          <cell r="C5">
            <v>5090</v>
          </cell>
          <cell r="D5"/>
          <cell r="E5" t="str">
            <v>부대수익</v>
          </cell>
          <cell r="F5"/>
          <cell r="G5">
            <v>1231284968</v>
          </cell>
          <cell r="H5">
            <v>4025713047</v>
          </cell>
          <cell r="I5">
            <v>5256998015</v>
          </cell>
          <cell r="J5">
            <v>2828640676</v>
          </cell>
          <cell r="K5">
            <v>2279213683</v>
          </cell>
          <cell r="L5">
            <v>5107854359</v>
          </cell>
          <cell r="M5">
            <v>2488639024</v>
          </cell>
          <cell r="N5">
            <v>7596493383</v>
          </cell>
          <cell r="O5">
            <v>238662140</v>
          </cell>
          <cell r="P5">
            <v>12152721779</v>
          </cell>
          <cell r="Q5">
            <v>7835155523</v>
          </cell>
          <cell r="R5">
            <v>7835155523</v>
          </cell>
          <cell r="S5"/>
          <cell r="T5"/>
          <cell r="U5">
            <v>7835155523</v>
          </cell>
        </row>
        <row r="6">
          <cell r="C6">
            <v>599100</v>
          </cell>
          <cell r="D6">
            <v>5249</v>
          </cell>
          <cell r="E6" t="str">
            <v>기타영업수익</v>
          </cell>
          <cell r="F6" t="str">
            <v>영업수익</v>
          </cell>
          <cell r="G6">
            <v>1231284968</v>
          </cell>
          <cell r="H6">
            <v>4025713047</v>
          </cell>
          <cell r="I6">
            <v>5256998015</v>
          </cell>
          <cell r="J6">
            <v>2828640676</v>
          </cell>
          <cell r="K6">
            <v>2279213683</v>
          </cell>
          <cell r="L6">
            <v>5107854359</v>
          </cell>
          <cell r="M6">
            <v>2488639024</v>
          </cell>
          <cell r="N6">
            <v>7596493383</v>
          </cell>
          <cell r="O6">
            <v>238662140</v>
          </cell>
          <cell r="P6">
            <v>12152721779</v>
          </cell>
          <cell r="Q6">
            <v>7835155523</v>
          </cell>
          <cell r="R6">
            <v>7835155523</v>
          </cell>
          <cell r="S6">
            <v>0</v>
          </cell>
          <cell r="T6">
            <v>0</v>
          </cell>
          <cell r="U6">
            <v>7835155523</v>
          </cell>
        </row>
        <row r="7">
          <cell r="C7">
            <v>5350</v>
          </cell>
          <cell r="D7"/>
          <cell r="E7" t="str">
            <v>Commerce</v>
          </cell>
          <cell r="F7"/>
          <cell r="G7">
            <v>47637552615</v>
          </cell>
          <cell r="H7">
            <v>161587906859</v>
          </cell>
          <cell r="I7">
            <v>209225459474</v>
          </cell>
          <cell r="J7">
            <v>142700679460</v>
          </cell>
          <cell r="K7">
            <v>133513230454</v>
          </cell>
          <cell r="L7">
            <v>276213909914</v>
          </cell>
          <cell r="M7">
            <v>126883302855</v>
          </cell>
          <cell r="N7">
            <v>403097212769</v>
          </cell>
          <cell r="O7">
            <v>-178446467698</v>
          </cell>
          <cell r="P7">
            <v>475588759629</v>
          </cell>
          <cell r="Q7">
            <v>224650745071</v>
          </cell>
          <cell r="R7">
            <v>224650745071</v>
          </cell>
          <cell r="S7">
            <v>0</v>
          </cell>
          <cell r="T7">
            <v>0</v>
          </cell>
          <cell r="U7">
            <v>224650745071</v>
          </cell>
        </row>
        <row r="8">
          <cell r="C8">
            <v>521020</v>
          </cell>
          <cell r="D8">
            <v>5244</v>
          </cell>
          <cell r="E8" t="str">
            <v>쇼핑몰광고수익</v>
          </cell>
          <cell r="F8" t="str">
            <v>영업수익</v>
          </cell>
          <cell r="G8">
            <v>17680265828</v>
          </cell>
          <cell r="H8">
            <v>59988575649</v>
          </cell>
          <cell r="I8">
            <v>77668841477</v>
          </cell>
          <cell r="J8">
            <v>51058200386</v>
          </cell>
          <cell r="K8">
            <v>53182809563</v>
          </cell>
          <cell r="L8">
            <v>104241009949</v>
          </cell>
          <cell r="M8">
            <v>54083949795</v>
          </cell>
          <cell r="N8">
            <v>158324959744</v>
          </cell>
          <cell r="O8">
            <v>-52239285772</v>
          </cell>
          <cell r="P8">
            <v>215435387064</v>
          </cell>
          <cell r="Q8">
            <v>106085673972</v>
          </cell>
          <cell r="R8">
            <v>106085673972</v>
          </cell>
          <cell r="S8">
            <v>0</v>
          </cell>
          <cell r="T8">
            <v>0</v>
          </cell>
          <cell r="U8">
            <v>106085673972</v>
          </cell>
        </row>
        <row r="9">
          <cell r="C9">
            <v>521030</v>
          </cell>
          <cell r="D9">
            <v>5244</v>
          </cell>
          <cell r="E9" t="str">
            <v>쇼핑몰부가수익</v>
          </cell>
          <cell r="F9" t="str">
            <v>영업수익</v>
          </cell>
          <cell r="G9">
            <v>81732223</v>
          </cell>
          <cell r="H9">
            <v>428763622</v>
          </cell>
          <cell r="I9">
            <v>510495845</v>
          </cell>
          <cell r="J9">
            <v>295391148</v>
          </cell>
          <cell r="K9">
            <v>324304755</v>
          </cell>
          <cell r="L9">
            <v>619695903</v>
          </cell>
          <cell r="M9">
            <v>332784866</v>
          </cell>
          <cell r="N9">
            <v>952480769</v>
          </cell>
          <cell r="O9">
            <v>-572844084</v>
          </cell>
          <cell r="P9">
            <v>1320214863</v>
          </cell>
          <cell r="Q9">
            <v>379636685</v>
          </cell>
          <cell r="R9">
            <v>379636685</v>
          </cell>
          <cell r="S9">
            <v>0</v>
          </cell>
          <cell r="T9">
            <v>0</v>
          </cell>
          <cell r="U9">
            <v>379636685</v>
          </cell>
        </row>
        <row r="10">
          <cell r="C10">
            <v>523110</v>
          </cell>
          <cell r="D10">
            <v>5244</v>
          </cell>
          <cell r="E10" t="str">
            <v>쇼핑몰상품매출</v>
          </cell>
          <cell r="F10" t="str">
            <v>영업수익</v>
          </cell>
          <cell r="G10">
            <v>3227013236</v>
          </cell>
          <cell r="H10">
            <v>9163778507</v>
          </cell>
          <cell r="I10">
            <v>12390791743</v>
          </cell>
          <cell r="J10">
            <v>5958786207</v>
          </cell>
          <cell r="K10">
            <v>2549287165</v>
          </cell>
          <cell r="L10">
            <v>8508073372</v>
          </cell>
          <cell r="M10">
            <v>1436237849</v>
          </cell>
          <cell r="N10">
            <v>9944311221</v>
          </cell>
          <cell r="O10">
            <v>-6187307594</v>
          </cell>
          <cell r="P10">
            <v>11556118890</v>
          </cell>
          <cell r="Q10">
            <v>3757003627</v>
          </cell>
          <cell r="R10">
            <v>3757003627</v>
          </cell>
          <cell r="S10">
            <v>0</v>
          </cell>
          <cell r="T10">
            <v>0</v>
          </cell>
          <cell r="U10">
            <v>3757003627</v>
          </cell>
        </row>
        <row r="11">
          <cell r="C11">
            <v>528100</v>
          </cell>
          <cell r="D11">
            <v>5244</v>
          </cell>
          <cell r="E11" t="str">
            <v>쇼핑몰판매대행수익</v>
          </cell>
          <cell r="F11" t="str">
            <v>영업수익</v>
          </cell>
          <cell r="G11">
            <v>26648541328</v>
          </cell>
          <cell r="H11">
            <v>92006789081</v>
          </cell>
          <cell r="I11">
            <v>118655330409</v>
          </cell>
          <cell r="J11">
            <v>85388301719</v>
          </cell>
          <cell r="K11">
            <v>77456828971</v>
          </cell>
          <cell r="L11">
            <v>162845130690</v>
          </cell>
          <cell r="M11">
            <v>71030330345</v>
          </cell>
          <cell r="N11">
            <v>233875461035</v>
          </cell>
          <cell r="O11">
            <v>-119447030248</v>
          </cell>
          <cell r="P11">
            <v>247277038812</v>
          </cell>
          <cell r="Q11">
            <v>114428430787</v>
          </cell>
          <cell r="R11">
            <v>114428430787</v>
          </cell>
          <cell r="S11">
            <v>0</v>
          </cell>
          <cell r="T11">
            <v>0</v>
          </cell>
          <cell r="U11">
            <v>114428430787</v>
          </cell>
        </row>
        <row r="12">
          <cell r="C12">
            <v>5370</v>
          </cell>
          <cell r="D12"/>
          <cell r="E12" t="str">
            <v>상품매출</v>
          </cell>
          <cell r="F12"/>
          <cell r="G12">
            <v>936141982</v>
          </cell>
          <cell r="H12">
            <v>3912988635</v>
          </cell>
          <cell r="I12">
            <v>4849130617</v>
          </cell>
          <cell r="J12">
            <v>4270842949</v>
          </cell>
          <cell r="K12">
            <v>4452851789</v>
          </cell>
          <cell r="L12">
            <v>8723694738</v>
          </cell>
          <cell r="M12">
            <v>3922630797</v>
          </cell>
          <cell r="N12">
            <v>12646325535</v>
          </cell>
          <cell r="O12">
            <v>-4885773173</v>
          </cell>
          <cell r="P12">
            <v>16566372036</v>
          </cell>
          <cell r="Q12">
            <v>7760552362</v>
          </cell>
          <cell r="R12">
            <v>7760552362</v>
          </cell>
          <cell r="S12">
            <v>0</v>
          </cell>
          <cell r="T12">
            <v>0</v>
          </cell>
          <cell r="U12">
            <v>7760552362</v>
          </cell>
        </row>
        <row r="13">
          <cell r="C13">
            <v>510201</v>
          </cell>
          <cell r="D13">
            <v>5244</v>
          </cell>
          <cell r="E13" t="str">
            <v>제품매출-국내매출</v>
          </cell>
          <cell r="F13" t="str">
            <v>영업수익</v>
          </cell>
          <cell r="G13">
            <v>911320052</v>
          </cell>
          <cell r="H13">
            <v>3253096583</v>
          </cell>
          <cell r="I13">
            <v>4164416635</v>
          </cell>
          <cell r="J13">
            <v>3858681512</v>
          </cell>
          <cell r="K13">
            <v>3836648422</v>
          </cell>
          <cell r="L13">
            <v>7695329934</v>
          </cell>
          <cell r="M13">
            <v>3395063450</v>
          </cell>
          <cell r="N13">
            <v>11090393384</v>
          </cell>
          <cell r="O13">
            <v>-4124288858</v>
          </cell>
          <cell r="P13">
            <v>14317268269</v>
          </cell>
          <cell r="Q13">
            <v>6966104526</v>
          </cell>
          <cell r="R13">
            <v>6966104526</v>
          </cell>
          <cell r="S13">
            <v>0</v>
          </cell>
          <cell r="T13">
            <v>0</v>
          </cell>
          <cell r="U13">
            <v>6966104526</v>
          </cell>
        </row>
        <row r="14">
          <cell r="C14">
            <v>510202</v>
          </cell>
          <cell r="D14">
            <v>5244</v>
          </cell>
          <cell r="E14" t="str">
            <v>제품매출-수출매출</v>
          </cell>
          <cell r="F14" t="str">
            <v>영업수익</v>
          </cell>
          <cell r="G14">
            <v>24821930</v>
          </cell>
          <cell r="H14">
            <v>659892052</v>
          </cell>
          <cell r="I14">
            <v>684713982</v>
          </cell>
          <cell r="J14">
            <v>412161437</v>
          </cell>
          <cell r="K14">
            <v>616203367</v>
          </cell>
          <cell r="L14">
            <v>1028364804</v>
          </cell>
          <cell r="M14">
            <v>527567347</v>
          </cell>
          <cell r="N14">
            <v>1555932151</v>
          </cell>
          <cell r="O14">
            <v>-761484315</v>
          </cell>
          <cell r="P14">
            <v>2249103767</v>
          </cell>
          <cell r="Q14">
            <v>794447836</v>
          </cell>
          <cell r="R14">
            <v>794447836</v>
          </cell>
          <cell r="S14">
            <v>0</v>
          </cell>
          <cell r="T14">
            <v>0</v>
          </cell>
          <cell r="U14">
            <v>794447836</v>
          </cell>
        </row>
        <row r="15">
          <cell r="C15">
            <v>5585</v>
          </cell>
          <cell r="D15"/>
          <cell r="E15" t="str">
            <v>용역수익</v>
          </cell>
          <cell r="F15"/>
          <cell r="G15">
            <v>1906608158</v>
          </cell>
          <cell r="H15">
            <v>6761937447</v>
          </cell>
          <cell r="I15">
            <v>8668545605</v>
          </cell>
          <cell r="J15">
            <v>7144372976</v>
          </cell>
          <cell r="K15">
            <v>5564943392</v>
          </cell>
          <cell r="L15">
            <v>12709316368</v>
          </cell>
          <cell r="M15">
            <v>7213315463</v>
          </cell>
          <cell r="N15">
            <v>19922631831</v>
          </cell>
          <cell r="O15">
            <v>-2580580900</v>
          </cell>
          <cell r="P15">
            <v>26180933859</v>
          </cell>
          <cell r="Q15">
            <v>17342050931</v>
          </cell>
          <cell r="R15">
            <v>17342050931</v>
          </cell>
          <cell r="S15">
            <v>0</v>
          </cell>
          <cell r="T15">
            <v>0</v>
          </cell>
          <cell r="U15">
            <v>17342050931</v>
          </cell>
        </row>
        <row r="16">
          <cell r="C16">
            <v>558740</v>
          </cell>
          <cell r="D16">
            <v>5244</v>
          </cell>
          <cell r="E16" t="str">
            <v>기프티콘 미교환B2C</v>
          </cell>
          <cell r="F16" t="str">
            <v>영업수익</v>
          </cell>
          <cell r="G16">
            <v>7748279</v>
          </cell>
          <cell r="H16">
            <v>32222720</v>
          </cell>
          <cell r="I16">
            <v>39970999</v>
          </cell>
          <cell r="J16">
            <v>56822342</v>
          </cell>
          <cell r="K16">
            <v>51482189</v>
          </cell>
          <cell r="L16">
            <v>108304531</v>
          </cell>
          <cell r="M16">
            <v>33457302</v>
          </cell>
          <cell r="N16">
            <v>141761833</v>
          </cell>
          <cell r="O16">
            <v>-35724921</v>
          </cell>
          <cell r="P16">
            <v>207621150</v>
          </cell>
          <cell r="Q16">
            <v>106036912</v>
          </cell>
          <cell r="R16">
            <v>106036912</v>
          </cell>
          <cell r="S16">
            <v>0</v>
          </cell>
          <cell r="T16">
            <v>0</v>
          </cell>
          <cell r="U16">
            <v>106036912</v>
          </cell>
        </row>
        <row r="17">
          <cell r="C17">
            <v>558750</v>
          </cell>
          <cell r="D17">
            <v>5244</v>
          </cell>
          <cell r="E17" t="str">
            <v>기프티콘 B2B수수료</v>
          </cell>
          <cell r="F17" t="str">
            <v>영업수익</v>
          </cell>
          <cell r="G17">
            <v>128717608</v>
          </cell>
          <cell r="H17">
            <v>455466546</v>
          </cell>
          <cell r="I17">
            <v>584184154</v>
          </cell>
          <cell r="J17">
            <v>417408327</v>
          </cell>
          <cell r="K17">
            <v>345375684</v>
          </cell>
          <cell r="L17">
            <v>762784011</v>
          </cell>
          <cell r="M17">
            <v>223339128</v>
          </cell>
          <cell r="N17">
            <v>986123139</v>
          </cell>
          <cell r="O17">
            <v>-578481466</v>
          </cell>
          <cell r="P17">
            <v>1249001757</v>
          </cell>
          <cell r="Q17">
            <v>407641673</v>
          </cell>
          <cell r="R17">
            <v>407641673</v>
          </cell>
          <cell r="S17">
            <v>0</v>
          </cell>
          <cell r="T17">
            <v>0</v>
          </cell>
          <cell r="U17">
            <v>407641673</v>
          </cell>
        </row>
        <row r="18">
          <cell r="C18">
            <v>558760</v>
          </cell>
          <cell r="D18">
            <v>5244</v>
          </cell>
          <cell r="E18" t="str">
            <v>기프티콘 제휴(B2C)</v>
          </cell>
          <cell r="F18" t="str">
            <v>영업수익</v>
          </cell>
          <cell r="G18">
            <v>603759551</v>
          </cell>
          <cell r="H18">
            <v>2204160413</v>
          </cell>
          <cell r="I18">
            <v>2807919964</v>
          </cell>
          <cell r="J18">
            <v>2766251102</v>
          </cell>
          <cell r="K18">
            <v>2287438454</v>
          </cell>
          <cell r="L18">
            <v>5053689556</v>
          </cell>
          <cell r="M18">
            <v>3681755412</v>
          </cell>
          <cell r="N18">
            <v>8735444968</v>
          </cell>
          <cell r="O18">
            <v>1817408107</v>
          </cell>
          <cell r="P18">
            <v>11304670476</v>
          </cell>
          <cell r="Q18">
            <v>10552853075</v>
          </cell>
          <cell r="R18">
            <v>10552853075</v>
          </cell>
          <cell r="S18">
            <v>0</v>
          </cell>
          <cell r="T18">
            <v>0</v>
          </cell>
          <cell r="U18">
            <v>10552853075</v>
          </cell>
        </row>
        <row r="19">
          <cell r="C19">
            <v>558950</v>
          </cell>
          <cell r="D19">
            <v>5244</v>
          </cell>
          <cell r="E19" t="str">
            <v>기프티콘 미교환B2B</v>
          </cell>
          <cell r="F19" t="str">
            <v>영업수익</v>
          </cell>
          <cell r="G19">
            <v>487690854</v>
          </cell>
          <cell r="H19">
            <v>1563937603</v>
          </cell>
          <cell r="I19">
            <v>2051628457</v>
          </cell>
          <cell r="J19">
            <v>1697648486</v>
          </cell>
          <cell r="K19">
            <v>1146141300</v>
          </cell>
          <cell r="L19">
            <v>2843789786</v>
          </cell>
          <cell r="M19">
            <v>1296856870</v>
          </cell>
          <cell r="N19">
            <v>4140646656</v>
          </cell>
          <cell r="O19">
            <v>-1367838436</v>
          </cell>
          <cell r="P19">
            <v>5707348593</v>
          </cell>
          <cell r="Q19">
            <v>2772808220</v>
          </cell>
          <cell r="R19">
            <v>2772808220</v>
          </cell>
          <cell r="S19">
            <v>0</v>
          </cell>
          <cell r="T19">
            <v>0</v>
          </cell>
          <cell r="U19">
            <v>2772808220</v>
          </cell>
        </row>
        <row r="20">
          <cell r="C20">
            <v>558960</v>
          </cell>
          <cell r="D20">
            <v>5244</v>
          </cell>
          <cell r="E20" t="str">
            <v>기프티콘 제휴(B2B)</v>
          </cell>
          <cell r="F20" t="str">
            <v>영업수익</v>
          </cell>
          <cell r="G20">
            <v>503526875</v>
          </cell>
          <cell r="H20">
            <v>1633910705</v>
          </cell>
          <cell r="I20">
            <v>2137437580</v>
          </cell>
          <cell r="J20">
            <v>1466868904</v>
          </cell>
          <cell r="K20">
            <v>1235185769</v>
          </cell>
          <cell r="L20">
            <v>2702054673</v>
          </cell>
          <cell r="M20">
            <v>1578908120</v>
          </cell>
          <cell r="N20">
            <v>4280962793</v>
          </cell>
          <cell r="O20">
            <v>-1911416899</v>
          </cell>
          <cell r="P20">
            <v>5634709054</v>
          </cell>
          <cell r="Q20">
            <v>2369545894</v>
          </cell>
          <cell r="R20">
            <v>2369545894</v>
          </cell>
          <cell r="S20">
            <v>0</v>
          </cell>
          <cell r="T20">
            <v>0</v>
          </cell>
          <cell r="U20">
            <v>2369545894</v>
          </cell>
        </row>
        <row r="21">
          <cell r="C21">
            <v>558970</v>
          </cell>
          <cell r="D21">
            <v>5244</v>
          </cell>
          <cell r="E21" t="str">
            <v>기프티콘 기타(B2B)</v>
          </cell>
          <cell r="F21" t="str">
            <v>영업수익</v>
          </cell>
          <cell r="G21">
            <v>5969600</v>
          </cell>
          <cell r="H21">
            <v>17406700</v>
          </cell>
          <cell r="I21">
            <v>23376300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C22">
            <v>558990</v>
          </cell>
          <cell r="D22">
            <v>5244</v>
          </cell>
          <cell r="E22" t="str">
            <v>기프티콘 기타(B2C)</v>
          </cell>
          <cell r="F22" t="str">
            <v>영업수익</v>
          </cell>
          <cell r="G22">
            <v>2727300</v>
          </cell>
          <cell r="H22">
            <v>9390900</v>
          </cell>
          <cell r="I22">
            <v>12118200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C23">
            <v>558850</v>
          </cell>
          <cell r="D23">
            <v>5244</v>
          </cell>
          <cell r="E23" t="str">
            <v>용역수익-기타(매출)</v>
          </cell>
          <cell r="F23" t="str">
            <v>영업수익</v>
          </cell>
          <cell r="G23">
            <v>320068460</v>
          </cell>
          <cell r="H23">
            <v>2738180669</v>
          </cell>
          <cell r="I23">
            <v>3058249129</v>
          </cell>
          <cell r="J23">
            <v>1546393137</v>
          </cell>
          <cell r="K23">
            <v>1522429933</v>
          </cell>
          <cell r="L23">
            <v>3068823070</v>
          </cell>
          <cell r="M23">
            <v>1379007360</v>
          </cell>
          <cell r="N23">
            <v>4447830430</v>
          </cell>
          <cell r="O23">
            <v>10707062875</v>
          </cell>
          <cell r="P23">
            <v>13095221961</v>
          </cell>
          <cell r="Q23">
            <v>15154893305</v>
          </cell>
          <cell r="R23">
            <v>15154893305</v>
          </cell>
          <cell r="S23">
            <v>0</v>
          </cell>
          <cell r="T23">
            <v>0</v>
          </cell>
          <cell r="U23">
            <v>15154893305</v>
          </cell>
        </row>
        <row r="24">
          <cell r="C24">
            <v>558860</v>
          </cell>
          <cell r="D24">
            <v>5244</v>
          </cell>
          <cell r="E24" t="str">
            <v>용역수익-기타(매입)</v>
          </cell>
          <cell r="F24" t="str">
            <v>영업수익</v>
          </cell>
          <cell r="G24">
            <v>-271360643</v>
          </cell>
          <cell r="H24">
            <v>-2495019218</v>
          </cell>
          <cell r="I24">
            <v>-2766379861</v>
          </cell>
          <cell r="J24">
            <v>-1380269326</v>
          </cell>
          <cell r="K24">
            <v>-1373747437</v>
          </cell>
          <cell r="L24">
            <v>-2754016763</v>
          </cell>
          <cell r="M24">
            <v>-1255503664</v>
          </cell>
          <cell r="N24">
            <v>-4009520427</v>
          </cell>
          <cell r="O24">
            <v>-10983880394</v>
          </cell>
          <cell r="P24">
            <v>-12516013765</v>
          </cell>
          <cell r="Q24">
            <v>-14993400821</v>
          </cell>
          <cell r="R24">
            <v>-14993400821</v>
          </cell>
          <cell r="S24">
            <v>0</v>
          </cell>
          <cell r="T24">
            <v>0</v>
          </cell>
          <cell r="U24">
            <v>-14993400821</v>
          </cell>
        </row>
        <row r="25">
          <cell r="C25">
            <v>558880</v>
          </cell>
          <cell r="D25">
            <v>5244</v>
          </cell>
          <cell r="E25" t="str">
            <v>용역수익-기타</v>
          </cell>
          <cell r="F25" t="str">
            <v>영업수익</v>
          </cell>
          <cell r="G25">
            <v>117760274</v>
          </cell>
          <cell r="H25">
            <v>602280409</v>
          </cell>
          <cell r="I25">
            <v>720040683</v>
          </cell>
          <cell r="J25">
            <v>573250004</v>
          </cell>
          <cell r="K25">
            <v>350637500</v>
          </cell>
          <cell r="L25">
            <v>923887504</v>
          </cell>
          <cell r="M25">
            <v>275494935</v>
          </cell>
          <cell r="N25">
            <v>1199382439</v>
          </cell>
          <cell r="O25">
            <v>-227709766</v>
          </cell>
          <cell r="P25">
            <v>1498374633</v>
          </cell>
          <cell r="Q25">
            <v>971672673</v>
          </cell>
          <cell r="R25">
            <v>971672673</v>
          </cell>
          <cell r="S25">
            <v>0</v>
          </cell>
          <cell r="T25">
            <v>0</v>
          </cell>
          <cell r="U25">
            <v>971672673</v>
          </cell>
        </row>
        <row r="26">
          <cell r="C26">
            <v>600</v>
          </cell>
          <cell r="D26"/>
          <cell r="E26" t="str">
            <v>영업비용</v>
          </cell>
          <cell r="F26"/>
          <cell r="G26">
            <v>-53613655015</v>
          </cell>
          <cell r="H26">
            <v>-193994352580</v>
          </cell>
          <cell r="I26">
            <v>-247608007595</v>
          </cell>
          <cell r="J26">
            <v>-152640324170</v>
          </cell>
          <cell r="K26">
            <v>-145385158530</v>
          </cell>
          <cell r="L26">
            <v>-298025482700</v>
          </cell>
          <cell r="M26">
            <v>-140167898619</v>
          </cell>
          <cell r="N26">
            <v>-438193381319</v>
          </cell>
          <cell r="O26">
            <v>170785818174</v>
          </cell>
          <cell r="P26">
            <v>-529060378643</v>
          </cell>
          <cell r="Q26">
            <v>-267407563145</v>
          </cell>
          <cell r="R26">
            <v>-267407563145</v>
          </cell>
          <cell r="S26">
            <v>17439911678</v>
          </cell>
          <cell r="T26">
            <v>17439911678</v>
          </cell>
          <cell r="U26">
            <v>-267407563145</v>
          </cell>
        </row>
        <row r="27">
          <cell r="C27">
            <v>6001</v>
          </cell>
          <cell r="D27"/>
          <cell r="E27" t="str">
            <v>급여</v>
          </cell>
          <cell r="F27"/>
          <cell r="G27">
            <v>5442181653</v>
          </cell>
          <cell r="H27">
            <v>21274849717</v>
          </cell>
          <cell r="I27">
            <v>26717031370</v>
          </cell>
          <cell r="J27">
            <v>11606603316</v>
          </cell>
          <cell r="K27">
            <v>9308245532</v>
          </cell>
          <cell r="L27">
            <v>20914848848</v>
          </cell>
          <cell r="M27">
            <v>13613876212</v>
          </cell>
          <cell r="N27">
            <v>34528725060</v>
          </cell>
          <cell r="O27">
            <v>-378581185</v>
          </cell>
          <cell r="P27">
            <v>65885346628</v>
          </cell>
          <cell r="Q27">
            <v>38345204551</v>
          </cell>
          <cell r="R27">
            <v>44471773380</v>
          </cell>
          <cell r="S27">
            <v>0</v>
          </cell>
          <cell r="T27">
            <v>10321629505</v>
          </cell>
          <cell r="U27">
            <v>34150143875</v>
          </cell>
        </row>
        <row r="28">
          <cell r="C28">
            <v>600100</v>
          </cell>
          <cell r="D28">
            <v>7011</v>
          </cell>
          <cell r="E28" t="str">
            <v>임원급여-급여</v>
          </cell>
          <cell r="F28" t="str">
            <v>종업원급여</v>
          </cell>
          <cell r="G28">
            <v>142418000</v>
          </cell>
          <cell r="H28">
            <v>471229830</v>
          </cell>
          <cell r="I28">
            <v>613647830</v>
          </cell>
          <cell r="J28">
            <v>641358820</v>
          </cell>
          <cell r="K28">
            <v>635133000</v>
          </cell>
          <cell r="L28">
            <v>1276491820</v>
          </cell>
          <cell r="M28">
            <v>623058000</v>
          </cell>
          <cell r="N28">
            <v>1899549820</v>
          </cell>
          <cell r="O28">
            <v>-625102720</v>
          </cell>
          <cell r="P28">
            <v>2488926470</v>
          </cell>
          <cell r="Q28">
            <v>1274447100</v>
          </cell>
          <cell r="R28">
            <v>1274447100</v>
          </cell>
          <cell r="S28"/>
          <cell r="T28">
            <v>0</v>
          </cell>
          <cell r="U28">
            <v>1274447100</v>
          </cell>
        </row>
        <row r="29">
          <cell r="C29">
            <v>600102</v>
          </cell>
          <cell r="D29">
            <v>7012</v>
          </cell>
          <cell r="E29" t="str">
            <v>임원급여-상여</v>
          </cell>
          <cell r="F29" t="str">
            <v>종업원급여</v>
          </cell>
          <cell r="G29">
            <v>0</v>
          </cell>
          <cell r="H29">
            <v>0</v>
          </cell>
          <cell r="I29">
            <v>0</v>
          </cell>
          <cell r="J29">
            <v>898821000</v>
          </cell>
          <cell r="K29">
            <v>0</v>
          </cell>
          <cell r="L29">
            <v>898821000</v>
          </cell>
          <cell r="M29">
            <v>0</v>
          </cell>
          <cell r="N29">
            <v>898821000</v>
          </cell>
          <cell r="O29">
            <v>1557837000</v>
          </cell>
          <cell r="P29">
            <v>898821000</v>
          </cell>
          <cell r="Q29">
            <v>2456658000</v>
          </cell>
          <cell r="R29">
            <v>2456658000</v>
          </cell>
          <cell r="S29"/>
          <cell r="T29">
            <v>0</v>
          </cell>
          <cell r="U29">
            <v>2456658000</v>
          </cell>
        </row>
        <row r="30">
          <cell r="C30">
            <v>600200</v>
          </cell>
          <cell r="D30">
            <v>7021</v>
          </cell>
          <cell r="E30" t="str">
            <v>기본급</v>
          </cell>
          <cell r="F30" t="str">
            <v>종업원급여</v>
          </cell>
          <cell r="G30">
            <v>2080821574</v>
          </cell>
          <cell r="H30">
            <v>6281738259</v>
          </cell>
          <cell r="I30">
            <v>8362559833</v>
          </cell>
          <cell r="J30">
            <v>7586617910</v>
          </cell>
          <cell r="K30">
            <v>4243501242</v>
          </cell>
          <cell r="L30">
            <v>11830119152</v>
          </cell>
          <cell r="M30">
            <v>5808614504</v>
          </cell>
          <cell r="N30">
            <v>17638733656</v>
          </cell>
          <cell r="O30">
            <v>-4488097150</v>
          </cell>
          <cell r="P30">
            <v>31537852580</v>
          </cell>
          <cell r="Q30">
            <v>15222728137</v>
          </cell>
          <cell r="R30">
            <v>17242813250</v>
          </cell>
          <cell r="S30"/>
          <cell r="T30">
            <v>4092176744</v>
          </cell>
          <cell r="U30">
            <v>13150636506</v>
          </cell>
        </row>
        <row r="31">
          <cell r="C31">
            <v>600300</v>
          </cell>
          <cell r="D31">
            <v>7022</v>
          </cell>
          <cell r="E31" t="str">
            <v>정기상여금</v>
          </cell>
          <cell r="F31" t="str">
            <v>종업원급여</v>
          </cell>
          <cell r="G31">
            <v>1387419753</v>
          </cell>
          <cell r="H31">
            <v>4182633168</v>
          </cell>
          <cell r="I31">
            <v>5570052921</v>
          </cell>
          <cell r="J31">
            <v>5050979590</v>
          </cell>
          <cell r="K31">
            <v>2822272575</v>
          </cell>
          <cell r="L31">
            <v>7873252165</v>
          </cell>
          <cell r="M31">
            <v>3870847568</v>
          </cell>
          <cell r="N31">
            <v>11744099733</v>
          </cell>
          <cell r="O31">
            <v>-2977155154</v>
          </cell>
          <cell r="P31">
            <v>21008981230</v>
          </cell>
          <cell r="Q31">
            <v>10148476030</v>
          </cell>
          <cell r="R31">
            <v>11495275230</v>
          </cell>
          <cell r="S31"/>
          <cell r="T31">
            <v>2728330651</v>
          </cell>
          <cell r="U31">
            <v>8766944579</v>
          </cell>
        </row>
        <row r="32">
          <cell r="C32">
            <v>600310</v>
          </cell>
          <cell r="D32">
            <v>7022</v>
          </cell>
          <cell r="E32" t="str">
            <v>특별상여금</v>
          </cell>
          <cell r="F32" t="str">
            <v>종업원급여</v>
          </cell>
          <cell r="G32">
            <v>1073199440</v>
          </cell>
          <cell r="H32">
            <v>8349321800</v>
          </cell>
          <cell r="I32">
            <v>9422521240</v>
          </cell>
          <cell r="J32">
            <v>-5072462802</v>
          </cell>
          <cell r="K32">
            <v>228443200</v>
          </cell>
          <cell r="L32">
            <v>-4844019602</v>
          </cell>
          <cell r="M32">
            <v>1468000000</v>
          </cell>
          <cell r="N32">
            <v>-3376019602</v>
          </cell>
          <cell r="O32">
            <v>7185105562</v>
          </cell>
          <cell r="P32">
            <v>-495129412</v>
          </cell>
          <cell r="Q32">
            <v>3849085960</v>
          </cell>
          <cell r="R32">
            <v>5966175960</v>
          </cell>
          <cell r="S32"/>
          <cell r="T32">
            <v>2157090000</v>
          </cell>
          <cell r="U32">
            <v>3809085960</v>
          </cell>
        </row>
        <row r="33">
          <cell r="C33">
            <v>600400</v>
          </cell>
          <cell r="D33">
            <v>7031</v>
          </cell>
          <cell r="E33" t="str">
            <v>초과근무수당</v>
          </cell>
          <cell r="F33" t="str">
            <v>종업원급여</v>
          </cell>
          <cell r="G33">
            <v>457731549</v>
          </cell>
          <cell r="H33">
            <v>1440820734</v>
          </cell>
          <cell r="I33">
            <v>1898552283</v>
          </cell>
          <cell r="J33">
            <v>1707477630</v>
          </cell>
          <cell r="K33">
            <v>942399680</v>
          </cell>
          <cell r="L33">
            <v>2649877310</v>
          </cell>
          <cell r="M33">
            <v>1312363223</v>
          </cell>
          <cell r="N33">
            <v>3962240533</v>
          </cell>
          <cell r="O33">
            <v>-974053158</v>
          </cell>
          <cell r="P33">
            <v>7202760970</v>
          </cell>
          <cell r="Q33">
            <v>3476088207</v>
          </cell>
          <cell r="R33">
            <v>3943344880</v>
          </cell>
          <cell r="S33"/>
          <cell r="T33">
            <v>955157505</v>
          </cell>
          <cell r="U33">
            <v>2988187375</v>
          </cell>
        </row>
        <row r="34">
          <cell r="C34">
            <v>600410</v>
          </cell>
          <cell r="D34">
            <v>7031</v>
          </cell>
          <cell r="E34" t="str">
            <v>야간근무수당</v>
          </cell>
          <cell r="F34" t="str">
            <v>종업원급여</v>
          </cell>
          <cell r="G34">
            <v>2530956</v>
          </cell>
          <cell r="H34">
            <v>53948814</v>
          </cell>
          <cell r="I34">
            <v>56479770</v>
          </cell>
          <cell r="J34">
            <v>26393070</v>
          </cell>
          <cell r="K34">
            <v>24421702</v>
          </cell>
          <cell r="L34">
            <v>50814772</v>
          </cell>
          <cell r="M34">
            <v>37510140</v>
          </cell>
          <cell r="N34">
            <v>88324912</v>
          </cell>
          <cell r="O34">
            <v>-25639030</v>
          </cell>
          <cell r="P34">
            <v>210821520</v>
          </cell>
          <cell r="Q34">
            <v>75806060</v>
          </cell>
          <cell r="R34">
            <v>85051630</v>
          </cell>
          <cell r="S34"/>
          <cell r="T34">
            <v>22365748</v>
          </cell>
          <cell r="U34">
            <v>62685882</v>
          </cell>
        </row>
        <row r="35">
          <cell r="C35">
            <v>600420</v>
          </cell>
          <cell r="D35">
            <v>7031</v>
          </cell>
          <cell r="E35" t="str">
            <v>휴일근무수당</v>
          </cell>
          <cell r="F35" t="str">
            <v>종업원급여</v>
          </cell>
          <cell r="G35">
            <v>6467760</v>
          </cell>
          <cell r="H35">
            <v>174455618</v>
          </cell>
          <cell r="I35">
            <v>180923378</v>
          </cell>
          <cell r="J35">
            <v>63409740</v>
          </cell>
          <cell r="K35">
            <v>58441206</v>
          </cell>
          <cell r="L35">
            <v>121850946</v>
          </cell>
          <cell r="M35">
            <v>85078780</v>
          </cell>
          <cell r="N35">
            <v>206929726</v>
          </cell>
          <cell r="O35">
            <v>-53866123</v>
          </cell>
          <cell r="P35">
            <v>482737480</v>
          </cell>
          <cell r="Q35">
            <v>180731168</v>
          </cell>
          <cell r="R35">
            <v>193962660</v>
          </cell>
          <cell r="S35"/>
          <cell r="T35">
            <v>40899057</v>
          </cell>
          <cell r="U35">
            <v>153063603</v>
          </cell>
        </row>
        <row r="36">
          <cell r="C36">
            <v>600430</v>
          </cell>
          <cell r="D36">
            <v>7031</v>
          </cell>
          <cell r="E36" t="str">
            <v>연월차수당</v>
          </cell>
          <cell r="F36" t="str">
            <v>종업원급여</v>
          </cell>
          <cell r="G36">
            <v>980160</v>
          </cell>
          <cell r="H36">
            <v>941316344</v>
          </cell>
          <cell r="I36">
            <v>942296504</v>
          </cell>
          <cell r="J36">
            <v>121622560</v>
          </cell>
          <cell r="K36">
            <v>8283560</v>
          </cell>
          <cell r="L36">
            <v>129906120</v>
          </cell>
          <cell r="M36">
            <v>40118760</v>
          </cell>
          <cell r="N36">
            <v>170024880</v>
          </cell>
          <cell r="O36">
            <v>-78956520</v>
          </cell>
          <cell r="P36">
            <v>1399299760</v>
          </cell>
          <cell r="Q36">
            <v>107291120</v>
          </cell>
          <cell r="R36">
            <v>122678720</v>
          </cell>
          <cell r="S36"/>
          <cell r="T36">
            <v>31610360</v>
          </cell>
          <cell r="U36">
            <v>91068360</v>
          </cell>
        </row>
        <row r="37">
          <cell r="C37">
            <v>600431</v>
          </cell>
          <cell r="D37">
            <v>7031</v>
          </cell>
          <cell r="E37" t="str">
            <v>연월차수당_조정</v>
          </cell>
          <cell r="F37" t="str">
            <v>종업원급여</v>
          </cell>
          <cell r="G37">
            <v>258125631</v>
          </cell>
          <cell r="H37">
            <v>-748205810</v>
          </cell>
          <cell r="I37">
            <v>-490080179</v>
          </cell>
          <cell r="J37">
            <v>413532248</v>
          </cell>
          <cell r="K37">
            <v>40752697</v>
          </cell>
          <cell r="L37">
            <v>454284945</v>
          </cell>
          <cell r="M37">
            <v>133305077</v>
          </cell>
          <cell r="N37">
            <v>587590022</v>
          </cell>
          <cell r="O37">
            <v>320304968</v>
          </cell>
          <cell r="P37">
            <v>187849900</v>
          </cell>
          <cell r="Q37">
            <v>1059819379</v>
          </cell>
          <cell r="R37">
            <v>1197292560</v>
          </cell>
          <cell r="S37"/>
          <cell r="T37">
            <v>289397570</v>
          </cell>
          <cell r="U37">
            <v>907894990</v>
          </cell>
        </row>
        <row r="38">
          <cell r="C38">
            <v>600490</v>
          </cell>
          <cell r="D38">
            <v>7031</v>
          </cell>
          <cell r="E38" t="str">
            <v>기타수당</v>
          </cell>
          <cell r="F38" t="str">
            <v>종업원급여</v>
          </cell>
          <cell r="G38">
            <v>0</v>
          </cell>
          <cell r="H38">
            <v>127160</v>
          </cell>
          <cell r="I38">
            <v>127160</v>
          </cell>
          <cell r="J38">
            <v>0</v>
          </cell>
          <cell r="K38">
            <v>157692850</v>
          </cell>
          <cell r="L38">
            <v>157692850</v>
          </cell>
          <cell r="M38">
            <v>-38475130</v>
          </cell>
          <cell r="N38">
            <v>119217720</v>
          </cell>
          <cell r="O38">
            <v>-119217720</v>
          </cell>
          <cell r="P38">
            <v>124369800</v>
          </cell>
          <cell r="Q38">
            <v>0</v>
          </cell>
          <cell r="R38">
            <v>0</v>
          </cell>
          <cell r="S38"/>
          <cell r="T38">
            <v>0</v>
          </cell>
          <cell r="U38">
            <v>0</v>
          </cell>
        </row>
        <row r="39">
          <cell r="C39">
            <v>600500</v>
          </cell>
          <cell r="D39">
            <v>7023</v>
          </cell>
          <cell r="E39" t="str">
            <v>계약직급여</v>
          </cell>
          <cell r="F39" t="str">
            <v>종업원급여</v>
          </cell>
          <cell r="G39">
            <v>32486830</v>
          </cell>
          <cell r="H39">
            <v>127463800</v>
          </cell>
          <cell r="I39">
            <v>159950630</v>
          </cell>
          <cell r="J39">
            <v>168853550</v>
          </cell>
          <cell r="K39">
            <v>146903820</v>
          </cell>
          <cell r="L39">
            <v>315757370</v>
          </cell>
          <cell r="M39">
            <v>273455290</v>
          </cell>
          <cell r="N39">
            <v>589212660</v>
          </cell>
          <cell r="O39">
            <v>-99741140</v>
          </cell>
          <cell r="P39">
            <v>838055330</v>
          </cell>
          <cell r="Q39">
            <v>494073390</v>
          </cell>
          <cell r="R39">
            <v>494073390</v>
          </cell>
          <cell r="S39"/>
          <cell r="T39">
            <v>4601870</v>
          </cell>
          <cell r="U39">
            <v>489471520</v>
          </cell>
        </row>
        <row r="40">
          <cell r="C40">
            <v>6007</v>
          </cell>
          <cell r="D40"/>
          <cell r="E40" t="str">
            <v>용역직인건비</v>
          </cell>
          <cell r="F40"/>
          <cell r="G40">
            <v>178149867</v>
          </cell>
          <cell r="H40">
            <v>612914314</v>
          </cell>
          <cell r="I40">
            <v>791064181</v>
          </cell>
          <cell r="J40">
            <v>986538295</v>
          </cell>
          <cell r="K40">
            <v>624516980</v>
          </cell>
          <cell r="L40">
            <v>1611055275</v>
          </cell>
          <cell r="M40">
            <v>770496925</v>
          </cell>
          <cell r="N40">
            <v>2381552200</v>
          </cell>
          <cell r="O40">
            <v>-406718850</v>
          </cell>
          <cell r="P40">
            <v>3529233850</v>
          </cell>
          <cell r="Q40">
            <v>2059087320</v>
          </cell>
          <cell r="R40">
            <v>2172148310</v>
          </cell>
          <cell r="S40"/>
          <cell r="T40">
            <v>197314960</v>
          </cell>
          <cell r="U40">
            <v>1974833350</v>
          </cell>
        </row>
        <row r="41">
          <cell r="C41">
            <v>600700</v>
          </cell>
          <cell r="D41">
            <v>7263</v>
          </cell>
          <cell r="E41" t="str">
            <v>용역직인건비</v>
          </cell>
          <cell r="F41" t="str">
            <v>지급수수료</v>
          </cell>
          <cell r="G41">
            <v>178149867</v>
          </cell>
          <cell r="H41">
            <v>612914314</v>
          </cell>
          <cell r="I41">
            <v>791064181</v>
          </cell>
          <cell r="J41">
            <v>986538295</v>
          </cell>
          <cell r="K41">
            <v>624516980</v>
          </cell>
          <cell r="L41">
            <v>1611055275</v>
          </cell>
          <cell r="M41">
            <v>770496925</v>
          </cell>
          <cell r="N41">
            <v>2381552200</v>
          </cell>
          <cell r="O41">
            <v>-406718850</v>
          </cell>
          <cell r="P41">
            <v>3529233850</v>
          </cell>
          <cell r="Q41">
            <v>2059087320</v>
          </cell>
          <cell r="R41">
            <v>2172148310</v>
          </cell>
          <cell r="S41"/>
          <cell r="T41">
            <v>197314960</v>
          </cell>
          <cell r="U41">
            <v>1974833350</v>
          </cell>
        </row>
        <row r="42">
          <cell r="C42">
            <v>6021</v>
          </cell>
          <cell r="D42"/>
          <cell r="E42" t="str">
            <v>퇴직급여</v>
          </cell>
          <cell r="F42"/>
          <cell r="G42">
            <v>465855144</v>
          </cell>
          <cell r="H42">
            <v>2211793079</v>
          </cell>
          <cell r="I42">
            <v>2677648223</v>
          </cell>
          <cell r="J42">
            <v>1589819176</v>
          </cell>
          <cell r="K42">
            <v>1589004008</v>
          </cell>
          <cell r="L42">
            <v>3178823184</v>
          </cell>
          <cell r="M42">
            <v>1592255687</v>
          </cell>
          <cell r="N42">
            <v>4771078871</v>
          </cell>
          <cell r="O42">
            <v>-1282739621</v>
          </cell>
          <cell r="P42">
            <v>6473698862</v>
          </cell>
          <cell r="Q42">
            <v>3488339250</v>
          </cell>
          <cell r="R42">
            <v>3488339250</v>
          </cell>
          <cell r="S42"/>
          <cell r="T42">
            <v>0</v>
          </cell>
          <cell r="U42">
            <v>3488339250</v>
          </cell>
        </row>
        <row r="43">
          <cell r="C43">
            <v>602110</v>
          </cell>
          <cell r="D43">
            <v>7043</v>
          </cell>
          <cell r="E43" t="str">
            <v>퇴직급여-당기근무-종</v>
          </cell>
          <cell r="F43" t="str">
            <v>종업원급여</v>
          </cell>
          <cell r="G43">
            <v>451659792</v>
          </cell>
          <cell r="H43">
            <v>1970576843</v>
          </cell>
          <cell r="I43">
            <v>2422236635</v>
          </cell>
          <cell r="J43">
            <v>1471897258</v>
          </cell>
          <cell r="K43">
            <v>1471082088</v>
          </cell>
          <cell r="L43">
            <v>2942979346</v>
          </cell>
          <cell r="M43">
            <v>1474333768</v>
          </cell>
          <cell r="N43">
            <v>4417313114</v>
          </cell>
          <cell r="O43">
            <v>-1181847134</v>
          </cell>
          <cell r="P43">
            <v>5902011186</v>
          </cell>
          <cell r="Q43">
            <v>3235465980</v>
          </cell>
          <cell r="R43">
            <v>3235465980</v>
          </cell>
          <cell r="S43"/>
          <cell r="T43">
            <v>0</v>
          </cell>
          <cell r="U43">
            <v>3235465980</v>
          </cell>
        </row>
        <row r="44">
          <cell r="C44">
            <v>602112</v>
          </cell>
          <cell r="D44">
            <v>7043</v>
          </cell>
          <cell r="E44" t="str">
            <v>퇴직급여-당기근무-임</v>
          </cell>
          <cell r="F44" t="str">
            <v>종업원급여</v>
          </cell>
          <cell r="G44">
            <v>6613133</v>
          </cell>
          <cell r="H44">
            <v>28927112</v>
          </cell>
          <cell r="I44">
            <v>35540245</v>
          </cell>
          <cell r="J44">
            <v>72927453</v>
          </cell>
          <cell r="K44">
            <v>72927454</v>
          </cell>
          <cell r="L44">
            <v>145854907</v>
          </cell>
          <cell r="M44">
            <v>72927453</v>
          </cell>
          <cell r="N44">
            <v>218782360</v>
          </cell>
          <cell r="O44">
            <v>-29798257</v>
          </cell>
          <cell r="P44">
            <v>391709814</v>
          </cell>
          <cell r="Q44">
            <v>188984103</v>
          </cell>
          <cell r="R44">
            <v>188984103</v>
          </cell>
          <cell r="S44"/>
          <cell r="T44">
            <v>0</v>
          </cell>
          <cell r="U44">
            <v>188984103</v>
          </cell>
        </row>
        <row r="45">
          <cell r="C45">
            <v>602130</v>
          </cell>
          <cell r="D45">
            <v>7043</v>
          </cell>
          <cell r="E45" t="str">
            <v>퇴직급여-이자비용-종</v>
          </cell>
          <cell r="F45" t="str">
            <v>종업원급여</v>
          </cell>
          <cell r="G45">
            <v>72214557</v>
          </cell>
          <cell r="H45">
            <v>199476990</v>
          </cell>
          <cell r="I45">
            <v>271691547</v>
          </cell>
          <cell r="J45">
            <v>197106582</v>
          </cell>
          <cell r="K45">
            <v>197106582</v>
          </cell>
          <cell r="L45">
            <v>394213164</v>
          </cell>
          <cell r="M45">
            <v>197106582</v>
          </cell>
          <cell r="N45">
            <v>591319746</v>
          </cell>
          <cell r="O45">
            <v>-205532961</v>
          </cell>
          <cell r="P45">
            <v>788426328</v>
          </cell>
          <cell r="Q45">
            <v>385786785</v>
          </cell>
          <cell r="R45">
            <v>385786785</v>
          </cell>
          <cell r="S45"/>
          <cell r="T45">
            <v>0</v>
          </cell>
          <cell r="U45">
            <v>385786785</v>
          </cell>
        </row>
        <row r="46">
          <cell r="C46">
            <v>602131</v>
          </cell>
          <cell r="D46">
            <v>7043</v>
          </cell>
          <cell r="E46" t="str">
            <v>퇴직급여-이자비용-임</v>
          </cell>
          <cell r="F46" t="str">
            <v>종업원급여</v>
          </cell>
          <cell r="G46">
            <v>1225067</v>
          </cell>
          <cell r="H46">
            <v>2379689</v>
          </cell>
          <cell r="I46">
            <v>3604756</v>
          </cell>
          <cell r="J46">
            <v>4278527</v>
          </cell>
          <cell r="K46">
            <v>4278528</v>
          </cell>
          <cell r="L46">
            <v>8557055</v>
          </cell>
          <cell r="M46">
            <v>4278528</v>
          </cell>
          <cell r="N46">
            <v>12835583</v>
          </cell>
          <cell r="O46">
            <v>-237328</v>
          </cell>
          <cell r="P46">
            <v>17114111</v>
          </cell>
          <cell r="Q46">
            <v>12598255</v>
          </cell>
          <cell r="R46">
            <v>12598255</v>
          </cell>
          <cell r="S46"/>
          <cell r="T46">
            <v>0</v>
          </cell>
          <cell r="U46">
            <v>12598255</v>
          </cell>
        </row>
        <row r="47">
          <cell r="C47">
            <v>602140</v>
          </cell>
          <cell r="D47">
            <v>7043</v>
          </cell>
          <cell r="E47" t="str">
            <v>퇴직급여-기대수익-종</v>
          </cell>
          <cell r="F47" t="str">
            <v>종업원급여</v>
          </cell>
          <cell r="G47">
            <v>-64968391</v>
          </cell>
          <cell r="H47">
            <v>10592240</v>
          </cell>
          <cell r="I47">
            <v>-54376151</v>
          </cell>
          <cell r="J47">
            <v>-148788635</v>
          </cell>
          <cell r="K47">
            <v>-148788634</v>
          </cell>
          <cell r="L47">
            <v>-297577269</v>
          </cell>
          <cell r="M47">
            <v>-148788635</v>
          </cell>
          <cell r="N47">
            <v>-446365904</v>
          </cell>
          <cell r="O47">
            <v>130993231</v>
          </cell>
          <cell r="P47">
            <v>-595154540</v>
          </cell>
          <cell r="Q47">
            <v>-315372673</v>
          </cell>
          <cell r="R47">
            <v>-315372673</v>
          </cell>
          <cell r="S47"/>
          <cell r="T47">
            <v>0</v>
          </cell>
          <cell r="U47">
            <v>-315372673</v>
          </cell>
        </row>
        <row r="48">
          <cell r="C48">
            <v>602141</v>
          </cell>
          <cell r="D48">
            <v>7043</v>
          </cell>
          <cell r="E48" t="str">
            <v>퇴직급여-기대수익-임</v>
          </cell>
          <cell r="F48" t="str">
            <v>종업원급여</v>
          </cell>
          <cell r="G48">
            <v>-889014</v>
          </cell>
          <cell r="H48">
            <v>-159795</v>
          </cell>
          <cell r="I48">
            <v>-1048809</v>
          </cell>
          <cell r="J48">
            <v>-7602009</v>
          </cell>
          <cell r="K48">
            <v>-7602010</v>
          </cell>
          <cell r="L48">
            <v>-15204019</v>
          </cell>
          <cell r="M48">
            <v>-7602009</v>
          </cell>
          <cell r="N48">
            <v>-22806028</v>
          </cell>
          <cell r="O48">
            <v>3682828</v>
          </cell>
          <cell r="P48">
            <v>-30408037</v>
          </cell>
          <cell r="Q48">
            <v>-19123200</v>
          </cell>
          <cell r="R48">
            <v>-19123200</v>
          </cell>
          <cell r="S48"/>
          <cell r="T48">
            <v>0</v>
          </cell>
          <cell r="U48">
            <v>-19123200</v>
          </cell>
        </row>
        <row r="49">
          <cell r="C49">
            <v>6031</v>
          </cell>
          <cell r="D49"/>
          <cell r="E49" t="str">
            <v>복리후생비</v>
          </cell>
          <cell r="F49"/>
          <cell r="G49">
            <v>1212233134</v>
          </cell>
          <cell r="H49">
            <v>4953303166</v>
          </cell>
          <cell r="I49">
            <v>6165536300</v>
          </cell>
          <cell r="J49">
            <v>4302572887</v>
          </cell>
          <cell r="K49">
            <v>2588465333</v>
          </cell>
          <cell r="L49">
            <v>6891038220</v>
          </cell>
          <cell r="M49">
            <v>3438248587</v>
          </cell>
          <cell r="N49">
            <v>10329286807</v>
          </cell>
          <cell r="O49">
            <v>-1970491684</v>
          </cell>
          <cell r="P49">
            <v>18283449275</v>
          </cell>
          <cell r="Q49">
            <v>9116482584</v>
          </cell>
          <cell r="R49">
            <v>9809121280</v>
          </cell>
          <cell r="S49"/>
          <cell r="T49">
            <v>1450326157</v>
          </cell>
          <cell r="U49">
            <v>8358795123</v>
          </cell>
        </row>
        <row r="50">
          <cell r="C50">
            <v>603100</v>
          </cell>
          <cell r="D50">
            <v>7059</v>
          </cell>
          <cell r="E50" t="str">
            <v>급여성복리비</v>
          </cell>
          <cell r="F50" t="str">
            <v>종업원급여</v>
          </cell>
          <cell r="G50">
            <v>230152348</v>
          </cell>
          <cell r="H50">
            <v>741219953</v>
          </cell>
          <cell r="I50">
            <v>971372301</v>
          </cell>
          <cell r="J50">
            <v>903764760</v>
          </cell>
          <cell r="K50">
            <v>449768737</v>
          </cell>
          <cell r="L50">
            <v>1353533497</v>
          </cell>
          <cell r="M50">
            <v>667777363</v>
          </cell>
          <cell r="N50">
            <v>2021310860</v>
          </cell>
          <cell r="O50">
            <v>-326167759</v>
          </cell>
          <cell r="P50">
            <v>3644796410</v>
          </cell>
          <cell r="Q50">
            <v>1997761887</v>
          </cell>
          <cell r="R50">
            <v>2290888060</v>
          </cell>
          <cell r="S50"/>
          <cell r="T50">
            <v>595744959</v>
          </cell>
          <cell r="U50">
            <v>1695143101</v>
          </cell>
        </row>
        <row r="51">
          <cell r="C51">
            <v>603200</v>
          </cell>
          <cell r="D51">
            <v>7051</v>
          </cell>
          <cell r="E51" t="str">
            <v>의료보험법정지원금</v>
          </cell>
          <cell r="F51" t="str">
            <v>종업원급여</v>
          </cell>
          <cell r="G51">
            <v>177088056</v>
          </cell>
          <cell r="H51">
            <v>531551226</v>
          </cell>
          <cell r="I51">
            <v>708639282</v>
          </cell>
          <cell r="J51">
            <v>669215750</v>
          </cell>
          <cell r="K51">
            <v>235938294</v>
          </cell>
          <cell r="L51">
            <v>905154044</v>
          </cell>
          <cell r="M51">
            <v>493527872</v>
          </cell>
          <cell r="N51">
            <v>1398681916</v>
          </cell>
          <cell r="O51">
            <v>-287541446</v>
          </cell>
          <cell r="P51">
            <v>2459721240</v>
          </cell>
          <cell r="Q51">
            <v>1293627898</v>
          </cell>
          <cell r="R51">
            <v>1454429540</v>
          </cell>
          <cell r="S51"/>
          <cell r="T51">
            <v>343289070</v>
          </cell>
          <cell r="U51">
            <v>1111140470</v>
          </cell>
        </row>
        <row r="52">
          <cell r="C52">
            <v>603210</v>
          </cell>
          <cell r="D52">
            <v>7056</v>
          </cell>
          <cell r="E52" t="str">
            <v>국민연금법정지원금</v>
          </cell>
          <cell r="F52" t="str">
            <v>종업원급여</v>
          </cell>
          <cell r="G52">
            <v>159356238</v>
          </cell>
          <cell r="H52">
            <v>478283320</v>
          </cell>
          <cell r="I52">
            <v>637639558</v>
          </cell>
          <cell r="J52">
            <v>587580290</v>
          </cell>
          <cell r="K52">
            <v>300939200</v>
          </cell>
          <cell r="L52">
            <v>888519490</v>
          </cell>
          <cell r="M52">
            <v>439022124</v>
          </cell>
          <cell r="N52">
            <v>1327541614</v>
          </cell>
          <cell r="O52">
            <v>-415057164</v>
          </cell>
          <cell r="P52">
            <v>2329065130</v>
          </cell>
          <cell r="Q52">
            <v>1063036091</v>
          </cell>
          <cell r="R52">
            <v>1210538640</v>
          </cell>
          <cell r="S52"/>
          <cell r="T52">
            <v>298054190</v>
          </cell>
          <cell r="U52">
            <v>912484450</v>
          </cell>
        </row>
        <row r="53">
          <cell r="C53">
            <v>603220</v>
          </cell>
          <cell r="D53">
            <v>7052</v>
          </cell>
          <cell r="E53" t="str">
            <v>산재보험법정지원금</v>
          </cell>
          <cell r="F53" t="str">
            <v>종업원급여</v>
          </cell>
          <cell r="G53">
            <v>73410000</v>
          </cell>
          <cell r="H53">
            <v>221120490</v>
          </cell>
          <cell r="I53">
            <v>294530490</v>
          </cell>
          <cell r="J53">
            <v>201593740</v>
          </cell>
          <cell r="K53">
            <v>120498800</v>
          </cell>
          <cell r="L53">
            <v>322092540</v>
          </cell>
          <cell r="M53">
            <v>167633820</v>
          </cell>
          <cell r="N53">
            <v>489726360</v>
          </cell>
          <cell r="O53">
            <v>-77877900</v>
          </cell>
          <cell r="P53">
            <v>637716110</v>
          </cell>
          <cell r="Q53">
            <v>411848460</v>
          </cell>
          <cell r="R53">
            <v>411848460</v>
          </cell>
          <cell r="S53"/>
          <cell r="T53">
            <v>0</v>
          </cell>
          <cell r="U53">
            <v>411848460</v>
          </cell>
        </row>
        <row r="54">
          <cell r="C54">
            <v>603230</v>
          </cell>
          <cell r="D54">
            <v>7056</v>
          </cell>
          <cell r="E54" t="str">
            <v>고용보험법정지원금</v>
          </cell>
          <cell r="F54" t="str">
            <v>종업원급여</v>
          </cell>
          <cell r="G54">
            <v>136300000</v>
          </cell>
          <cell r="H54">
            <v>269214940</v>
          </cell>
          <cell r="I54">
            <v>405514940</v>
          </cell>
          <cell r="J54">
            <v>305199060</v>
          </cell>
          <cell r="K54">
            <v>171773760</v>
          </cell>
          <cell r="L54">
            <v>476972820</v>
          </cell>
          <cell r="M54">
            <v>244562960</v>
          </cell>
          <cell r="N54">
            <v>721535780</v>
          </cell>
          <cell r="O54">
            <v>-34825060</v>
          </cell>
          <cell r="P54">
            <v>992431830</v>
          </cell>
          <cell r="Q54">
            <v>686710720</v>
          </cell>
          <cell r="R54">
            <v>686710720</v>
          </cell>
          <cell r="S54"/>
          <cell r="T54">
            <v>0</v>
          </cell>
          <cell r="U54">
            <v>686710720</v>
          </cell>
        </row>
        <row r="55">
          <cell r="C55">
            <v>603300</v>
          </cell>
          <cell r="D55">
            <v>7051</v>
          </cell>
          <cell r="E55" t="str">
            <v>일반복리건강지원</v>
          </cell>
          <cell r="F55" t="str">
            <v>종업원급여</v>
          </cell>
          <cell r="G55">
            <v>3422041</v>
          </cell>
          <cell r="H55">
            <v>280793022</v>
          </cell>
          <cell r="I55">
            <v>284215063</v>
          </cell>
          <cell r="J55">
            <v>95108095</v>
          </cell>
          <cell r="K55">
            <v>140653599</v>
          </cell>
          <cell r="L55">
            <v>235761694</v>
          </cell>
          <cell r="M55">
            <v>190877283</v>
          </cell>
          <cell r="N55">
            <v>426638977</v>
          </cell>
          <cell r="O55">
            <v>-367993595</v>
          </cell>
          <cell r="P55">
            <v>804655738</v>
          </cell>
          <cell r="Q55">
            <v>58645382</v>
          </cell>
          <cell r="R55">
            <v>58645382</v>
          </cell>
          <cell r="S55"/>
          <cell r="T55">
            <v>0</v>
          </cell>
          <cell r="U55">
            <v>58645382</v>
          </cell>
        </row>
        <row r="56">
          <cell r="C56">
            <v>603310</v>
          </cell>
          <cell r="D56">
            <v>7051</v>
          </cell>
          <cell r="E56" t="str">
            <v>일반복리경조/화환</v>
          </cell>
          <cell r="F56" t="str">
            <v>종업원급여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7390908</v>
          </cell>
          <cell r="P56">
            <v>90909</v>
          </cell>
          <cell r="Q56">
            <v>7390908</v>
          </cell>
          <cell r="R56">
            <v>7390908</v>
          </cell>
          <cell r="S56"/>
          <cell r="T56">
            <v>0</v>
          </cell>
          <cell r="U56">
            <v>7390908</v>
          </cell>
        </row>
        <row r="57">
          <cell r="C57">
            <v>603320</v>
          </cell>
          <cell r="D57">
            <v>7059</v>
          </cell>
          <cell r="E57" t="str">
            <v>일반복리생수비</v>
          </cell>
          <cell r="F57" t="str">
            <v>종업원급여</v>
          </cell>
          <cell r="G57">
            <v>0</v>
          </cell>
          <cell r="H57">
            <v>2346300</v>
          </cell>
          <cell r="I57">
            <v>2346300</v>
          </cell>
          <cell r="J57">
            <v>1989900</v>
          </cell>
          <cell r="K57">
            <v>0</v>
          </cell>
          <cell r="L57">
            <v>1989900</v>
          </cell>
          <cell r="M57">
            <v>0</v>
          </cell>
          <cell r="N57">
            <v>1989900</v>
          </cell>
          <cell r="O57">
            <v>-1989900</v>
          </cell>
          <cell r="P57">
            <v>1989900</v>
          </cell>
          <cell r="Q57">
            <v>0</v>
          </cell>
          <cell r="R57">
            <v>0</v>
          </cell>
          <cell r="S57"/>
          <cell r="T57">
            <v>0</v>
          </cell>
          <cell r="U57">
            <v>0</v>
          </cell>
        </row>
        <row r="58">
          <cell r="C58">
            <v>603390</v>
          </cell>
          <cell r="D58">
            <v>7059</v>
          </cell>
          <cell r="E58" t="str">
            <v>기타일반복리비</v>
          </cell>
          <cell r="F58" t="str">
            <v>종업원급여</v>
          </cell>
          <cell r="G58">
            <v>20728369</v>
          </cell>
          <cell r="H58">
            <v>1950591531</v>
          </cell>
          <cell r="I58">
            <v>1971319900</v>
          </cell>
          <cell r="J58">
            <v>934680766</v>
          </cell>
          <cell r="K58">
            <v>648577301</v>
          </cell>
          <cell r="L58">
            <v>1583258067</v>
          </cell>
          <cell r="M58">
            <v>785259967</v>
          </cell>
          <cell r="N58">
            <v>2368518034</v>
          </cell>
          <cell r="O58">
            <v>-289226423</v>
          </cell>
          <cell r="P58">
            <v>4699461051</v>
          </cell>
          <cell r="Q58">
            <v>2079291611</v>
          </cell>
          <cell r="R58">
            <v>2079291611</v>
          </cell>
          <cell r="S58"/>
          <cell r="T58">
            <v>0</v>
          </cell>
          <cell r="U58">
            <v>2079291611</v>
          </cell>
        </row>
        <row r="59">
          <cell r="C59">
            <v>603392</v>
          </cell>
          <cell r="D59">
            <v>7059</v>
          </cell>
          <cell r="E59" t="str">
            <v>장기근속-당기근무-종</v>
          </cell>
          <cell r="F59" t="str">
            <v>종업원급여</v>
          </cell>
          <cell r="G59">
            <v>35744581</v>
          </cell>
          <cell r="H59">
            <v>244781120</v>
          </cell>
          <cell r="I59">
            <v>280525701</v>
          </cell>
          <cell r="J59">
            <v>116663353</v>
          </cell>
          <cell r="K59">
            <v>116663353</v>
          </cell>
          <cell r="L59">
            <v>233326706</v>
          </cell>
          <cell r="M59">
            <v>116663353</v>
          </cell>
          <cell r="N59">
            <v>349990059</v>
          </cell>
          <cell r="O59">
            <v>-85151318</v>
          </cell>
          <cell r="P59">
            <v>485093051</v>
          </cell>
          <cell r="Q59">
            <v>264838741</v>
          </cell>
          <cell r="R59">
            <v>264838741</v>
          </cell>
          <cell r="S59"/>
          <cell r="T59">
            <v>0</v>
          </cell>
          <cell r="U59">
            <v>264838741</v>
          </cell>
        </row>
        <row r="60">
          <cell r="C60">
            <v>603393</v>
          </cell>
          <cell r="D60">
            <v>7059</v>
          </cell>
          <cell r="E60" t="str">
            <v>장기근속-이자원가-종</v>
          </cell>
          <cell r="F60" t="str">
            <v>종업원급여</v>
          </cell>
          <cell r="G60">
            <v>6548501</v>
          </cell>
          <cell r="H60">
            <v>15259858</v>
          </cell>
          <cell r="I60">
            <v>21808359</v>
          </cell>
          <cell r="J60">
            <v>15730392</v>
          </cell>
          <cell r="K60">
            <v>15730393</v>
          </cell>
          <cell r="L60">
            <v>31460785</v>
          </cell>
          <cell r="M60">
            <v>15730393</v>
          </cell>
          <cell r="N60">
            <v>47191178</v>
          </cell>
          <cell r="O60">
            <v>-22217166</v>
          </cell>
          <cell r="P60">
            <v>62921571</v>
          </cell>
          <cell r="Q60">
            <v>24974012</v>
          </cell>
          <cell r="R60">
            <v>24974012</v>
          </cell>
          <cell r="S60"/>
          <cell r="T60">
            <v>0</v>
          </cell>
          <cell r="U60">
            <v>24974012</v>
          </cell>
        </row>
        <row r="61">
          <cell r="C61">
            <v>603400</v>
          </cell>
          <cell r="D61">
            <v>7059</v>
          </cell>
          <cell r="E61" t="str">
            <v>복지시설운영비</v>
          </cell>
          <cell r="F61" t="str">
            <v>종업원급여</v>
          </cell>
          <cell r="G61">
            <v>3230177</v>
          </cell>
          <cell r="H61">
            <v>60190545</v>
          </cell>
          <cell r="I61">
            <v>63420722</v>
          </cell>
          <cell r="J61">
            <v>34512601</v>
          </cell>
          <cell r="K61">
            <v>39589638</v>
          </cell>
          <cell r="L61">
            <v>74102239</v>
          </cell>
          <cell r="M61">
            <v>33984892</v>
          </cell>
          <cell r="N61">
            <v>108087131</v>
          </cell>
          <cell r="O61">
            <v>166818863</v>
          </cell>
          <cell r="P61">
            <v>155712708</v>
          </cell>
          <cell r="Q61">
            <v>274905994</v>
          </cell>
          <cell r="R61">
            <v>274905994</v>
          </cell>
          <cell r="S61"/>
          <cell r="T61">
            <v>0</v>
          </cell>
          <cell r="U61">
            <v>274905994</v>
          </cell>
        </row>
        <row r="62">
          <cell r="C62">
            <v>603500</v>
          </cell>
          <cell r="D62">
            <v>7055</v>
          </cell>
          <cell r="E62" t="str">
            <v>동적요소관리비</v>
          </cell>
          <cell r="F62" t="str">
            <v>종업원급여</v>
          </cell>
          <cell r="G62">
            <v>350000000</v>
          </cell>
          <cell r="H62">
            <v>31171978</v>
          </cell>
          <cell r="I62">
            <v>381171978</v>
          </cell>
          <cell r="J62">
            <v>305715724</v>
          </cell>
          <cell r="K62">
            <v>311635187</v>
          </cell>
          <cell r="L62">
            <v>617350911</v>
          </cell>
          <cell r="M62">
            <v>190423111</v>
          </cell>
          <cell r="N62">
            <v>807774022</v>
          </cell>
          <cell r="O62">
            <v>-278479453</v>
          </cell>
          <cell r="P62">
            <v>1490262910</v>
          </cell>
          <cell r="Q62">
            <v>607315948</v>
          </cell>
          <cell r="R62">
            <v>656991116</v>
          </cell>
          <cell r="S62"/>
          <cell r="T62">
            <v>127696547</v>
          </cell>
          <cell r="U62">
            <v>529294569</v>
          </cell>
        </row>
        <row r="63">
          <cell r="C63">
            <v>603700</v>
          </cell>
          <cell r="D63">
            <v>7055</v>
          </cell>
          <cell r="E63" t="str">
            <v>직책자동적요소관리비</v>
          </cell>
          <cell r="F63" t="str">
            <v>종업원급여</v>
          </cell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>
            <v>116144618</v>
          </cell>
          <cell r="R63">
            <v>131637782</v>
          </cell>
          <cell r="S63"/>
          <cell r="T63">
            <v>33559391</v>
          </cell>
          <cell r="U63">
            <v>98078391</v>
          </cell>
        </row>
        <row r="64">
          <cell r="C64">
            <v>603600</v>
          </cell>
          <cell r="D64">
            <v>7059</v>
          </cell>
          <cell r="E64" t="str">
            <v>특근자석식비</v>
          </cell>
          <cell r="F64" t="str">
            <v>종업원급여</v>
          </cell>
          <cell r="G64">
            <v>16252823</v>
          </cell>
          <cell r="H64">
            <v>80840687</v>
          </cell>
          <cell r="I64">
            <v>97093510</v>
          </cell>
          <cell r="J64">
            <v>83475000</v>
          </cell>
          <cell r="K64">
            <v>43435000</v>
          </cell>
          <cell r="L64">
            <v>126910000</v>
          </cell>
          <cell r="M64">
            <v>70924000</v>
          </cell>
          <cell r="N64">
            <v>197834000</v>
          </cell>
          <cell r="O64">
            <v>-69300000</v>
          </cell>
          <cell r="P64">
            <v>407925000</v>
          </cell>
          <cell r="Q64">
            <v>154476000</v>
          </cell>
          <cell r="R64">
            <v>180516000</v>
          </cell>
          <cell r="S64"/>
          <cell r="T64">
            <v>51982000</v>
          </cell>
          <cell r="U64">
            <v>128534000</v>
          </cell>
        </row>
        <row r="65">
          <cell r="C65">
            <v>603790</v>
          </cell>
          <cell r="D65">
            <v>7055</v>
          </cell>
          <cell r="E65" t="str">
            <v>기타후생복리비</v>
          </cell>
          <cell r="F65" t="str">
            <v>종업원급여</v>
          </cell>
          <cell r="G65">
            <v>0</v>
          </cell>
          <cell r="H65">
            <v>37196638</v>
          </cell>
          <cell r="I65">
            <v>37196638</v>
          </cell>
          <cell r="J65">
            <v>44655708</v>
          </cell>
          <cell r="K65">
            <v>-8436307</v>
          </cell>
          <cell r="L65">
            <v>36219401</v>
          </cell>
          <cell r="M65">
            <v>4929773</v>
          </cell>
          <cell r="N65">
            <v>41149174</v>
          </cell>
          <cell r="O65">
            <v>27433396</v>
          </cell>
          <cell r="P65">
            <v>81898619</v>
          </cell>
          <cell r="Q65">
            <v>68582570</v>
          </cell>
          <cell r="R65">
            <v>68582570</v>
          </cell>
          <cell r="S65"/>
          <cell r="T65">
            <v>0</v>
          </cell>
          <cell r="U65">
            <v>68582570</v>
          </cell>
        </row>
        <row r="66">
          <cell r="C66">
            <v>653100</v>
          </cell>
          <cell r="D66">
            <v>7054</v>
          </cell>
          <cell r="E66" t="str">
            <v>사내행사비</v>
          </cell>
          <cell r="F66" t="str">
            <v>종업원급여</v>
          </cell>
          <cell r="G66">
            <v>0</v>
          </cell>
          <cell r="H66">
            <v>8741558</v>
          </cell>
          <cell r="I66">
            <v>8741558</v>
          </cell>
          <cell r="J66">
            <v>2687748</v>
          </cell>
          <cell r="K66">
            <v>1698378</v>
          </cell>
          <cell r="L66">
            <v>4386126</v>
          </cell>
          <cell r="M66">
            <v>16931676</v>
          </cell>
          <cell r="N66">
            <v>21317802</v>
          </cell>
          <cell r="O66">
            <v>-14386058</v>
          </cell>
          <cell r="P66">
            <v>29707098</v>
          </cell>
          <cell r="Q66">
            <v>6931744</v>
          </cell>
          <cell r="R66">
            <v>6931744</v>
          </cell>
          <cell r="S66"/>
          <cell r="T66">
            <v>0</v>
          </cell>
          <cell r="U66">
            <v>6931744</v>
          </cell>
        </row>
        <row r="67">
          <cell r="C67">
            <v>6203</v>
          </cell>
          <cell r="D67"/>
          <cell r="E67" t="str">
            <v>판매수수료</v>
          </cell>
          <cell r="F67"/>
          <cell r="G67">
            <v>12667549119</v>
          </cell>
          <cell r="H67">
            <v>49032329251</v>
          </cell>
          <cell r="I67">
            <v>61699878370</v>
          </cell>
          <cell r="J67">
            <v>34776066902</v>
          </cell>
          <cell r="K67">
            <v>28397519252</v>
          </cell>
          <cell r="L67">
            <v>63173586154</v>
          </cell>
          <cell r="M67">
            <v>28231317398</v>
          </cell>
          <cell r="N67">
            <v>91404903552</v>
          </cell>
          <cell r="O67">
            <v>-66782223160</v>
          </cell>
          <cell r="P67">
            <v>60044286159</v>
          </cell>
          <cell r="Q67">
            <v>24622680392</v>
          </cell>
          <cell r="R67">
            <v>24622680392</v>
          </cell>
          <cell r="S67">
            <v>0</v>
          </cell>
          <cell r="T67">
            <v>0</v>
          </cell>
          <cell r="U67">
            <v>24622680392</v>
          </cell>
        </row>
        <row r="68">
          <cell r="C68">
            <v>624300</v>
          </cell>
          <cell r="D68">
            <v>7266</v>
          </cell>
          <cell r="E68" t="str">
            <v>고객유지수수료</v>
          </cell>
          <cell r="F68" t="str">
            <v>지급수수료</v>
          </cell>
          <cell r="G68">
            <v>12667549119</v>
          </cell>
          <cell r="H68">
            <v>48660921113</v>
          </cell>
          <cell r="I68">
            <v>61328470232</v>
          </cell>
          <cell r="J68">
            <v>34791893991</v>
          </cell>
          <cell r="K68">
            <v>28397519252</v>
          </cell>
          <cell r="L68">
            <v>63189413243</v>
          </cell>
          <cell r="M68">
            <v>28231317398</v>
          </cell>
          <cell r="N68">
            <v>91420730641</v>
          </cell>
          <cell r="O68">
            <v>-66798050249</v>
          </cell>
          <cell r="P68">
            <v>60060113248</v>
          </cell>
          <cell r="Q68">
            <v>24622680392</v>
          </cell>
          <cell r="R68">
            <v>24622680392</v>
          </cell>
          <cell r="S68"/>
          <cell r="T68">
            <v>0</v>
          </cell>
          <cell r="U68">
            <v>24622680392</v>
          </cell>
        </row>
        <row r="69">
          <cell r="C69">
            <v>623900</v>
          </cell>
          <cell r="D69">
            <v>7264</v>
          </cell>
          <cell r="E69" t="str">
            <v>기타부대경비</v>
          </cell>
          <cell r="F69" t="str">
            <v>지급수수료</v>
          </cell>
          <cell r="G69">
            <v>0</v>
          </cell>
          <cell r="H69">
            <v>11358170</v>
          </cell>
          <cell r="I69">
            <v>11358170</v>
          </cell>
          <cell r="J69">
            <v>5933807</v>
          </cell>
          <cell r="K69">
            <v>0</v>
          </cell>
          <cell r="L69">
            <v>5933807</v>
          </cell>
          <cell r="M69">
            <v>0</v>
          </cell>
          <cell r="N69">
            <v>5933807</v>
          </cell>
          <cell r="O69">
            <v>-5933807</v>
          </cell>
          <cell r="P69">
            <v>5933807</v>
          </cell>
          <cell r="Q69">
            <v>0</v>
          </cell>
          <cell r="R69">
            <v>0</v>
          </cell>
          <cell r="S69"/>
          <cell r="T69">
            <v>0</v>
          </cell>
          <cell r="U69">
            <v>0</v>
          </cell>
        </row>
        <row r="70">
          <cell r="C70">
            <v>625410</v>
          </cell>
          <cell r="D70">
            <v>7268</v>
          </cell>
          <cell r="E70" t="str">
            <v>고객센터 O/S용역비</v>
          </cell>
          <cell r="F70" t="str">
            <v>지급수수료</v>
          </cell>
          <cell r="G70">
            <v>0</v>
          </cell>
          <cell r="H70">
            <v>360049968</v>
          </cell>
          <cell r="I70">
            <v>360049968</v>
          </cell>
          <cell r="J70">
            <v>-21760896</v>
          </cell>
          <cell r="K70">
            <v>0</v>
          </cell>
          <cell r="L70">
            <v>-21760896</v>
          </cell>
          <cell r="M70">
            <v>0</v>
          </cell>
          <cell r="N70">
            <v>-21760896</v>
          </cell>
          <cell r="O70">
            <v>21760896</v>
          </cell>
          <cell r="P70">
            <v>-21760896</v>
          </cell>
          <cell r="Q70">
            <v>0</v>
          </cell>
          <cell r="R70">
            <v>0</v>
          </cell>
          <cell r="S70"/>
          <cell r="T70">
            <v>0</v>
          </cell>
          <cell r="U70">
            <v>0</v>
          </cell>
        </row>
        <row r="71">
          <cell r="C71">
            <v>6251</v>
          </cell>
          <cell r="D71"/>
          <cell r="E71" t="str">
            <v>외주용역비</v>
          </cell>
          <cell r="F71"/>
          <cell r="G71">
            <v>5019235006</v>
          </cell>
          <cell r="H71">
            <v>15294248565</v>
          </cell>
          <cell r="I71">
            <v>20313483571</v>
          </cell>
          <cell r="J71">
            <v>16937454128</v>
          </cell>
          <cell r="K71">
            <v>12344977741</v>
          </cell>
          <cell r="L71">
            <v>29282431869</v>
          </cell>
          <cell r="M71">
            <v>12521825516</v>
          </cell>
          <cell r="N71">
            <v>41804257385</v>
          </cell>
          <cell r="O71">
            <v>-15430344104</v>
          </cell>
          <cell r="P71">
            <v>61860531995</v>
          </cell>
          <cell r="Q71">
            <v>28317721622</v>
          </cell>
          <cell r="R71">
            <v>30241439844</v>
          </cell>
          <cell r="S71">
            <v>0</v>
          </cell>
          <cell r="T71">
            <v>3867526563</v>
          </cell>
          <cell r="U71">
            <v>26373913281</v>
          </cell>
        </row>
        <row r="72">
          <cell r="C72">
            <v>625300</v>
          </cell>
          <cell r="D72">
            <v>7221</v>
          </cell>
          <cell r="E72" t="str">
            <v>사옥관리용역비</v>
          </cell>
          <cell r="F72" t="str">
            <v>지급수수료</v>
          </cell>
          <cell r="G72">
            <v>518555953</v>
          </cell>
          <cell r="H72">
            <v>1578844600</v>
          </cell>
          <cell r="I72">
            <v>2097400553</v>
          </cell>
          <cell r="J72">
            <v>1504302613</v>
          </cell>
          <cell r="K72">
            <v>1409741884</v>
          </cell>
          <cell r="L72">
            <v>2914044497</v>
          </cell>
          <cell r="M72">
            <v>1375941075</v>
          </cell>
          <cell r="N72">
            <v>4289985572</v>
          </cell>
          <cell r="O72">
            <v>-1459297269</v>
          </cell>
          <cell r="P72">
            <v>5676935302</v>
          </cell>
          <cell r="Q72">
            <v>2830688303</v>
          </cell>
          <cell r="R72">
            <v>2830688303</v>
          </cell>
          <cell r="S72"/>
          <cell r="T72">
            <v>0</v>
          </cell>
          <cell r="U72">
            <v>2830688303</v>
          </cell>
        </row>
        <row r="73">
          <cell r="C73">
            <v>625200</v>
          </cell>
          <cell r="D73">
            <v>7268</v>
          </cell>
          <cell r="E73" t="str">
            <v>일반조사용역비</v>
          </cell>
          <cell r="F73" t="str">
            <v>지급수수료</v>
          </cell>
          <cell r="G73">
            <v>0</v>
          </cell>
          <cell r="H73">
            <v>80000000</v>
          </cell>
          <cell r="I73">
            <v>80000000</v>
          </cell>
          <cell r="J73">
            <v>0</v>
          </cell>
          <cell r="K73">
            <v>12960000</v>
          </cell>
          <cell r="L73">
            <v>12960000</v>
          </cell>
          <cell r="M73">
            <v>0</v>
          </cell>
          <cell r="N73">
            <v>12960000</v>
          </cell>
          <cell r="O73">
            <v>10940000</v>
          </cell>
          <cell r="P73">
            <v>80160000</v>
          </cell>
          <cell r="Q73">
            <v>23900000</v>
          </cell>
          <cell r="R73">
            <v>23900000</v>
          </cell>
          <cell r="S73"/>
          <cell r="T73">
            <v>0</v>
          </cell>
          <cell r="U73">
            <v>23900000</v>
          </cell>
        </row>
        <row r="74">
          <cell r="C74">
            <v>625400</v>
          </cell>
          <cell r="D74">
            <v>7252</v>
          </cell>
          <cell r="E74" t="str">
            <v>IT O/S용역비</v>
          </cell>
          <cell r="F74" t="str">
            <v>지급수수료</v>
          </cell>
          <cell r="G74">
            <v>202325917</v>
          </cell>
          <cell r="H74">
            <v>775688275</v>
          </cell>
          <cell r="I74">
            <v>978014192</v>
          </cell>
          <cell r="J74">
            <v>458568999</v>
          </cell>
          <cell r="K74">
            <v>-6416666</v>
          </cell>
          <cell r="L74">
            <v>452152333</v>
          </cell>
          <cell r="M74">
            <v>0</v>
          </cell>
          <cell r="N74">
            <v>452152333</v>
          </cell>
          <cell r="O74">
            <v>-452152333</v>
          </cell>
          <cell r="P74">
            <v>458568999</v>
          </cell>
          <cell r="Q74">
            <v>0</v>
          </cell>
          <cell r="R74">
            <v>0</v>
          </cell>
          <cell r="S74"/>
          <cell r="T74">
            <v>0</v>
          </cell>
          <cell r="U74">
            <v>0</v>
          </cell>
        </row>
        <row r="75">
          <cell r="C75">
            <v>625900</v>
          </cell>
          <cell r="D75">
            <v>7268</v>
          </cell>
          <cell r="E75" t="str">
            <v>기타외주용역비</v>
          </cell>
          <cell r="F75" t="str">
            <v>지급수수료</v>
          </cell>
          <cell r="G75">
            <v>2160788063</v>
          </cell>
          <cell r="H75">
            <v>6605305295</v>
          </cell>
          <cell r="I75">
            <v>8766093358</v>
          </cell>
          <cell r="J75">
            <v>4024996732</v>
          </cell>
          <cell r="K75">
            <v>4240404976</v>
          </cell>
          <cell r="L75">
            <v>8265401708</v>
          </cell>
          <cell r="M75">
            <v>3769778120</v>
          </cell>
          <cell r="N75">
            <v>12035179828</v>
          </cell>
          <cell r="O75">
            <v>-6388824930</v>
          </cell>
          <cell r="P75">
            <v>16898932019</v>
          </cell>
          <cell r="Q75">
            <v>5838376397</v>
          </cell>
          <cell r="R75">
            <v>5981430829</v>
          </cell>
          <cell r="S75"/>
          <cell r="T75">
            <v>335075931</v>
          </cell>
          <cell r="U75">
            <v>5646354898</v>
          </cell>
        </row>
        <row r="76">
          <cell r="C76">
            <v>625910</v>
          </cell>
          <cell r="D76">
            <v>7268</v>
          </cell>
          <cell r="E76" t="str">
            <v>11번가외주비_시스템</v>
          </cell>
          <cell r="F76" t="str">
            <v>지급수수료</v>
          </cell>
          <cell r="G76">
            <v>107452640</v>
          </cell>
          <cell r="H76">
            <v>155192237</v>
          </cell>
          <cell r="I76">
            <v>262644877</v>
          </cell>
          <cell r="J76">
            <v>4871994420</v>
          </cell>
          <cell r="K76">
            <v>604479480</v>
          </cell>
          <cell r="L76">
            <v>5476473900</v>
          </cell>
          <cell r="M76">
            <v>2212399905</v>
          </cell>
          <cell r="N76">
            <v>7688873805</v>
          </cell>
          <cell r="O76">
            <v>-348597828</v>
          </cell>
          <cell r="P76">
            <v>16040421617</v>
          </cell>
          <cell r="Q76">
            <v>9092062819</v>
          </cell>
          <cell r="R76">
            <v>10872726609</v>
          </cell>
          <cell r="S76"/>
          <cell r="T76">
            <v>3532450632</v>
          </cell>
          <cell r="U76">
            <v>7340275977</v>
          </cell>
        </row>
        <row r="77">
          <cell r="C77">
            <v>625920</v>
          </cell>
          <cell r="D77">
            <v>7268</v>
          </cell>
          <cell r="E77" t="str">
            <v>11번가외주비_인건비</v>
          </cell>
          <cell r="F77" t="str">
            <v>지급수수료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/>
          <cell r="T77">
            <v>0</v>
          </cell>
          <cell r="U77">
            <v>0</v>
          </cell>
        </row>
        <row r="78">
          <cell r="C78">
            <v>625930</v>
          </cell>
          <cell r="D78">
            <v>7268</v>
          </cell>
          <cell r="E78" t="str">
            <v>11번가외주비_콜센터</v>
          </cell>
          <cell r="F78" t="str">
            <v>지급수수료</v>
          </cell>
          <cell r="G78">
            <v>2030112433</v>
          </cell>
          <cell r="H78">
            <v>6099218158</v>
          </cell>
          <cell r="I78">
            <v>8129330591</v>
          </cell>
          <cell r="J78">
            <v>6077591364</v>
          </cell>
          <cell r="K78">
            <v>6083808067</v>
          </cell>
          <cell r="L78">
            <v>12161399431</v>
          </cell>
          <cell r="M78">
            <v>5163706416</v>
          </cell>
          <cell r="N78">
            <v>17325105847</v>
          </cell>
          <cell r="O78">
            <v>-6792411744</v>
          </cell>
          <cell r="P78">
            <v>22705514058</v>
          </cell>
          <cell r="Q78">
            <v>10532694103</v>
          </cell>
          <cell r="R78">
            <v>10532694103</v>
          </cell>
          <cell r="S78"/>
          <cell r="T78">
            <v>0</v>
          </cell>
          <cell r="U78">
            <v>10532694103</v>
          </cell>
        </row>
        <row r="79">
          <cell r="C79">
            <v>6261</v>
          </cell>
          <cell r="D79"/>
          <cell r="E79" t="str">
            <v>일반수수료</v>
          </cell>
          <cell r="F79"/>
          <cell r="G79">
            <v>2660004056</v>
          </cell>
          <cell r="H79">
            <v>9450569405</v>
          </cell>
          <cell r="I79">
            <v>12110573461</v>
          </cell>
          <cell r="J79">
            <v>8948579790</v>
          </cell>
          <cell r="K79">
            <v>8432772264</v>
          </cell>
          <cell r="L79">
            <v>17381352054</v>
          </cell>
          <cell r="M79">
            <v>6979460679</v>
          </cell>
          <cell r="N79">
            <v>24360812733</v>
          </cell>
          <cell r="O79">
            <v>-11993050122</v>
          </cell>
          <cell r="P79">
            <v>31657785997</v>
          </cell>
          <cell r="Q79">
            <v>12369902731</v>
          </cell>
          <cell r="R79">
            <v>12370245680</v>
          </cell>
          <cell r="S79"/>
          <cell r="T79">
            <v>2483069</v>
          </cell>
          <cell r="U79">
            <v>12367762611</v>
          </cell>
        </row>
        <row r="80">
          <cell r="C80">
            <v>626180</v>
          </cell>
          <cell r="D80">
            <v>7263</v>
          </cell>
          <cell r="E80" t="str">
            <v>물류비</v>
          </cell>
          <cell r="F80" t="str">
            <v>지급수수료</v>
          </cell>
          <cell r="G80">
            <v>861613309</v>
          </cell>
          <cell r="H80">
            <v>2848122402</v>
          </cell>
          <cell r="I80">
            <v>3709735711</v>
          </cell>
          <cell r="J80">
            <v>3058361639</v>
          </cell>
          <cell r="K80">
            <v>2534927522</v>
          </cell>
          <cell r="L80">
            <v>5593289161</v>
          </cell>
          <cell r="M80">
            <v>1678165949</v>
          </cell>
          <cell r="N80">
            <v>7271455110</v>
          </cell>
          <cell r="O80">
            <v>-4692710806</v>
          </cell>
          <cell r="P80">
            <v>8742118451</v>
          </cell>
          <cell r="Q80">
            <v>2578744304</v>
          </cell>
          <cell r="R80">
            <v>2578744304</v>
          </cell>
          <cell r="S80"/>
          <cell r="T80">
            <v>0</v>
          </cell>
          <cell r="U80">
            <v>2578744304</v>
          </cell>
        </row>
        <row r="81">
          <cell r="C81">
            <v>626100</v>
          </cell>
          <cell r="D81">
            <v>7271</v>
          </cell>
          <cell r="E81" t="str">
            <v>자문수수료</v>
          </cell>
          <cell r="F81" t="str">
            <v>지급수수료</v>
          </cell>
          <cell r="G81">
            <v>0</v>
          </cell>
          <cell r="H81">
            <v>402934774</v>
          </cell>
          <cell r="I81">
            <v>402934774</v>
          </cell>
          <cell r="J81">
            <v>249612315</v>
          </cell>
          <cell r="K81">
            <v>158461921</v>
          </cell>
          <cell r="L81">
            <v>408074236</v>
          </cell>
          <cell r="M81">
            <v>205148102</v>
          </cell>
          <cell r="N81">
            <v>613222338</v>
          </cell>
          <cell r="O81">
            <v>185248522</v>
          </cell>
          <cell r="P81">
            <v>809028588</v>
          </cell>
          <cell r="Q81">
            <v>798470860</v>
          </cell>
          <cell r="R81">
            <v>798470860</v>
          </cell>
          <cell r="S81"/>
          <cell r="T81">
            <v>0</v>
          </cell>
          <cell r="U81">
            <v>798470860</v>
          </cell>
        </row>
        <row r="82">
          <cell r="C82">
            <v>626170</v>
          </cell>
          <cell r="D82">
            <v>7263</v>
          </cell>
          <cell r="E82" t="str">
            <v>일반수수료-변동</v>
          </cell>
          <cell r="F82" t="str">
            <v>지급수수료</v>
          </cell>
          <cell r="G82">
            <v>0</v>
          </cell>
          <cell r="H82">
            <v>0</v>
          </cell>
          <cell r="I82">
            <v>0</v>
          </cell>
          <cell r="J82">
            <v>3157306277</v>
          </cell>
          <cell r="K82">
            <v>3730077539</v>
          </cell>
          <cell r="L82">
            <v>6887383816</v>
          </cell>
          <cell r="M82">
            <v>3713865905</v>
          </cell>
          <cell r="N82">
            <v>10601249721</v>
          </cell>
          <cell r="O82">
            <v>-3555861503</v>
          </cell>
          <cell r="P82">
            <v>14499947544</v>
          </cell>
          <cell r="Q82">
            <v>7045388218</v>
          </cell>
          <cell r="R82">
            <v>7045388218</v>
          </cell>
          <cell r="S82"/>
          <cell r="T82">
            <v>0</v>
          </cell>
          <cell r="U82">
            <v>7045388218</v>
          </cell>
        </row>
        <row r="83">
          <cell r="C83">
            <v>626190</v>
          </cell>
          <cell r="D83">
            <v>7263</v>
          </cell>
          <cell r="E83" t="str">
            <v>기타일반수수료</v>
          </cell>
          <cell r="F83" t="str">
            <v>지급수수료</v>
          </cell>
          <cell r="G83">
            <v>1798390747</v>
          </cell>
          <cell r="H83">
            <v>6199512229</v>
          </cell>
          <cell r="I83">
            <v>7997902976</v>
          </cell>
          <cell r="J83">
            <v>2483299559</v>
          </cell>
          <cell r="K83">
            <v>2009305282</v>
          </cell>
          <cell r="L83">
            <v>4492604841</v>
          </cell>
          <cell r="M83">
            <v>1334748723</v>
          </cell>
          <cell r="N83">
            <v>5827353564</v>
          </cell>
          <cell r="O83">
            <v>-4097570335</v>
          </cell>
          <cell r="P83">
            <v>7511627414</v>
          </cell>
          <cell r="Q83">
            <v>1731923349</v>
          </cell>
          <cell r="R83">
            <v>1732266298</v>
          </cell>
          <cell r="S83"/>
          <cell r="T83">
            <v>2483069</v>
          </cell>
          <cell r="U83">
            <v>1729783229</v>
          </cell>
        </row>
        <row r="84">
          <cell r="C84">
            <v>626200</v>
          </cell>
          <cell r="D84">
            <v>7263</v>
          </cell>
          <cell r="E84" t="str">
            <v>지급수수료_브랜드</v>
          </cell>
          <cell r="F84" t="str">
            <v>지급수수료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/>
          <cell r="M84">
            <v>47532000</v>
          </cell>
          <cell r="N84">
            <v>47532000</v>
          </cell>
          <cell r="O84">
            <v>167844000</v>
          </cell>
          <cell r="P84">
            <v>95064000</v>
          </cell>
          <cell r="Q84">
            <v>215376000</v>
          </cell>
          <cell r="R84">
            <v>215376000</v>
          </cell>
          <cell r="S84"/>
          <cell r="T84">
            <v>0</v>
          </cell>
          <cell r="U84">
            <v>215376000</v>
          </cell>
        </row>
        <row r="85">
          <cell r="C85">
            <v>6301</v>
          </cell>
          <cell r="D85"/>
          <cell r="E85" t="str">
            <v>광고선전비</v>
          </cell>
          <cell r="F85"/>
          <cell r="G85">
            <v>7203894943</v>
          </cell>
          <cell r="H85">
            <v>30662386506</v>
          </cell>
          <cell r="I85">
            <v>37866281449</v>
          </cell>
          <cell r="J85">
            <v>23861835915</v>
          </cell>
          <cell r="K85">
            <v>22415071365</v>
          </cell>
          <cell r="L85">
            <v>46276907280</v>
          </cell>
          <cell r="M85">
            <v>25121164616</v>
          </cell>
          <cell r="N85">
            <v>71398071896</v>
          </cell>
          <cell r="O85">
            <v>-19537943864</v>
          </cell>
          <cell r="P85">
            <v>99728514494</v>
          </cell>
          <cell r="Q85">
            <v>51860128032</v>
          </cell>
          <cell r="R85">
            <v>51860128032</v>
          </cell>
          <cell r="S85"/>
          <cell r="T85">
            <v>0</v>
          </cell>
          <cell r="U85">
            <v>51860128032</v>
          </cell>
        </row>
        <row r="86">
          <cell r="C86">
            <v>630190</v>
          </cell>
          <cell r="D86">
            <v>7201</v>
          </cell>
          <cell r="E86" t="str">
            <v>기타일반광고비</v>
          </cell>
          <cell r="F86" t="str">
            <v>광고선전비</v>
          </cell>
          <cell r="G86">
            <v>266350544</v>
          </cell>
          <cell r="H86">
            <v>1532080710</v>
          </cell>
          <cell r="I86">
            <v>1798431254</v>
          </cell>
          <cell r="J86">
            <v>720787832</v>
          </cell>
          <cell r="K86">
            <v>553131140</v>
          </cell>
          <cell r="L86">
            <v>1273918972</v>
          </cell>
          <cell r="M86">
            <v>608059939</v>
          </cell>
          <cell r="N86">
            <v>1881978911</v>
          </cell>
          <cell r="O86">
            <v>453996650</v>
          </cell>
          <cell r="P86">
            <v>3059644719</v>
          </cell>
          <cell r="Q86">
            <v>2335975561</v>
          </cell>
          <cell r="R86">
            <v>2335975561</v>
          </cell>
          <cell r="S86"/>
          <cell r="T86">
            <v>0</v>
          </cell>
          <cell r="U86">
            <v>2335975561</v>
          </cell>
        </row>
        <row r="87">
          <cell r="C87">
            <v>630195</v>
          </cell>
          <cell r="D87">
            <v>7201</v>
          </cell>
          <cell r="E87" t="str">
            <v>기타매체일반광고비</v>
          </cell>
          <cell r="F87" t="str">
            <v>광고선전비</v>
          </cell>
          <cell r="G87">
            <v>219495763</v>
          </cell>
          <cell r="H87">
            <v>4747749028</v>
          </cell>
          <cell r="I87">
            <v>4967244791</v>
          </cell>
          <cell r="J87">
            <v>761786000</v>
          </cell>
          <cell r="K87">
            <v>348576562</v>
          </cell>
          <cell r="L87">
            <v>1110362562</v>
          </cell>
          <cell r="M87">
            <v>371748000</v>
          </cell>
          <cell r="N87">
            <v>1482110562</v>
          </cell>
          <cell r="O87">
            <v>-1482110562</v>
          </cell>
          <cell r="P87">
            <v>4052299167</v>
          </cell>
          <cell r="Q87">
            <v>0</v>
          </cell>
          <cell r="R87">
            <v>0</v>
          </cell>
          <cell r="S87"/>
          <cell r="T87">
            <v>0</v>
          </cell>
          <cell r="U87">
            <v>0</v>
          </cell>
        </row>
        <row r="88">
          <cell r="C88">
            <v>632100</v>
          </cell>
          <cell r="D88">
            <v>7201</v>
          </cell>
          <cell r="E88" t="str">
            <v>판촉행사비용</v>
          </cell>
          <cell r="F88" t="str">
            <v>광고선전비</v>
          </cell>
          <cell r="G88">
            <v>674462062</v>
          </cell>
          <cell r="H88">
            <v>4872161157</v>
          </cell>
          <cell r="I88">
            <v>5546623219</v>
          </cell>
          <cell r="J88">
            <v>2717405497</v>
          </cell>
          <cell r="K88">
            <v>2080114468</v>
          </cell>
          <cell r="L88">
            <v>4797519965</v>
          </cell>
          <cell r="M88">
            <v>4942455566</v>
          </cell>
          <cell r="N88">
            <v>9739975531</v>
          </cell>
          <cell r="O88">
            <v>2894215551</v>
          </cell>
          <cell r="P88">
            <v>14981199175</v>
          </cell>
          <cell r="Q88">
            <v>12634191082</v>
          </cell>
          <cell r="R88">
            <v>12634191082</v>
          </cell>
          <cell r="S88"/>
          <cell r="T88">
            <v>0</v>
          </cell>
          <cell r="U88">
            <v>12634191082</v>
          </cell>
        </row>
        <row r="89">
          <cell r="C89">
            <v>633900</v>
          </cell>
          <cell r="D89">
            <v>7201</v>
          </cell>
          <cell r="E89" t="str">
            <v>기타판촉비</v>
          </cell>
          <cell r="F89" t="str">
            <v>광고선전비</v>
          </cell>
          <cell r="G89">
            <v>127693760</v>
          </cell>
          <cell r="H89">
            <v>90611023</v>
          </cell>
          <cell r="I89">
            <v>218304783</v>
          </cell>
          <cell r="J89">
            <v>27077958</v>
          </cell>
          <cell r="K89">
            <v>17412959</v>
          </cell>
          <cell r="L89">
            <v>44490917</v>
          </cell>
          <cell r="M89">
            <v>59017407</v>
          </cell>
          <cell r="N89">
            <v>103508324</v>
          </cell>
          <cell r="O89">
            <v>-53700088</v>
          </cell>
          <cell r="P89">
            <v>219616400</v>
          </cell>
          <cell r="Q89">
            <v>49808236</v>
          </cell>
          <cell r="R89">
            <v>49808236</v>
          </cell>
          <cell r="S89"/>
          <cell r="T89">
            <v>0</v>
          </cell>
          <cell r="U89">
            <v>49808236</v>
          </cell>
        </row>
        <row r="90">
          <cell r="C90">
            <v>634100</v>
          </cell>
          <cell r="D90">
            <v>7201</v>
          </cell>
          <cell r="E90" t="str">
            <v>제휴수수료</v>
          </cell>
          <cell r="F90" t="str">
            <v>광고선전비</v>
          </cell>
          <cell r="G90">
            <v>5915892814</v>
          </cell>
          <cell r="H90">
            <v>19419784588</v>
          </cell>
          <cell r="I90">
            <v>25335677402</v>
          </cell>
          <cell r="J90">
            <v>19634778628</v>
          </cell>
          <cell r="K90">
            <v>19415836236</v>
          </cell>
          <cell r="L90">
            <v>39050614864</v>
          </cell>
          <cell r="M90">
            <v>19139883704</v>
          </cell>
          <cell r="N90">
            <v>58190498568</v>
          </cell>
          <cell r="O90">
            <v>-21350345415</v>
          </cell>
          <cell r="P90">
            <v>77415755033</v>
          </cell>
          <cell r="Q90">
            <v>36840153153</v>
          </cell>
          <cell r="R90">
            <v>36840153153</v>
          </cell>
          <cell r="S90"/>
          <cell r="T90">
            <v>0</v>
          </cell>
          <cell r="U90">
            <v>36840153153</v>
          </cell>
        </row>
        <row r="91">
          <cell r="C91">
            <v>6341</v>
          </cell>
          <cell r="D91"/>
          <cell r="E91" t="str">
            <v>수선비</v>
          </cell>
          <cell r="F91"/>
          <cell r="G91">
            <v>7890000</v>
          </cell>
          <cell r="H91">
            <v>8306210</v>
          </cell>
          <cell r="I91">
            <v>16196210</v>
          </cell>
          <cell r="J91">
            <v>1660000</v>
          </cell>
          <cell r="K91">
            <v>1159500</v>
          </cell>
          <cell r="L91">
            <v>2819500</v>
          </cell>
          <cell r="M91">
            <v>3830000</v>
          </cell>
          <cell r="N91">
            <v>6649500</v>
          </cell>
          <cell r="O91">
            <v>-1500409</v>
          </cell>
          <cell r="P91">
            <v>18494300</v>
          </cell>
          <cell r="Q91">
            <v>5149091</v>
          </cell>
          <cell r="R91">
            <v>5149091</v>
          </cell>
          <cell r="S91"/>
          <cell r="T91">
            <v>0</v>
          </cell>
          <cell r="U91">
            <v>5149091</v>
          </cell>
        </row>
        <row r="92">
          <cell r="C92">
            <v>634300</v>
          </cell>
          <cell r="D92">
            <v>7171</v>
          </cell>
          <cell r="E92" t="str">
            <v>사옥수리비</v>
          </cell>
          <cell r="F92" t="str">
            <v>수선비</v>
          </cell>
          <cell r="G92">
            <v>7890000</v>
          </cell>
          <cell r="H92">
            <v>7306210</v>
          </cell>
          <cell r="I92">
            <v>15196210</v>
          </cell>
          <cell r="J92">
            <v>1660000</v>
          </cell>
          <cell r="K92">
            <v>1159500</v>
          </cell>
          <cell r="L92">
            <v>2819500</v>
          </cell>
          <cell r="M92">
            <v>3830000</v>
          </cell>
          <cell r="N92">
            <v>6649500</v>
          </cell>
          <cell r="O92">
            <v>-1500409</v>
          </cell>
          <cell r="P92">
            <v>18494300</v>
          </cell>
          <cell r="Q92">
            <v>5149091</v>
          </cell>
          <cell r="R92">
            <v>5149091</v>
          </cell>
          <cell r="S92"/>
          <cell r="T92">
            <v>0</v>
          </cell>
          <cell r="U92">
            <v>5149091</v>
          </cell>
        </row>
        <row r="93">
          <cell r="C93">
            <v>634400</v>
          </cell>
          <cell r="D93">
            <v>7171</v>
          </cell>
          <cell r="E93" t="str">
            <v>사무집기수선비</v>
          </cell>
          <cell r="F93" t="str">
            <v>수선비</v>
          </cell>
          <cell r="G93">
            <v>0</v>
          </cell>
          <cell r="H93">
            <v>1000000</v>
          </cell>
          <cell r="I93">
            <v>1000000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/>
          <cell r="T93">
            <v>0</v>
          </cell>
          <cell r="U93">
            <v>0</v>
          </cell>
        </row>
        <row r="94">
          <cell r="C94">
            <v>6351</v>
          </cell>
          <cell r="D94"/>
          <cell r="E94" t="str">
            <v>지급임차료</v>
          </cell>
          <cell r="F94"/>
          <cell r="G94">
            <v>1070664729</v>
          </cell>
          <cell r="H94">
            <v>3071785484</v>
          </cell>
          <cell r="I94">
            <v>4142450213</v>
          </cell>
          <cell r="J94">
            <v>314430691</v>
          </cell>
          <cell r="K94">
            <v>233394980</v>
          </cell>
          <cell r="L94">
            <v>547825671</v>
          </cell>
          <cell r="M94">
            <v>102582092</v>
          </cell>
          <cell r="N94">
            <v>650407763</v>
          </cell>
          <cell r="O94">
            <v>-524082501</v>
          </cell>
          <cell r="P94">
            <v>746768450</v>
          </cell>
          <cell r="Q94">
            <v>126325262</v>
          </cell>
          <cell r="R94">
            <v>126325262</v>
          </cell>
          <cell r="S94"/>
          <cell r="T94">
            <v>0</v>
          </cell>
          <cell r="U94">
            <v>126325262</v>
          </cell>
        </row>
        <row r="95">
          <cell r="C95">
            <v>635200</v>
          </cell>
          <cell r="D95">
            <v>7111</v>
          </cell>
          <cell r="E95" t="str">
            <v>사무실임차료</v>
          </cell>
          <cell r="F95" t="str">
            <v>임차료</v>
          </cell>
          <cell r="G95">
            <v>1043734469</v>
          </cell>
          <cell r="H95">
            <v>2998302184</v>
          </cell>
          <cell r="I95">
            <v>4042036653</v>
          </cell>
          <cell r="J95">
            <v>190366768</v>
          </cell>
          <cell r="K95">
            <v>-190366768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/>
          <cell r="T95">
            <v>0</v>
          </cell>
          <cell r="U95">
            <v>0</v>
          </cell>
        </row>
        <row r="96">
          <cell r="C96">
            <v>635600</v>
          </cell>
          <cell r="D96">
            <v>7111</v>
          </cell>
          <cell r="E96" t="str">
            <v>사무집기임차료</v>
          </cell>
          <cell r="F96" t="str">
            <v>임차료</v>
          </cell>
          <cell r="G96">
            <v>7872460</v>
          </cell>
          <cell r="H96">
            <v>15217360</v>
          </cell>
          <cell r="I96">
            <v>23089820</v>
          </cell>
          <cell r="J96">
            <v>6020900</v>
          </cell>
          <cell r="K96">
            <v>-6020900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/>
          <cell r="T96">
            <v>0</v>
          </cell>
          <cell r="U96">
            <v>0</v>
          </cell>
        </row>
        <row r="97">
          <cell r="C97">
            <v>635700</v>
          </cell>
          <cell r="D97">
            <v>7111</v>
          </cell>
          <cell r="E97" t="str">
            <v>차량임차료</v>
          </cell>
          <cell r="F97" t="str">
            <v>임차료</v>
          </cell>
          <cell r="G97">
            <v>15357800</v>
          </cell>
          <cell r="H97">
            <v>47165940</v>
          </cell>
          <cell r="I97">
            <v>62523740</v>
          </cell>
          <cell r="J97">
            <v>20368684</v>
          </cell>
          <cell r="K97">
            <v>-20368684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/>
          <cell r="T97">
            <v>0</v>
          </cell>
          <cell r="U97">
            <v>0</v>
          </cell>
        </row>
        <row r="98">
          <cell r="C98">
            <v>636900</v>
          </cell>
          <cell r="D98">
            <v>7111</v>
          </cell>
          <cell r="E98" t="str">
            <v>기타임차료</v>
          </cell>
          <cell r="F98" t="str">
            <v>임차료</v>
          </cell>
          <cell r="G98">
            <v>3700000</v>
          </cell>
          <cell r="H98">
            <v>11100000</v>
          </cell>
          <cell r="I98">
            <v>14800000</v>
          </cell>
          <cell r="J98">
            <v>7400000</v>
          </cell>
          <cell r="K98">
            <v>-7400000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/>
          <cell r="T98">
            <v>0</v>
          </cell>
          <cell r="U98">
            <v>0</v>
          </cell>
        </row>
        <row r="99">
          <cell r="C99">
            <v>635500</v>
          </cell>
          <cell r="D99">
            <v>7112</v>
          </cell>
          <cell r="E99" t="str">
            <v>단기리스료</v>
          </cell>
          <cell r="F99" t="str">
            <v>임차료</v>
          </cell>
          <cell r="G99"/>
          <cell r="H99"/>
          <cell r="I99"/>
          <cell r="J99">
            <v>90274339</v>
          </cell>
          <cell r="K99">
            <v>457551332</v>
          </cell>
          <cell r="L99">
            <v>547825671</v>
          </cell>
          <cell r="M99">
            <v>102582092</v>
          </cell>
          <cell r="N99">
            <v>650407763</v>
          </cell>
          <cell r="O99">
            <v>-524082501</v>
          </cell>
          <cell r="P99">
            <v>746768450</v>
          </cell>
          <cell r="Q99">
            <v>126325262</v>
          </cell>
          <cell r="R99">
            <v>126325262</v>
          </cell>
          <cell r="S99"/>
          <cell r="T99">
            <v>0</v>
          </cell>
          <cell r="U99">
            <v>126325262</v>
          </cell>
        </row>
        <row r="100">
          <cell r="C100">
            <v>6391</v>
          </cell>
          <cell r="D100"/>
          <cell r="E100" t="str">
            <v>소모품비</v>
          </cell>
          <cell r="F100"/>
          <cell r="G100">
            <v>57563497</v>
          </cell>
          <cell r="H100">
            <v>94766397</v>
          </cell>
          <cell r="I100">
            <v>152329894</v>
          </cell>
          <cell r="J100">
            <v>78033081</v>
          </cell>
          <cell r="K100">
            <v>87736582</v>
          </cell>
          <cell r="L100">
            <v>165769663</v>
          </cell>
          <cell r="M100">
            <v>99240090</v>
          </cell>
          <cell r="N100">
            <v>265009753</v>
          </cell>
          <cell r="O100">
            <v>-62273780</v>
          </cell>
          <cell r="P100">
            <v>405887121</v>
          </cell>
          <cell r="Q100">
            <v>206749359</v>
          </cell>
          <cell r="R100">
            <v>209363419</v>
          </cell>
          <cell r="S100"/>
          <cell r="T100">
            <v>6627446</v>
          </cell>
          <cell r="U100">
            <v>202735973</v>
          </cell>
        </row>
        <row r="101">
          <cell r="C101">
            <v>639200</v>
          </cell>
          <cell r="D101">
            <v>7109</v>
          </cell>
          <cell r="E101" t="str">
            <v>전산장비소모품비</v>
          </cell>
          <cell r="F101" t="str">
            <v>소모품비</v>
          </cell>
          <cell r="G101">
            <v>2100000</v>
          </cell>
          <cell r="H101">
            <v>12949221</v>
          </cell>
          <cell r="I101">
            <v>15049221</v>
          </cell>
          <cell r="J101">
            <v>1370160</v>
          </cell>
          <cell r="K101">
            <v>1932319</v>
          </cell>
          <cell r="L101">
            <v>3302479</v>
          </cell>
          <cell r="M101">
            <v>20918196</v>
          </cell>
          <cell r="N101">
            <v>24220675</v>
          </cell>
          <cell r="O101">
            <v>-18052431</v>
          </cell>
          <cell r="P101">
            <v>29541055</v>
          </cell>
          <cell r="Q101">
            <v>6168244</v>
          </cell>
          <cell r="R101">
            <v>6168244</v>
          </cell>
          <cell r="S101"/>
          <cell r="T101">
            <v>0</v>
          </cell>
          <cell r="U101">
            <v>6168244</v>
          </cell>
        </row>
        <row r="102">
          <cell r="C102">
            <v>639300</v>
          </cell>
          <cell r="D102">
            <v>7103</v>
          </cell>
          <cell r="E102" t="str">
            <v>일반사무용소모품비</v>
          </cell>
          <cell r="F102" t="str">
            <v>소모품비</v>
          </cell>
          <cell r="G102">
            <v>51412497</v>
          </cell>
          <cell r="H102">
            <v>61703015</v>
          </cell>
          <cell r="I102">
            <v>113115512</v>
          </cell>
          <cell r="J102">
            <v>34669022</v>
          </cell>
          <cell r="K102">
            <v>17540943</v>
          </cell>
          <cell r="L102">
            <v>52209965</v>
          </cell>
          <cell r="M102">
            <v>29734589</v>
          </cell>
          <cell r="N102">
            <v>81944554</v>
          </cell>
          <cell r="O102">
            <v>-8530426</v>
          </cell>
          <cell r="P102">
            <v>158142089</v>
          </cell>
          <cell r="Q102">
            <v>77427514</v>
          </cell>
          <cell r="R102">
            <v>80041574</v>
          </cell>
          <cell r="S102"/>
          <cell r="T102">
            <v>6627446</v>
          </cell>
          <cell r="U102">
            <v>73414128</v>
          </cell>
        </row>
        <row r="103">
          <cell r="C103">
            <v>639400</v>
          </cell>
          <cell r="D103">
            <v>7103</v>
          </cell>
          <cell r="E103" t="str">
            <v>영업용소모품비</v>
          </cell>
          <cell r="F103" t="str">
            <v>소모품비</v>
          </cell>
          <cell r="G103">
            <v>4051000</v>
          </cell>
          <cell r="H103">
            <v>20114161</v>
          </cell>
          <cell r="I103">
            <v>24165161</v>
          </cell>
          <cell r="J103">
            <v>41993899</v>
          </cell>
          <cell r="K103">
            <v>68263320</v>
          </cell>
          <cell r="L103">
            <v>110257219</v>
          </cell>
          <cell r="M103">
            <v>48587305</v>
          </cell>
          <cell r="N103">
            <v>158844524</v>
          </cell>
          <cell r="O103">
            <v>-35690923</v>
          </cell>
          <cell r="P103">
            <v>218203977</v>
          </cell>
          <cell r="Q103">
            <v>123153601</v>
          </cell>
          <cell r="R103">
            <v>123153601</v>
          </cell>
          <cell r="S103"/>
          <cell r="T103">
            <v>0</v>
          </cell>
          <cell r="U103">
            <v>123153601</v>
          </cell>
        </row>
        <row r="104">
          <cell r="C104">
            <v>6401</v>
          </cell>
          <cell r="D104"/>
          <cell r="E104" t="str">
            <v>세금과공과</v>
          </cell>
          <cell r="F104"/>
          <cell r="G104">
            <v>62000000</v>
          </cell>
          <cell r="H104">
            <v>96874386</v>
          </cell>
          <cell r="I104">
            <v>158874386</v>
          </cell>
          <cell r="J104">
            <v>273077465</v>
          </cell>
          <cell r="K104">
            <v>104938670</v>
          </cell>
          <cell r="L104">
            <v>378016135</v>
          </cell>
          <cell r="M104">
            <v>119284550</v>
          </cell>
          <cell r="N104">
            <v>497300685</v>
          </cell>
          <cell r="O104">
            <v>11138459</v>
          </cell>
          <cell r="P104">
            <v>608918536</v>
          </cell>
          <cell r="Q104">
            <v>508439144</v>
          </cell>
          <cell r="R104">
            <v>508439144</v>
          </cell>
          <cell r="S104"/>
          <cell r="T104">
            <v>0</v>
          </cell>
          <cell r="U104">
            <v>508439144</v>
          </cell>
        </row>
        <row r="105">
          <cell r="C105">
            <v>640100</v>
          </cell>
          <cell r="D105">
            <v>7099</v>
          </cell>
          <cell r="E105" t="str">
            <v>건물분 재산세</v>
          </cell>
          <cell r="F105" t="str">
            <v>세금과공과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11326180</v>
          </cell>
          <cell r="N105">
            <v>11326180</v>
          </cell>
          <cell r="O105">
            <v>-11326180</v>
          </cell>
          <cell r="P105">
            <v>11326180</v>
          </cell>
          <cell r="Q105">
            <v>0</v>
          </cell>
          <cell r="R105">
            <v>0</v>
          </cell>
          <cell r="S105"/>
          <cell r="T105">
            <v>0</v>
          </cell>
          <cell r="U105">
            <v>0</v>
          </cell>
        </row>
        <row r="106">
          <cell r="C106">
            <v>640200</v>
          </cell>
          <cell r="D106">
            <v>7099</v>
          </cell>
          <cell r="E106" t="str">
            <v>토지분 재산세</v>
          </cell>
          <cell r="F106" t="str">
            <v>세금과공과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26090</v>
          </cell>
          <cell r="N106">
            <v>26090</v>
          </cell>
          <cell r="O106">
            <v>-26090</v>
          </cell>
          <cell r="P106">
            <v>26090</v>
          </cell>
          <cell r="Q106">
            <v>0</v>
          </cell>
          <cell r="R106">
            <v>0</v>
          </cell>
          <cell r="S106"/>
          <cell r="T106">
            <v>0</v>
          </cell>
          <cell r="U106">
            <v>0</v>
          </cell>
        </row>
        <row r="107">
          <cell r="C107">
            <v>640250</v>
          </cell>
          <cell r="D107">
            <v>7099</v>
          </cell>
          <cell r="E107" t="str">
            <v>종합부동산세</v>
          </cell>
          <cell r="F107" t="str">
            <v>세금과공과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/>
          <cell r="T107">
            <v>0</v>
          </cell>
          <cell r="U107">
            <v>0</v>
          </cell>
        </row>
        <row r="108">
          <cell r="C108">
            <v>640300</v>
          </cell>
          <cell r="D108">
            <v>7099</v>
          </cell>
          <cell r="E108" t="str">
            <v>법인균등할주민세</v>
          </cell>
          <cell r="F108" t="str">
            <v>세금과공과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1315000</v>
          </cell>
          <cell r="N108">
            <v>1315000</v>
          </cell>
          <cell r="O108">
            <v>-1315000</v>
          </cell>
          <cell r="P108">
            <v>1315000</v>
          </cell>
          <cell r="Q108">
            <v>0</v>
          </cell>
          <cell r="R108">
            <v>0</v>
          </cell>
          <cell r="S108"/>
          <cell r="T108">
            <v>0</v>
          </cell>
          <cell r="U108">
            <v>0</v>
          </cell>
        </row>
        <row r="109">
          <cell r="C109">
            <v>640400</v>
          </cell>
          <cell r="D109">
            <v>7094</v>
          </cell>
          <cell r="E109" t="str">
            <v>종업원할사업소세</v>
          </cell>
          <cell r="F109" t="str">
            <v>세금과공과</v>
          </cell>
          <cell r="G109">
            <v>0</v>
          </cell>
          <cell r="H109">
            <v>78241520</v>
          </cell>
          <cell r="I109">
            <v>78241520</v>
          </cell>
          <cell r="J109">
            <v>116526780</v>
          </cell>
          <cell r="K109">
            <v>87358670</v>
          </cell>
          <cell r="L109">
            <v>203885450</v>
          </cell>
          <cell r="M109">
            <v>85794630</v>
          </cell>
          <cell r="N109">
            <v>289680080</v>
          </cell>
          <cell r="O109">
            <v>-52045370</v>
          </cell>
          <cell r="P109">
            <v>375992280</v>
          </cell>
          <cell r="Q109">
            <v>237634710</v>
          </cell>
          <cell r="R109">
            <v>237634710</v>
          </cell>
          <cell r="S109"/>
          <cell r="T109">
            <v>0</v>
          </cell>
          <cell r="U109">
            <v>237634710</v>
          </cell>
        </row>
        <row r="110">
          <cell r="C110">
            <v>640410</v>
          </cell>
          <cell r="D110">
            <v>7099</v>
          </cell>
          <cell r="E110" t="str">
            <v>재산할사업소세</v>
          </cell>
          <cell r="F110" t="str">
            <v>세금과공과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11174250</v>
          </cell>
          <cell r="N110">
            <v>11174250</v>
          </cell>
          <cell r="O110">
            <v>-11174250</v>
          </cell>
          <cell r="P110">
            <v>11174250</v>
          </cell>
          <cell r="Q110">
            <v>0</v>
          </cell>
          <cell r="R110">
            <v>0</v>
          </cell>
          <cell r="S110"/>
          <cell r="T110">
            <v>0</v>
          </cell>
          <cell r="U110">
            <v>0</v>
          </cell>
        </row>
        <row r="111">
          <cell r="C111">
            <v>640500</v>
          </cell>
          <cell r="D111">
            <v>7099</v>
          </cell>
          <cell r="E111" t="str">
            <v>협회비</v>
          </cell>
          <cell r="F111" t="str">
            <v>세금과공과</v>
          </cell>
          <cell r="G111">
            <v>62000000</v>
          </cell>
          <cell r="H111">
            <v>9520000</v>
          </cell>
          <cell r="I111">
            <v>71520000</v>
          </cell>
          <cell r="J111">
            <v>127274250</v>
          </cell>
          <cell r="K111">
            <v>17580000</v>
          </cell>
          <cell r="L111">
            <v>144854250</v>
          </cell>
          <cell r="M111">
            <v>9580000</v>
          </cell>
          <cell r="N111">
            <v>154434250</v>
          </cell>
          <cell r="O111">
            <v>-298349</v>
          </cell>
          <cell r="P111">
            <v>179739901</v>
          </cell>
          <cell r="Q111">
            <v>154135901</v>
          </cell>
          <cell r="R111">
            <v>154135901</v>
          </cell>
          <cell r="S111"/>
          <cell r="T111">
            <v>0</v>
          </cell>
          <cell r="U111">
            <v>154135901</v>
          </cell>
        </row>
        <row r="112">
          <cell r="C112">
            <v>641900</v>
          </cell>
          <cell r="D112">
            <v>7099</v>
          </cell>
          <cell r="E112" t="str">
            <v>기타세금과공과</v>
          </cell>
          <cell r="F112" t="str">
            <v>세금과공과</v>
          </cell>
          <cell r="G112">
            <v>0</v>
          </cell>
          <cell r="H112">
            <v>9112866</v>
          </cell>
          <cell r="I112">
            <v>9112866</v>
          </cell>
          <cell r="J112">
            <v>29276435</v>
          </cell>
          <cell r="K112">
            <v>0</v>
          </cell>
          <cell r="L112">
            <v>29276435</v>
          </cell>
          <cell r="M112">
            <v>68400</v>
          </cell>
          <cell r="N112">
            <v>29344835</v>
          </cell>
          <cell r="O112">
            <v>87323698</v>
          </cell>
          <cell r="P112">
            <v>29344835</v>
          </cell>
          <cell r="Q112">
            <v>116668533</v>
          </cell>
          <cell r="R112">
            <v>116668533</v>
          </cell>
          <cell r="S112"/>
          <cell r="T112">
            <v>0</v>
          </cell>
          <cell r="U112">
            <v>116668533</v>
          </cell>
        </row>
        <row r="113">
          <cell r="C113">
            <v>6461</v>
          </cell>
          <cell r="D113"/>
          <cell r="E113" t="str">
            <v>교육훈련비</v>
          </cell>
          <cell r="F113"/>
          <cell r="G113">
            <v>9702928</v>
          </cell>
          <cell r="H113">
            <v>226188303</v>
          </cell>
          <cell r="I113">
            <v>235891231</v>
          </cell>
          <cell r="J113">
            <v>202537235</v>
          </cell>
          <cell r="K113">
            <v>241396177</v>
          </cell>
          <cell r="L113">
            <v>443933412</v>
          </cell>
          <cell r="M113">
            <v>205167238</v>
          </cell>
          <cell r="N113">
            <v>649100650</v>
          </cell>
          <cell r="O113">
            <v>-385472158</v>
          </cell>
          <cell r="P113">
            <v>1098111658</v>
          </cell>
          <cell r="Q113">
            <v>263628492</v>
          </cell>
          <cell r="R113">
            <v>263628492</v>
          </cell>
          <cell r="S113"/>
          <cell r="T113">
            <v>0</v>
          </cell>
          <cell r="U113">
            <v>263628492</v>
          </cell>
        </row>
        <row r="114">
          <cell r="C114">
            <v>646100</v>
          </cell>
          <cell r="D114">
            <v>7231</v>
          </cell>
          <cell r="E114" t="str">
            <v>국내교육훈련비</v>
          </cell>
          <cell r="F114" t="str">
            <v>교육훈련비</v>
          </cell>
          <cell r="G114">
            <v>2880000</v>
          </cell>
          <cell r="H114">
            <v>62637070</v>
          </cell>
          <cell r="I114">
            <v>65517070</v>
          </cell>
          <cell r="J114">
            <v>74160427</v>
          </cell>
          <cell r="K114">
            <v>62646956</v>
          </cell>
          <cell r="L114">
            <v>136807383</v>
          </cell>
          <cell r="M114">
            <v>79088908</v>
          </cell>
          <cell r="N114">
            <v>215896291</v>
          </cell>
          <cell r="O114">
            <v>-141658513</v>
          </cell>
          <cell r="P114">
            <v>362333258</v>
          </cell>
          <cell r="Q114">
            <v>74237778</v>
          </cell>
          <cell r="R114">
            <v>74237778</v>
          </cell>
          <cell r="S114"/>
          <cell r="T114">
            <v>0</v>
          </cell>
          <cell r="U114">
            <v>74237778</v>
          </cell>
        </row>
        <row r="115">
          <cell r="C115">
            <v>646200</v>
          </cell>
          <cell r="D115">
            <v>7233</v>
          </cell>
          <cell r="E115" t="str">
            <v>해외교육훈련비</v>
          </cell>
          <cell r="F115" t="str">
            <v>교육훈련비</v>
          </cell>
          <cell r="G115">
            <v>0</v>
          </cell>
          <cell r="H115">
            <v>5308208</v>
          </cell>
          <cell r="I115">
            <v>5308208</v>
          </cell>
          <cell r="J115">
            <v>0</v>
          </cell>
          <cell r="K115">
            <v>0</v>
          </cell>
          <cell r="L115">
            <v>0</v>
          </cell>
          <cell r="M115">
            <v>9038250</v>
          </cell>
          <cell r="N115">
            <v>9038250</v>
          </cell>
          <cell r="O115">
            <v>-9038250</v>
          </cell>
          <cell r="P115">
            <v>12191946</v>
          </cell>
          <cell r="Q115">
            <v>0</v>
          </cell>
          <cell r="R115">
            <v>0</v>
          </cell>
          <cell r="S115"/>
          <cell r="T115">
            <v>0</v>
          </cell>
          <cell r="U115">
            <v>0</v>
          </cell>
        </row>
        <row r="116">
          <cell r="C116">
            <v>646300</v>
          </cell>
          <cell r="D116">
            <v>7232</v>
          </cell>
          <cell r="E116" t="str">
            <v>채용비</v>
          </cell>
          <cell r="F116" t="str">
            <v>교육훈련비</v>
          </cell>
          <cell r="G116">
            <v>6822928</v>
          </cell>
          <cell r="H116">
            <v>146177355</v>
          </cell>
          <cell r="I116">
            <v>153000283</v>
          </cell>
          <cell r="J116">
            <v>108579990</v>
          </cell>
          <cell r="K116">
            <v>152497792</v>
          </cell>
          <cell r="L116">
            <v>261077782</v>
          </cell>
          <cell r="M116">
            <v>107523894</v>
          </cell>
          <cell r="N116">
            <v>368601676</v>
          </cell>
          <cell r="O116">
            <v>-185029159</v>
          </cell>
          <cell r="P116">
            <v>656190796</v>
          </cell>
          <cell r="Q116">
            <v>183572517</v>
          </cell>
          <cell r="R116">
            <v>183572517</v>
          </cell>
          <cell r="S116"/>
          <cell r="T116">
            <v>0</v>
          </cell>
          <cell r="U116">
            <v>183572517</v>
          </cell>
        </row>
        <row r="117">
          <cell r="C117">
            <v>646900</v>
          </cell>
          <cell r="D117">
            <v>7231</v>
          </cell>
          <cell r="E117" t="str">
            <v>기타교육훈련비</v>
          </cell>
          <cell r="F117" t="str">
            <v>교육훈련비</v>
          </cell>
          <cell r="G117">
            <v>0</v>
          </cell>
          <cell r="H117">
            <v>12065670</v>
          </cell>
          <cell r="I117">
            <v>12065670</v>
          </cell>
          <cell r="J117">
            <v>19796818</v>
          </cell>
          <cell r="K117">
            <v>26251429</v>
          </cell>
          <cell r="L117">
            <v>46048247</v>
          </cell>
          <cell r="M117">
            <v>9516186</v>
          </cell>
          <cell r="N117">
            <v>55564433</v>
          </cell>
          <cell r="O117">
            <v>-49746236</v>
          </cell>
          <cell r="P117">
            <v>67395658</v>
          </cell>
          <cell r="Q117">
            <v>5818197</v>
          </cell>
          <cell r="R117">
            <v>5818197</v>
          </cell>
          <cell r="S117"/>
          <cell r="T117">
            <v>0</v>
          </cell>
          <cell r="U117">
            <v>5818197</v>
          </cell>
        </row>
        <row r="118">
          <cell r="C118">
            <v>6481</v>
          </cell>
          <cell r="D118"/>
          <cell r="E118" t="str">
            <v>여비교통비</v>
          </cell>
          <cell r="F118"/>
          <cell r="G118">
            <v>678524</v>
          </cell>
          <cell r="H118">
            <v>127088155</v>
          </cell>
          <cell r="I118">
            <v>127766679</v>
          </cell>
          <cell r="J118">
            <v>80465320</v>
          </cell>
          <cell r="K118">
            <v>93650708</v>
          </cell>
          <cell r="L118">
            <v>174116028</v>
          </cell>
          <cell r="M118">
            <v>65352252</v>
          </cell>
          <cell r="N118">
            <v>239468280</v>
          </cell>
          <cell r="O118">
            <v>-153214367</v>
          </cell>
          <cell r="P118">
            <v>373205117</v>
          </cell>
          <cell r="Q118">
            <v>97525267</v>
          </cell>
          <cell r="R118">
            <v>103229507</v>
          </cell>
          <cell r="S118"/>
          <cell r="T118">
            <v>16975594</v>
          </cell>
          <cell r="U118">
            <v>86253913</v>
          </cell>
        </row>
        <row r="119">
          <cell r="C119">
            <v>648100</v>
          </cell>
          <cell r="D119">
            <v>7062</v>
          </cell>
          <cell r="E119" t="str">
            <v>시내출장비</v>
          </cell>
          <cell r="F119" t="str">
            <v>여비교통비</v>
          </cell>
          <cell r="G119">
            <v>0</v>
          </cell>
          <cell r="H119">
            <v>13722193</v>
          </cell>
          <cell r="I119">
            <v>13722193</v>
          </cell>
          <cell r="J119">
            <v>2178011</v>
          </cell>
          <cell r="K119">
            <v>3715037</v>
          </cell>
          <cell r="L119">
            <v>5893048</v>
          </cell>
          <cell r="M119">
            <v>3717643</v>
          </cell>
          <cell r="N119">
            <v>9610691</v>
          </cell>
          <cell r="O119">
            <v>-6669884</v>
          </cell>
          <cell r="P119">
            <v>13465807</v>
          </cell>
          <cell r="Q119">
            <v>2940807</v>
          </cell>
          <cell r="R119">
            <v>2940807</v>
          </cell>
          <cell r="S119"/>
          <cell r="T119">
            <v>0</v>
          </cell>
          <cell r="U119">
            <v>2940807</v>
          </cell>
        </row>
        <row r="120">
          <cell r="C120">
            <v>648110</v>
          </cell>
          <cell r="D120">
            <v>7062</v>
          </cell>
          <cell r="E120" t="str">
            <v>야근교통비</v>
          </cell>
          <cell r="F120" t="str">
            <v>여비교통비</v>
          </cell>
          <cell r="G120">
            <v>85940</v>
          </cell>
          <cell r="H120">
            <v>47646977</v>
          </cell>
          <cell r="I120">
            <v>47732917</v>
          </cell>
          <cell r="J120">
            <v>39438210</v>
          </cell>
          <cell r="K120">
            <v>23174670</v>
          </cell>
          <cell r="L120">
            <v>62612880</v>
          </cell>
          <cell r="M120">
            <v>31390560</v>
          </cell>
          <cell r="N120">
            <v>94003440</v>
          </cell>
          <cell r="O120">
            <v>-49766480</v>
          </cell>
          <cell r="P120">
            <v>177597060</v>
          </cell>
          <cell r="Q120">
            <v>54287850</v>
          </cell>
          <cell r="R120">
            <v>59680210</v>
          </cell>
          <cell r="S120"/>
          <cell r="T120">
            <v>15443250</v>
          </cell>
          <cell r="U120">
            <v>44236960</v>
          </cell>
        </row>
        <row r="121">
          <cell r="C121">
            <v>648200</v>
          </cell>
          <cell r="D121">
            <v>7062</v>
          </cell>
          <cell r="E121" t="str">
            <v>시외출장비</v>
          </cell>
          <cell r="F121" t="str">
            <v>여비교통비</v>
          </cell>
          <cell r="G121">
            <v>592584</v>
          </cell>
          <cell r="H121">
            <v>8822211</v>
          </cell>
          <cell r="I121">
            <v>9414795</v>
          </cell>
          <cell r="J121">
            <v>4662779</v>
          </cell>
          <cell r="K121">
            <v>9069696</v>
          </cell>
          <cell r="L121">
            <v>13732475</v>
          </cell>
          <cell r="M121">
            <v>20660236</v>
          </cell>
          <cell r="N121">
            <v>34392711</v>
          </cell>
          <cell r="O121">
            <v>-26524248</v>
          </cell>
          <cell r="P121">
            <v>47367011</v>
          </cell>
          <cell r="Q121">
            <v>8038063</v>
          </cell>
          <cell r="R121">
            <v>8058063</v>
          </cell>
          <cell r="S121"/>
          <cell r="T121">
            <v>189600</v>
          </cell>
          <cell r="U121">
            <v>7868463</v>
          </cell>
        </row>
        <row r="122">
          <cell r="C122">
            <v>648500</v>
          </cell>
          <cell r="D122">
            <v>7062</v>
          </cell>
          <cell r="E122" t="str">
            <v>시내교통비</v>
          </cell>
          <cell r="F122" t="str">
            <v>여비교통비</v>
          </cell>
          <cell r="G122">
            <v>0</v>
          </cell>
          <cell r="H122">
            <v>0</v>
          </cell>
          <cell r="I122">
            <v>0</v>
          </cell>
          <cell r="J122">
            <v>8891100</v>
          </cell>
          <cell r="K122">
            <v>10336130</v>
          </cell>
          <cell r="L122">
            <v>19227230</v>
          </cell>
          <cell r="M122">
            <v>9483813</v>
          </cell>
          <cell r="N122">
            <v>28711043</v>
          </cell>
          <cell r="O122">
            <v>1965040</v>
          </cell>
          <cell r="P122">
            <v>39192021</v>
          </cell>
          <cell r="Q122">
            <v>31726947</v>
          </cell>
          <cell r="R122">
            <v>32018827</v>
          </cell>
          <cell r="S122"/>
          <cell r="T122">
            <v>1342744</v>
          </cell>
          <cell r="U122">
            <v>30676083</v>
          </cell>
        </row>
        <row r="123">
          <cell r="C123">
            <v>648300</v>
          </cell>
          <cell r="D123">
            <v>7061</v>
          </cell>
          <cell r="E123" t="str">
            <v>해외출장비</v>
          </cell>
          <cell r="F123" t="str">
            <v>여비교통비</v>
          </cell>
          <cell r="G123">
            <v>0</v>
          </cell>
          <cell r="H123">
            <v>56896774</v>
          </cell>
          <cell r="I123">
            <v>56896774</v>
          </cell>
          <cell r="J123">
            <v>25295220</v>
          </cell>
          <cell r="K123">
            <v>47355175</v>
          </cell>
          <cell r="L123">
            <v>72650395</v>
          </cell>
          <cell r="M123">
            <v>100000</v>
          </cell>
          <cell r="N123">
            <v>72750395</v>
          </cell>
          <cell r="O123">
            <v>-72218795</v>
          </cell>
          <cell r="P123">
            <v>95583218</v>
          </cell>
          <cell r="Q123">
            <v>531600</v>
          </cell>
          <cell r="R123">
            <v>531600</v>
          </cell>
          <cell r="S123"/>
          <cell r="T123">
            <v>0</v>
          </cell>
          <cell r="U123">
            <v>531600</v>
          </cell>
        </row>
        <row r="124">
          <cell r="C124">
            <v>6491</v>
          </cell>
          <cell r="D124"/>
          <cell r="E124" t="str">
            <v>조사분석비</v>
          </cell>
          <cell r="F124"/>
          <cell r="G124">
            <v>60000</v>
          </cell>
          <cell r="H124">
            <v>15550000</v>
          </cell>
          <cell r="I124">
            <v>15610000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2000000</v>
          </cell>
          <cell r="Q124">
            <v>0</v>
          </cell>
          <cell r="R124">
            <v>0</v>
          </cell>
          <cell r="S124"/>
          <cell r="T124">
            <v>0</v>
          </cell>
          <cell r="U124">
            <v>0</v>
          </cell>
        </row>
        <row r="125">
          <cell r="C125">
            <v>649100</v>
          </cell>
          <cell r="D125"/>
          <cell r="E125" t="str">
            <v>정보이용료</v>
          </cell>
          <cell r="F125" t="str">
            <v>지급수수료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/>
          <cell r="T125">
            <v>0</v>
          </cell>
          <cell r="U125">
            <v>0</v>
          </cell>
        </row>
        <row r="126">
          <cell r="C126">
            <v>649900</v>
          </cell>
          <cell r="D126">
            <v>7263</v>
          </cell>
          <cell r="E126" t="str">
            <v>기타조사분석비</v>
          </cell>
          <cell r="F126" t="str">
            <v>지급수수료</v>
          </cell>
          <cell r="G126">
            <v>60000</v>
          </cell>
          <cell r="H126">
            <v>15550000</v>
          </cell>
          <cell r="I126">
            <v>15610000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2000000</v>
          </cell>
          <cell r="Q126">
            <v>0</v>
          </cell>
          <cell r="R126">
            <v>0</v>
          </cell>
          <cell r="S126"/>
          <cell r="T126">
            <v>0</v>
          </cell>
          <cell r="U126">
            <v>0</v>
          </cell>
        </row>
        <row r="127">
          <cell r="C127">
            <v>6701</v>
          </cell>
          <cell r="D127"/>
          <cell r="E127" t="str">
            <v>유형자산상각비</v>
          </cell>
          <cell r="F127"/>
          <cell r="G127">
            <v>1082559018</v>
          </cell>
          <cell r="H127">
            <v>3354868622</v>
          </cell>
          <cell r="I127">
            <v>4437427640</v>
          </cell>
          <cell r="J127">
            <v>5735687186</v>
          </cell>
          <cell r="K127">
            <v>5665615652</v>
          </cell>
          <cell r="L127">
            <v>11401302838</v>
          </cell>
          <cell r="M127">
            <v>5524046546</v>
          </cell>
          <cell r="N127">
            <v>16925349384</v>
          </cell>
          <cell r="O127">
            <v>-6212716716</v>
          </cell>
          <cell r="P127">
            <v>22490128072</v>
          </cell>
          <cell r="Q127">
            <v>10720690315</v>
          </cell>
          <cell r="R127">
            <v>10732100343</v>
          </cell>
          <cell r="S127"/>
          <cell r="T127">
            <v>19467675</v>
          </cell>
          <cell r="U127">
            <v>10712632668</v>
          </cell>
        </row>
        <row r="128">
          <cell r="C128">
            <v>670100</v>
          </cell>
          <cell r="D128">
            <v>7131</v>
          </cell>
          <cell r="E128" t="str">
            <v>건물상각</v>
          </cell>
          <cell r="F128" t="str">
            <v>감가상각비</v>
          </cell>
          <cell r="G128">
            <v>2729529</v>
          </cell>
          <cell r="H128">
            <v>8965842</v>
          </cell>
          <cell r="I128">
            <v>11695371</v>
          </cell>
          <cell r="J128">
            <v>8771528</v>
          </cell>
          <cell r="K128">
            <v>8771528</v>
          </cell>
          <cell r="L128">
            <v>17543056</v>
          </cell>
          <cell r="M128">
            <v>8771529</v>
          </cell>
          <cell r="N128">
            <v>26314585</v>
          </cell>
          <cell r="O128">
            <v>-8771529</v>
          </cell>
          <cell r="P128">
            <v>35086113</v>
          </cell>
          <cell r="Q128">
            <v>17543056</v>
          </cell>
          <cell r="R128">
            <v>17543056</v>
          </cell>
          <cell r="S128"/>
          <cell r="T128">
            <v>0</v>
          </cell>
          <cell r="U128">
            <v>17543056</v>
          </cell>
        </row>
        <row r="129">
          <cell r="C129">
            <v>671100</v>
          </cell>
          <cell r="D129"/>
          <cell r="E129" t="str">
            <v>구축물상각</v>
          </cell>
          <cell r="F129" t="str">
            <v>감가상각비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/>
          <cell r="T129">
            <v>0</v>
          </cell>
          <cell r="U129">
            <v>0</v>
          </cell>
        </row>
        <row r="130">
          <cell r="C130">
            <v>672100</v>
          </cell>
          <cell r="D130">
            <v>7134</v>
          </cell>
          <cell r="E130" t="str">
            <v>기계장치상각</v>
          </cell>
          <cell r="F130" t="str">
            <v>감가상각비</v>
          </cell>
          <cell r="G130">
            <v>873470386</v>
          </cell>
          <cell r="H130">
            <v>2696589549</v>
          </cell>
          <cell r="I130">
            <v>3570059935</v>
          </cell>
          <cell r="J130">
            <v>2786052727</v>
          </cell>
          <cell r="K130">
            <v>2734060858</v>
          </cell>
          <cell r="L130">
            <v>5520113585</v>
          </cell>
          <cell r="M130">
            <v>2571218149</v>
          </cell>
          <cell r="N130">
            <v>8091331734</v>
          </cell>
          <cell r="O130">
            <v>-3445959313</v>
          </cell>
          <cell r="P130">
            <v>10569430046</v>
          </cell>
          <cell r="Q130">
            <v>4647622421</v>
          </cell>
          <cell r="R130">
            <v>4649872421</v>
          </cell>
          <cell r="S130"/>
          <cell r="T130">
            <v>4500000</v>
          </cell>
          <cell r="U130">
            <v>4645372421</v>
          </cell>
        </row>
        <row r="131">
          <cell r="C131">
            <v>675100</v>
          </cell>
          <cell r="D131">
            <v>7138</v>
          </cell>
          <cell r="E131" t="str">
            <v>비품상각</v>
          </cell>
          <cell r="F131" t="str">
            <v>감가상각비</v>
          </cell>
          <cell r="G131">
            <v>206359103</v>
          </cell>
          <cell r="H131">
            <v>649313231</v>
          </cell>
          <cell r="I131">
            <v>855672334</v>
          </cell>
          <cell r="J131">
            <v>724787476</v>
          </cell>
          <cell r="K131">
            <v>689523226</v>
          </cell>
          <cell r="L131">
            <v>1414310702</v>
          </cell>
          <cell r="M131">
            <v>710647837</v>
          </cell>
          <cell r="N131">
            <v>2124958539</v>
          </cell>
          <cell r="O131">
            <v>-608859176</v>
          </cell>
          <cell r="P131">
            <v>2953779735</v>
          </cell>
          <cell r="Q131">
            <v>1521907010</v>
          </cell>
          <cell r="R131">
            <v>1531067038</v>
          </cell>
          <cell r="S131"/>
          <cell r="T131">
            <v>14967675</v>
          </cell>
          <cell r="U131">
            <v>1516099363</v>
          </cell>
        </row>
        <row r="132">
          <cell r="C132">
            <v>675120</v>
          </cell>
          <cell r="D132">
            <v>7522</v>
          </cell>
          <cell r="E132" t="str">
            <v>사용권자산상각-건물</v>
          </cell>
          <cell r="F132" t="str">
            <v>감가상각비</v>
          </cell>
          <cell r="G132">
            <v>0</v>
          </cell>
          <cell r="H132">
            <v>0</v>
          </cell>
          <cell r="I132">
            <v>0</v>
          </cell>
          <cell r="J132">
            <v>2187181612</v>
          </cell>
          <cell r="K132">
            <v>2201311941</v>
          </cell>
          <cell r="L132">
            <v>4388493553</v>
          </cell>
          <cell r="M132">
            <v>2198600484</v>
          </cell>
          <cell r="N132">
            <v>6587094037</v>
          </cell>
          <cell r="O132">
            <v>-2158535835</v>
          </cell>
          <cell r="P132">
            <v>8801373142</v>
          </cell>
          <cell r="Q132">
            <v>4428558202</v>
          </cell>
          <cell r="R132">
            <v>4428558202</v>
          </cell>
          <cell r="S132"/>
          <cell r="T132">
            <v>0</v>
          </cell>
          <cell r="U132">
            <v>4428558202</v>
          </cell>
        </row>
        <row r="133">
          <cell r="C133">
            <v>675140</v>
          </cell>
          <cell r="D133">
            <v>7525</v>
          </cell>
          <cell r="E133" t="str">
            <v>사용권자산상각-비품</v>
          </cell>
          <cell r="F133" t="str">
            <v>감가상각비</v>
          </cell>
          <cell r="G133">
            <v>0</v>
          </cell>
          <cell r="H133">
            <v>0</v>
          </cell>
          <cell r="I133">
            <v>0</v>
          </cell>
          <cell r="J133">
            <v>11002506</v>
          </cell>
          <cell r="K133">
            <v>11002506</v>
          </cell>
          <cell r="L133">
            <v>22005012</v>
          </cell>
          <cell r="M133">
            <v>11002506</v>
          </cell>
          <cell r="N133">
            <v>33007518</v>
          </cell>
          <cell r="O133">
            <v>-11002506</v>
          </cell>
          <cell r="P133">
            <v>44010024</v>
          </cell>
          <cell r="Q133">
            <v>22005012</v>
          </cell>
          <cell r="R133">
            <v>22005012</v>
          </cell>
          <cell r="S133"/>
          <cell r="T133">
            <v>0</v>
          </cell>
          <cell r="U133">
            <v>22005012</v>
          </cell>
        </row>
        <row r="134">
          <cell r="C134">
            <v>675150</v>
          </cell>
          <cell r="D134">
            <v>7528</v>
          </cell>
          <cell r="E134" t="str">
            <v>사용권자산상각-차량</v>
          </cell>
          <cell r="F134" t="str">
            <v>감가상각비</v>
          </cell>
          <cell r="G134">
            <v>0</v>
          </cell>
          <cell r="H134">
            <v>0</v>
          </cell>
          <cell r="I134">
            <v>0</v>
          </cell>
          <cell r="J134">
            <v>17891337</v>
          </cell>
          <cell r="K134">
            <v>20945593</v>
          </cell>
          <cell r="L134">
            <v>38836930</v>
          </cell>
          <cell r="M134">
            <v>23806041</v>
          </cell>
          <cell r="N134">
            <v>62642971</v>
          </cell>
          <cell r="O134">
            <v>20411643</v>
          </cell>
          <cell r="P134">
            <v>86449012</v>
          </cell>
          <cell r="Q134">
            <v>83054614</v>
          </cell>
          <cell r="R134">
            <v>83054614</v>
          </cell>
          <cell r="S134"/>
          <cell r="T134">
            <v>0</v>
          </cell>
          <cell r="U134">
            <v>83054614</v>
          </cell>
        </row>
        <row r="135">
          <cell r="C135">
            <v>6271</v>
          </cell>
          <cell r="D135"/>
          <cell r="E135" t="str">
            <v>금융수수료</v>
          </cell>
          <cell r="F135"/>
          <cell r="G135">
            <v>9935217705</v>
          </cell>
          <cell r="H135">
            <v>32750897415</v>
          </cell>
          <cell r="I135">
            <v>42686115120</v>
          </cell>
          <cell r="J135">
            <v>32076788202</v>
          </cell>
          <cell r="K135">
            <v>30589664947</v>
          </cell>
          <cell r="L135">
            <v>62666453149</v>
          </cell>
          <cell r="M135">
            <v>28732180531</v>
          </cell>
          <cell r="N135">
            <v>91398633680</v>
          </cell>
          <cell r="O135">
            <v>-28595154642</v>
          </cell>
          <cell r="P135">
            <v>123687436772</v>
          </cell>
          <cell r="Q135">
            <v>62803479038</v>
          </cell>
          <cell r="R135">
            <v>62803479038</v>
          </cell>
          <cell r="S135"/>
          <cell r="T135">
            <v>0</v>
          </cell>
          <cell r="U135">
            <v>62803479038</v>
          </cell>
        </row>
        <row r="136">
          <cell r="C136">
            <v>627100</v>
          </cell>
          <cell r="D136">
            <v>7265</v>
          </cell>
          <cell r="E136" t="str">
            <v>금융수수료</v>
          </cell>
          <cell r="F136" t="str">
            <v>지급수수료</v>
          </cell>
          <cell r="G136">
            <v>9935217705</v>
          </cell>
          <cell r="H136">
            <v>32750897415</v>
          </cell>
          <cell r="I136">
            <v>42686115120</v>
          </cell>
          <cell r="J136">
            <v>32076788202</v>
          </cell>
          <cell r="K136">
            <v>30589664947</v>
          </cell>
          <cell r="L136">
            <v>62666453149</v>
          </cell>
          <cell r="M136">
            <v>28732180531</v>
          </cell>
          <cell r="N136">
            <v>91398633680</v>
          </cell>
          <cell r="O136">
            <v>-28595154642</v>
          </cell>
          <cell r="P136">
            <v>123687436772</v>
          </cell>
          <cell r="Q136">
            <v>62803479038</v>
          </cell>
          <cell r="R136">
            <v>62803479038</v>
          </cell>
          <cell r="S136"/>
          <cell r="T136">
            <v>0</v>
          </cell>
          <cell r="U136">
            <v>62803479038</v>
          </cell>
        </row>
        <row r="137">
          <cell r="C137">
            <v>6371</v>
          </cell>
          <cell r="D137"/>
          <cell r="E137" t="str">
            <v>통신비</v>
          </cell>
          <cell r="F137"/>
          <cell r="G137">
            <v>0</v>
          </cell>
          <cell r="H137">
            <v>53506906</v>
          </cell>
          <cell r="I137">
            <v>53506906</v>
          </cell>
          <cell r="J137">
            <v>43795255</v>
          </cell>
          <cell r="K137">
            <v>39751182</v>
          </cell>
          <cell r="L137">
            <v>83546437</v>
          </cell>
          <cell r="M137">
            <v>35321212</v>
          </cell>
          <cell r="N137">
            <v>118867649</v>
          </cell>
          <cell r="O137">
            <v>-53179662</v>
          </cell>
          <cell r="P137">
            <v>157806671</v>
          </cell>
          <cell r="Q137">
            <v>65867687</v>
          </cell>
          <cell r="R137">
            <v>66047387</v>
          </cell>
          <cell r="S137"/>
          <cell r="T137">
            <v>359400</v>
          </cell>
          <cell r="U137">
            <v>65687987</v>
          </cell>
        </row>
        <row r="138">
          <cell r="C138">
            <v>637310</v>
          </cell>
          <cell r="D138">
            <v>7071</v>
          </cell>
          <cell r="E138" t="str">
            <v>자가사용통신비</v>
          </cell>
          <cell r="F138" t="str">
            <v>통신비</v>
          </cell>
          <cell r="G138">
            <v>0</v>
          </cell>
          <cell r="H138">
            <v>34225244</v>
          </cell>
          <cell r="I138">
            <v>34225244</v>
          </cell>
          <cell r="J138">
            <v>24547079</v>
          </cell>
          <cell r="K138">
            <v>21939937</v>
          </cell>
          <cell r="L138">
            <v>46487016</v>
          </cell>
          <cell r="M138">
            <v>17738754</v>
          </cell>
          <cell r="N138">
            <v>64225770</v>
          </cell>
          <cell r="O138">
            <v>-32539715</v>
          </cell>
          <cell r="P138">
            <v>84576959</v>
          </cell>
          <cell r="Q138">
            <v>31686055</v>
          </cell>
          <cell r="R138">
            <v>31686055</v>
          </cell>
          <cell r="S138"/>
          <cell r="T138">
            <v>0</v>
          </cell>
          <cell r="U138">
            <v>31686055</v>
          </cell>
        </row>
        <row r="139">
          <cell r="C139">
            <v>637400</v>
          </cell>
          <cell r="D139">
            <v>7071</v>
          </cell>
          <cell r="E139" t="str">
            <v>일반통신비</v>
          </cell>
          <cell r="F139" t="str">
            <v>통신비</v>
          </cell>
          <cell r="G139">
            <v>0</v>
          </cell>
          <cell r="H139">
            <v>19281662</v>
          </cell>
          <cell r="I139">
            <v>19281662</v>
          </cell>
          <cell r="J139">
            <v>19248176</v>
          </cell>
          <cell r="K139">
            <v>17811245</v>
          </cell>
          <cell r="L139">
            <v>37059421</v>
          </cell>
          <cell r="M139">
            <v>17582458</v>
          </cell>
          <cell r="N139">
            <v>54641879</v>
          </cell>
          <cell r="O139">
            <v>-20639947</v>
          </cell>
          <cell r="P139">
            <v>73229712</v>
          </cell>
          <cell r="Q139">
            <v>34181632</v>
          </cell>
          <cell r="R139">
            <v>34361332</v>
          </cell>
          <cell r="S139"/>
          <cell r="T139">
            <v>359400</v>
          </cell>
          <cell r="U139">
            <v>34001932</v>
          </cell>
        </row>
        <row r="140">
          <cell r="C140">
            <v>6381</v>
          </cell>
          <cell r="D140"/>
          <cell r="E140" t="str">
            <v>수도광열비</v>
          </cell>
          <cell r="F140"/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/>
          <cell r="T140">
            <v>0</v>
          </cell>
          <cell r="U140">
            <v>0</v>
          </cell>
        </row>
        <row r="141">
          <cell r="C141">
            <v>638200</v>
          </cell>
          <cell r="D141"/>
          <cell r="E141" t="str">
            <v>일반수도광열비</v>
          </cell>
          <cell r="F141" t="str">
            <v>수도광열비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/>
          <cell r="T141">
            <v>0</v>
          </cell>
          <cell r="U141">
            <v>0</v>
          </cell>
        </row>
        <row r="142">
          <cell r="C142">
            <v>6421</v>
          </cell>
          <cell r="D142"/>
          <cell r="E142" t="str">
            <v>차량유지비</v>
          </cell>
          <cell r="F142"/>
          <cell r="G142">
            <v>0</v>
          </cell>
          <cell r="H142">
            <v>61138222</v>
          </cell>
          <cell r="I142">
            <v>61138222</v>
          </cell>
          <cell r="J142">
            <v>56133888</v>
          </cell>
          <cell r="K142">
            <v>47099060</v>
          </cell>
          <cell r="L142">
            <v>103232948</v>
          </cell>
          <cell r="M142">
            <v>59701825</v>
          </cell>
          <cell r="N142">
            <v>162934773</v>
          </cell>
          <cell r="O142">
            <v>-69850903</v>
          </cell>
          <cell r="P142">
            <v>299285526</v>
          </cell>
          <cell r="Q142">
            <v>109225220</v>
          </cell>
          <cell r="R142">
            <v>120251200</v>
          </cell>
          <cell r="S142"/>
          <cell r="T142">
            <v>27167330</v>
          </cell>
          <cell r="U142">
            <v>93083870</v>
          </cell>
        </row>
        <row r="143">
          <cell r="C143">
            <v>642100</v>
          </cell>
          <cell r="D143">
            <v>7181</v>
          </cell>
          <cell r="E143" t="str">
            <v>차량유지비</v>
          </cell>
          <cell r="F143" t="str">
            <v>차량유지비</v>
          </cell>
          <cell r="G143">
            <v>0</v>
          </cell>
          <cell r="H143">
            <v>14894759</v>
          </cell>
          <cell r="I143">
            <v>14894759</v>
          </cell>
          <cell r="J143">
            <v>10687718</v>
          </cell>
          <cell r="K143">
            <v>10904040</v>
          </cell>
          <cell r="L143">
            <v>21591758</v>
          </cell>
          <cell r="M143">
            <v>14186295</v>
          </cell>
          <cell r="N143">
            <v>35778053</v>
          </cell>
          <cell r="O143">
            <v>-18893003</v>
          </cell>
          <cell r="P143">
            <v>51412076</v>
          </cell>
          <cell r="Q143">
            <v>16992550</v>
          </cell>
          <cell r="R143">
            <v>17074750</v>
          </cell>
          <cell r="S143"/>
          <cell r="T143">
            <v>189700</v>
          </cell>
          <cell r="U143">
            <v>16885050</v>
          </cell>
        </row>
        <row r="144">
          <cell r="C144">
            <v>642200</v>
          </cell>
          <cell r="D144">
            <v>7181</v>
          </cell>
          <cell r="E144" t="str">
            <v>직책자교통비</v>
          </cell>
          <cell r="F144" t="str">
            <v>차량유지비</v>
          </cell>
          <cell r="G144">
            <v>0</v>
          </cell>
          <cell r="H144">
            <v>46243463</v>
          </cell>
          <cell r="I144">
            <v>46243463</v>
          </cell>
          <cell r="J144">
            <v>45446170</v>
          </cell>
          <cell r="K144">
            <v>36195020</v>
          </cell>
          <cell r="L144">
            <v>81641190</v>
          </cell>
          <cell r="M144">
            <v>45515530</v>
          </cell>
          <cell r="N144">
            <v>127156720</v>
          </cell>
          <cell r="O144">
            <v>-50957900</v>
          </cell>
          <cell r="P144">
            <v>247873450</v>
          </cell>
          <cell r="Q144">
            <v>92232670</v>
          </cell>
          <cell r="R144">
            <v>103176450</v>
          </cell>
          <cell r="S144"/>
          <cell r="T144">
            <v>26977630</v>
          </cell>
          <cell r="U144">
            <v>76198820</v>
          </cell>
        </row>
        <row r="145">
          <cell r="C145">
            <v>6423</v>
          </cell>
          <cell r="D145"/>
          <cell r="E145" t="str">
            <v>임원차량유지비</v>
          </cell>
          <cell r="F145"/>
          <cell r="G145">
            <v>0</v>
          </cell>
          <cell r="H145">
            <v>15062251</v>
          </cell>
          <cell r="I145">
            <v>15062251</v>
          </cell>
          <cell r="J145">
            <v>11982105</v>
          </cell>
          <cell r="K145">
            <v>12853395</v>
          </cell>
          <cell r="L145">
            <v>24835500</v>
          </cell>
          <cell r="M145">
            <v>16269625</v>
          </cell>
          <cell r="N145">
            <v>41105125</v>
          </cell>
          <cell r="O145">
            <v>-25539623</v>
          </cell>
          <cell r="P145">
            <v>68255017</v>
          </cell>
          <cell r="Q145">
            <v>17635593</v>
          </cell>
          <cell r="R145">
            <v>19865993</v>
          </cell>
          <cell r="S145"/>
          <cell r="T145">
            <v>4300491</v>
          </cell>
          <cell r="U145">
            <v>15565502</v>
          </cell>
        </row>
        <row r="146">
          <cell r="C146">
            <v>642300</v>
          </cell>
          <cell r="D146">
            <v>7181</v>
          </cell>
          <cell r="E146" t="str">
            <v>임원차량유지비</v>
          </cell>
          <cell r="F146" t="str">
            <v>차량유지비</v>
          </cell>
          <cell r="G146">
            <v>0</v>
          </cell>
          <cell r="H146">
            <v>15062251</v>
          </cell>
          <cell r="I146">
            <v>15062251</v>
          </cell>
          <cell r="J146">
            <v>11982105</v>
          </cell>
          <cell r="K146">
            <v>12853395</v>
          </cell>
          <cell r="L146">
            <v>24835500</v>
          </cell>
          <cell r="M146">
            <v>16269625</v>
          </cell>
          <cell r="N146">
            <v>41105125</v>
          </cell>
          <cell r="O146">
            <v>-25539623</v>
          </cell>
          <cell r="P146">
            <v>68255017</v>
          </cell>
          <cell r="Q146">
            <v>17635593</v>
          </cell>
          <cell r="R146">
            <v>19865993</v>
          </cell>
          <cell r="S146"/>
          <cell r="T146">
            <v>4300491</v>
          </cell>
          <cell r="U146">
            <v>15565502</v>
          </cell>
        </row>
        <row r="147">
          <cell r="C147">
            <v>6441</v>
          </cell>
          <cell r="D147"/>
          <cell r="E147" t="str">
            <v>보험료</v>
          </cell>
          <cell r="F147"/>
          <cell r="G147">
            <v>7230420</v>
          </cell>
          <cell r="H147">
            <v>22807661</v>
          </cell>
          <cell r="I147">
            <v>30038081</v>
          </cell>
          <cell r="J147">
            <v>91165545</v>
          </cell>
          <cell r="K147">
            <v>57045524</v>
          </cell>
          <cell r="L147">
            <v>148211069</v>
          </cell>
          <cell r="M147">
            <v>21275887</v>
          </cell>
          <cell r="N147">
            <v>169486956</v>
          </cell>
          <cell r="O147">
            <v>-1952398</v>
          </cell>
          <cell r="P147">
            <v>190686118</v>
          </cell>
          <cell r="Q147">
            <v>167534558</v>
          </cell>
          <cell r="R147">
            <v>167534558</v>
          </cell>
          <cell r="S147"/>
          <cell r="T147">
            <v>0</v>
          </cell>
          <cell r="U147">
            <v>167534558</v>
          </cell>
        </row>
        <row r="148">
          <cell r="C148">
            <v>644100</v>
          </cell>
          <cell r="D148">
            <v>7191</v>
          </cell>
          <cell r="E148" t="str">
            <v>화재보험료</v>
          </cell>
          <cell r="F148" t="str">
            <v>보험료</v>
          </cell>
          <cell r="G148">
            <v>3872521</v>
          </cell>
          <cell r="H148">
            <v>12345602</v>
          </cell>
          <cell r="I148">
            <v>16218123</v>
          </cell>
          <cell r="J148">
            <v>11545181</v>
          </cell>
          <cell r="K148">
            <v>10938461</v>
          </cell>
          <cell r="L148">
            <v>22483642</v>
          </cell>
          <cell r="M148">
            <v>3644860</v>
          </cell>
          <cell r="N148">
            <v>26128502</v>
          </cell>
          <cell r="O148">
            <v>-14928491</v>
          </cell>
          <cell r="P148">
            <v>29696882</v>
          </cell>
          <cell r="Q148">
            <v>11200011</v>
          </cell>
          <cell r="R148">
            <v>11200011</v>
          </cell>
          <cell r="S148"/>
          <cell r="T148">
            <v>0</v>
          </cell>
          <cell r="U148">
            <v>11200011</v>
          </cell>
        </row>
        <row r="149">
          <cell r="C149">
            <v>644110</v>
          </cell>
          <cell r="D149">
            <v>7191</v>
          </cell>
          <cell r="E149" t="str">
            <v>배상책임보험료</v>
          </cell>
          <cell r="F149" t="str">
            <v>보험료</v>
          </cell>
          <cell r="G149">
            <v>3357899</v>
          </cell>
          <cell r="H149">
            <v>10462059</v>
          </cell>
          <cell r="I149">
            <v>13819958</v>
          </cell>
          <cell r="J149">
            <v>78398263</v>
          </cell>
          <cell r="K149">
            <v>39730163</v>
          </cell>
          <cell r="L149">
            <v>118128426</v>
          </cell>
          <cell r="M149">
            <v>16381768</v>
          </cell>
          <cell r="N149">
            <v>134510194</v>
          </cell>
          <cell r="O149">
            <v>19352993</v>
          </cell>
          <cell r="P149">
            <v>150891717</v>
          </cell>
          <cell r="Q149">
            <v>153863187</v>
          </cell>
          <cell r="R149">
            <v>153863187</v>
          </cell>
          <cell r="S149"/>
          <cell r="T149">
            <v>0</v>
          </cell>
          <cell r="U149">
            <v>153863187</v>
          </cell>
        </row>
        <row r="150">
          <cell r="C150">
            <v>644190</v>
          </cell>
          <cell r="D150">
            <v>7191</v>
          </cell>
          <cell r="E150" t="str">
            <v>기타보험료</v>
          </cell>
          <cell r="F150" t="str">
            <v>보험료</v>
          </cell>
          <cell r="G150">
            <v>0</v>
          </cell>
          <cell r="H150">
            <v>0</v>
          </cell>
          <cell r="I150">
            <v>0</v>
          </cell>
          <cell r="J150">
            <v>1222101</v>
          </cell>
          <cell r="K150">
            <v>6376900</v>
          </cell>
          <cell r="L150">
            <v>7599001</v>
          </cell>
          <cell r="M150">
            <v>1249259</v>
          </cell>
          <cell r="N150">
            <v>8848260</v>
          </cell>
          <cell r="O150">
            <v>-6376900</v>
          </cell>
          <cell r="P150">
            <v>10097519</v>
          </cell>
          <cell r="Q150">
            <v>2471360</v>
          </cell>
          <cell r="R150">
            <v>2471360</v>
          </cell>
          <cell r="S150"/>
          <cell r="T150">
            <v>0</v>
          </cell>
          <cell r="U150">
            <v>2471360</v>
          </cell>
        </row>
        <row r="151">
          <cell r="C151">
            <v>6511</v>
          </cell>
          <cell r="D151"/>
          <cell r="E151" t="str">
            <v>회의비</v>
          </cell>
          <cell r="F151"/>
          <cell r="G151">
            <v>100000</v>
          </cell>
          <cell r="H151">
            <v>78883778</v>
          </cell>
          <cell r="I151">
            <v>78983778</v>
          </cell>
          <cell r="J151">
            <v>46729153</v>
          </cell>
          <cell r="K151">
            <v>86377243</v>
          </cell>
          <cell r="L151">
            <v>133106396</v>
          </cell>
          <cell r="M151">
            <v>53233234</v>
          </cell>
          <cell r="N151">
            <v>186339630</v>
          </cell>
          <cell r="O151">
            <v>-106669048</v>
          </cell>
          <cell r="P151">
            <v>334736572</v>
          </cell>
          <cell r="Q151">
            <v>83402753</v>
          </cell>
          <cell r="R151">
            <v>85550470</v>
          </cell>
          <cell r="S151"/>
          <cell r="T151">
            <v>5879888</v>
          </cell>
          <cell r="U151">
            <v>79670582</v>
          </cell>
        </row>
        <row r="152">
          <cell r="C152">
            <v>651100</v>
          </cell>
          <cell r="D152">
            <v>7359</v>
          </cell>
          <cell r="E152" t="str">
            <v>부서회의비</v>
          </cell>
          <cell r="F152" t="str">
            <v>회의비</v>
          </cell>
          <cell r="G152">
            <v>0</v>
          </cell>
          <cell r="H152">
            <v>29377168</v>
          </cell>
          <cell r="I152">
            <v>29377168</v>
          </cell>
          <cell r="J152">
            <v>0</v>
          </cell>
          <cell r="K152">
            <v>26616928</v>
          </cell>
          <cell r="L152">
            <v>26616928</v>
          </cell>
          <cell r="M152">
            <v>0</v>
          </cell>
          <cell r="N152">
            <v>26616928</v>
          </cell>
          <cell r="O152">
            <v>-26616928</v>
          </cell>
          <cell r="P152">
            <v>73981833</v>
          </cell>
          <cell r="Q152">
            <v>0</v>
          </cell>
          <cell r="R152">
            <v>0</v>
          </cell>
          <cell r="S152"/>
          <cell r="T152">
            <v>0</v>
          </cell>
          <cell r="U152">
            <v>0</v>
          </cell>
        </row>
        <row r="153">
          <cell r="C153">
            <v>651200</v>
          </cell>
          <cell r="D153">
            <v>7359</v>
          </cell>
          <cell r="E153" t="str">
            <v>업무회의비</v>
          </cell>
          <cell r="F153" t="str">
            <v>회의비</v>
          </cell>
          <cell r="G153">
            <v>0</v>
          </cell>
          <cell r="H153">
            <v>31172170</v>
          </cell>
          <cell r="I153">
            <v>31172170</v>
          </cell>
          <cell r="J153">
            <v>36718053</v>
          </cell>
          <cell r="K153">
            <v>34623725</v>
          </cell>
          <cell r="L153">
            <v>71341778</v>
          </cell>
          <cell r="M153">
            <v>37363304</v>
          </cell>
          <cell r="N153">
            <v>108705082</v>
          </cell>
          <cell r="O153">
            <v>-60524660</v>
          </cell>
          <cell r="P153">
            <v>176389539</v>
          </cell>
          <cell r="Q153">
            <v>51912593</v>
          </cell>
          <cell r="R153">
            <v>54060310</v>
          </cell>
          <cell r="S153"/>
          <cell r="T153">
            <v>5879888</v>
          </cell>
          <cell r="U153">
            <v>48180422</v>
          </cell>
        </row>
        <row r="154">
          <cell r="C154">
            <v>651300</v>
          </cell>
          <cell r="D154">
            <v>7359</v>
          </cell>
          <cell r="E154" t="str">
            <v>노사협의비</v>
          </cell>
          <cell r="F154" t="str">
            <v>회의비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/>
          <cell r="T154">
            <v>0</v>
          </cell>
          <cell r="U154">
            <v>0</v>
          </cell>
        </row>
        <row r="155">
          <cell r="C155">
            <v>651400</v>
          </cell>
          <cell r="D155">
            <v>7359</v>
          </cell>
          <cell r="E155" t="str">
            <v>업무추진비</v>
          </cell>
          <cell r="F155" t="str">
            <v>회의비</v>
          </cell>
          <cell r="G155">
            <v>100000</v>
          </cell>
          <cell r="H155">
            <v>18334440</v>
          </cell>
          <cell r="I155">
            <v>18434440</v>
          </cell>
          <cell r="J155">
            <v>10011100</v>
          </cell>
          <cell r="K155">
            <v>25136590</v>
          </cell>
          <cell r="L155">
            <v>35147690</v>
          </cell>
          <cell r="M155">
            <v>15869930</v>
          </cell>
          <cell r="N155">
            <v>51017620</v>
          </cell>
          <cell r="O155">
            <v>-19527460</v>
          </cell>
          <cell r="P155">
            <v>84365200</v>
          </cell>
          <cell r="Q155">
            <v>31490160</v>
          </cell>
          <cell r="R155">
            <v>31490160</v>
          </cell>
          <cell r="S155"/>
          <cell r="T155">
            <v>0</v>
          </cell>
          <cell r="U155">
            <v>31490160</v>
          </cell>
        </row>
        <row r="156">
          <cell r="C156">
            <v>6521</v>
          </cell>
          <cell r="D156"/>
          <cell r="E156" t="str">
            <v>접대비</v>
          </cell>
          <cell r="F156"/>
          <cell r="G156">
            <v>0</v>
          </cell>
          <cell r="H156">
            <v>103484847</v>
          </cell>
          <cell r="I156">
            <v>103484847</v>
          </cell>
          <cell r="J156">
            <v>78109783</v>
          </cell>
          <cell r="K156">
            <v>70540051</v>
          </cell>
          <cell r="L156">
            <v>148649834</v>
          </cell>
          <cell r="M156">
            <v>86864128</v>
          </cell>
          <cell r="N156">
            <v>235513962</v>
          </cell>
          <cell r="O156">
            <v>-126052493</v>
          </cell>
          <cell r="P156">
            <v>378474562</v>
          </cell>
          <cell r="Q156">
            <v>119517769</v>
          </cell>
          <cell r="R156">
            <v>126925669</v>
          </cell>
          <cell r="S156"/>
          <cell r="T156">
            <v>17464200</v>
          </cell>
          <cell r="U156">
            <v>109461469</v>
          </cell>
        </row>
        <row r="157">
          <cell r="C157">
            <v>652100</v>
          </cell>
          <cell r="D157">
            <v>7341</v>
          </cell>
          <cell r="E157" t="str">
            <v>접대비</v>
          </cell>
          <cell r="F157" t="str">
            <v>접대비</v>
          </cell>
          <cell r="G157">
            <v>0</v>
          </cell>
          <cell r="H157">
            <v>85710516</v>
          </cell>
          <cell r="I157">
            <v>85710516</v>
          </cell>
          <cell r="J157">
            <v>63878713</v>
          </cell>
          <cell r="K157">
            <v>48392381</v>
          </cell>
          <cell r="L157">
            <v>112271094</v>
          </cell>
          <cell r="M157">
            <v>69781808</v>
          </cell>
          <cell r="N157">
            <v>182052902</v>
          </cell>
          <cell r="O157">
            <v>-93248373</v>
          </cell>
          <cell r="P157">
            <v>295749872</v>
          </cell>
          <cell r="Q157">
            <v>98360829</v>
          </cell>
          <cell r="R157">
            <v>104247329</v>
          </cell>
          <cell r="S157"/>
          <cell r="T157">
            <v>15442800</v>
          </cell>
          <cell r="U157">
            <v>88804529</v>
          </cell>
        </row>
        <row r="158">
          <cell r="C158">
            <v>652150</v>
          </cell>
          <cell r="D158">
            <v>7341</v>
          </cell>
          <cell r="E158" t="str">
            <v>접대비-대외경조사비</v>
          </cell>
          <cell r="F158" t="str">
            <v>접대비</v>
          </cell>
          <cell r="G158">
            <v>0</v>
          </cell>
          <cell r="H158">
            <v>650000</v>
          </cell>
          <cell r="I158">
            <v>650000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/>
          <cell r="T158">
            <v>0</v>
          </cell>
          <cell r="U158">
            <v>0</v>
          </cell>
        </row>
        <row r="159">
          <cell r="C159">
            <v>652160</v>
          </cell>
          <cell r="D159">
            <v>7181</v>
          </cell>
          <cell r="E159" t="str">
            <v>임원동적요소비</v>
          </cell>
          <cell r="F159" t="str">
            <v>접대비</v>
          </cell>
          <cell r="G159">
            <v>0</v>
          </cell>
          <cell r="H159">
            <v>17124331</v>
          </cell>
          <cell r="I159">
            <v>17124331</v>
          </cell>
          <cell r="J159">
            <v>14231070</v>
          </cell>
          <cell r="K159">
            <v>22147670</v>
          </cell>
          <cell r="L159">
            <v>36378740</v>
          </cell>
          <cell r="M159">
            <v>17082320</v>
          </cell>
          <cell r="N159">
            <v>53461060</v>
          </cell>
          <cell r="O159">
            <v>-32804120</v>
          </cell>
          <cell r="P159">
            <v>82724690</v>
          </cell>
          <cell r="Q159">
            <v>21156940</v>
          </cell>
          <cell r="R159">
            <v>22678340</v>
          </cell>
          <cell r="S159"/>
          <cell r="T159">
            <v>2021400</v>
          </cell>
          <cell r="U159">
            <v>20656940</v>
          </cell>
        </row>
        <row r="160">
          <cell r="C160" t="str">
            <v>-</v>
          </cell>
          <cell r="D160"/>
          <cell r="E160" t="str">
            <v>기타영업비용</v>
          </cell>
          <cell r="F160"/>
          <cell r="G160">
            <v>191396998</v>
          </cell>
          <cell r="H160">
            <v>547752139</v>
          </cell>
          <cell r="I160">
            <v>739149137</v>
          </cell>
          <cell r="J160">
            <v>658662993</v>
          </cell>
          <cell r="K160">
            <v>692080629</v>
          </cell>
          <cell r="L160">
            <v>1350743622</v>
          </cell>
          <cell r="M160">
            <v>873732706</v>
          </cell>
          <cell r="N160">
            <v>2224476328</v>
          </cell>
          <cell r="O160">
            <v>-1046785884</v>
          </cell>
          <cell r="P160">
            <v>2931146570</v>
          </cell>
          <cell r="Q160">
            <v>1182284496</v>
          </cell>
          <cell r="R160">
            <v>1185149975</v>
          </cell>
          <cell r="S160"/>
          <cell r="T160">
            <v>7459531</v>
          </cell>
          <cell r="U160">
            <v>1177690444</v>
          </cell>
        </row>
        <row r="161">
          <cell r="C161">
            <v>654100</v>
          </cell>
          <cell r="D161">
            <v>7439</v>
          </cell>
          <cell r="E161" t="str">
            <v>포상비</v>
          </cell>
          <cell r="F161" t="str">
            <v>기타영업비용</v>
          </cell>
          <cell r="G161">
            <v>2000000</v>
          </cell>
          <cell r="H161">
            <v>13243167</v>
          </cell>
          <cell r="I161">
            <v>15243167</v>
          </cell>
          <cell r="J161">
            <v>5258858</v>
          </cell>
          <cell r="K161">
            <v>23924332</v>
          </cell>
          <cell r="L161">
            <v>29183190</v>
          </cell>
          <cell r="M161">
            <v>259252397</v>
          </cell>
          <cell r="N161">
            <v>288435587</v>
          </cell>
          <cell r="O161">
            <v>-285845587</v>
          </cell>
          <cell r="P161">
            <v>332481706</v>
          </cell>
          <cell r="Q161">
            <v>2590000</v>
          </cell>
          <cell r="R161">
            <v>2590000</v>
          </cell>
          <cell r="S161"/>
          <cell r="T161">
            <v>0</v>
          </cell>
          <cell r="U161">
            <v>2590000</v>
          </cell>
        </row>
        <row r="162">
          <cell r="C162">
            <v>631900</v>
          </cell>
          <cell r="D162">
            <v>7439</v>
          </cell>
          <cell r="E162" t="str">
            <v>사내방송제작비</v>
          </cell>
          <cell r="F162" t="str">
            <v>기타영업비용</v>
          </cell>
          <cell r="G162">
            <v>27277773</v>
          </cell>
          <cell r="H162">
            <v>104141974</v>
          </cell>
          <cell r="I162">
            <v>131419747</v>
          </cell>
          <cell r="J162">
            <v>100725602</v>
          </cell>
          <cell r="K162">
            <v>101237981</v>
          </cell>
          <cell r="L162">
            <v>201963583</v>
          </cell>
          <cell r="M162">
            <v>102188410</v>
          </cell>
          <cell r="N162">
            <v>304151993</v>
          </cell>
          <cell r="O162">
            <v>-111329553</v>
          </cell>
          <cell r="P162">
            <v>401085680</v>
          </cell>
          <cell r="Q162">
            <v>192822440</v>
          </cell>
          <cell r="R162">
            <v>192822440</v>
          </cell>
          <cell r="S162"/>
          <cell r="T162">
            <v>0</v>
          </cell>
          <cell r="U162">
            <v>192822440</v>
          </cell>
        </row>
        <row r="163">
          <cell r="C163">
            <v>643100</v>
          </cell>
          <cell r="D163">
            <v>7102</v>
          </cell>
          <cell r="E163" t="str">
            <v>도서구입비</v>
          </cell>
          <cell r="F163" t="str">
            <v>기타영업비용</v>
          </cell>
          <cell r="G163">
            <v>2412000</v>
          </cell>
          <cell r="H163">
            <v>20350180</v>
          </cell>
          <cell r="I163">
            <v>22762180</v>
          </cell>
          <cell r="J163">
            <v>10946350</v>
          </cell>
          <cell r="K163">
            <v>4493870</v>
          </cell>
          <cell r="L163">
            <v>15440220</v>
          </cell>
          <cell r="M163">
            <v>15593950</v>
          </cell>
          <cell r="N163">
            <v>31034170</v>
          </cell>
          <cell r="O163">
            <v>-18803050</v>
          </cell>
          <cell r="P163">
            <v>74697401</v>
          </cell>
          <cell r="Q163">
            <v>14593470</v>
          </cell>
          <cell r="R163">
            <v>16061740</v>
          </cell>
          <cell r="S163"/>
          <cell r="T163">
            <v>3830620</v>
          </cell>
          <cell r="U163">
            <v>12231120</v>
          </cell>
        </row>
        <row r="164">
          <cell r="C164">
            <v>645100</v>
          </cell>
          <cell r="D164">
            <v>7439</v>
          </cell>
          <cell r="E164" t="str">
            <v>피해보상비</v>
          </cell>
          <cell r="F164" t="str">
            <v>기타영업비용</v>
          </cell>
          <cell r="G164">
            <v>7667225</v>
          </cell>
          <cell r="H164">
            <v>-119707197</v>
          </cell>
          <cell r="I164">
            <v>-112039972</v>
          </cell>
          <cell r="J164">
            <v>-28709169</v>
          </cell>
          <cell r="K164">
            <v>32104554</v>
          </cell>
          <cell r="L164">
            <v>3395385</v>
          </cell>
          <cell r="M164">
            <v>37479832</v>
          </cell>
          <cell r="N164">
            <v>40875217</v>
          </cell>
          <cell r="O164">
            <v>17047830</v>
          </cell>
          <cell r="P164">
            <v>76810097</v>
          </cell>
          <cell r="Q164">
            <v>57923047</v>
          </cell>
          <cell r="R164">
            <v>57923047</v>
          </cell>
          <cell r="S164"/>
          <cell r="T164">
            <v>0</v>
          </cell>
          <cell r="U164">
            <v>57923047</v>
          </cell>
        </row>
        <row r="165">
          <cell r="C165">
            <v>610900</v>
          </cell>
          <cell r="D165">
            <v>7301</v>
          </cell>
          <cell r="E165" t="str">
            <v>기타전용회선료</v>
          </cell>
          <cell r="F165" t="str">
            <v>기타영업비용</v>
          </cell>
          <cell r="G165">
            <v>152040000</v>
          </cell>
          <cell r="H165">
            <v>387254745</v>
          </cell>
          <cell r="I165">
            <v>539294745</v>
          </cell>
          <cell r="J165">
            <v>382263603</v>
          </cell>
          <cell r="K165">
            <v>426458098</v>
          </cell>
          <cell r="L165">
            <v>808721701</v>
          </cell>
          <cell r="M165">
            <v>335831302</v>
          </cell>
          <cell r="N165">
            <v>1144553003</v>
          </cell>
          <cell r="O165">
            <v>-395286506</v>
          </cell>
          <cell r="P165">
            <v>1485181117</v>
          </cell>
          <cell r="Q165">
            <v>749266497</v>
          </cell>
          <cell r="R165">
            <v>749266497</v>
          </cell>
          <cell r="S165"/>
          <cell r="T165">
            <v>0</v>
          </cell>
          <cell r="U165">
            <v>749266497</v>
          </cell>
        </row>
        <row r="166">
          <cell r="C166">
            <v>631910</v>
          </cell>
          <cell r="D166">
            <v>7439</v>
          </cell>
          <cell r="E166" t="str">
            <v>사보제작비</v>
          </cell>
          <cell r="F166" t="str">
            <v>기타영업비용</v>
          </cell>
          <cell r="G166">
            <v>0</v>
          </cell>
          <cell r="H166">
            <v>8200000</v>
          </cell>
          <cell r="I166">
            <v>8200000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/>
          <cell r="T166">
            <v>0</v>
          </cell>
          <cell r="U166">
            <v>0</v>
          </cell>
        </row>
        <row r="167">
          <cell r="C167">
            <v>643400</v>
          </cell>
          <cell r="D167">
            <v>7104</v>
          </cell>
          <cell r="E167" t="str">
            <v>사무용인쇄비</v>
          </cell>
          <cell r="F167" t="str">
            <v>기타영업비용</v>
          </cell>
          <cell r="G167">
            <v>0</v>
          </cell>
          <cell r="H167">
            <v>13284700</v>
          </cell>
          <cell r="I167">
            <v>13284700</v>
          </cell>
          <cell r="J167">
            <v>0</v>
          </cell>
          <cell r="K167">
            <v>0</v>
          </cell>
          <cell r="L167">
            <v>0</v>
          </cell>
          <cell r="M167">
            <v>304920</v>
          </cell>
          <cell r="N167">
            <v>304920</v>
          </cell>
          <cell r="O167">
            <v>1759080</v>
          </cell>
          <cell r="P167">
            <v>15238920</v>
          </cell>
          <cell r="Q167">
            <v>2064000</v>
          </cell>
          <cell r="R167">
            <v>2064000</v>
          </cell>
          <cell r="S167"/>
          <cell r="T167">
            <v>0</v>
          </cell>
          <cell r="U167">
            <v>2064000</v>
          </cell>
        </row>
        <row r="168">
          <cell r="C168">
            <v>645101</v>
          </cell>
          <cell r="D168">
            <v>7439</v>
          </cell>
          <cell r="E168" t="str">
            <v>기타영업비용</v>
          </cell>
          <cell r="F168" t="str">
            <v>기타영업비용</v>
          </cell>
          <cell r="G168">
            <v>0</v>
          </cell>
          <cell r="H168">
            <v>22125255</v>
          </cell>
          <cell r="I168">
            <v>22125255</v>
          </cell>
          <cell r="J168">
            <v>115637587</v>
          </cell>
          <cell r="K168">
            <v>26070851</v>
          </cell>
          <cell r="L168">
            <v>141708438</v>
          </cell>
          <cell r="M168">
            <v>67885209</v>
          </cell>
          <cell r="N168">
            <v>209593647</v>
          </cell>
          <cell r="O168">
            <v>-125779760</v>
          </cell>
          <cell r="P168">
            <v>236284152</v>
          </cell>
          <cell r="Q168">
            <v>83813887</v>
          </cell>
          <cell r="R168">
            <v>83813887</v>
          </cell>
          <cell r="S168"/>
          <cell r="T168">
            <v>0</v>
          </cell>
          <cell r="U168">
            <v>83813887</v>
          </cell>
        </row>
        <row r="169">
          <cell r="C169">
            <v>652000</v>
          </cell>
          <cell r="D169">
            <v>7359</v>
          </cell>
          <cell r="E169" t="str">
            <v>영업활동지원비</v>
          </cell>
          <cell r="F169" t="str">
            <v>기타영업비용</v>
          </cell>
          <cell r="G169">
            <v>0</v>
          </cell>
          <cell r="H169">
            <v>78737340</v>
          </cell>
          <cell r="I169">
            <v>78737340</v>
          </cell>
          <cell r="J169">
            <v>62215272</v>
          </cell>
          <cell r="K169">
            <v>66621897</v>
          </cell>
          <cell r="L169">
            <v>128837169</v>
          </cell>
          <cell r="M169">
            <v>46029700</v>
          </cell>
          <cell r="N169">
            <v>174866869</v>
          </cell>
          <cell r="O169">
            <v>-114572719</v>
          </cell>
          <cell r="P169">
            <v>258913725</v>
          </cell>
          <cell r="Q169">
            <v>60294150</v>
          </cell>
          <cell r="R169">
            <v>60294150</v>
          </cell>
          <cell r="S169"/>
          <cell r="T169">
            <v>0</v>
          </cell>
          <cell r="U169">
            <v>60294150</v>
          </cell>
        </row>
        <row r="170">
          <cell r="C170">
            <v>631930</v>
          </cell>
          <cell r="D170">
            <v>7439</v>
          </cell>
          <cell r="E170" t="str">
            <v>사내홍보행사비</v>
          </cell>
          <cell r="F170" t="str">
            <v>기타영업비용</v>
          </cell>
          <cell r="G170">
            <v>0</v>
          </cell>
          <cell r="H170">
            <v>800000</v>
          </cell>
          <cell r="I170">
            <v>800000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/>
          <cell r="T170">
            <v>0</v>
          </cell>
          <cell r="U170">
            <v>0</v>
          </cell>
        </row>
        <row r="171">
          <cell r="C171">
            <v>655100</v>
          </cell>
          <cell r="D171">
            <v>7439</v>
          </cell>
          <cell r="E171" t="str">
            <v>잡비</v>
          </cell>
          <cell r="F171" t="str">
            <v>기타영업비용</v>
          </cell>
          <cell r="G171">
            <v>0</v>
          </cell>
          <cell r="H171">
            <v>19321975</v>
          </cell>
          <cell r="I171">
            <v>19321975</v>
          </cell>
          <cell r="J171">
            <v>10324890</v>
          </cell>
          <cell r="K171">
            <v>11169046</v>
          </cell>
          <cell r="L171">
            <v>21493936</v>
          </cell>
          <cell r="M171">
            <v>9166986</v>
          </cell>
          <cell r="N171">
            <v>30660922</v>
          </cell>
          <cell r="O171">
            <v>-13975619</v>
          </cell>
          <cell r="P171">
            <v>50453772</v>
          </cell>
          <cell r="Q171">
            <v>18917005</v>
          </cell>
          <cell r="R171">
            <v>20314214</v>
          </cell>
          <cell r="S171"/>
          <cell r="T171">
            <v>3628911</v>
          </cell>
          <cell r="U171">
            <v>16685303</v>
          </cell>
        </row>
        <row r="172">
          <cell r="C172">
            <v>6601</v>
          </cell>
          <cell r="D172"/>
          <cell r="E172" t="str">
            <v>대손상각비</v>
          </cell>
          <cell r="F172"/>
          <cell r="G172">
            <v>119546580</v>
          </cell>
          <cell r="H172">
            <v>-13298094</v>
          </cell>
          <cell r="I172">
            <v>106248486</v>
          </cell>
          <cell r="J172">
            <v>-28938044</v>
          </cell>
          <cell r="K172">
            <v>89937536</v>
          </cell>
          <cell r="L172">
            <v>60999492</v>
          </cell>
          <cell r="M172">
            <v>20214888</v>
          </cell>
          <cell r="N172">
            <v>81214380</v>
          </cell>
          <cell r="O172">
            <v>-123895385</v>
          </cell>
          <cell r="P172">
            <v>136826085</v>
          </cell>
          <cell r="Q172">
            <v>-42681005</v>
          </cell>
          <cell r="R172">
            <v>-42681005</v>
          </cell>
          <cell r="S172"/>
          <cell r="T172">
            <v>0</v>
          </cell>
          <cell r="U172">
            <v>-42681005</v>
          </cell>
        </row>
        <row r="173">
          <cell r="C173">
            <v>660100</v>
          </cell>
          <cell r="D173">
            <v>7291</v>
          </cell>
          <cell r="E173" t="str">
            <v>대손상각비</v>
          </cell>
          <cell r="F173" t="str">
            <v>대손상각비</v>
          </cell>
          <cell r="G173">
            <v>119546580</v>
          </cell>
          <cell r="H173">
            <v>-13298094</v>
          </cell>
          <cell r="I173">
            <v>106248486</v>
          </cell>
          <cell r="J173">
            <v>-28938044</v>
          </cell>
          <cell r="K173">
            <v>89937536</v>
          </cell>
          <cell r="L173">
            <v>60999492</v>
          </cell>
          <cell r="M173">
            <v>20214888</v>
          </cell>
          <cell r="N173">
            <v>81214380</v>
          </cell>
          <cell r="O173">
            <v>-123895385</v>
          </cell>
          <cell r="P173">
            <v>136826085</v>
          </cell>
          <cell r="Q173">
            <v>-42681005</v>
          </cell>
          <cell r="R173">
            <v>-42681005</v>
          </cell>
          <cell r="S173"/>
          <cell r="T173">
            <v>0</v>
          </cell>
          <cell r="U173">
            <v>-42681005</v>
          </cell>
        </row>
        <row r="174">
          <cell r="C174">
            <v>8141</v>
          </cell>
          <cell r="D174"/>
          <cell r="E174" t="str">
            <v>대손충당금환입</v>
          </cell>
          <cell r="F174"/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/>
          <cell r="T174">
            <v>0</v>
          </cell>
          <cell r="U174">
            <v>0</v>
          </cell>
        </row>
        <row r="175">
          <cell r="C175">
            <v>814100</v>
          </cell>
          <cell r="D175"/>
          <cell r="E175" t="str">
            <v>대손충당금환입</v>
          </cell>
          <cell r="F175" t="str">
            <v>대손충당금환입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/>
          <cell r="T175">
            <v>0</v>
          </cell>
          <cell r="U175">
            <v>0</v>
          </cell>
        </row>
        <row r="176">
          <cell r="C176">
            <v>6621</v>
          </cell>
          <cell r="D176"/>
          <cell r="E176" t="str">
            <v>경상개발비</v>
          </cell>
          <cell r="F176"/>
          <cell r="G176">
            <v>1652606201</v>
          </cell>
          <cell r="H176">
            <v>5178121082</v>
          </cell>
          <cell r="I176">
            <v>6830727283</v>
          </cell>
          <cell r="J176">
            <v>0</v>
          </cell>
          <cell r="K176">
            <v>16117997918</v>
          </cell>
          <cell r="L176">
            <v>16117997918</v>
          </cell>
          <cell r="M176">
            <v>7003921181</v>
          </cell>
          <cell r="N176">
            <v>23121919099</v>
          </cell>
          <cell r="O176">
            <v>-5682007421</v>
          </cell>
          <cell r="P176">
            <v>0</v>
          </cell>
          <cell r="Q176">
            <v>9638587380</v>
          </cell>
          <cell r="R176">
            <v>0</v>
          </cell>
          <cell r="S176">
            <v>17439911678</v>
          </cell>
          <cell r="T176">
            <v>0</v>
          </cell>
          <cell r="U176">
            <v>17439911678</v>
          </cell>
        </row>
        <row r="177">
          <cell r="C177">
            <v>662200</v>
          </cell>
          <cell r="D177">
            <v>7211</v>
          </cell>
          <cell r="E177" t="str">
            <v>연구개발용역비</v>
          </cell>
          <cell r="F177" t="str">
            <v xml:space="preserve">연구및경상개발비 </v>
          </cell>
          <cell r="G177">
            <v>1652606201</v>
          </cell>
          <cell r="H177">
            <v>5178121082</v>
          </cell>
          <cell r="I177">
            <v>6830727283</v>
          </cell>
          <cell r="J177">
            <v>0</v>
          </cell>
          <cell r="K177">
            <v>16117997918</v>
          </cell>
          <cell r="L177">
            <v>16117997918</v>
          </cell>
          <cell r="M177">
            <v>7003921181</v>
          </cell>
          <cell r="N177">
            <v>23121919099</v>
          </cell>
          <cell r="O177">
            <v>-5682007421</v>
          </cell>
          <cell r="P177">
            <v>0</v>
          </cell>
          <cell r="Q177">
            <v>9638587380</v>
          </cell>
          <cell r="R177">
            <v>0</v>
          </cell>
          <cell r="S177">
            <v>17439911678</v>
          </cell>
          <cell r="T177">
            <v>0</v>
          </cell>
          <cell r="U177">
            <v>17439911678</v>
          </cell>
        </row>
        <row r="178">
          <cell r="C178">
            <v>6771</v>
          </cell>
          <cell r="D178"/>
          <cell r="E178" t="str">
            <v>무형자산상각비</v>
          </cell>
          <cell r="F178"/>
          <cell r="G178">
            <v>837158517</v>
          </cell>
          <cell r="H178">
            <v>2505249629</v>
          </cell>
          <cell r="I178">
            <v>3342408146</v>
          </cell>
          <cell r="J178">
            <v>2689302928</v>
          </cell>
          <cell r="K178">
            <v>1517969045</v>
          </cell>
          <cell r="L178">
            <v>4207271973</v>
          </cell>
          <cell r="M178">
            <v>2156583902</v>
          </cell>
          <cell r="N178">
            <v>6363855875</v>
          </cell>
          <cell r="O178">
            <v>-2388955602</v>
          </cell>
          <cell r="P178">
            <v>10820413472</v>
          </cell>
          <cell r="Q178">
            <v>4733157952</v>
          </cell>
          <cell r="R178">
            <v>5469830142</v>
          </cell>
          <cell r="S178"/>
          <cell r="T178">
            <v>1494929869</v>
          </cell>
          <cell r="U178">
            <v>3974900273</v>
          </cell>
        </row>
        <row r="179">
          <cell r="C179">
            <v>677200</v>
          </cell>
          <cell r="D179">
            <v>7161</v>
          </cell>
          <cell r="E179" t="str">
            <v>산업재산권상각</v>
          </cell>
          <cell r="F179" t="str">
            <v>무형자산상각비</v>
          </cell>
          <cell r="G179">
            <v>12922039</v>
          </cell>
          <cell r="H179">
            <v>38605730</v>
          </cell>
          <cell r="I179">
            <v>51527769</v>
          </cell>
          <cell r="J179">
            <v>38354971</v>
          </cell>
          <cell r="K179">
            <v>42526032</v>
          </cell>
          <cell r="L179">
            <v>80881003</v>
          </cell>
          <cell r="M179">
            <v>48914730</v>
          </cell>
          <cell r="N179">
            <v>129795733</v>
          </cell>
          <cell r="O179">
            <v>-22572964</v>
          </cell>
          <cell r="P179">
            <v>175758958</v>
          </cell>
          <cell r="Q179">
            <v>107222769</v>
          </cell>
          <cell r="R179">
            <v>107222769</v>
          </cell>
          <cell r="S179"/>
          <cell r="T179">
            <v>0</v>
          </cell>
          <cell r="U179">
            <v>107222769</v>
          </cell>
        </row>
        <row r="180">
          <cell r="C180">
            <v>677500</v>
          </cell>
          <cell r="D180">
            <v>7161</v>
          </cell>
          <cell r="E180" t="str">
            <v>고객관계자산상각</v>
          </cell>
          <cell r="F180" t="str">
            <v>무형자산상각비</v>
          </cell>
          <cell r="G180">
            <v>18214987</v>
          </cell>
          <cell r="H180">
            <v>54644961</v>
          </cell>
          <cell r="I180">
            <v>72859948</v>
          </cell>
          <cell r="J180">
            <v>54644961</v>
          </cell>
          <cell r="K180">
            <v>54644961</v>
          </cell>
          <cell r="L180">
            <v>109289922</v>
          </cell>
          <cell r="M180">
            <v>54644961</v>
          </cell>
          <cell r="N180">
            <v>163934883</v>
          </cell>
          <cell r="O180">
            <v>-54644961</v>
          </cell>
          <cell r="P180">
            <v>218579844</v>
          </cell>
          <cell r="Q180">
            <v>109289922</v>
          </cell>
          <cell r="R180">
            <v>109289922</v>
          </cell>
          <cell r="S180"/>
          <cell r="T180">
            <v>0</v>
          </cell>
          <cell r="U180">
            <v>109289922</v>
          </cell>
        </row>
        <row r="181">
          <cell r="C181">
            <v>679000</v>
          </cell>
          <cell r="D181">
            <v>7161</v>
          </cell>
          <cell r="E181" t="str">
            <v>기타영업권상각</v>
          </cell>
          <cell r="F181" t="str">
            <v>무형자산상각비</v>
          </cell>
          <cell r="G181">
            <v>200000</v>
          </cell>
          <cell r="H181">
            <v>600000</v>
          </cell>
          <cell r="I181">
            <v>800000</v>
          </cell>
          <cell r="J181">
            <v>600000</v>
          </cell>
          <cell r="K181">
            <v>600000</v>
          </cell>
          <cell r="L181">
            <v>1200000</v>
          </cell>
          <cell r="M181">
            <v>600000</v>
          </cell>
          <cell r="N181">
            <v>1800000</v>
          </cell>
          <cell r="O181">
            <v>-600000</v>
          </cell>
          <cell r="P181">
            <v>2400000</v>
          </cell>
          <cell r="Q181">
            <v>1200000</v>
          </cell>
          <cell r="R181">
            <v>1200000</v>
          </cell>
          <cell r="S181"/>
          <cell r="T181">
            <v>0</v>
          </cell>
          <cell r="U181">
            <v>1200000</v>
          </cell>
        </row>
        <row r="182">
          <cell r="C182">
            <v>679900</v>
          </cell>
          <cell r="D182">
            <v>7161</v>
          </cell>
          <cell r="E182" t="str">
            <v>소프트웨어상각</v>
          </cell>
          <cell r="F182" t="str">
            <v>무형자산상각비</v>
          </cell>
          <cell r="G182">
            <v>805821491</v>
          </cell>
          <cell r="H182">
            <v>2411398938</v>
          </cell>
          <cell r="I182">
            <v>3217220429</v>
          </cell>
          <cell r="J182">
            <v>2595702996</v>
          </cell>
          <cell r="K182">
            <v>1420198052</v>
          </cell>
          <cell r="L182">
            <v>4015901048</v>
          </cell>
          <cell r="M182">
            <v>2052424211</v>
          </cell>
          <cell r="N182">
            <v>6068325259</v>
          </cell>
          <cell r="O182">
            <v>-2311137677</v>
          </cell>
          <cell r="P182">
            <v>10423674670</v>
          </cell>
          <cell r="Q182">
            <v>4515445261</v>
          </cell>
          <cell r="R182">
            <v>5252117451</v>
          </cell>
          <cell r="S182"/>
          <cell r="T182">
            <v>1494929869</v>
          </cell>
          <cell r="U182">
            <v>3757187582</v>
          </cell>
        </row>
        <row r="183">
          <cell r="C183">
            <v>6801</v>
          </cell>
          <cell r="D183"/>
          <cell r="E183" t="str">
            <v>상품및기타구입비용</v>
          </cell>
          <cell r="F183"/>
          <cell r="G183">
            <v>3088298818</v>
          </cell>
          <cell r="H183">
            <v>9487302106</v>
          </cell>
          <cell r="I183">
            <v>12575600924</v>
          </cell>
          <cell r="J183">
            <v>7167307694</v>
          </cell>
          <cell r="K183">
            <v>3889603230</v>
          </cell>
          <cell r="L183">
            <v>11056910924</v>
          </cell>
          <cell r="M183">
            <v>2681970212</v>
          </cell>
          <cell r="N183">
            <v>13738881136</v>
          </cell>
          <cell r="O183">
            <v>-7431920005</v>
          </cell>
          <cell r="P183">
            <v>16658403311</v>
          </cell>
          <cell r="Q183">
            <v>6306961131</v>
          </cell>
          <cell r="R183">
            <v>6306961131</v>
          </cell>
          <cell r="S183"/>
          <cell r="T183">
            <v>0</v>
          </cell>
          <cell r="U183">
            <v>6306961131</v>
          </cell>
        </row>
        <row r="184">
          <cell r="C184">
            <v>680400</v>
          </cell>
          <cell r="D184">
            <v>6021</v>
          </cell>
          <cell r="E184" t="str">
            <v>국내매출원가-쇼핑몰</v>
          </cell>
          <cell r="F184" t="str">
            <v>상품및기타구입비용</v>
          </cell>
          <cell r="G184">
            <v>2763567709</v>
          </cell>
          <cell r="H184">
            <v>7641533655</v>
          </cell>
          <cell r="I184">
            <v>10405101364</v>
          </cell>
          <cell r="J184">
            <v>5429788198</v>
          </cell>
          <cell r="K184">
            <v>2042733379</v>
          </cell>
          <cell r="L184">
            <v>7472521577</v>
          </cell>
          <cell r="M184">
            <v>933885620</v>
          </cell>
          <cell r="N184">
            <v>8406407197</v>
          </cell>
          <cell r="O184">
            <v>-5655053079</v>
          </cell>
          <cell r="P184">
            <v>9610406053</v>
          </cell>
          <cell r="Q184">
            <v>2751354118</v>
          </cell>
          <cell r="R184">
            <v>2751354118</v>
          </cell>
          <cell r="S184"/>
          <cell r="T184">
            <v>0</v>
          </cell>
          <cell r="U184">
            <v>2751354118</v>
          </cell>
        </row>
        <row r="185">
          <cell r="C185">
            <v>680800</v>
          </cell>
          <cell r="D185">
            <v>6021</v>
          </cell>
          <cell r="E185" t="str">
            <v>제품매출원가</v>
          </cell>
          <cell r="F185" t="str">
            <v>상품및기타구입비용</v>
          </cell>
          <cell r="G185">
            <v>324731109</v>
          </cell>
          <cell r="H185">
            <v>1845768451</v>
          </cell>
          <cell r="I185">
            <v>2170499560</v>
          </cell>
          <cell r="J185">
            <v>1737519496</v>
          </cell>
          <cell r="K185">
            <v>1846869851</v>
          </cell>
          <cell r="L185">
            <v>3584389347</v>
          </cell>
          <cell r="M185">
            <v>1748084592</v>
          </cell>
          <cell r="N185">
            <v>5332473939</v>
          </cell>
          <cell r="O185">
            <v>-1776866926</v>
          </cell>
          <cell r="P185">
            <v>7047997258</v>
          </cell>
          <cell r="Q185">
            <v>3555607013</v>
          </cell>
          <cell r="R185">
            <v>3555607013</v>
          </cell>
          <cell r="S185"/>
          <cell r="T185">
            <v>0</v>
          </cell>
          <cell r="U185">
            <v>3555607013</v>
          </cell>
        </row>
        <row r="186">
          <cell r="C186">
            <v>6803</v>
          </cell>
          <cell r="D186"/>
          <cell r="E186" t="str">
            <v>용역매출원가</v>
          </cell>
          <cell r="F186"/>
          <cell r="G186">
            <v>641878158</v>
          </cell>
          <cell r="H186">
            <v>2686775146</v>
          </cell>
          <cell r="I186">
            <v>3328653304</v>
          </cell>
          <cell r="J186">
            <v>53923281</v>
          </cell>
          <cell r="K186">
            <v>45774026</v>
          </cell>
          <cell r="L186">
            <v>99697307</v>
          </cell>
          <cell r="M186">
            <v>38480900</v>
          </cell>
          <cell r="N186">
            <v>138178207</v>
          </cell>
          <cell r="O186">
            <v>-23641046</v>
          </cell>
          <cell r="P186">
            <v>190547453</v>
          </cell>
          <cell r="Q186">
            <v>114537161</v>
          </cell>
          <cell r="R186">
            <v>114537161</v>
          </cell>
          <cell r="S186"/>
          <cell r="T186">
            <v>0</v>
          </cell>
          <cell r="U186">
            <v>114537161</v>
          </cell>
        </row>
        <row r="187">
          <cell r="C187">
            <v>681220</v>
          </cell>
          <cell r="D187">
            <v>6069</v>
          </cell>
          <cell r="E187" t="str">
            <v>용역매출원가-기타</v>
          </cell>
          <cell r="F187" t="str">
            <v>용역원가</v>
          </cell>
          <cell r="G187">
            <v>641878158</v>
          </cell>
          <cell r="H187">
            <v>2686775146</v>
          </cell>
          <cell r="I187">
            <v>3328653304</v>
          </cell>
          <cell r="J187">
            <v>53923281</v>
          </cell>
          <cell r="K187">
            <v>45774026</v>
          </cell>
          <cell r="L187">
            <v>99697307</v>
          </cell>
          <cell r="M187">
            <v>38480900</v>
          </cell>
          <cell r="N187">
            <v>138178207</v>
          </cell>
          <cell r="O187">
            <v>-23641046</v>
          </cell>
          <cell r="P187">
            <v>190547453</v>
          </cell>
          <cell r="Q187">
            <v>114537161</v>
          </cell>
          <cell r="R187">
            <v>114537161</v>
          </cell>
          <cell r="S187"/>
          <cell r="T187">
            <v>0</v>
          </cell>
          <cell r="U187">
            <v>114537161</v>
          </cell>
        </row>
        <row r="188">
          <cell r="C188">
            <v>6805</v>
          </cell>
          <cell r="D188"/>
          <cell r="E188" t="str">
            <v>OCB 매출원가</v>
          </cell>
          <cell r="F188"/>
          <cell r="G188">
            <v>0</v>
          </cell>
          <cell r="H188">
            <v>28847932</v>
          </cell>
          <cell r="I188">
            <v>28847932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/>
          <cell r="T188"/>
          <cell r="U188">
            <v>0</v>
          </cell>
        </row>
        <row r="189">
          <cell r="C189">
            <v>681130</v>
          </cell>
          <cell r="D189">
            <v>6069</v>
          </cell>
          <cell r="E189" t="str">
            <v>용역매출원가-기프티</v>
          </cell>
          <cell r="F189" t="str">
            <v>용역원가</v>
          </cell>
          <cell r="G189">
            <v>0</v>
          </cell>
          <cell r="H189">
            <v>28847932</v>
          </cell>
          <cell r="I189">
            <v>28847932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/>
          <cell r="T189">
            <v>0</v>
          </cell>
          <cell r="U189">
            <v>0</v>
          </cell>
        </row>
        <row r="190">
          <cell r="C190" t="str">
            <v>-</v>
          </cell>
          <cell r="D190"/>
          <cell r="E190" t="str">
            <v>기타영업외수익</v>
          </cell>
          <cell r="F190"/>
          <cell r="G190">
            <v>268</v>
          </cell>
          <cell r="H190">
            <v>38348964</v>
          </cell>
          <cell r="I190">
            <v>38349232</v>
          </cell>
          <cell r="J190">
            <v>5402748</v>
          </cell>
          <cell r="K190">
            <v>56535386</v>
          </cell>
          <cell r="L190">
            <v>61938134</v>
          </cell>
          <cell r="M190">
            <v>211989</v>
          </cell>
          <cell r="N190">
            <v>62150123</v>
          </cell>
          <cell r="O190">
            <v>303211368</v>
          </cell>
          <cell r="P190">
            <v>822576435</v>
          </cell>
          <cell r="Q190">
            <v>365361491</v>
          </cell>
          <cell r="R190">
            <v>365361491</v>
          </cell>
          <cell r="S190"/>
          <cell r="T190"/>
          <cell r="U190">
            <v>365361491</v>
          </cell>
        </row>
        <row r="191">
          <cell r="C191">
            <v>8021</v>
          </cell>
          <cell r="D191"/>
          <cell r="E191" t="str">
            <v>수입임대료</v>
          </cell>
          <cell r="F191"/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/>
          <cell r="T191"/>
          <cell r="U191">
            <v>0</v>
          </cell>
        </row>
        <row r="192">
          <cell r="C192">
            <v>802190</v>
          </cell>
          <cell r="D192"/>
          <cell r="E192" t="str">
            <v>기타임대수익</v>
          </cell>
          <cell r="F192" t="str">
            <v>수입임대료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/>
          <cell r="T192"/>
          <cell r="U192">
            <v>0</v>
          </cell>
        </row>
        <row r="193">
          <cell r="C193">
            <v>8031</v>
          </cell>
          <cell r="D193"/>
          <cell r="E193" t="str">
            <v>수입수수료</v>
          </cell>
          <cell r="F193"/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/>
          <cell r="T193"/>
          <cell r="U193">
            <v>0</v>
          </cell>
        </row>
        <row r="194">
          <cell r="C194">
            <v>803190</v>
          </cell>
          <cell r="D194"/>
          <cell r="E194" t="str">
            <v>기타수입수수료</v>
          </cell>
          <cell r="F194" t="str">
            <v>기타수수료수익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/>
          <cell r="T194"/>
          <cell r="U194">
            <v>0</v>
          </cell>
        </row>
        <row r="195">
          <cell r="C195">
            <v>8121</v>
          </cell>
          <cell r="D195"/>
          <cell r="E195" t="str">
            <v>유ㆍ무형자산처분이익</v>
          </cell>
          <cell r="F195"/>
          <cell r="G195">
            <v>0</v>
          </cell>
          <cell r="H195">
            <v>0</v>
          </cell>
          <cell r="I195">
            <v>0</v>
          </cell>
          <cell r="J195">
            <v>4517190</v>
          </cell>
          <cell r="K195">
            <v>56186708</v>
          </cell>
          <cell r="L195">
            <v>60703898</v>
          </cell>
          <cell r="M195">
            <v>0</v>
          </cell>
          <cell r="N195">
            <v>60703898</v>
          </cell>
          <cell r="O195">
            <v>167713002</v>
          </cell>
          <cell r="P195">
            <v>78371898</v>
          </cell>
          <cell r="Q195">
            <v>228416900</v>
          </cell>
          <cell r="R195">
            <v>228416900</v>
          </cell>
          <cell r="S195"/>
          <cell r="T195"/>
          <cell r="U195">
            <v>228416900</v>
          </cell>
        </row>
        <row r="196">
          <cell r="C196">
            <v>812100</v>
          </cell>
          <cell r="D196">
            <v>9131</v>
          </cell>
          <cell r="E196" t="str">
            <v>유형자산처분익</v>
          </cell>
          <cell r="F196" t="str">
            <v>유ㆍ무형자산처분이익</v>
          </cell>
          <cell r="G196">
            <v>0</v>
          </cell>
          <cell r="H196">
            <v>0</v>
          </cell>
          <cell r="I196">
            <v>0</v>
          </cell>
          <cell r="J196">
            <v>4517190</v>
          </cell>
          <cell r="K196">
            <v>8739500</v>
          </cell>
          <cell r="L196">
            <v>13256690</v>
          </cell>
          <cell r="M196">
            <v>0</v>
          </cell>
          <cell r="N196">
            <v>13256690</v>
          </cell>
          <cell r="O196">
            <v>214884410</v>
          </cell>
          <cell r="P196">
            <v>30924690</v>
          </cell>
          <cell r="Q196">
            <v>228141100</v>
          </cell>
          <cell r="R196">
            <v>228141100</v>
          </cell>
          <cell r="S196"/>
          <cell r="T196"/>
          <cell r="U196">
            <v>228141100</v>
          </cell>
        </row>
        <row r="197">
          <cell r="C197">
            <v>812200</v>
          </cell>
          <cell r="D197">
            <v>9132</v>
          </cell>
          <cell r="E197" t="str">
            <v>무형자산처분익</v>
          </cell>
          <cell r="F197" t="str">
            <v>유ㆍ무형자산처분이익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47447208</v>
          </cell>
          <cell r="L197">
            <v>47447208</v>
          </cell>
          <cell r="M197">
            <v>0</v>
          </cell>
          <cell r="N197">
            <v>47447208</v>
          </cell>
          <cell r="O197">
            <v>-47171408</v>
          </cell>
          <cell r="P197">
            <v>47447208</v>
          </cell>
          <cell r="Q197">
            <v>275800</v>
          </cell>
          <cell r="R197">
            <v>275800</v>
          </cell>
          <cell r="S197"/>
          <cell r="T197"/>
          <cell r="U197">
            <v>275800</v>
          </cell>
        </row>
        <row r="198">
          <cell r="C198">
            <v>8151</v>
          </cell>
          <cell r="D198"/>
          <cell r="E198" t="str">
            <v>잡이익</v>
          </cell>
          <cell r="F198"/>
          <cell r="G198">
            <v>268</v>
          </cell>
          <cell r="H198">
            <v>38348964</v>
          </cell>
          <cell r="I198">
            <v>38349232</v>
          </cell>
          <cell r="J198">
            <v>885558</v>
          </cell>
          <cell r="K198">
            <v>348678</v>
          </cell>
          <cell r="L198">
            <v>1234236</v>
          </cell>
          <cell r="M198">
            <v>211989</v>
          </cell>
          <cell r="N198">
            <v>1446225</v>
          </cell>
          <cell r="O198">
            <v>135498366</v>
          </cell>
          <cell r="P198">
            <v>744204537</v>
          </cell>
          <cell r="Q198">
            <v>136944591</v>
          </cell>
          <cell r="R198">
            <v>136944591</v>
          </cell>
          <cell r="S198"/>
          <cell r="T198"/>
          <cell r="U198">
            <v>136944591</v>
          </cell>
        </row>
        <row r="199">
          <cell r="C199">
            <v>815190</v>
          </cell>
          <cell r="D199">
            <v>9393</v>
          </cell>
          <cell r="E199" t="str">
            <v>기타잡이익</v>
          </cell>
          <cell r="F199" t="str">
            <v>잡이익</v>
          </cell>
          <cell r="G199">
            <v>268</v>
          </cell>
          <cell r="H199">
            <v>38348964</v>
          </cell>
          <cell r="I199">
            <v>38349232</v>
          </cell>
          <cell r="J199">
            <v>17922</v>
          </cell>
          <cell r="K199">
            <v>348678</v>
          </cell>
          <cell r="L199">
            <v>366600</v>
          </cell>
          <cell r="M199">
            <v>211989</v>
          </cell>
          <cell r="N199">
            <v>578589</v>
          </cell>
          <cell r="O199">
            <v>136366002</v>
          </cell>
          <cell r="P199">
            <v>743336901</v>
          </cell>
          <cell r="Q199">
            <v>136944591</v>
          </cell>
          <cell r="R199">
            <v>136944591</v>
          </cell>
          <cell r="S199"/>
          <cell r="T199"/>
          <cell r="U199">
            <v>136944591</v>
          </cell>
        </row>
        <row r="200">
          <cell r="C200">
            <v>815100</v>
          </cell>
          <cell r="D200">
            <v>9393</v>
          </cell>
          <cell r="E200" t="str">
            <v>지체상금</v>
          </cell>
          <cell r="F200" t="str">
            <v>잡이익</v>
          </cell>
          <cell r="G200">
            <v>0</v>
          </cell>
          <cell r="H200">
            <v>0</v>
          </cell>
          <cell r="I200">
            <v>0</v>
          </cell>
          <cell r="J200">
            <v>867636</v>
          </cell>
          <cell r="K200">
            <v>0</v>
          </cell>
          <cell r="L200">
            <v>867636</v>
          </cell>
          <cell r="M200">
            <v>0</v>
          </cell>
          <cell r="N200">
            <v>867636</v>
          </cell>
          <cell r="O200">
            <v>-867636</v>
          </cell>
          <cell r="P200">
            <v>867636</v>
          </cell>
          <cell r="Q200">
            <v>0</v>
          </cell>
          <cell r="R200">
            <v>0</v>
          </cell>
          <cell r="S200"/>
          <cell r="T200"/>
          <cell r="U200">
            <v>0</v>
          </cell>
        </row>
        <row r="201">
          <cell r="C201" t="str">
            <v>-</v>
          </cell>
          <cell r="D201"/>
          <cell r="E201" t="str">
            <v>기타영업외비용</v>
          </cell>
          <cell r="F201"/>
          <cell r="G201">
            <v>0</v>
          </cell>
          <cell r="H201">
            <v>-1815854760</v>
          </cell>
          <cell r="I201">
            <v>-1815854760</v>
          </cell>
          <cell r="J201">
            <v>-2882061</v>
          </cell>
          <cell r="K201">
            <v>-314230765</v>
          </cell>
          <cell r="L201">
            <v>-317112826</v>
          </cell>
          <cell r="M201">
            <v>-37522939</v>
          </cell>
          <cell r="N201">
            <v>-354635765</v>
          </cell>
          <cell r="O201">
            <v>113355055</v>
          </cell>
          <cell r="P201">
            <v>-571617997</v>
          </cell>
          <cell r="Q201">
            <v>-241280710</v>
          </cell>
          <cell r="R201">
            <v>-241280710</v>
          </cell>
          <cell r="S201"/>
          <cell r="T201"/>
          <cell r="U201">
            <v>-241280710</v>
          </cell>
        </row>
        <row r="202">
          <cell r="C202">
            <v>8181</v>
          </cell>
          <cell r="D202"/>
          <cell r="E202" t="str">
            <v>기부금</v>
          </cell>
          <cell r="F202"/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541969</v>
          </cell>
          <cell r="L202">
            <v>541969</v>
          </cell>
          <cell r="M202">
            <v>5000354</v>
          </cell>
          <cell r="N202">
            <v>5542323</v>
          </cell>
          <cell r="O202">
            <v>105829997</v>
          </cell>
          <cell r="P202">
            <v>5542323</v>
          </cell>
          <cell r="Q202">
            <v>111372320</v>
          </cell>
          <cell r="R202">
            <v>111372320</v>
          </cell>
          <cell r="S202"/>
          <cell r="T202"/>
          <cell r="U202">
            <v>111372320</v>
          </cell>
        </row>
        <row r="203">
          <cell r="C203">
            <v>829100</v>
          </cell>
          <cell r="D203"/>
          <cell r="E203" t="str">
            <v>법정기부금</v>
          </cell>
          <cell r="F203" t="str">
            <v>기부금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107127500</v>
          </cell>
          <cell r="P203">
            <v>0</v>
          </cell>
          <cell r="Q203">
            <v>107127500</v>
          </cell>
          <cell r="R203">
            <v>107127500</v>
          </cell>
          <cell r="S203"/>
          <cell r="T203"/>
          <cell r="U203">
            <v>107127500</v>
          </cell>
        </row>
        <row r="204">
          <cell r="C204">
            <v>829200</v>
          </cell>
          <cell r="D204">
            <v>9662</v>
          </cell>
          <cell r="E204" t="str">
            <v>지정기부금</v>
          </cell>
          <cell r="F204" t="str">
            <v>기부금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541969</v>
          </cell>
          <cell r="L204">
            <v>541969</v>
          </cell>
          <cell r="M204">
            <v>5000354</v>
          </cell>
          <cell r="N204">
            <v>5542323</v>
          </cell>
          <cell r="O204">
            <v>-1297503</v>
          </cell>
          <cell r="P204">
            <v>5542323</v>
          </cell>
          <cell r="Q204">
            <v>4244820</v>
          </cell>
          <cell r="R204">
            <v>4244820</v>
          </cell>
          <cell r="S204"/>
          <cell r="T204"/>
          <cell r="U204">
            <v>4244820</v>
          </cell>
        </row>
        <row r="205">
          <cell r="C205">
            <v>829300</v>
          </cell>
          <cell r="D205"/>
          <cell r="E205" t="str">
            <v>기타기부금</v>
          </cell>
          <cell r="F205" t="str">
            <v>기부금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/>
          <cell r="T205"/>
          <cell r="U205">
            <v>0</v>
          </cell>
        </row>
        <row r="206">
          <cell r="C206">
            <v>8211</v>
          </cell>
          <cell r="D206"/>
          <cell r="E206" t="str">
            <v>기타의대손상각비</v>
          </cell>
          <cell r="F206"/>
          <cell r="G206">
            <v>0</v>
          </cell>
          <cell r="H206">
            <v>900464600</v>
          </cell>
          <cell r="I206">
            <v>900464600</v>
          </cell>
          <cell r="J206">
            <v>7823</v>
          </cell>
          <cell r="K206">
            <v>59803076</v>
          </cell>
          <cell r="L206">
            <v>59810899</v>
          </cell>
          <cell r="M206">
            <v>32521743</v>
          </cell>
          <cell r="N206">
            <v>92332642</v>
          </cell>
          <cell r="O206">
            <v>-82221362</v>
          </cell>
          <cell r="P206">
            <v>225542519</v>
          </cell>
          <cell r="Q206">
            <v>10111280</v>
          </cell>
          <cell r="R206">
            <v>10111280</v>
          </cell>
          <cell r="S206"/>
          <cell r="T206"/>
          <cell r="U206">
            <v>10111280</v>
          </cell>
        </row>
        <row r="207">
          <cell r="C207">
            <v>821100</v>
          </cell>
          <cell r="D207">
            <v>9681</v>
          </cell>
          <cell r="E207" t="str">
            <v>미수금대손상각</v>
          </cell>
          <cell r="F207" t="str">
            <v>기타의대손상각비</v>
          </cell>
          <cell r="G207">
            <v>0</v>
          </cell>
          <cell r="H207">
            <v>22000000</v>
          </cell>
          <cell r="I207">
            <v>22000000</v>
          </cell>
          <cell r="J207">
            <v>7823</v>
          </cell>
          <cell r="K207">
            <v>59803076</v>
          </cell>
          <cell r="L207">
            <v>59810899</v>
          </cell>
          <cell r="M207">
            <v>32521743</v>
          </cell>
          <cell r="N207">
            <v>92332642</v>
          </cell>
          <cell r="O207">
            <v>-82433382</v>
          </cell>
          <cell r="P207">
            <v>202060346</v>
          </cell>
          <cell r="Q207">
            <v>9899260</v>
          </cell>
          <cell r="R207">
            <v>9899260</v>
          </cell>
          <cell r="S207"/>
          <cell r="T207"/>
          <cell r="U207">
            <v>9899260</v>
          </cell>
        </row>
        <row r="208">
          <cell r="C208">
            <v>821190</v>
          </cell>
          <cell r="D208">
            <v>9681</v>
          </cell>
          <cell r="E208" t="str">
            <v>기타대손상각</v>
          </cell>
          <cell r="F208" t="str">
            <v>기타의대손상각비</v>
          </cell>
          <cell r="G208">
            <v>0</v>
          </cell>
          <cell r="H208">
            <v>878464600</v>
          </cell>
          <cell r="I208">
            <v>878464600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212020</v>
          </cell>
          <cell r="P208">
            <v>23482173</v>
          </cell>
          <cell r="Q208">
            <v>212020</v>
          </cell>
          <cell r="R208">
            <v>212020</v>
          </cell>
          <cell r="S208"/>
          <cell r="T208"/>
          <cell r="U208">
            <v>212020</v>
          </cell>
        </row>
        <row r="209">
          <cell r="C209">
            <v>8251</v>
          </cell>
          <cell r="D209"/>
          <cell r="E209" t="str">
            <v>유ㆍ무형자산처분손실</v>
          </cell>
          <cell r="F209"/>
          <cell r="G209">
            <v>0</v>
          </cell>
          <cell r="H209">
            <v>16308994</v>
          </cell>
          <cell r="I209">
            <v>16308994</v>
          </cell>
          <cell r="J209">
            <v>21000</v>
          </cell>
          <cell r="K209">
            <v>253697471</v>
          </cell>
          <cell r="L209">
            <v>253718471</v>
          </cell>
          <cell r="M209">
            <v>0</v>
          </cell>
          <cell r="N209">
            <v>253718471</v>
          </cell>
          <cell r="O209">
            <v>-135249098</v>
          </cell>
          <cell r="P209">
            <v>337454674</v>
          </cell>
          <cell r="Q209">
            <v>118469373</v>
          </cell>
          <cell r="R209">
            <v>118469373</v>
          </cell>
          <cell r="S209"/>
          <cell r="T209"/>
          <cell r="U209">
            <v>118469373</v>
          </cell>
        </row>
        <row r="210">
          <cell r="C210">
            <v>833100</v>
          </cell>
          <cell r="D210">
            <v>9621</v>
          </cell>
          <cell r="E210" t="str">
            <v>유형자산처분손실</v>
          </cell>
          <cell r="F210" t="str">
            <v>유ㆍ무형자산처분손실</v>
          </cell>
          <cell r="G210">
            <v>0</v>
          </cell>
          <cell r="H210">
            <v>11517675</v>
          </cell>
          <cell r="I210">
            <v>11517675</v>
          </cell>
          <cell r="J210">
            <v>18000</v>
          </cell>
          <cell r="K210">
            <v>253697471</v>
          </cell>
          <cell r="L210">
            <v>253715471</v>
          </cell>
          <cell r="M210">
            <v>0</v>
          </cell>
          <cell r="N210">
            <v>253715471</v>
          </cell>
          <cell r="O210">
            <v>-217565471</v>
          </cell>
          <cell r="P210">
            <v>313838471</v>
          </cell>
          <cell r="Q210">
            <v>36150000</v>
          </cell>
          <cell r="R210">
            <v>36150000</v>
          </cell>
          <cell r="S210"/>
          <cell r="T210"/>
          <cell r="U210">
            <v>36150000</v>
          </cell>
        </row>
        <row r="211">
          <cell r="C211">
            <v>833200</v>
          </cell>
          <cell r="D211">
            <v>9622</v>
          </cell>
          <cell r="E211" t="str">
            <v>무형자산처분손실</v>
          </cell>
          <cell r="F211" t="str">
            <v>유ㆍ무형자산처분손실</v>
          </cell>
          <cell r="G211">
            <v>0</v>
          </cell>
          <cell r="H211">
            <v>4791319</v>
          </cell>
          <cell r="I211">
            <v>4791319</v>
          </cell>
          <cell r="J211">
            <v>3000</v>
          </cell>
          <cell r="K211">
            <v>0</v>
          </cell>
          <cell r="L211">
            <v>3000</v>
          </cell>
          <cell r="M211">
            <v>0</v>
          </cell>
          <cell r="N211">
            <v>3000</v>
          </cell>
          <cell r="O211">
            <v>82316373</v>
          </cell>
          <cell r="P211">
            <v>23616203</v>
          </cell>
          <cell r="Q211">
            <v>82319373</v>
          </cell>
          <cell r="R211">
            <v>82319373</v>
          </cell>
          <cell r="S211"/>
          <cell r="T211"/>
          <cell r="U211">
            <v>82319373</v>
          </cell>
        </row>
        <row r="212">
          <cell r="C212">
            <v>8351</v>
          </cell>
          <cell r="D212"/>
          <cell r="E212" t="str">
            <v>잡손실</v>
          </cell>
          <cell r="F212"/>
          <cell r="G212">
            <v>0</v>
          </cell>
          <cell r="H212">
            <v>899081166</v>
          </cell>
          <cell r="I212">
            <v>899081166</v>
          </cell>
          <cell r="J212">
            <v>2853238</v>
          </cell>
          <cell r="K212">
            <v>188249</v>
          </cell>
          <cell r="L212">
            <v>3041487</v>
          </cell>
          <cell r="M212">
            <v>842</v>
          </cell>
          <cell r="N212">
            <v>3042329</v>
          </cell>
          <cell r="O212">
            <v>-1714592</v>
          </cell>
          <cell r="P212">
            <v>3078481</v>
          </cell>
          <cell r="Q212">
            <v>1327737</v>
          </cell>
          <cell r="R212">
            <v>1327737</v>
          </cell>
          <cell r="S212"/>
          <cell r="T212"/>
          <cell r="U212">
            <v>1327737</v>
          </cell>
        </row>
        <row r="213">
          <cell r="C213">
            <v>835100</v>
          </cell>
          <cell r="D213">
            <v>9799</v>
          </cell>
          <cell r="E213" t="str">
            <v>잡손실</v>
          </cell>
          <cell r="F213" t="str">
            <v>잡손실</v>
          </cell>
          <cell r="G213">
            <v>0</v>
          </cell>
          <cell r="H213">
            <v>899081166</v>
          </cell>
          <cell r="I213">
            <v>899081166</v>
          </cell>
          <cell r="J213">
            <v>2853238</v>
          </cell>
          <cell r="K213">
            <v>188249</v>
          </cell>
          <cell r="L213">
            <v>3041487</v>
          </cell>
          <cell r="M213">
            <v>842</v>
          </cell>
          <cell r="N213">
            <v>3042329</v>
          </cell>
          <cell r="O213">
            <v>-1714592</v>
          </cell>
          <cell r="P213">
            <v>3078481</v>
          </cell>
          <cell r="Q213">
            <v>1327737</v>
          </cell>
          <cell r="R213">
            <v>1327737</v>
          </cell>
          <cell r="S213"/>
          <cell r="T213"/>
          <cell r="U213">
            <v>1327737</v>
          </cell>
        </row>
        <row r="214">
          <cell r="C214">
            <v>8371</v>
          </cell>
          <cell r="D214"/>
          <cell r="E214" t="str">
            <v>자산손상차손</v>
          </cell>
          <cell r="F214"/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/>
          <cell r="T214"/>
          <cell r="U214">
            <v>0</v>
          </cell>
        </row>
        <row r="215">
          <cell r="C215">
            <v>837100</v>
          </cell>
          <cell r="D215"/>
          <cell r="E215" t="str">
            <v>기타자산손상차손</v>
          </cell>
          <cell r="F215" t="str">
            <v>기타영업외비용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/>
          <cell r="T215"/>
          <cell r="U215">
            <v>0</v>
          </cell>
        </row>
        <row r="216">
          <cell r="C216">
            <v>837110</v>
          </cell>
          <cell r="D216"/>
          <cell r="E216" t="str">
            <v>유형자산손상차손</v>
          </cell>
          <cell r="F216" t="str">
            <v>기타영업외비용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/>
          <cell r="T216"/>
          <cell r="U216">
            <v>0</v>
          </cell>
        </row>
        <row r="217">
          <cell r="C217">
            <v>837130</v>
          </cell>
          <cell r="D217"/>
          <cell r="E217" t="str">
            <v>무형자산손상차손</v>
          </cell>
          <cell r="F217" t="str">
            <v>기타영업외비용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/>
          <cell r="T217"/>
          <cell r="U217">
            <v>0</v>
          </cell>
        </row>
        <row r="218">
          <cell r="C218" t="str">
            <v>-</v>
          </cell>
          <cell r="D218"/>
          <cell r="E218" t="str">
            <v>금융수익</v>
          </cell>
          <cell r="F218"/>
          <cell r="G218">
            <v>122668131</v>
          </cell>
          <cell r="H218">
            <v>3042636982</v>
          </cell>
          <cell r="I218">
            <v>3165305113</v>
          </cell>
          <cell r="J218">
            <v>2416974751</v>
          </cell>
          <cell r="K218">
            <v>2275339661</v>
          </cell>
          <cell r="L218">
            <v>4692314412</v>
          </cell>
          <cell r="M218">
            <v>2261750479</v>
          </cell>
          <cell r="N218">
            <v>6954064891</v>
          </cell>
          <cell r="O218">
            <v>11719455264</v>
          </cell>
          <cell r="P218">
            <v>8944496893</v>
          </cell>
          <cell r="Q218">
            <v>3977929713</v>
          </cell>
          <cell r="R218">
            <v>18673520155</v>
          </cell>
          <cell r="S218"/>
          <cell r="T218"/>
          <cell r="U218">
            <v>18673520155</v>
          </cell>
        </row>
        <row r="219">
          <cell r="C219">
            <v>8001</v>
          </cell>
          <cell r="D219"/>
          <cell r="E219" t="str">
            <v>이자수익</v>
          </cell>
          <cell r="F219"/>
          <cell r="G219">
            <v>122625428</v>
          </cell>
          <cell r="H219">
            <v>3005835554</v>
          </cell>
          <cell r="I219">
            <v>3128460982</v>
          </cell>
          <cell r="J219">
            <v>2249372358</v>
          </cell>
          <cell r="K219">
            <v>2192727106</v>
          </cell>
          <cell r="L219">
            <v>4442099464</v>
          </cell>
          <cell r="M219">
            <v>2070295588</v>
          </cell>
          <cell r="N219">
            <v>6512395052</v>
          </cell>
          <cell r="O219">
            <v>-2678028791</v>
          </cell>
          <cell r="P219">
            <v>8497943520</v>
          </cell>
          <cell r="Q219">
            <v>3834366261</v>
          </cell>
          <cell r="R219">
            <v>3834366261</v>
          </cell>
          <cell r="S219"/>
          <cell r="T219"/>
          <cell r="U219">
            <v>3834366261</v>
          </cell>
        </row>
        <row r="220">
          <cell r="C220">
            <v>800100</v>
          </cell>
          <cell r="D220">
            <v>9012</v>
          </cell>
          <cell r="E220" t="str">
            <v>제예금수입이자</v>
          </cell>
          <cell r="F220" t="str">
            <v>이자수익</v>
          </cell>
          <cell r="G220">
            <v>122625428</v>
          </cell>
          <cell r="H220">
            <v>3005810122</v>
          </cell>
          <cell r="I220">
            <v>3128435550</v>
          </cell>
          <cell r="J220">
            <v>2202079638</v>
          </cell>
          <cell r="K220">
            <v>2146125845</v>
          </cell>
          <cell r="L220">
            <v>4348205483</v>
          </cell>
          <cell r="M220">
            <v>2025771081</v>
          </cell>
          <cell r="N220">
            <v>6373976564</v>
          </cell>
          <cell r="O220">
            <v>-2606131101</v>
          </cell>
          <cell r="P220">
            <v>8319165001</v>
          </cell>
          <cell r="Q220">
            <v>3767845463</v>
          </cell>
          <cell r="R220">
            <v>3767845463</v>
          </cell>
          <cell r="S220"/>
          <cell r="T220"/>
          <cell r="U220">
            <v>3767845463</v>
          </cell>
        </row>
        <row r="221">
          <cell r="C221">
            <v>800150</v>
          </cell>
          <cell r="D221"/>
          <cell r="E221" t="str">
            <v>수입이자_임차보증금</v>
          </cell>
          <cell r="F221" t="str">
            <v>이자수익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1041004</v>
          </cell>
          <cell r="N221">
            <v>1041004</v>
          </cell>
          <cell r="O221">
            <v>2140803</v>
          </cell>
          <cell r="P221">
            <v>2612944</v>
          </cell>
          <cell r="Q221">
            <v>3181807</v>
          </cell>
          <cell r="R221">
            <v>3181807</v>
          </cell>
          <cell r="S221"/>
          <cell r="T221"/>
          <cell r="U221">
            <v>3181807</v>
          </cell>
        </row>
        <row r="222">
          <cell r="C222">
            <v>800190</v>
          </cell>
          <cell r="D222">
            <v>9019</v>
          </cell>
          <cell r="E222" t="str">
            <v>기타수입이자</v>
          </cell>
          <cell r="F222" t="str">
            <v>이자수익</v>
          </cell>
          <cell r="G222">
            <v>0</v>
          </cell>
          <cell r="H222">
            <v>25432</v>
          </cell>
          <cell r="I222">
            <v>25432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/>
          <cell r="T222"/>
          <cell r="U222">
            <v>0</v>
          </cell>
        </row>
        <row r="223">
          <cell r="C223">
            <v>800230</v>
          </cell>
          <cell r="D223">
            <v>9401</v>
          </cell>
          <cell r="E223" t="str">
            <v>이자수익-리스순투유</v>
          </cell>
          <cell r="F223" t="str">
            <v>이자수익</v>
          </cell>
          <cell r="G223"/>
          <cell r="H223">
            <v>0</v>
          </cell>
          <cell r="I223"/>
          <cell r="J223">
            <v>47292720</v>
          </cell>
          <cell r="K223">
            <v>46601261</v>
          </cell>
          <cell r="L223">
            <v>93893981</v>
          </cell>
          <cell r="M223">
            <v>43483503</v>
          </cell>
          <cell r="N223">
            <v>137377484</v>
          </cell>
          <cell r="O223">
            <v>-74038493</v>
          </cell>
          <cell r="P223">
            <v>176165575</v>
          </cell>
          <cell r="Q223">
            <v>63338991</v>
          </cell>
          <cell r="R223">
            <v>63338991</v>
          </cell>
          <cell r="S223"/>
          <cell r="T223"/>
          <cell r="U223">
            <v>63338991</v>
          </cell>
        </row>
        <row r="224">
          <cell r="C224"/>
          <cell r="D224"/>
          <cell r="E224" t="str">
            <v>금융자산평가이익</v>
          </cell>
          <cell r="F224"/>
          <cell r="G224">
            <v>0</v>
          </cell>
          <cell r="H224">
            <v>0</v>
          </cell>
          <cell r="I224">
            <v>0</v>
          </cell>
          <cell r="J224">
            <v>116679451</v>
          </cell>
          <cell r="K224">
            <v>64372603</v>
          </cell>
          <cell r="L224">
            <v>181052054</v>
          </cell>
          <cell r="M224">
            <v>61913423</v>
          </cell>
          <cell r="N224">
            <v>242965477</v>
          </cell>
          <cell r="O224">
            <v>14503524450</v>
          </cell>
          <cell r="P224">
            <v>249001640</v>
          </cell>
          <cell r="Q224">
            <v>50899485</v>
          </cell>
          <cell r="R224">
            <v>14746489927</v>
          </cell>
          <cell r="S224"/>
          <cell r="T224"/>
          <cell r="U224">
            <v>14746489927</v>
          </cell>
        </row>
        <row r="225">
          <cell r="C225">
            <v>805300</v>
          </cell>
          <cell r="D225">
            <v>9071</v>
          </cell>
          <cell r="E225" t="str">
            <v>유동당기금융-평가익</v>
          </cell>
          <cell r="F225" t="str">
            <v>당기손익인식금융자산평가이익</v>
          </cell>
          <cell r="G225"/>
          <cell r="H225">
            <v>0</v>
          </cell>
          <cell r="I225"/>
          <cell r="J225">
            <v>116679451</v>
          </cell>
          <cell r="K225">
            <v>64372603</v>
          </cell>
          <cell r="L225">
            <v>181052054</v>
          </cell>
          <cell r="M225">
            <v>61913423</v>
          </cell>
          <cell r="N225">
            <v>242965477</v>
          </cell>
          <cell r="O225">
            <v>-192065992</v>
          </cell>
          <cell r="P225">
            <v>249001640</v>
          </cell>
          <cell r="Q225">
            <v>50899485</v>
          </cell>
          <cell r="R225">
            <v>50899485</v>
          </cell>
          <cell r="S225"/>
          <cell r="T225"/>
          <cell r="U225">
            <v>50899485</v>
          </cell>
        </row>
        <row r="226">
          <cell r="C226">
            <v>805600</v>
          </cell>
          <cell r="D226" t="str">
            <v>9141</v>
          </cell>
          <cell r="E226" t="str">
            <v>파생상품평가이익</v>
          </cell>
          <cell r="F226" t="str">
            <v>당기손익인식금융자산평가이익</v>
          </cell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>
            <v>14695590442</v>
          </cell>
          <cell r="S226"/>
          <cell r="T226"/>
          <cell r="U226">
            <v>14695590442</v>
          </cell>
        </row>
        <row r="227">
          <cell r="C227">
            <v>8071</v>
          </cell>
          <cell r="D227"/>
          <cell r="E227" t="str">
            <v>외환차익</v>
          </cell>
          <cell r="F227"/>
          <cell r="G227">
            <v>0</v>
          </cell>
          <cell r="H227">
            <v>33089774</v>
          </cell>
          <cell r="I227">
            <v>33089774</v>
          </cell>
          <cell r="J227">
            <v>30259559</v>
          </cell>
          <cell r="K227">
            <v>19035545</v>
          </cell>
          <cell r="L227">
            <v>49295104</v>
          </cell>
          <cell r="M227">
            <v>93077737</v>
          </cell>
          <cell r="N227">
            <v>142372841</v>
          </cell>
          <cell r="O227">
            <v>-63919822</v>
          </cell>
          <cell r="P227">
            <v>164751944</v>
          </cell>
          <cell r="Q227">
            <v>78453019</v>
          </cell>
          <cell r="R227">
            <v>78453019</v>
          </cell>
          <cell r="S227"/>
          <cell r="T227"/>
          <cell r="U227">
            <v>78453019</v>
          </cell>
        </row>
        <row r="228">
          <cell r="C228">
            <v>807100</v>
          </cell>
          <cell r="D228">
            <v>9059</v>
          </cell>
          <cell r="E228" t="str">
            <v>외환차익-금융</v>
          </cell>
          <cell r="F228" t="str">
            <v>외환차익</v>
          </cell>
          <cell r="G228">
            <v>0</v>
          </cell>
          <cell r="H228">
            <v>60891</v>
          </cell>
          <cell r="I228">
            <v>60891</v>
          </cell>
          <cell r="J228">
            <v>312498</v>
          </cell>
          <cell r="K228">
            <v>2959021</v>
          </cell>
          <cell r="L228">
            <v>3271519</v>
          </cell>
          <cell r="M228">
            <v>12345616</v>
          </cell>
          <cell r="N228">
            <v>15617135</v>
          </cell>
          <cell r="O228">
            <v>3396510</v>
          </cell>
          <cell r="P228">
            <v>21810714</v>
          </cell>
          <cell r="Q228">
            <v>19013645</v>
          </cell>
          <cell r="R228">
            <v>19013645</v>
          </cell>
          <cell r="S228"/>
          <cell r="T228"/>
          <cell r="U228">
            <v>19013645</v>
          </cell>
        </row>
        <row r="229">
          <cell r="C229">
            <v>807110</v>
          </cell>
          <cell r="D229"/>
          <cell r="E229" t="str">
            <v>외환차익-가격차</v>
          </cell>
          <cell r="F229" t="str">
            <v>외환차익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/>
          <cell r="T229"/>
          <cell r="U229">
            <v>0</v>
          </cell>
        </row>
        <row r="230">
          <cell r="C230">
            <v>807130</v>
          </cell>
          <cell r="D230">
            <v>9059</v>
          </cell>
          <cell r="E230" t="str">
            <v>외환차익-영업</v>
          </cell>
          <cell r="F230" t="str">
            <v>외환차익</v>
          </cell>
          <cell r="G230">
            <v>0</v>
          </cell>
          <cell r="H230">
            <v>33028883</v>
          </cell>
          <cell r="I230">
            <v>33028883</v>
          </cell>
          <cell r="J230">
            <v>29947061</v>
          </cell>
          <cell r="K230">
            <v>16076524</v>
          </cell>
          <cell r="L230">
            <v>46023585</v>
          </cell>
          <cell r="M230">
            <v>80732121</v>
          </cell>
          <cell r="N230">
            <v>126755706</v>
          </cell>
          <cell r="O230">
            <v>-67316332</v>
          </cell>
          <cell r="P230">
            <v>142941230</v>
          </cell>
          <cell r="Q230">
            <v>59439374</v>
          </cell>
          <cell r="R230">
            <v>59439374</v>
          </cell>
          <cell r="S230"/>
          <cell r="T230"/>
          <cell r="U230">
            <v>59439374</v>
          </cell>
        </row>
        <row r="231">
          <cell r="C231">
            <v>8081</v>
          </cell>
          <cell r="D231"/>
          <cell r="E231" t="str">
            <v>외화환산이익</v>
          </cell>
          <cell r="F231"/>
          <cell r="G231">
            <v>42703</v>
          </cell>
          <cell r="H231">
            <v>3711654</v>
          </cell>
          <cell r="I231">
            <v>3754357</v>
          </cell>
          <cell r="J231">
            <v>20663383</v>
          </cell>
          <cell r="K231">
            <v>-795593</v>
          </cell>
          <cell r="L231">
            <v>19867790</v>
          </cell>
          <cell r="M231">
            <v>36463731</v>
          </cell>
          <cell r="N231">
            <v>56331521</v>
          </cell>
          <cell r="O231">
            <v>-42120573</v>
          </cell>
          <cell r="P231">
            <v>32799789</v>
          </cell>
          <cell r="Q231">
            <v>14210948</v>
          </cell>
          <cell r="R231">
            <v>14210948</v>
          </cell>
          <cell r="S231"/>
          <cell r="T231"/>
          <cell r="U231">
            <v>14210948</v>
          </cell>
        </row>
        <row r="232">
          <cell r="C232">
            <v>808100</v>
          </cell>
          <cell r="D232">
            <v>9062</v>
          </cell>
          <cell r="E232" t="str">
            <v>외화미지급금환산익</v>
          </cell>
          <cell r="F232" t="str">
            <v>외화환산이익</v>
          </cell>
          <cell r="G232">
            <v>0</v>
          </cell>
          <cell r="H232">
            <v>992847</v>
          </cell>
          <cell r="I232">
            <v>992847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/>
          <cell r="T232"/>
          <cell r="U232">
            <v>0</v>
          </cell>
        </row>
        <row r="233">
          <cell r="C233">
            <v>808170</v>
          </cell>
          <cell r="D233">
            <v>9069</v>
          </cell>
          <cell r="E233" t="str">
            <v>외화환산익_금융기타</v>
          </cell>
          <cell r="F233" t="str">
            <v>외화환산이익</v>
          </cell>
          <cell r="G233">
            <v>42703</v>
          </cell>
          <cell r="H233">
            <v>2654309</v>
          </cell>
          <cell r="I233">
            <v>2697012</v>
          </cell>
          <cell r="J233">
            <v>20663383</v>
          </cell>
          <cell r="K233">
            <v>-795593</v>
          </cell>
          <cell r="L233">
            <v>19867790</v>
          </cell>
          <cell r="M233">
            <v>36463731</v>
          </cell>
          <cell r="N233">
            <v>56331521</v>
          </cell>
          <cell r="O233">
            <v>-42120573</v>
          </cell>
          <cell r="P233">
            <v>32655942</v>
          </cell>
          <cell r="Q233">
            <v>14210948</v>
          </cell>
          <cell r="R233">
            <v>14210948</v>
          </cell>
          <cell r="S233"/>
          <cell r="T233"/>
          <cell r="U233">
            <v>14210948</v>
          </cell>
        </row>
        <row r="234">
          <cell r="C234">
            <v>808190</v>
          </cell>
          <cell r="D234">
            <v>9069</v>
          </cell>
          <cell r="E234" t="str">
            <v>외화환산이익-영업</v>
          </cell>
          <cell r="F234" t="str">
            <v>외화환산이익</v>
          </cell>
          <cell r="G234">
            <v>0</v>
          </cell>
          <cell r="H234">
            <v>64498</v>
          </cell>
          <cell r="I234">
            <v>64498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143847</v>
          </cell>
          <cell r="Q234">
            <v>0</v>
          </cell>
          <cell r="R234">
            <v>0</v>
          </cell>
          <cell r="S234"/>
          <cell r="T234"/>
          <cell r="U234">
            <v>0</v>
          </cell>
        </row>
        <row r="235">
          <cell r="C235" t="str">
            <v>-</v>
          </cell>
          <cell r="D235"/>
          <cell r="E235" t="str">
            <v>금융비용</v>
          </cell>
          <cell r="F235"/>
          <cell r="G235">
            <v>-401804785</v>
          </cell>
          <cell r="H235">
            <v>-30248862</v>
          </cell>
          <cell r="I235">
            <v>-432053647</v>
          </cell>
          <cell r="J235">
            <v>-330579738</v>
          </cell>
          <cell r="K235">
            <v>-353347155</v>
          </cell>
          <cell r="L235">
            <v>-683926893</v>
          </cell>
          <cell r="M235">
            <v>-333441736</v>
          </cell>
          <cell r="N235">
            <v>-1017368629</v>
          </cell>
          <cell r="O235">
            <v>486784031</v>
          </cell>
          <cell r="P235">
            <v>-1322772959</v>
          </cell>
          <cell r="Q235">
            <v>-530584598</v>
          </cell>
          <cell r="R235">
            <v>-530584598</v>
          </cell>
          <cell r="S235"/>
          <cell r="T235"/>
          <cell r="U235">
            <v>-530584598</v>
          </cell>
        </row>
        <row r="236">
          <cell r="C236">
            <v>8201</v>
          </cell>
          <cell r="D236"/>
          <cell r="E236" t="str">
            <v>이자비용</v>
          </cell>
          <cell r="F236"/>
          <cell r="G236">
            <v>10416681</v>
          </cell>
          <cell r="H236">
            <v>10547225</v>
          </cell>
          <cell r="I236">
            <v>20963906</v>
          </cell>
          <cell r="J236">
            <v>325298715</v>
          </cell>
          <cell r="K236">
            <v>341188023</v>
          </cell>
          <cell r="L236">
            <v>666486738</v>
          </cell>
          <cell r="M236">
            <v>307321971</v>
          </cell>
          <cell r="N236">
            <v>973808709</v>
          </cell>
          <cell r="O236">
            <v>-467744542</v>
          </cell>
          <cell r="P236">
            <v>1260039800</v>
          </cell>
          <cell r="Q236">
            <v>506064167</v>
          </cell>
          <cell r="R236">
            <v>506064167</v>
          </cell>
          <cell r="S236"/>
          <cell r="T236"/>
          <cell r="U236">
            <v>506064167</v>
          </cell>
        </row>
        <row r="237">
          <cell r="C237">
            <v>820190</v>
          </cell>
          <cell r="D237">
            <v>9539</v>
          </cell>
          <cell r="E237" t="str">
            <v>기타지급이자</v>
          </cell>
          <cell r="F237" t="str">
            <v>이자비용</v>
          </cell>
          <cell r="G237">
            <v>10416681</v>
          </cell>
          <cell r="H237">
            <v>10547225</v>
          </cell>
          <cell r="I237">
            <v>20963906</v>
          </cell>
          <cell r="J237">
            <v>10578083</v>
          </cell>
          <cell r="K237">
            <v>42135621</v>
          </cell>
          <cell r="L237">
            <v>52713704</v>
          </cell>
          <cell r="M237">
            <v>27166186</v>
          </cell>
          <cell r="N237">
            <v>79879890</v>
          </cell>
          <cell r="O237">
            <v>-23147626</v>
          </cell>
          <cell r="P237">
            <v>107487279</v>
          </cell>
          <cell r="Q237">
            <v>56732264</v>
          </cell>
          <cell r="R237">
            <v>56732264</v>
          </cell>
          <cell r="S237"/>
          <cell r="T237"/>
          <cell r="U237">
            <v>56732264</v>
          </cell>
        </row>
        <row r="238">
          <cell r="C238">
            <v>820191</v>
          </cell>
          <cell r="D238"/>
          <cell r="E238" t="str">
            <v>지급이자_임대보증금</v>
          </cell>
          <cell r="F238" t="str">
            <v>이자비용</v>
          </cell>
          <cell r="G238"/>
          <cell r="H238">
            <v>0</v>
          </cell>
          <cell r="I238"/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/>
          <cell r="T238"/>
          <cell r="U238">
            <v>0</v>
          </cell>
        </row>
        <row r="239">
          <cell r="C239">
            <v>820200</v>
          </cell>
          <cell r="D239">
            <v>9523</v>
          </cell>
          <cell r="E239" t="str">
            <v>이자비용-유동장기리</v>
          </cell>
          <cell r="F239" t="str">
            <v>이자비용</v>
          </cell>
          <cell r="G239"/>
          <cell r="H239">
            <v>0</v>
          </cell>
          <cell r="I239"/>
          <cell r="J239">
            <v>314720632</v>
          </cell>
          <cell r="K239">
            <v>299052402</v>
          </cell>
          <cell r="L239">
            <v>613773034</v>
          </cell>
          <cell r="M239">
            <v>280155785</v>
          </cell>
          <cell r="N239">
            <v>893928819</v>
          </cell>
          <cell r="O239">
            <v>-444596916</v>
          </cell>
          <cell r="P239">
            <v>1152552521</v>
          </cell>
          <cell r="Q239">
            <v>449331903</v>
          </cell>
          <cell r="R239">
            <v>449331903</v>
          </cell>
          <cell r="S239"/>
          <cell r="T239"/>
          <cell r="U239">
            <v>449331903</v>
          </cell>
        </row>
        <row r="240">
          <cell r="C240">
            <v>8261</v>
          </cell>
          <cell r="D240"/>
          <cell r="E240" t="str">
            <v>외환차손</v>
          </cell>
          <cell r="F240"/>
          <cell r="G240">
            <v>0</v>
          </cell>
          <cell r="H240">
            <v>13630732</v>
          </cell>
          <cell r="I240">
            <v>13630732</v>
          </cell>
          <cell r="J240">
            <v>7751831</v>
          </cell>
          <cell r="K240">
            <v>12287596</v>
          </cell>
          <cell r="L240">
            <v>20039427</v>
          </cell>
          <cell r="M240">
            <v>26140189</v>
          </cell>
          <cell r="N240">
            <v>46179616</v>
          </cell>
          <cell r="O240">
            <v>-21638447</v>
          </cell>
          <cell r="P240">
            <v>62177908</v>
          </cell>
          <cell r="Q240">
            <v>24541169</v>
          </cell>
          <cell r="R240">
            <v>24541169</v>
          </cell>
          <cell r="S240"/>
          <cell r="T240"/>
          <cell r="U240">
            <v>24541169</v>
          </cell>
        </row>
        <row r="241">
          <cell r="C241">
            <v>826100</v>
          </cell>
          <cell r="D241">
            <v>9549</v>
          </cell>
          <cell r="E241" t="str">
            <v>외환차손-금융</v>
          </cell>
          <cell r="F241" t="str">
            <v>외환차손</v>
          </cell>
          <cell r="G241">
            <v>0</v>
          </cell>
          <cell r="H241">
            <v>602173</v>
          </cell>
          <cell r="I241">
            <v>602173</v>
          </cell>
          <cell r="J241">
            <v>305732</v>
          </cell>
          <cell r="K241">
            <v>709364</v>
          </cell>
          <cell r="L241">
            <v>1015096</v>
          </cell>
          <cell r="M241">
            <v>12355</v>
          </cell>
          <cell r="N241">
            <v>1027451</v>
          </cell>
          <cell r="O241">
            <v>5611603</v>
          </cell>
          <cell r="P241">
            <v>1038933</v>
          </cell>
          <cell r="Q241">
            <v>6639054</v>
          </cell>
          <cell r="R241">
            <v>6639054</v>
          </cell>
          <cell r="S241"/>
          <cell r="T241"/>
          <cell r="U241">
            <v>6639054</v>
          </cell>
        </row>
        <row r="242">
          <cell r="C242">
            <v>826110</v>
          </cell>
          <cell r="D242"/>
          <cell r="E242" t="str">
            <v>외환차손-가격차</v>
          </cell>
          <cell r="F242" t="str">
            <v>외환차손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/>
          <cell r="T242"/>
          <cell r="U242">
            <v>0</v>
          </cell>
        </row>
        <row r="243">
          <cell r="C243">
            <v>826130</v>
          </cell>
          <cell r="D243">
            <v>9549</v>
          </cell>
          <cell r="E243" t="str">
            <v>외환차손-영업</v>
          </cell>
          <cell r="F243" t="str">
            <v>외환차손</v>
          </cell>
          <cell r="G243">
            <v>0</v>
          </cell>
          <cell r="H243">
            <v>13028559</v>
          </cell>
          <cell r="I243">
            <v>13028559</v>
          </cell>
          <cell r="J243">
            <v>7446099</v>
          </cell>
          <cell r="K243">
            <v>11578232</v>
          </cell>
          <cell r="L243">
            <v>19024331</v>
          </cell>
          <cell r="M243">
            <v>26127834</v>
          </cell>
          <cell r="N243">
            <v>45152165</v>
          </cell>
          <cell r="O243">
            <v>-27250050</v>
          </cell>
          <cell r="P243">
            <v>61138975</v>
          </cell>
          <cell r="Q243">
            <v>17902115</v>
          </cell>
          <cell r="R243">
            <v>17902115</v>
          </cell>
          <cell r="S243"/>
          <cell r="T243"/>
          <cell r="U243">
            <v>17902115</v>
          </cell>
        </row>
        <row r="244">
          <cell r="C244">
            <v>8271</v>
          </cell>
          <cell r="D244"/>
          <cell r="E244" t="str">
            <v>외화환산손실</v>
          </cell>
          <cell r="F244"/>
          <cell r="G244">
            <v>391672</v>
          </cell>
          <cell r="H244">
            <v>6070905</v>
          </cell>
          <cell r="I244">
            <v>6462577</v>
          </cell>
          <cell r="J244">
            <v>-2470808</v>
          </cell>
          <cell r="K244">
            <v>-128464</v>
          </cell>
          <cell r="L244">
            <v>-2599272</v>
          </cell>
          <cell r="M244">
            <v>-20424</v>
          </cell>
          <cell r="N244">
            <v>-2619696</v>
          </cell>
          <cell r="O244">
            <v>2598958</v>
          </cell>
          <cell r="P244">
            <v>555251</v>
          </cell>
          <cell r="Q244">
            <v>-20738</v>
          </cell>
          <cell r="R244">
            <v>-20738</v>
          </cell>
          <cell r="S244"/>
          <cell r="T244"/>
          <cell r="U244">
            <v>-20738</v>
          </cell>
        </row>
        <row r="245">
          <cell r="C245">
            <v>827100</v>
          </cell>
          <cell r="D245">
            <v>9552</v>
          </cell>
          <cell r="E245" t="str">
            <v>외화미지급금환산손실</v>
          </cell>
          <cell r="F245" t="str">
            <v>외화환산손실</v>
          </cell>
          <cell r="G245">
            <v>0</v>
          </cell>
          <cell r="H245">
            <v>397813</v>
          </cell>
          <cell r="I245">
            <v>397813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1425305</v>
          </cell>
          <cell r="Q245">
            <v>0</v>
          </cell>
          <cell r="R245">
            <v>0</v>
          </cell>
          <cell r="S245"/>
          <cell r="T245"/>
          <cell r="U245">
            <v>0</v>
          </cell>
        </row>
        <row r="246">
          <cell r="C246">
            <v>827170</v>
          </cell>
          <cell r="D246">
            <v>9559</v>
          </cell>
          <cell r="E246" t="str">
            <v>외화환산손_금융기타</v>
          </cell>
          <cell r="F246" t="str">
            <v>외화환산손실</v>
          </cell>
          <cell r="G246">
            <v>391672</v>
          </cell>
          <cell r="H246">
            <v>2228024</v>
          </cell>
          <cell r="I246">
            <v>2619696</v>
          </cell>
          <cell r="J246">
            <v>-2470808</v>
          </cell>
          <cell r="K246">
            <v>-128464</v>
          </cell>
          <cell r="L246">
            <v>-2599272</v>
          </cell>
          <cell r="M246">
            <v>-20424</v>
          </cell>
          <cell r="N246">
            <v>-2619696</v>
          </cell>
          <cell r="O246">
            <v>2598958</v>
          </cell>
          <cell r="P246">
            <v>-2598958</v>
          </cell>
          <cell r="Q246">
            <v>-20738</v>
          </cell>
          <cell r="R246">
            <v>-20738</v>
          </cell>
          <cell r="S246"/>
          <cell r="T246"/>
          <cell r="U246">
            <v>-20738</v>
          </cell>
        </row>
        <row r="247">
          <cell r="C247">
            <v>827190</v>
          </cell>
          <cell r="D247">
            <v>9559</v>
          </cell>
          <cell r="E247" t="str">
            <v>외화환산손실-영업</v>
          </cell>
          <cell r="F247" t="str">
            <v>외화환산손실</v>
          </cell>
          <cell r="G247">
            <v>0</v>
          </cell>
          <cell r="H247">
            <v>3445068</v>
          </cell>
          <cell r="I247">
            <v>3445068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1728904</v>
          </cell>
          <cell r="Q247">
            <v>0</v>
          </cell>
          <cell r="R247">
            <v>0</v>
          </cell>
          <cell r="S247"/>
          <cell r="T247"/>
          <cell r="U247">
            <v>0</v>
          </cell>
        </row>
        <row r="248">
          <cell r="C248">
            <v>8331</v>
          </cell>
          <cell r="D248"/>
          <cell r="E248" t="str">
            <v>유동자산처분손실</v>
          </cell>
          <cell r="F248"/>
          <cell r="G248">
            <v>390996432</v>
          </cell>
          <cell r="H248">
            <v>0</v>
          </cell>
          <cell r="I248">
            <v>390996432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/>
          <cell r="T248"/>
          <cell r="U248">
            <v>0</v>
          </cell>
        </row>
        <row r="249">
          <cell r="C249">
            <v>825200</v>
          </cell>
          <cell r="D249">
            <v>9799</v>
          </cell>
          <cell r="E249" t="str">
            <v>매출채권매각손실</v>
          </cell>
          <cell r="F249" t="str">
            <v>유동자산처분손실</v>
          </cell>
          <cell r="G249">
            <v>390996432</v>
          </cell>
          <cell r="H249">
            <v>0</v>
          </cell>
          <cell r="I249">
            <v>390996432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/>
          <cell r="T249"/>
          <cell r="U249">
            <v>0</v>
          </cell>
        </row>
        <row r="250">
          <cell r="C250">
            <v>8150</v>
          </cell>
          <cell r="D250"/>
          <cell r="E250" t="str">
            <v>지분법손실</v>
          </cell>
          <cell r="F250"/>
          <cell r="G250">
            <v>0</v>
          </cell>
          <cell r="H250">
            <v>-1330928381</v>
          </cell>
          <cell r="I250">
            <v>-1330928381</v>
          </cell>
          <cell r="J250">
            <v>-1140605099</v>
          </cell>
          <cell r="K250">
            <v>-1801131446</v>
          </cell>
          <cell r="L250">
            <v>-2941736545</v>
          </cell>
          <cell r="M250">
            <v>-1551698225</v>
          </cell>
          <cell r="N250">
            <v>-4493434770</v>
          </cell>
          <cell r="O250">
            <v>-2450075559</v>
          </cell>
          <cell r="P250">
            <v>-14913479718</v>
          </cell>
          <cell r="Q250">
            <v>-5106997253</v>
          </cell>
          <cell r="R250">
            <v>-6943510329</v>
          </cell>
          <cell r="S250">
            <v>0</v>
          </cell>
          <cell r="T250">
            <v>0</v>
          </cell>
          <cell r="U250">
            <v>-6943510329</v>
          </cell>
        </row>
        <row r="251">
          <cell r="C251">
            <v>830100</v>
          </cell>
          <cell r="D251">
            <v>9581</v>
          </cell>
          <cell r="E251" t="str">
            <v>지분법평가손실</v>
          </cell>
          <cell r="F251" t="str">
            <v>지분법손실</v>
          </cell>
          <cell r="G251">
            <v>0</v>
          </cell>
          <cell r="H251">
            <v>1330928381</v>
          </cell>
          <cell r="I251">
            <v>1330928381</v>
          </cell>
          <cell r="J251">
            <v>1140605099</v>
          </cell>
          <cell r="K251">
            <v>1801131446</v>
          </cell>
          <cell r="L251">
            <v>2941736545</v>
          </cell>
          <cell r="M251">
            <v>1551698225</v>
          </cell>
          <cell r="N251">
            <v>4493434770</v>
          </cell>
          <cell r="O251">
            <v>2016197803</v>
          </cell>
          <cell r="P251">
            <v>6580395185</v>
          </cell>
          <cell r="Q251">
            <v>4673119497</v>
          </cell>
          <cell r="R251">
            <v>6509632573</v>
          </cell>
          <cell r="S251">
            <v>0</v>
          </cell>
          <cell r="T251">
            <v>0</v>
          </cell>
          <cell r="U251">
            <v>6509632573</v>
          </cell>
        </row>
        <row r="252">
          <cell r="C252">
            <v>831120</v>
          </cell>
          <cell r="D252">
            <v>9581</v>
          </cell>
          <cell r="E252" t="str">
            <v>지분법주식손상차손</v>
          </cell>
          <cell r="F252" t="str">
            <v>지분법손실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433877756</v>
          </cell>
          <cell r="P252">
            <v>8333084533</v>
          </cell>
          <cell r="Q252">
            <v>433877756</v>
          </cell>
          <cell r="R252">
            <v>433877756</v>
          </cell>
          <cell r="S252">
            <v>0</v>
          </cell>
          <cell r="T252">
            <v>0</v>
          </cell>
          <cell r="U252">
            <v>433877756</v>
          </cell>
        </row>
        <row r="253">
          <cell r="C253"/>
          <cell r="D253"/>
          <cell r="E253" t="str">
            <v>법인세비용차감전이익(손실)</v>
          </cell>
          <cell r="F253"/>
          <cell r="G253">
            <v>-2181203678</v>
          </cell>
          <cell r="H253">
            <v>-17801852649</v>
          </cell>
          <cell r="I253">
            <v>-19983056327</v>
          </cell>
          <cell r="J253">
            <v>5252522492</v>
          </cell>
          <cell r="K253">
            <v>288246469</v>
          </cell>
          <cell r="L253">
            <v>5540768961</v>
          </cell>
          <cell r="M253">
            <v>679289088</v>
          </cell>
          <cell r="N253">
            <v>6220058049</v>
          </cell>
          <cell r="O253">
            <v>-4715611298</v>
          </cell>
          <cell r="P253">
            <v>-5612388686</v>
          </cell>
          <cell r="Q253">
            <v>-11354630615</v>
          </cell>
          <cell r="R253">
            <v>1504446751</v>
          </cell>
          <cell r="S253">
            <v>0</v>
          </cell>
          <cell r="T253">
            <v>0</v>
          </cell>
          <cell r="U253">
            <v>1504446751</v>
          </cell>
        </row>
        <row r="254">
          <cell r="C254">
            <v>849</v>
          </cell>
          <cell r="D254">
            <v>9961</v>
          </cell>
          <cell r="E254" t="str">
            <v>법인세비용(수익)</v>
          </cell>
          <cell r="F254"/>
          <cell r="G254">
            <v>-4980675672</v>
          </cell>
          <cell r="H254">
            <v>-5495246157</v>
          </cell>
          <cell r="I254">
            <v>-10475921829</v>
          </cell>
          <cell r="J254">
            <v>885599754</v>
          </cell>
          <cell r="K254">
            <v>589027308</v>
          </cell>
          <cell r="L254">
            <v>1474627062</v>
          </cell>
          <cell r="M254">
            <v>124909741</v>
          </cell>
          <cell r="N254">
            <v>1599536803</v>
          </cell>
          <cell r="O254">
            <v>-1054942693</v>
          </cell>
          <cell r="P254">
            <v>-535350927</v>
          </cell>
          <cell r="Q254">
            <v>41259237</v>
          </cell>
          <cell r="R254">
            <v>544594110</v>
          </cell>
          <cell r="S254">
            <v>0</v>
          </cell>
          <cell r="T254">
            <v>0</v>
          </cell>
          <cell r="U254">
            <v>544594110</v>
          </cell>
        </row>
        <row r="255">
          <cell r="C255">
            <v>849100</v>
          </cell>
          <cell r="D255"/>
          <cell r="E255" t="str">
            <v>법인세</v>
          </cell>
          <cell r="F255" t="str">
            <v>법인세비용(수익)</v>
          </cell>
          <cell r="G255">
            <v>-4980675672</v>
          </cell>
          <cell r="H255">
            <v>-5495246157</v>
          </cell>
          <cell r="I255">
            <v>-10475921829</v>
          </cell>
          <cell r="J255">
            <v>885599754</v>
          </cell>
          <cell r="K255">
            <v>589027308</v>
          </cell>
          <cell r="L255">
            <v>1474627062</v>
          </cell>
          <cell r="M255">
            <v>124909741</v>
          </cell>
          <cell r="N255">
            <v>1599536803</v>
          </cell>
          <cell r="O255">
            <v>-1054942693</v>
          </cell>
          <cell r="P255">
            <v>-535350927</v>
          </cell>
          <cell r="Q255">
            <v>41259237</v>
          </cell>
          <cell r="R255">
            <v>544594110</v>
          </cell>
          <cell r="S255">
            <v>0</v>
          </cell>
          <cell r="T255">
            <v>0</v>
          </cell>
          <cell r="U255">
            <v>544594110</v>
          </cell>
        </row>
        <row r="256">
          <cell r="C256">
            <v>849200</v>
          </cell>
          <cell r="D256"/>
          <cell r="E256" t="str">
            <v>주민세</v>
          </cell>
          <cell r="F256" t="str">
            <v>법인세비용(수익)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</row>
        <row r="257">
          <cell r="C257"/>
          <cell r="D257"/>
          <cell r="E257" t="str">
            <v>당기순이익(손실)</v>
          </cell>
          <cell r="F257"/>
          <cell r="G257">
            <v>2799471994</v>
          </cell>
          <cell r="H257">
            <v>-12306606492</v>
          </cell>
          <cell r="I257">
            <v>-9507134498</v>
          </cell>
          <cell r="J257">
            <v>4366922738</v>
          </cell>
          <cell r="K257">
            <v>-300780839</v>
          </cell>
          <cell r="L257">
            <v>4066141899</v>
          </cell>
          <cell r="M257">
            <v>554379347</v>
          </cell>
          <cell r="N257">
            <v>4620521246</v>
          </cell>
          <cell r="O257">
            <v>-3660668605</v>
          </cell>
          <cell r="P257">
            <v>-5077037759</v>
          </cell>
          <cell r="Q257">
            <v>-11395889852</v>
          </cell>
          <cell r="R257">
            <v>959852641</v>
          </cell>
          <cell r="S257">
            <v>0</v>
          </cell>
          <cell r="T257">
            <v>0</v>
          </cell>
          <cell r="U257">
            <v>959852641</v>
          </cell>
        </row>
        <row r="258">
          <cell r="U25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_WTB"/>
      <sheetName val="BS_WTB"/>
      <sheetName val="CF정산표"/>
      <sheetName val="Sheet1"/>
      <sheetName val="자본변동표"/>
      <sheetName val="전사시산표(3단계)_20201014"/>
      <sheetName val="경상연구개발"/>
      <sheetName val="전달용"/>
      <sheetName val="전달용 (2)"/>
      <sheetName val="공시용"/>
      <sheetName val="자본변동표_천원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계정코드</v>
          </cell>
          <cell r="D1" t="str">
            <v>계정명칭</v>
          </cell>
          <cell r="E1" t="str">
            <v>연도기초</v>
          </cell>
          <cell r="F1" t="str">
            <v>당월기초</v>
          </cell>
          <cell r="G1" t="str">
            <v>당월차변</v>
          </cell>
          <cell r="H1" t="str">
            <v>당월대변</v>
          </cell>
          <cell r="I1" t="str">
            <v>당월차이</v>
          </cell>
          <cell r="J1" t="str">
            <v>누계차변</v>
          </cell>
          <cell r="K1" t="str">
            <v>누계대변</v>
          </cell>
          <cell r="L1" t="str">
            <v>누계잔액</v>
          </cell>
        </row>
        <row r="2">
          <cell r="D2" t="str">
            <v>유동자산</v>
          </cell>
          <cell r="E2">
            <v>779568236668</v>
          </cell>
          <cell r="F2">
            <v>773105354693</v>
          </cell>
          <cell r="G2">
            <v>6000544909737</v>
          </cell>
          <cell r="H2">
            <v>-6001284649599</v>
          </cell>
          <cell r="I2">
            <v>-739739862</v>
          </cell>
          <cell r="J2">
            <v>50904894693301</v>
          </cell>
          <cell r="K2">
            <v>-50912097315138</v>
          </cell>
          <cell r="L2">
            <v>772365614831</v>
          </cell>
        </row>
        <row r="3">
          <cell r="D3" t="str">
            <v>현금및현금성자산</v>
          </cell>
          <cell r="E3">
            <v>93060172087</v>
          </cell>
          <cell r="F3">
            <v>52847053250</v>
          </cell>
          <cell r="G3">
            <v>5406888976993</v>
          </cell>
          <cell r="H3">
            <v>-5388840059649</v>
          </cell>
          <cell r="I3">
            <v>18048917344</v>
          </cell>
          <cell r="J3">
            <v>45277640384317</v>
          </cell>
          <cell r="K3">
            <v>-45299804585810</v>
          </cell>
          <cell r="L3">
            <v>70895970594</v>
          </cell>
        </row>
        <row r="4">
          <cell r="C4">
            <v>100000</v>
          </cell>
          <cell r="D4" t="str">
            <v>현금예금</v>
          </cell>
          <cell r="E4">
            <v>1703268225</v>
          </cell>
          <cell r="F4">
            <v>8051020450</v>
          </cell>
          <cell r="G4">
            <v>4178346482349</v>
          </cell>
          <cell r="H4">
            <v>-4181722043996</v>
          </cell>
          <cell r="I4">
            <v>-3375561647</v>
          </cell>
          <cell r="J4">
            <v>35070944128422</v>
          </cell>
          <cell r="K4">
            <v>-35067971937844</v>
          </cell>
          <cell r="L4">
            <v>4675458803</v>
          </cell>
        </row>
        <row r="5">
          <cell r="C5">
            <v>128000</v>
          </cell>
          <cell r="D5" t="str">
            <v>예금-금전신탁</v>
          </cell>
          <cell r="E5">
            <v>90230000000</v>
          </cell>
          <cell r="F5">
            <v>41190000000</v>
          </cell>
          <cell r="G5">
            <v>1218561776780</v>
          </cell>
          <cell r="H5">
            <v>-1197770000000</v>
          </cell>
          <cell r="I5">
            <v>20791776780</v>
          </cell>
          <cell r="J5">
            <v>10126509776780</v>
          </cell>
          <cell r="K5">
            <v>-10154758000000</v>
          </cell>
          <cell r="L5">
            <v>61981776780</v>
          </cell>
        </row>
        <row r="6">
          <cell r="C6">
            <v>154261</v>
          </cell>
          <cell r="D6" t="str">
            <v>신한 11번가 해외판매자 정산 계좌</v>
          </cell>
          <cell r="E6">
            <v>319322759</v>
          </cell>
          <cell r="F6">
            <v>362840602</v>
          </cell>
          <cell r="G6">
            <v>8920076838</v>
          </cell>
          <cell r="H6">
            <v>-8918176821</v>
          </cell>
          <cell r="I6">
            <v>1900017</v>
          </cell>
          <cell r="J6">
            <v>74962499854</v>
          </cell>
          <cell r="K6">
            <v>-74917081994</v>
          </cell>
          <cell r="L6">
            <v>364740619</v>
          </cell>
        </row>
        <row r="7">
          <cell r="C7">
            <v>154282</v>
          </cell>
          <cell r="D7" t="str">
            <v>외환 외화 Multi Currencies 계좌</v>
          </cell>
          <cell r="E7">
            <v>807581103</v>
          </cell>
          <cell r="F7">
            <v>3243192198</v>
          </cell>
          <cell r="G7">
            <v>1060641026</v>
          </cell>
          <cell r="H7">
            <v>-429838832</v>
          </cell>
          <cell r="I7">
            <v>630802194</v>
          </cell>
          <cell r="J7">
            <v>5223979261</v>
          </cell>
          <cell r="K7">
            <v>-2157565972</v>
          </cell>
          <cell r="L7">
            <v>3873994392</v>
          </cell>
        </row>
        <row r="8">
          <cell r="D8" t="str">
            <v>단기금융상품</v>
          </cell>
          <cell r="E8">
            <v>312300000000</v>
          </cell>
          <cell r="F8">
            <v>294341243477</v>
          </cell>
          <cell r="G8">
            <v>4711223507</v>
          </cell>
          <cell r="H8">
            <v>-1300000000</v>
          </cell>
          <cell r="I8">
            <v>3411223507</v>
          </cell>
          <cell r="J8">
            <v>244280789437</v>
          </cell>
          <cell r="K8">
            <v>-258828322453</v>
          </cell>
          <cell r="L8">
            <v>297752466984</v>
          </cell>
        </row>
        <row r="9">
          <cell r="C9">
            <v>142400</v>
          </cell>
          <cell r="D9" t="str">
            <v>환매채(RP)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145000000000</v>
          </cell>
          <cell r="K9">
            <v>-145000000000</v>
          </cell>
          <cell r="L9">
            <v>0</v>
          </cell>
        </row>
        <row r="10">
          <cell r="C10">
            <v>146000</v>
          </cell>
          <cell r="D10" t="str">
            <v>정기예금</v>
          </cell>
          <cell r="E10">
            <v>82300000000</v>
          </cell>
          <cell r="F10">
            <v>76300000000</v>
          </cell>
          <cell r="G10">
            <v>0</v>
          </cell>
          <cell r="H10">
            <v>-1300000000</v>
          </cell>
          <cell r="I10">
            <v>-1300000000</v>
          </cell>
          <cell r="J10">
            <v>15000000000</v>
          </cell>
          <cell r="K10">
            <v>-22300000000</v>
          </cell>
          <cell r="L10">
            <v>75000000000</v>
          </cell>
        </row>
        <row r="11">
          <cell r="C11">
            <v>153000</v>
          </cell>
          <cell r="D11" t="str">
            <v>특정금전신탁</v>
          </cell>
          <cell r="E11">
            <v>230000000000</v>
          </cell>
          <cell r="F11">
            <v>218041243477</v>
          </cell>
          <cell r="G11">
            <v>4711223507</v>
          </cell>
          <cell r="H11">
            <v>0</v>
          </cell>
          <cell r="I11">
            <v>4711223507</v>
          </cell>
          <cell r="J11">
            <v>84280789437</v>
          </cell>
          <cell r="K11">
            <v>-91528322453</v>
          </cell>
          <cell r="L11">
            <v>222752466984</v>
          </cell>
        </row>
        <row r="12">
          <cell r="D12" t="str">
            <v>단기매매증권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18041704109</v>
          </cell>
          <cell r="K12">
            <v>-18041704109</v>
          </cell>
          <cell r="L12">
            <v>0</v>
          </cell>
        </row>
        <row r="13">
          <cell r="C13">
            <v>194300</v>
          </cell>
          <cell r="D13" t="str">
            <v>유동당기금융-기타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18041704109</v>
          </cell>
          <cell r="K13">
            <v>-18041704109</v>
          </cell>
          <cell r="L13">
            <v>0</v>
          </cell>
        </row>
        <row r="14">
          <cell r="D14" t="str">
            <v>파생금융상품</v>
          </cell>
          <cell r="E14">
            <v>0</v>
          </cell>
          <cell r="F14">
            <v>14695590442</v>
          </cell>
          <cell r="G14">
            <v>0</v>
          </cell>
          <cell r="H14">
            <v>0</v>
          </cell>
          <cell r="I14">
            <v>0</v>
          </cell>
          <cell r="J14">
            <v>14695590442</v>
          </cell>
          <cell r="K14">
            <v>0</v>
          </cell>
          <cell r="L14">
            <v>14695590442</v>
          </cell>
        </row>
        <row r="15">
          <cell r="C15">
            <v>228140</v>
          </cell>
          <cell r="D15" t="str">
            <v>유동파생상품자산-옵</v>
          </cell>
          <cell r="E15">
            <v>0</v>
          </cell>
          <cell r="F15">
            <v>14695590442</v>
          </cell>
          <cell r="G15">
            <v>0</v>
          </cell>
          <cell r="H15">
            <v>0</v>
          </cell>
          <cell r="I15">
            <v>0</v>
          </cell>
          <cell r="J15">
            <v>14695590442</v>
          </cell>
          <cell r="K15">
            <v>0</v>
          </cell>
          <cell r="L15">
            <v>14695590442</v>
          </cell>
        </row>
        <row r="16">
          <cell r="D16" t="str">
            <v>선급금</v>
          </cell>
          <cell r="E16">
            <v>1840209616</v>
          </cell>
          <cell r="F16">
            <v>2750793203</v>
          </cell>
          <cell r="G16">
            <v>6272122472</v>
          </cell>
          <cell r="H16">
            <v>-5879213893</v>
          </cell>
          <cell r="I16">
            <v>392908579</v>
          </cell>
          <cell r="J16">
            <v>37077086645</v>
          </cell>
          <cell r="K16">
            <v>-35773594479</v>
          </cell>
          <cell r="L16">
            <v>3143701782</v>
          </cell>
        </row>
        <row r="17">
          <cell r="C17">
            <v>220100</v>
          </cell>
          <cell r="D17" t="str">
            <v>선급금-자산대체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273715281</v>
          </cell>
          <cell r="K17">
            <v>-273715281</v>
          </cell>
          <cell r="L17">
            <v>0</v>
          </cell>
        </row>
        <row r="18">
          <cell r="C18">
            <v>220105</v>
          </cell>
          <cell r="D18" t="str">
            <v>선급금-비용대체</v>
          </cell>
          <cell r="E18">
            <v>2742156389</v>
          </cell>
          <cell r="F18">
            <v>3652739976</v>
          </cell>
          <cell r="G18">
            <v>5784790611</v>
          </cell>
          <cell r="H18">
            <v>-5391882032</v>
          </cell>
          <cell r="I18">
            <v>392908579</v>
          </cell>
          <cell r="J18">
            <v>32450779409</v>
          </cell>
          <cell r="K18">
            <v>-31147287243</v>
          </cell>
          <cell r="L18">
            <v>4045648555</v>
          </cell>
        </row>
        <row r="19">
          <cell r="C19">
            <v>220190</v>
          </cell>
          <cell r="D19" t="str">
            <v>선급금대충</v>
          </cell>
          <cell r="E19">
            <v>-901946773</v>
          </cell>
          <cell r="F19">
            <v>-901946773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-901946773</v>
          </cell>
        </row>
        <row r="20">
          <cell r="C20">
            <v>970409</v>
          </cell>
          <cell r="D20" t="str">
            <v>기프티콘 CMS 환불</v>
          </cell>
          <cell r="E20">
            <v>0</v>
          </cell>
          <cell r="F20">
            <v>0</v>
          </cell>
          <cell r="G20">
            <v>487331861</v>
          </cell>
          <cell r="H20">
            <v>-487331861</v>
          </cell>
          <cell r="I20">
            <v>0</v>
          </cell>
          <cell r="J20">
            <v>4352591955</v>
          </cell>
          <cell r="K20">
            <v>-4352591955</v>
          </cell>
          <cell r="L20">
            <v>0</v>
          </cell>
        </row>
        <row r="21">
          <cell r="D21" t="str">
            <v>선급비용</v>
          </cell>
          <cell r="E21">
            <v>1112596870</v>
          </cell>
          <cell r="F21">
            <v>1913064436</v>
          </cell>
          <cell r="G21">
            <v>238000000</v>
          </cell>
          <cell r="H21">
            <v>-419623208</v>
          </cell>
          <cell r="I21">
            <v>-181623208</v>
          </cell>
          <cell r="J21">
            <v>4384499729</v>
          </cell>
          <cell r="K21">
            <v>-3765655371</v>
          </cell>
          <cell r="L21">
            <v>1731441228</v>
          </cell>
        </row>
        <row r="22">
          <cell r="C22">
            <v>221100</v>
          </cell>
          <cell r="D22" t="str">
            <v>선급화재보험료</v>
          </cell>
          <cell r="E22">
            <v>3709818</v>
          </cell>
          <cell r="F22">
            <v>15662497</v>
          </cell>
          <cell r="G22">
            <v>0</v>
          </cell>
          <cell r="H22">
            <v>-2176554</v>
          </cell>
          <cell r="I22">
            <v>-2176554</v>
          </cell>
          <cell r="J22">
            <v>26481400</v>
          </cell>
          <cell r="K22">
            <v>-16705275</v>
          </cell>
          <cell r="L22">
            <v>13485943</v>
          </cell>
        </row>
        <row r="23">
          <cell r="C23">
            <v>221110</v>
          </cell>
          <cell r="D23" t="str">
            <v>선급배상책임보험료</v>
          </cell>
          <cell r="E23">
            <v>14965989</v>
          </cell>
          <cell r="F23">
            <v>32506905</v>
          </cell>
          <cell r="G23">
            <v>0</v>
          </cell>
          <cell r="H23">
            <v>-4767865</v>
          </cell>
          <cell r="I23">
            <v>-4767865</v>
          </cell>
          <cell r="J23">
            <v>57166685</v>
          </cell>
          <cell r="K23">
            <v>-44393634</v>
          </cell>
          <cell r="L23">
            <v>27739040</v>
          </cell>
        </row>
        <row r="24">
          <cell r="C24">
            <v>221330</v>
          </cell>
          <cell r="D24" t="str">
            <v>선급일반수수료</v>
          </cell>
          <cell r="E24">
            <v>778917180</v>
          </cell>
          <cell r="F24">
            <v>223310921</v>
          </cell>
          <cell r="G24">
            <v>238000000</v>
          </cell>
          <cell r="H24">
            <v>-100192344</v>
          </cell>
          <cell r="I24">
            <v>137807656</v>
          </cell>
          <cell r="J24">
            <v>464082603</v>
          </cell>
          <cell r="K24">
            <v>-881881206</v>
          </cell>
          <cell r="L24">
            <v>361118577</v>
          </cell>
        </row>
        <row r="25">
          <cell r="C25">
            <v>221900</v>
          </cell>
          <cell r="D25" t="str">
            <v>기타광고선급비용</v>
          </cell>
          <cell r="E25">
            <v>100397801</v>
          </cell>
          <cell r="F25">
            <v>296048748</v>
          </cell>
          <cell r="G25">
            <v>0</v>
          </cell>
          <cell r="H25">
            <v>-28551550</v>
          </cell>
          <cell r="I25">
            <v>-28551550</v>
          </cell>
          <cell r="J25">
            <v>385000000</v>
          </cell>
          <cell r="K25">
            <v>-217900603</v>
          </cell>
          <cell r="L25">
            <v>267497198</v>
          </cell>
        </row>
        <row r="26">
          <cell r="C26">
            <v>221980</v>
          </cell>
          <cell r="D26" t="str">
            <v>선급외주용역비</v>
          </cell>
          <cell r="E26">
            <v>199738438</v>
          </cell>
          <cell r="F26">
            <v>672134</v>
          </cell>
          <cell r="G26">
            <v>0</v>
          </cell>
          <cell r="H26">
            <v>-672134</v>
          </cell>
          <cell r="I26">
            <v>-672134</v>
          </cell>
          <cell r="J26">
            <v>0</v>
          </cell>
          <cell r="K26">
            <v>-199738438</v>
          </cell>
          <cell r="L26">
            <v>0</v>
          </cell>
        </row>
        <row r="27">
          <cell r="C27">
            <v>221990</v>
          </cell>
          <cell r="D27" t="str">
            <v>기타선급비용</v>
          </cell>
          <cell r="E27">
            <v>14867644</v>
          </cell>
          <cell r="F27">
            <v>1344863231</v>
          </cell>
          <cell r="G27">
            <v>0</v>
          </cell>
          <cell r="H27">
            <v>-283262761</v>
          </cell>
          <cell r="I27">
            <v>-283262761</v>
          </cell>
          <cell r="J27">
            <v>3451769041</v>
          </cell>
          <cell r="K27">
            <v>-2405036215</v>
          </cell>
          <cell r="L27">
            <v>1061600470</v>
          </cell>
        </row>
        <row r="28">
          <cell r="D28" t="str">
            <v>매출채권</v>
          </cell>
          <cell r="E28">
            <v>15791994120</v>
          </cell>
          <cell r="F28">
            <v>14363460081</v>
          </cell>
          <cell r="G28">
            <v>12931229376</v>
          </cell>
          <cell r="H28">
            <v>-10592405350</v>
          </cell>
          <cell r="I28">
            <v>2338824026</v>
          </cell>
          <cell r="J28">
            <v>114642193894</v>
          </cell>
          <cell r="K28">
            <v>-113731903907</v>
          </cell>
          <cell r="L28">
            <v>16702284107</v>
          </cell>
        </row>
        <row r="29">
          <cell r="C29">
            <v>200400</v>
          </cell>
          <cell r="D29" t="str">
            <v>외상매출금-기타</v>
          </cell>
          <cell r="E29">
            <v>15598656722</v>
          </cell>
          <cell r="F29">
            <v>14168393779</v>
          </cell>
          <cell r="G29">
            <v>12931229376</v>
          </cell>
          <cell r="H29">
            <v>-10592405350</v>
          </cell>
          <cell r="I29">
            <v>2338824026</v>
          </cell>
          <cell r="J29">
            <v>114640464990</v>
          </cell>
          <cell r="K29">
            <v>-113731903907</v>
          </cell>
          <cell r="L29">
            <v>16507217805</v>
          </cell>
        </row>
        <row r="30">
          <cell r="C30">
            <v>200490</v>
          </cell>
          <cell r="D30" t="str">
            <v>외상매출금환산조정</v>
          </cell>
          <cell r="E30">
            <v>-1728904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1728904</v>
          </cell>
          <cell r="K30">
            <v>0</v>
          </cell>
          <cell r="L30">
            <v>0</v>
          </cell>
        </row>
        <row r="31">
          <cell r="C31">
            <v>200800</v>
          </cell>
          <cell r="D31" t="str">
            <v>외상매출금-부도채권</v>
          </cell>
          <cell r="E31">
            <v>195066302</v>
          </cell>
          <cell r="F31">
            <v>195066302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195066302</v>
          </cell>
        </row>
        <row r="32">
          <cell r="D32" t="str">
            <v>매출채권-대손충당금</v>
          </cell>
          <cell r="E32">
            <v>-325183046</v>
          </cell>
          <cell r="F32">
            <v>-282502041</v>
          </cell>
          <cell r="G32">
            <v>2354623</v>
          </cell>
          <cell r="H32">
            <v>-8764268</v>
          </cell>
          <cell r="I32">
            <v>-6409645</v>
          </cell>
          <cell r="J32">
            <v>64851448</v>
          </cell>
          <cell r="K32">
            <v>-28580088</v>
          </cell>
          <cell r="L32">
            <v>-288911686</v>
          </cell>
        </row>
        <row r="33">
          <cell r="C33">
            <v>204900</v>
          </cell>
          <cell r="D33" t="str">
            <v>외상매출금대충</v>
          </cell>
          <cell r="E33">
            <v>-325183046</v>
          </cell>
          <cell r="F33">
            <v>-282502041</v>
          </cell>
          <cell r="G33">
            <v>2354623</v>
          </cell>
          <cell r="H33">
            <v>-8764268</v>
          </cell>
          <cell r="I33">
            <v>-6409645</v>
          </cell>
          <cell r="J33">
            <v>64851448</v>
          </cell>
          <cell r="K33">
            <v>-28580088</v>
          </cell>
          <cell r="L33">
            <v>-288911686</v>
          </cell>
        </row>
        <row r="34">
          <cell r="D34" t="str">
            <v>미수금</v>
          </cell>
          <cell r="E34">
            <v>348288524834</v>
          </cell>
          <cell r="F34">
            <v>383171392810</v>
          </cell>
          <cell r="G34">
            <v>560856744910</v>
          </cell>
          <cell r="H34">
            <v>-586068243775</v>
          </cell>
          <cell r="I34">
            <v>-25211498865</v>
          </cell>
          <cell r="J34">
            <v>5139470872242</v>
          </cell>
          <cell r="K34">
            <v>-5129799503131</v>
          </cell>
          <cell r="L34">
            <v>357959893945</v>
          </cell>
        </row>
        <row r="35">
          <cell r="C35">
            <v>207401</v>
          </cell>
          <cell r="D35" t="str">
            <v>미수금11번가-카드(거</v>
          </cell>
          <cell r="E35">
            <v>59443164443</v>
          </cell>
          <cell r="F35">
            <v>55870616637</v>
          </cell>
          <cell r="G35">
            <v>423816927950</v>
          </cell>
          <cell r="H35">
            <v>-432255241381</v>
          </cell>
          <cell r="I35">
            <v>-8438313431</v>
          </cell>
          <cell r="J35">
            <v>3871344310350</v>
          </cell>
          <cell r="K35">
            <v>-3883355171587</v>
          </cell>
          <cell r="L35">
            <v>47432303206</v>
          </cell>
        </row>
        <row r="36">
          <cell r="C36">
            <v>207402</v>
          </cell>
          <cell r="D36" t="str">
            <v>미수금11번가-지급유</v>
          </cell>
          <cell r="E36">
            <v>198342225535</v>
          </cell>
          <cell r="F36">
            <v>215670059802</v>
          </cell>
          <cell r="G36">
            <v>34058397645</v>
          </cell>
          <cell r="H36">
            <v>-34880125163</v>
          </cell>
          <cell r="I36">
            <v>-821727518</v>
          </cell>
          <cell r="J36">
            <v>319153035072</v>
          </cell>
          <cell r="K36">
            <v>-302646928323</v>
          </cell>
          <cell r="L36">
            <v>214848332284</v>
          </cell>
        </row>
        <row r="37">
          <cell r="C37">
            <v>207403</v>
          </cell>
          <cell r="D37" t="str">
            <v>미수금11번가-셀러</v>
          </cell>
          <cell r="E37">
            <v>1102509762</v>
          </cell>
          <cell r="F37">
            <v>1425824912</v>
          </cell>
          <cell r="G37">
            <v>5684032826</v>
          </cell>
          <cell r="H37">
            <v>-5665290248</v>
          </cell>
          <cell r="I37">
            <v>18742578</v>
          </cell>
          <cell r="J37">
            <v>52236945912</v>
          </cell>
          <cell r="K37">
            <v>-51894888184</v>
          </cell>
          <cell r="L37">
            <v>1444567490</v>
          </cell>
        </row>
        <row r="38">
          <cell r="C38">
            <v>207404</v>
          </cell>
          <cell r="D38" t="str">
            <v>미수금11번가-수수료</v>
          </cell>
          <cell r="E38">
            <v>2262820</v>
          </cell>
          <cell r="F38">
            <v>4632433</v>
          </cell>
          <cell r="G38">
            <v>2584111</v>
          </cell>
          <cell r="H38">
            <v>-1646751</v>
          </cell>
          <cell r="I38">
            <v>937360</v>
          </cell>
          <cell r="J38">
            <v>12624596</v>
          </cell>
          <cell r="K38">
            <v>-9317623</v>
          </cell>
          <cell r="L38">
            <v>5569793</v>
          </cell>
        </row>
        <row r="39">
          <cell r="C39">
            <v>207405</v>
          </cell>
          <cell r="D39" t="str">
            <v>미수금11번가-카(수수</v>
          </cell>
          <cell r="E39">
            <v>21948</v>
          </cell>
          <cell r="F39">
            <v>56372122</v>
          </cell>
          <cell r="G39">
            <v>1043141116</v>
          </cell>
          <cell r="H39">
            <v>-1049711713</v>
          </cell>
          <cell r="I39">
            <v>-6570597</v>
          </cell>
          <cell r="J39">
            <v>9126769686</v>
          </cell>
          <cell r="K39">
            <v>-9076990109</v>
          </cell>
          <cell r="L39">
            <v>49801525</v>
          </cell>
        </row>
        <row r="40">
          <cell r="C40">
            <v>207500</v>
          </cell>
          <cell r="D40" t="str">
            <v>미수금-제로페이</v>
          </cell>
          <cell r="E40">
            <v>0</v>
          </cell>
          <cell r="F40">
            <v>2359710</v>
          </cell>
          <cell r="G40">
            <v>79062100</v>
          </cell>
          <cell r="H40">
            <v>-3203370</v>
          </cell>
          <cell r="I40">
            <v>75858730</v>
          </cell>
          <cell r="J40">
            <v>85802410</v>
          </cell>
          <cell r="K40">
            <v>-7583970</v>
          </cell>
          <cell r="L40">
            <v>78218440</v>
          </cell>
        </row>
        <row r="41">
          <cell r="C41">
            <v>207600</v>
          </cell>
          <cell r="D41" t="str">
            <v>미수금-SK pay money</v>
          </cell>
          <cell r="E41">
            <v>0</v>
          </cell>
          <cell r="F41">
            <v>0</v>
          </cell>
          <cell r="G41">
            <v>292080000</v>
          </cell>
          <cell r="H41">
            <v>0</v>
          </cell>
          <cell r="I41">
            <v>292080000</v>
          </cell>
          <cell r="J41">
            <v>626280000</v>
          </cell>
          <cell r="K41">
            <v>-334200000</v>
          </cell>
          <cell r="L41">
            <v>292080000</v>
          </cell>
        </row>
        <row r="42">
          <cell r="C42">
            <v>208900</v>
          </cell>
          <cell r="D42" t="str">
            <v>미수금-거래처(recon)</v>
          </cell>
          <cell r="E42">
            <v>86826168704</v>
          </cell>
          <cell r="F42">
            <v>108686104047</v>
          </cell>
          <cell r="G42">
            <v>93786028825</v>
          </cell>
          <cell r="H42">
            <v>-110198909956</v>
          </cell>
          <cell r="I42">
            <v>-16412881131</v>
          </cell>
          <cell r="J42">
            <v>875674190466</v>
          </cell>
          <cell r="K42">
            <v>-870227136254</v>
          </cell>
          <cell r="L42">
            <v>92273222916</v>
          </cell>
        </row>
        <row r="43">
          <cell r="C43">
            <v>208901</v>
          </cell>
          <cell r="D43" t="str">
            <v>미수금-부도채권</v>
          </cell>
          <cell r="E43">
            <v>383572917</v>
          </cell>
          <cell r="F43">
            <v>383572917</v>
          </cell>
          <cell r="G43">
            <v>0</v>
          </cell>
          <cell r="H43">
            <v>0</v>
          </cell>
          <cell r="I43">
            <v>0</v>
          </cell>
          <cell r="J43">
            <v>9890936</v>
          </cell>
          <cell r="K43">
            <v>-9890936</v>
          </cell>
          <cell r="L43">
            <v>383572917</v>
          </cell>
        </row>
        <row r="44">
          <cell r="C44">
            <v>209000</v>
          </cell>
          <cell r="D44" t="str">
            <v>미수금-기타(non-rec)</v>
          </cell>
          <cell r="E44">
            <v>1243626521</v>
          </cell>
          <cell r="F44">
            <v>1017266390</v>
          </cell>
          <cell r="G44">
            <v>2044886447</v>
          </cell>
          <cell r="H44">
            <v>-1890281393</v>
          </cell>
          <cell r="I44">
            <v>154605054</v>
          </cell>
          <cell r="J44">
            <v>9585492633</v>
          </cell>
          <cell r="K44">
            <v>-9657247710</v>
          </cell>
          <cell r="L44">
            <v>1171871444</v>
          </cell>
        </row>
        <row r="45">
          <cell r="C45">
            <v>209010</v>
          </cell>
          <cell r="D45" t="str">
            <v>미수금-국민연금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870120</v>
          </cell>
          <cell r="K45">
            <v>-870120</v>
          </cell>
          <cell r="L45">
            <v>0</v>
          </cell>
        </row>
        <row r="46">
          <cell r="C46">
            <v>209020</v>
          </cell>
          <cell r="D46" t="str">
            <v>미수금-건강보험</v>
          </cell>
          <cell r="E46">
            <v>945360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149998580</v>
          </cell>
          <cell r="K46">
            <v>-150943940</v>
          </cell>
          <cell r="L46">
            <v>0</v>
          </cell>
        </row>
        <row r="47">
          <cell r="C47">
            <v>209030</v>
          </cell>
          <cell r="D47" t="str">
            <v>미수금-급여기타</v>
          </cell>
          <cell r="E47">
            <v>2048000</v>
          </cell>
          <cell r="F47">
            <v>47714930</v>
          </cell>
          <cell r="G47">
            <v>46110730</v>
          </cell>
          <cell r="H47">
            <v>-113471730</v>
          </cell>
          <cell r="I47">
            <v>-67361000</v>
          </cell>
          <cell r="J47">
            <v>503575084</v>
          </cell>
          <cell r="K47">
            <v>-525269154</v>
          </cell>
          <cell r="L47">
            <v>-19646070</v>
          </cell>
        </row>
        <row r="48">
          <cell r="C48">
            <v>209040</v>
          </cell>
          <cell r="D48" t="str">
            <v>미수금-다량기타</v>
          </cell>
          <cell r="E48">
            <v>0</v>
          </cell>
          <cell r="F48">
            <v>6868910</v>
          </cell>
          <cell r="G48">
            <v>3493160</v>
          </cell>
          <cell r="H48">
            <v>-10362070</v>
          </cell>
          <cell r="I48">
            <v>-6868910</v>
          </cell>
          <cell r="J48">
            <v>19251420</v>
          </cell>
          <cell r="K48">
            <v>-19251420</v>
          </cell>
          <cell r="L48">
            <v>0</v>
          </cell>
        </row>
        <row r="49">
          <cell r="C49">
            <v>209190</v>
          </cell>
          <cell r="D49" t="str">
            <v>미수금외화환산조정</v>
          </cell>
          <cell r="E49">
            <v>143847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-143847</v>
          </cell>
          <cell r="L49">
            <v>0</v>
          </cell>
        </row>
        <row r="50">
          <cell r="C50">
            <v>209300</v>
          </cell>
          <cell r="D50" t="str">
            <v>미수금-법인세</v>
          </cell>
          <cell r="E50">
            <v>941834977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941834977</v>
          </cell>
          <cell r="K50">
            <v>-1883669954</v>
          </cell>
          <cell r="L50">
            <v>0</v>
          </cell>
        </row>
        <row r="51">
          <cell r="D51" t="str">
            <v>미수금대충</v>
          </cell>
          <cell r="E51">
            <v>-416978467</v>
          </cell>
          <cell r="F51">
            <v>-416986791</v>
          </cell>
          <cell r="G51">
            <v>4789</v>
          </cell>
          <cell r="H51">
            <v>0</v>
          </cell>
          <cell r="I51">
            <v>4789</v>
          </cell>
          <cell r="J51">
            <v>18371926</v>
          </cell>
          <cell r="K51">
            <v>-18375461</v>
          </cell>
          <cell r="L51">
            <v>-416982002</v>
          </cell>
        </row>
        <row r="52">
          <cell r="C52">
            <v>209900</v>
          </cell>
          <cell r="D52" t="str">
            <v>미수금대충</v>
          </cell>
          <cell r="E52">
            <v>-416978467</v>
          </cell>
          <cell r="F52">
            <v>-416986791</v>
          </cell>
          <cell r="G52">
            <v>4789</v>
          </cell>
          <cell r="H52">
            <v>0</v>
          </cell>
          <cell r="I52">
            <v>4789</v>
          </cell>
          <cell r="J52">
            <v>18371926</v>
          </cell>
          <cell r="K52">
            <v>-18375461</v>
          </cell>
          <cell r="L52">
            <v>-416982002</v>
          </cell>
        </row>
        <row r="53">
          <cell r="D53" t="str">
            <v>미수수익</v>
          </cell>
          <cell r="E53">
            <v>2108037541</v>
          </cell>
          <cell r="F53">
            <v>3254268730</v>
          </cell>
          <cell r="G53">
            <v>3306809862</v>
          </cell>
          <cell r="H53">
            <v>-2824336333</v>
          </cell>
          <cell r="I53">
            <v>482473529</v>
          </cell>
          <cell r="J53">
            <v>20272242183</v>
          </cell>
          <cell r="K53">
            <v>-18643537465</v>
          </cell>
          <cell r="L53">
            <v>3736742259</v>
          </cell>
        </row>
        <row r="54">
          <cell r="C54">
            <v>210100</v>
          </cell>
          <cell r="D54" t="str">
            <v>미수이자-제예금</v>
          </cell>
          <cell r="E54">
            <v>1523329480</v>
          </cell>
          <cell r="F54">
            <v>2807139037</v>
          </cell>
          <cell r="G54">
            <v>3306809862</v>
          </cell>
          <cell r="H54">
            <v>-2807139037</v>
          </cell>
          <cell r="I54">
            <v>499670825</v>
          </cell>
          <cell r="J54">
            <v>20272242183</v>
          </cell>
          <cell r="K54">
            <v>-18488761801</v>
          </cell>
          <cell r="L54">
            <v>3306809862</v>
          </cell>
        </row>
        <row r="55">
          <cell r="C55">
            <v>210900</v>
          </cell>
          <cell r="D55" t="str">
            <v>기타미수수익</v>
          </cell>
          <cell r="E55">
            <v>584708061</v>
          </cell>
          <cell r="F55">
            <v>447129693</v>
          </cell>
          <cell r="G55">
            <v>0</v>
          </cell>
          <cell r="H55">
            <v>-17197296</v>
          </cell>
          <cell r="I55">
            <v>-17197296</v>
          </cell>
          <cell r="J55">
            <v>0</v>
          </cell>
          <cell r="K55">
            <v>-154775664</v>
          </cell>
          <cell r="L55">
            <v>429932397</v>
          </cell>
        </row>
        <row r="56">
          <cell r="D56" t="str">
            <v>단기예치금</v>
          </cell>
          <cell r="E56">
            <v>0</v>
          </cell>
          <cell r="F56">
            <v>634050000</v>
          </cell>
          <cell r="G56">
            <v>0</v>
          </cell>
          <cell r="H56">
            <v>0</v>
          </cell>
          <cell r="I56">
            <v>0</v>
          </cell>
          <cell r="J56">
            <v>1268100000</v>
          </cell>
          <cell r="K56">
            <v>-634050000</v>
          </cell>
          <cell r="L56">
            <v>634050000</v>
          </cell>
        </row>
        <row r="57">
          <cell r="C57">
            <v>223200</v>
          </cell>
          <cell r="D57" t="str">
            <v>단기보증금</v>
          </cell>
          <cell r="E57">
            <v>0</v>
          </cell>
          <cell r="F57">
            <v>634050000</v>
          </cell>
          <cell r="G57">
            <v>0</v>
          </cell>
          <cell r="H57">
            <v>0</v>
          </cell>
          <cell r="I57">
            <v>0</v>
          </cell>
          <cell r="J57">
            <v>634050000</v>
          </cell>
          <cell r="K57">
            <v>0</v>
          </cell>
          <cell r="L57">
            <v>634050000</v>
          </cell>
        </row>
        <row r="58">
          <cell r="C58">
            <v>223201</v>
          </cell>
          <cell r="D58" t="str">
            <v>보증금-임차보증금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634050000</v>
          </cell>
          <cell r="K58">
            <v>-634050000</v>
          </cell>
          <cell r="L58">
            <v>0</v>
          </cell>
        </row>
        <row r="59">
          <cell r="D59" t="str">
            <v>매입부가세</v>
          </cell>
          <cell r="E59">
            <v>0</v>
          </cell>
          <cell r="F59">
            <v>0</v>
          </cell>
          <cell r="G59">
            <v>2860485404</v>
          </cell>
          <cell r="H59">
            <v>-2860485404</v>
          </cell>
          <cell r="I59">
            <v>0</v>
          </cell>
          <cell r="J59">
            <v>17883631318</v>
          </cell>
          <cell r="K59">
            <v>-17883631318</v>
          </cell>
          <cell r="L59">
            <v>0</v>
          </cell>
        </row>
        <row r="60">
          <cell r="C60">
            <v>226100</v>
          </cell>
          <cell r="D60" t="str">
            <v>과세매입부가세</v>
          </cell>
          <cell r="E60">
            <v>0</v>
          </cell>
          <cell r="F60">
            <v>0</v>
          </cell>
          <cell r="G60">
            <v>2860485404</v>
          </cell>
          <cell r="H60">
            <v>-2860485404</v>
          </cell>
          <cell r="I60">
            <v>0</v>
          </cell>
          <cell r="J60">
            <v>17883631318</v>
          </cell>
          <cell r="K60">
            <v>-17883631318</v>
          </cell>
          <cell r="L60">
            <v>0</v>
          </cell>
        </row>
        <row r="61">
          <cell r="D61" t="str">
            <v>선납법인세</v>
          </cell>
          <cell r="E61">
            <v>0</v>
          </cell>
          <cell r="F61">
            <v>545263230</v>
          </cell>
          <cell r="G61">
            <v>15152950</v>
          </cell>
          <cell r="H61">
            <v>-474761713</v>
          </cell>
          <cell r="I61">
            <v>-459608763</v>
          </cell>
          <cell r="J61">
            <v>561012342</v>
          </cell>
          <cell r="K61">
            <v>-475357875</v>
          </cell>
          <cell r="L61">
            <v>85654467</v>
          </cell>
        </row>
        <row r="62">
          <cell r="C62">
            <v>227100</v>
          </cell>
          <cell r="D62" t="str">
            <v>선납법인세</v>
          </cell>
          <cell r="E62">
            <v>0</v>
          </cell>
          <cell r="F62">
            <v>495704800</v>
          </cell>
          <cell r="G62">
            <v>13775100</v>
          </cell>
          <cell r="H62">
            <v>-431601557</v>
          </cell>
          <cell r="I62">
            <v>-417826457</v>
          </cell>
          <cell r="J62">
            <v>510022242</v>
          </cell>
          <cell r="K62">
            <v>-432143899</v>
          </cell>
          <cell r="L62">
            <v>77878343</v>
          </cell>
        </row>
        <row r="63">
          <cell r="C63">
            <v>227200</v>
          </cell>
          <cell r="D63" t="str">
            <v>선납지방세</v>
          </cell>
          <cell r="E63">
            <v>0</v>
          </cell>
          <cell r="F63">
            <v>49558430</v>
          </cell>
          <cell r="G63">
            <v>1377850</v>
          </cell>
          <cell r="H63">
            <v>-43160156</v>
          </cell>
          <cell r="I63">
            <v>-41782306</v>
          </cell>
          <cell r="J63">
            <v>50990100</v>
          </cell>
          <cell r="K63">
            <v>-43213976</v>
          </cell>
          <cell r="L63">
            <v>7776124</v>
          </cell>
        </row>
        <row r="64">
          <cell r="D64" t="str">
            <v>기타의 당좌자산</v>
          </cell>
          <cell r="E64">
            <v>0</v>
          </cell>
          <cell r="F64">
            <v>0</v>
          </cell>
          <cell r="G64">
            <v>503455538</v>
          </cell>
          <cell r="H64">
            <v>-503455538</v>
          </cell>
          <cell r="I64">
            <v>0</v>
          </cell>
          <cell r="J64">
            <v>2540442227</v>
          </cell>
          <cell r="K64">
            <v>-2540442227</v>
          </cell>
          <cell r="L64">
            <v>0</v>
          </cell>
        </row>
        <row r="65">
          <cell r="C65">
            <v>230100</v>
          </cell>
          <cell r="D65" t="str">
            <v>가지급금</v>
          </cell>
          <cell r="E65">
            <v>0</v>
          </cell>
          <cell r="F65">
            <v>0</v>
          </cell>
          <cell r="G65">
            <v>503455538</v>
          </cell>
          <cell r="H65">
            <v>-503455538</v>
          </cell>
          <cell r="I65">
            <v>0</v>
          </cell>
          <cell r="J65">
            <v>2540442227</v>
          </cell>
          <cell r="K65">
            <v>-2540442227</v>
          </cell>
          <cell r="L65">
            <v>0</v>
          </cell>
        </row>
        <row r="66">
          <cell r="D66" t="str">
            <v>상품</v>
          </cell>
          <cell r="E66">
            <v>3908749273</v>
          </cell>
          <cell r="F66">
            <v>3297824032</v>
          </cell>
          <cell r="G66">
            <v>1383759672</v>
          </cell>
          <cell r="H66">
            <v>-1264684608</v>
          </cell>
          <cell r="I66">
            <v>119075064</v>
          </cell>
          <cell r="J66">
            <v>9710678525</v>
          </cell>
          <cell r="K66">
            <v>-10202528702</v>
          </cell>
          <cell r="L66">
            <v>3416899096</v>
          </cell>
        </row>
        <row r="67">
          <cell r="C67">
            <v>240200</v>
          </cell>
          <cell r="D67" t="str">
            <v>국내상품-쇼핑몰</v>
          </cell>
          <cell r="E67">
            <v>1158339411</v>
          </cell>
          <cell r="F67">
            <v>335254184</v>
          </cell>
          <cell r="G67">
            <v>864704629</v>
          </cell>
          <cell r="H67">
            <v>-754921447</v>
          </cell>
          <cell r="I67">
            <v>109783182</v>
          </cell>
          <cell r="J67">
            <v>3900648657</v>
          </cell>
          <cell r="K67">
            <v>-4613950702</v>
          </cell>
          <cell r="L67">
            <v>445037366</v>
          </cell>
        </row>
        <row r="68">
          <cell r="C68">
            <v>240400</v>
          </cell>
          <cell r="D68" t="str">
            <v>재고자산-기타</v>
          </cell>
          <cell r="E68">
            <v>2</v>
          </cell>
          <cell r="F68">
            <v>2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2</v>
          </cell>
        </row>
        <row r="69">
          <cell r="C69">
            <v>262001</v>
          </cell>
          <cell r="D69" t="str">
            <v>제품</v>
          </cell>
          <cell r="E69">
            <v>11133461314</v>
          </cell>
          <cell r="F69">
            <v>11705998224</v>
          </cell>
          <cell r="G69">
            <v>514021973</v>
          </cell>
          <cell r="H69">
            <v>-433378064</v>
          </cell>
          <cell r="I69">
            <v>80643909</v>
          </cell>
          <cell r="J69">
            <v>5685605135</v>
          </cell>
          <cell r="K69">
            <v>-5032424316</v>
          </cell>
          <cell r="L69">
            <v>11786642133</v>
          </cell>
        </row>
        <row r="70">
          <cell r="C70">
            <v>262003</v>
          </cell>
          <cell r="D70" t="str">
            <v>제품-타계정출</v>
          </cell>
          <cell r="E70">
            <v>-8222637587</v>
          </cell>
          <cell r="F70">
            <v>-8650431692</v>
          </cell>
          <cell r="G70">
            <v>0</v>
          </cell>
          <cell r="H70">
            <v>-42295510</v>
          </cell>
          <cell r="I70">
            <v>-42295510</v>
          </cell>
          <cell r="J70">
            <v>0</v>
          </cell>
          <cell r="K70">
            <v>-470089615</v>
          </cell>
          <cell r="L70">
            <v>-8692727202</v>
          </cell>
        </row>
        <row r="71">
          <cell r="C71">
            <v>262400</v>
          </cell>
          <cell r="D71" t="str">
            <v>제품-평가충당금</v>
          </cell>
          <cell r="E71">
            <v>-118744096</v>
          </cell>
          <cell r="F71">
            <v>-78504013</v>
          </cell>
          <cell r="G71">
            <v>0</v>
          </cell>
          <cell r="H71">
            <v>-31487867</v>
          </cell>
          <cell r="I71">
            <v>-31487867</v>
          </cell>
          <cell r="J71">
            <v>100429130</v>
          </cell>
          <cell r="K71">
            <v>-91676914</v>
          </cell>
          <cell r="L71">
            <v>-109991880</v>
          </cell>
        </row>
        <row r="72">
          <cell r="C72">
            <v>262500</v>
          </cell>
          <cell r="D72" t="str">
            <v>국내상품-평가충당금</v>
          </cell>
          <cell r="E72">
            <v>-41669771</v>
          </cell>
          <cell r="F72">
            <v>-14492673</v>
          </cell>
          <cell r="G72">
            <v>5033070</v>
          </cell>
          <cell r="H72">
            <v>-2601720</v>
          </cell>
          <cell r="I72">
            <v>2431350</v>
          </cell>
          <cell r="J72">
            <v>23995603</v>
          </cell>
          <cell r="K72">
            <v>5612845</v>
          </cell>
          <cell r="L72">
            <v>-12061323</v>
          </cell>
        </row>
        <row r="73">
          <cell r="D73" t="str">
            <v>기타유동자산</v>
          </cell>
          <cell r="E73">
            <v>1900113840</v>
          </cell>
          <cell r="F73">
            <v>1990839834</v>
          </cell>
          <cell r="G73">
            <v>574589641</v>
          </cell>
          <cell r="H73">
            <v>-248615860</v>
          </cell>
          <cell r="I73">
            <v>325973781</v>
          </cell>
          <cell r="J73">
            <v>2342242517</v>
          </cell>
          <cell r="K73">
            <v>-1925542742</v>
          </cell>
          <cell r="L73">
            <v>2316813615</v>
          </cell>
        </row>
        <row r="74">
          <cell r="C74">
            <v>286100</v>
          </cell>
          <cell r="D74" t="str">
            <v>유동미수금-리스순투</v>
          </cell>
          <cell r="E74">
            <v>1900113840</v>
          </cell>
          <cell r="F74">
            <v>1990839834</v>
          </cell>
          <cell r="G74">
            <v>574589641</v>
          </cell>
          <cell r="H74">
            <v>-248615860</v>
          </cell>
          <cell r="I74">
            <v>325973781</v>
          </cell>
          <cell r="J74">
            <v>2342242517</v>
          </cell>
          <cell r="K74">
            <v>-1925542742</v>
          </cell>
          <cell r="L74">
            <v>2316813615</v>
          </cell>
        </row>
        <row r="75">
          <cell r="D75" t="str">
            <v>비유동자산</v>
          </cell>
          <cell r="E75">
            <v>143855700855</v>
          </cell>
          <cell r="F75">
            <v>214369938981</v>
          </cell>
          <cell r="G75">
            <v>11651063568</v>
          </cell>
          <cell r="H75">
            <v>-36158750053</v>
          </cell>
          <cell r="I75">
            <v>-24507686485</v>
          </cell>
          <cell r="J75">
            <v>146973925768</v>
          </cell>
          <cell r="K75">
            <v>-100967374127</v>
          </cell>
          <cell r="L75">
            <v>189862252496</v>
          </cell>
        </row>
        <row r="76">
          <cell r="D76" t="str">
            <v>장기금융상품</v>
          </cell>
          <cell r="E76">
            <v>2000000</v>
          </cell>
          <cell r="F76">
            <v>90960756523</v>
          </cell>
          <cell r="G76">
            <v>0</v>
          </cell>
          <cell r="H76">
            <v>-29333000287</v>
          </cell>
          <cell r="I76">
            <v>-29333000287</v>
          </cell>
          <cell r="J76">
            <v>100818868483</v>
          </cell>
          <cell r="K76">
            <v>-39193112247</v>
          </cell>
          <cell r="L76">
            <v>61627756236</v>
          </cell>
        </row>
        <row r="77">
          <cell r="C77">
            <v>261100</v>
          </cell>
          <cell r="D77" t="str">
            <v>특정예금</v>
          </cell>
          <cell r="E77">
            <v>2000000</v>
          </cell>
          <cell r="F77">
            <v>90960756523</v>
          </cell>
          <cell r="G77">
            <v>0</v>
          </cell>
          <cell r="H77">
            <v>-29333000287</v>
          </cell>
          <cell r="I77">
            <v>-29333000287</v>
          </cell>
          <cell r="J77">
            <v>100818868483</v>
          </cell>
          <cell r="K77">
            <v>-39193112247</v>
          </cell>
          <cell r="L77">
            <v>61627756236</v>
          </cell>
        </row>
        <row r="78">
          <cell r="D78" t="str">
            <v>매도가능금융자산</v>
          </cell>
          <cell r="E78">
            <v>19611861900</v>
          </cell>
          <cell r="F78">
            <v>15272954400</v>
          </cell>
          <cell r="G78">
            <v>7867885600</v>
          </cell>
          <cell r="H78">
            <v>0</v>
          </cell>
          <cell r="I78">
            <v>7867885600</v>
          </cell>
          <cell r="J78">
            <v>11581990420</v>
          </cell>
          <cell r="K78">
            <v>-8053012320</v>
          </cell>
          <cell r="L78">
            <v>23140840000</v>
          </cell>
        </row>
        <row r="79">
          <cell r="C79">
            <v>273500</v>
          </cell>
          <cell r="D79" t="str">
            <v>기타포괄금융-주식</v>
          </cell>
          <cell r="E79">
            <v>19611861900</v>
          </cell>
          <cell r="F79">
            <v>15272954400</v>
          </cell>
          <cell r="G79">
            <v>7867885600</v>
          </cell>
          <cell r="H79">
            <v>0</v>
          </cell>
          <cell r="I79">
            <v>7867885600</v>
          </cell>
          <cell r="J79">
            <v>11581990420</v>
          </cell>
          <cell r="K79">
            <v>-8053012320</v>
          </cell>
          <cell r="L79">
            <v>23140840000</v>
          </cell>
        </row>
        <row r="80">
          <cell r="D80" t="str">
            <v>관계회사주식</v>
          </cell>
          <cell r="E80">
            <v>13619842548</v>
          </cell>
          <cell r="F80">
            <v>15245151919</v>
          </cell>
          <cell r="G80">
            <v>0</v>
          </cell>
          <cell r="H80">
            <v>-1014681045</v>
          </cell>
          <cell r="I80">
            <v>-1014681045</v>
          </cell>
          <cell r="J80">
            <v>12372929003</v>
          </cell>
          <cell r="K80">
            <v>-11762300677</v>
          </cell>
          <cell r="L80">
            <v>14230470874</v>
          </cell>
        </row>
        <row r="81">
          <cell r="C81">
            <v>271100</v>
          </cell>
          <cell r="D81" t="str">
            <v>지분법적용투자주식</v>
          </cell>
          <cell r="E81">
            <v>13619842548</v>
          </cell>
          <cell r="F81">
            <v>15245151919</v>
          </cell>
          <cell r="G81">
            <v>0</v>
          </cell>
          <cell r="H81">
            <v>-1014681045</v>
          </cell>
          <cell r="I81">
            <v>-1014681045</v>
          </cell>
          <cell r="J81">
            <v>12372929003</v>
          </cell>
          <cell r="K81">
            <v>-11762300677</v>
          </cell>
          <cell r="L81">
            <v>14230470874</v>
          </cell>
        </row>
        <row r="82">
          <cell r="D82" t="str">
            <v>이연법인세자산</v>
          </cell>
          <cell r="E82">
            <v>13739285452</v>
          </cell>
          <cell r="F82">
            <v>14300763614</v>
          </cell>
          <cell r="G82">
            <v>-561478162</v>
          </cell>
          <cell r="H82">
            <v>-1657987927</v>
          </cell>
          <cell r="I82">
            <v>-2219466089</v>
          </cell>
          <cell r="J82">
            <v>0</v>
          </cell>
          <cell r="K82">
            <v>-1657987927</v>
          </cell>
          <cell r="L82">
            <v>12081297525</v>
          </cell>
        </row>
        <row r="83">
          <cell r="C83">
            <v>292100</v>
          </cell>
          <cell r="D83" t="str">
            <v>이연법인세자산-고정</v>
          </cell>
          <cell r="E83">
            <v>13739285452</v>
          </cell>
          <cell r="F83">
            <v>14300763614</v>
          </cell>
          <cell r="G83">
            <v>-561478162</v>
          </cell>
          <cell r="H83">
            <v>-1657987927</v>
          </cell>
          <cell r="I83">
            <v>-2219466089</v>
          </cell>
          <cell r="J83">
            <v>0</v>
          </cell>
          <cell r="K83">
            <v>-1657987927</v>
          </cell>
          <cell r="L83">
            <v>12081297525</v>
          </cell>
        </row>
        <row r="84">
          <cell r="D84" t="str">
            <v>기타의비유동자산</v>
          </cell>
          <cell r="E84">
            <v>2554675346</v>
          </cell>
          <cell r="F84">
            <v>1642972976</v>
          </cell>
          <cell r="G84">
            <v>32227966</v>
          </cell>
          <cell r="H84">
            <v>-147562565</v>
          </cell>
          <cell r="I84">
            <v>-115334599</v>
          </cell>
          <cell r="J84">
            <v>343351048</v>
          </cell>
          <cell r="K84">
            <v>-1370388017</v>
          </cell>
          <cell r="L84">
            <v>1527638377</v>
          </cell>
        </row>
        <row r="85">
          <cell r="C85">
            <v>286200</v>
          </cell>
          <cell r="D85" t="str">
            <v>장기미수금-리스순투</v>
          </cell>
          <cell r="E85">
            <v>2554675346</v>
          </cell>
          <cell r="F85">
            <v>1642972976</v>
          </cell>
          <cell r="G85">
            <v>32227966</v>
          </cell>
          <cell r="H85">
            <v>-147562565</v>
          </cell>
          <cell r="I85">
            <v>-115334599</v>
          </cell>
          <cell r="J85">
            <v>343351048</v>
          </cell>
          <cell r="K85">
            <v>-1370388017</v>
          </cell>
          <cell r="L85">
            <v>1527638377</v>
          </cell>
        </row>
        <row r="86">
          <cell r="D86" t="str">
            <v>보증금</v>
          </cell>
          <cell r="E86">
            <v>5653578945</v>
          </cell>
          <cell r="F86">
            <v>5062782703</v>
          </cell>
          <cell r="G86">
            <v>351538120</v>
          </cell>
          <cell r="H86">
            <v>0</v>
          </cell>
          <cell r="I86">
            <v>351538120</v>
          </cell>
          <cell r="J86">
            <v>394791878</v>
          </cell>
          <cell r="K86">
            <v>-634050000</v>
          </cell>
          <cell r="L86">
            <v>5414320823</v>
          </cell>
        </row>
        <row r="87">
          <cell r="C87">
            <v>282100</v>
          </cell>
          <cell r="D87" t="str">
            <v>임차보증금</v>
          </cell>
          <cell r="E87">
            <v>5676957200</v>
          </cell>
          <cell r="F87">
            <v>5081907200</v>
          </cell>
          <cell r="G87">
            <v>351000000</v>
          </cell>
          <cell r="H87">
            <v>0</v>
          </cell>
          <cell r="I87">
            <v>351000000</v>
          </cell>
          <cell r="J87">
            <v>390000000</v>
          </cell>
          <cell r="K87">
            <v>-634050000</v>
          </cell>
          <cell r="L87">
            <v>5432907200</v>
          </cell>
        </row>
        <row r="88">
          <cell r="C88">
            <v>282110</v>
          </cell>
          <cell r="D88" t="str">
            <v>임차보증금_현할차</v>
          </cell>
          <cell r="E88">
            <v>-23378255</v>
          </cell>
          <cell r="F88">
            <v>-19124497</v>
          </cell>
          <cell r="G88">
            <v>538120</v>
          </cell>
          <cell r="H88">
            <v>0</v>
          </cell>
          <cell r="I88">
            <v>538120</v>
          </cell>
          <cell r="J88">
            <v>4791878</v>
          </cell>
          <cell r="K88">
            <v>0</v>
          </cell>
          <cell r="L88">
            <v>-18586377</v>
          </cell>
        </row>
        <row r="89">
          <cell r="D89" t="str">
            <v>장기예치금</v>
          </cell>
          <cell r="E89">
            <v>2240237800</v>
          </cell>
          <cell r="F89">
            <v>2349261800</v>
          </cell>
          <cell r="G89">
            <v>0</v>
          </cell>
          <cell r="H89">
            <v>0</v>
          </cell>
          <cell r="I89">
            <v>0</v>
          </cell>
          <cell r="J89">
            <v>142000000</v>
          </cell>
          <cell r="K89">
            <v>-32976000</v>
          </cell>
          <cell r="L89">
            <v>2349261800</v>
          </cell>
        </row>
        <row r="90">
          <cell r="C90">
            <v>284200</v>
          </cell>
          <cell r="D90" t="str">
            <v>예치보증금-회원가입</v>
          </cell>
          <cell r="E90">
            <v>56548000</v>
          </cell>
          <cell r="F90">
            <v>56548000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56548000</v>
          </cell>
        </row>
        <row r="91">
          <cell r="C91">
            <v>284290</v>
          </cell>
          <cell r="D91" t="str">
            <v>예치보증금-기타</v>
          </cell>
          <cell r="E91">
            <v>2183689800</v>
          </cell>
          <cell r="F91">
            <v>2292713800</v>
          </cell>
          <cell r="G91">
            <v>0</v>
          </cell>
          <cell r="H91">
            <v>0</v>
          </cell>
          <cell r="I91">
            <v>0</v>
          </cell>
          <cell r="J91">
            <v>142000000</v>
          </cell>
          <cell r="K91">
            <v>-32976000</v>
          </cell>
          <cell r="L91">
            <v>2292713800</v>
          </cell>
        </row>
        <row r="92">
          <cell r="D92" t="str">
            <v>토지</v>
          </cell>
          <cell r="E92">
            <v>109341994</v>
          </cell>
          <cell r="F92">
            <v>109341994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109341994</v>
          </cell>
        </row>
        <row r="93">
          <cell r="C93">
            <v>300100</v>
          </cell>
          <cell r="D93" t="str">
            <v>토지</v>
          </cell>
          <cell r="E93">
            <v>109341994</v>
          </cell>
          <cell r="F93">
            <v>109341994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109341994</v>
          </cell>
        </row>
        <row r="94">
          <cell r="D94" t="str">
            <v>건물</v>
          </cell>
          <cell r="E94">
            <v>1034099859</v>
          </cell>
          <cell r="F94">
            <v>1034099859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1034099859</v>
          </cell>
        </row>
        <row r="95">
          <cell r="C95">
            <v>301100</v>
          </cell>
          <cell r="D95" t="str">
            <v>건물</v>
          </cell>
          <cell r="E95">
            <v>1034099859</v>
          </cell>
          <cell r="F95">
            <v>1034099859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1034099859</v>
          </cell>
        </row>
        <row r="96">
          <cell r="D96" t="str">
            <v>건물충당금</v>
          </cell>
          <cell r="E96">
            <v>-306063021</v>
          </cell>
          <cell r="F96">
            <v>-329453763</v>
          </cell>
          <cell r="G96">
            <v>0</v>
          </cell>
          <cell r="H96">
            <v>-2923843</v>
          </cell>
          <cell r="I96">
            <v>-2923843</v>
          </cell>
          <cell r="J96">
            <v>0</v>
          </cell>
          <cell r="K96">
            <v>-26314585</v>
          </cell>
          <cell r="L96">
            <v>-332377606</v>
          </cell>
        </row>
        <row r="97">
          <cell r="C97">
            <v>302100</v>
          </cell>
          <cell r="D97" t="str">
            <v>건물감가상각누계액</v>
          </cell>
          <cell r="E97">
            <v>-306063021</v>
          </cell>
          <cell r="F97">
            <v>-329453763</v>
          </cell>
          <cell r="G97">
            <v>0</v>
          </cell>
          <cell r="H97">
            <v>-2923843</v>
          </cell>
          <cell r="I97">
            <v>-2923843</v>
          </cell>
          <cell r="J97">
            <v>0</v>
          </cell>
          <cell r="K97">
            <v>-26314585</v>
          </cell>
          <cell r="L97">
            <v>-332377606</v>
          </cell>
        </row>
        <row r="98">
          <cell r="D98" t="str">
            <v>구축물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C99">
            <v>303100</v>
          </cell>
          <cell r="D99" t="str">
            <v>구축물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D100" t="str">
            <v>구축물충당금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C101">
            <v>304100</v>
          </cell>
          <cell r="D101" t="str">
            <v>구축물감가상각누계액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D102" t="str">
            <v>기계장치</v>
          </cell>
          <cell r="E102">
            <v>83021767775</v>
          </cell>
          <cell r="F102">
            <v>81786215813</v>
          </cell>
          <cell r="G102">
            <v>1513234000</v>
          </cell>
          <cell r="H102">
            <v>0</v>
          </cell>
          <cell r="I102">
            <v>1513234000</v>
          </cell>
          <cell r="J102">
            <v>2465730000</v>
          </cell>
          <cell r="K102">
            <v>-2188047962</v>
          </cell>
          <cell r="L102">
            <v>83299449813</v>
          </cell>
        </row>
        <row r="103">
          <cell r="C103">
            <v>305100</v>
          </cell>
          <cell r="D103" t="str">
            <v>기계장치</v>
          </cell>
          <cell r="E103">
            <v>83021767775</v>
          </cell>
          <cell r="F103">
            <v>81786215813</v>
          </cell>
          <cell r="G103">
            <v>1513234000</v>
          </cell>
          <cell r="H103">
            <v>0</v>
          </cell>
          <cell r="I103">
            <v>1513234000</v>
          </cell>
          <cell r="J103">
            <v>2465730000</v>
          </cell>
          <cell r="K103">
            <v>-2188047962</v>
          </cell>
          <cell r="L103">
            <v>83299449813</v>
          </cell>
        </row>
        <row r="104">
          <cell r="C104">
            <v>971330</v>
          </cell>
          <cell r="D104" t="str">
            <v>기계장치(BA조정)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D105" t="str">
            <v>기계장치충당금</v>
          </cell>
          <cell r="E105">
            <v>-58325952804</v>
          </cell>
          <cell r="F105">
            <v>-62259738315</v>
          </cell>
          <cell r="G105">
            <v>0</v>
          </cell>
          <cell r="H105">
            <v>-746133949</v>
          </cell>
          <cell r="I105">
            <v>-746133949</v>
          </cell>
          <cell r="J105">
            <v>2187962962</v>
          </cell>
          <cell r="K105">
            <v>-6867882422</v>
          </cell>
          <cell r="L105">
            <v>-63005872264</v>
          </cell>
        </row>
        <row r="106">
          <cell r="C106">
            <v>306100</v>
          </cell>
          <cell r="D106" t="str">
            <v>기계장치감가상각누계</v>
          </cell>
          <cell r="E106">
            <v>-58325952804</v>
          </cell>
          <cell r="F106">
            <v>-62259738315</v>
          </cell>
          <cell r="G106">
            <v>0</v>
          </cell>
          <cell r="H106">
            <v>-746133949</v>
          </cell>
          <cell r="I106">
            <v>-746133949</v>
          </cell>
          <cell r="J106">
            <v>2187962962</v>
          </cell>
          <cell r="K106">
            <v>-6867882422</v>
          </cell>
          <cell r="L106">
            <v>-63005872264</v>
          </cell>
        </row>
        <row r="107">
          <cell r="C107">
            <v>971331</v>
          </cell>
          <cell r="D107" t="str">
            <v>기계장치누계(BA조정)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D108" t="str">
            <v>복구충당자산</v>
          </cell>
          <cell r="E108">
            <v>1305783310</v>
          </cell>
          <cell r="F108">
            <v>1305783310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1305783310</v>
          </cell>
        </row>
        <row r="109">
          <cell r="C109">
            <v>308200</v>
          </cell>
          <cell r="D109" t="str">
            <v>복구충당자산_비품</v>
          </cell>
          <cell r="E109">
            <v>1305783310</v>
          </cell>
          <cell r="F109">
            <v>1305783310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1305783310</v>
          </cell>
        </row>
        <row r="110">
          <cell r="D110" t="str">
            <v>복구충당자산충당금</v>
          </cell>
          <cell r="E110">
            <v>-383471485</v>
          </cell>
          <cell r="F110">
            <v>-549171981</v>
          </cell>
          <cell r="G110">
            <v>0</v>
          </cell>
          <cell r="H110">
            <v>-20712562</v>
          </cell>
          <cell r="I110">
            <v>-20712562</v>
          </cell>
          <cell r="J110">
            <v>0</v>
          </cell>
          <cell r="K110">
            <v>-186413058</v>
          </cell>
          <cell r="L110">
            <v>-569884543</v>
          </cell>
        </row>
        <row r="111">
          <cell r="C111">
            <v>308210</v>
          </cell>
          <cell r="D111" t="str">
            <v>복구자산_비품_감누</v>
          </cell>
          <cell r="E111">
            <v>-383471485</v>
          </cell>
          <cell r="F111">
            <v>-549171981</v>
          </cell>
          <cell r="G111">
            <v>0</v>
          </cell>
          <cell r="H111">
            <v>-20712562</v>
          </cell>
          <cell r="I111">
            <v>-20712562</v>
          </cell>
          <cell r="J111">
            <v>0</v>
          </cell>
          <cell r="K111">
            <v>-186413058</v>
          </cell>
          <cell r="L111">
            <v>-569884543</v>
          </cell>
        </row>
        <row r="112">
          <cell r="D112" t="str">
            <v>사용권자산</v>
          </cell>
          <cell r="E112">
            <v>31931079517</v>
          </cell>
          <cell r="F112">
            <v>32747630685</v>
          </cell>
          <cell r="G112">
            <v>905508278</v>
          </cell>
          <cell r="H112">
            <v>-448539966</v>
          </cell>
          <cell r="I112">
            <v>456968312</v>
          </cell>
          <cell r="J112">
            <v>2493696886</v>
          </cell>
          <cell r="K112">
            <v>-1220177406</v>
          </cell>
          <cell r="L112">
            <v>33204598997</v>
          </cell>
        </row>
        <row r="113">
          <cell r="C113">
            <v>308300</v>
          </cell>
          <cell r="D113" t="str">
            <v>사용권자산-건물</v>
          </cell>
          <cell r="E113">
            <v>31616580297</v>
          </cell>
          <cell r="F113">
            <v>32144628882</v>
          </cell>
          <cell r="G113">
            <v>905508278</v>
          </cell>
          <cell r="H113">
            <v>-448539966</v>
          </cell>
          <cell r="I113">
            <v>456968312</v>
          </cell>
          <cell r="J113">
            <v>2205194303</v>
          </cell>
          <cell r="K113">
            <v>-1220177406</v>
          </cell>
          <cell r="L113">
            <v>32601597194</v>
          </cell>
        </row>
        <row r="114">
          <cell r="C114">
            <v>308400</v>
          </cell>
          <cell r="D114" t="str">
            <v>사용권자산-차량운반</v>
          </cell>
          <cell r="E114">
            <v>226479172</v>
          </cell>
          <cell r="F114">
            <v>514981755</v>
          </cell>
          <cell r="G114">
            <v>0</v>
          </cell>
          <cell r="H114">
            <v>0</v>
          </cell>
          <cell r="I114">
            <v>0</v>
          </cell>
          <cell r="J114">
            <v>288502583</v>
          </cell>
          <cell r="K114">
            <v>0</v>
          </cell>
          <cell r="L114">
            <v>514981755</v>
          </cell>
        </row>
        <row r="115">
          <cell r="C115">
            <v>308600</v>
          </cell>
          <cell r="D115" t="str">
            <v>사용권자산-비품</v>
          </cell>
          <cell r="E115">
            <v>88020048</v>
          </cell>
          <cell r="F115">
            <v>88020048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88020048</v>
          </cell>
        </row>
        <row r="116">
          <cell r="D116" t="str">
            <v>사용권자산 충당금</v>
          </cell>
          <cell r="E116">
            <v>-8931832178</v>
          </cell>
          <cell r="F116">
            <v>-16279132469</v>
          </cell>
          <cell r="G116">
            <v>239477603</v>
          </cell>
          <cell r="H116">
            <v>-995771279</v>
          </cell>
          <cell r="I116">
            <v>-756293676</v>
          </cell>
          <cell r="J116">
            <v>1843556239</v>
          </cell>
          <cell r="K116">
            <v>-9947150206</v>
          </cell>
          <cell r="L116">
            <v>-17035426145</v>
          </cell>
        </row>
        <row r="117">
          <cell r="C117">
            <v>308310</v>
          </cell>
          <cell r="D117" t="str">
            <v>사용권자산-건물감누</v>
          </cell>
          <cell r="E117">
            <v>-8801373142</v>
          </cell>
          <cell r="F117">
            <v>-16004380187</v>
          </cell>
          <cell r="G117">
            <v>239477603</v>
          </cell>
          <cell r="H117">
            <v>-976154469</v>
          </cell>
          <cell r="I117">
            <v>-736676866</v>
          </cell>
          <cell r="J117">
            <v>1843556239</v>
          </cell>
          <cell r="K117">
            <v>-9783240150</v>
          </cell>
          <cell r="L117">
            <v>-16741057053</v>
          </cell>
        </row>
        <row r="118">
          <cell r="C118">
            <v>308410</v>
          </cell>
          <cell r="D118" t="str">
            <v>사용권자산-차량감누</v>
          </cell>
          <cell r="E118">
            <v>-86449012</v>
          </cell>
          <cell r="F118">
            <v>-201402242</v>
          </cell>
          <cell r="G118">
            <v>0</v>
          </cell>
          <cell r="H118">
            <v>-15949308</v>
          </cell>
          <cell r="I118">
            <v>-15949308</v>
          </cell>
          <cell r="J118">
            <v>0</v>
          </cell>
          <cell r="K118">
            <v>-130902538</v>
          </cell>
          <cell r="L118">
            <v>-217351550</v>
          </cell>
        </row>
        <row r="119">
          <cell r="C119">
            <v>308610</v>
          </cell>
          <cell r="D119" t="str">
            <v>사용권자산-비품감누</v>
          </cell>
          <cell r="E119">
            <v>-44010024</v>
          </cell>
          <cell r="F119">
            <v>-73350040</v>
          </cell>
          <cell r="G119">
            <v>0</v>
          </cell>
          <cell r="H119">
            <v>-3667502</v>
          </cell>
          <cell r="I119">
            <v>-3667502</v>
          </cell>
          <cell r="J119">
            <v>0</v>
          </cell>
          <cell r="K119">
            <v>-33007518</v>
          </cell>
          <cell r="L119">
            <v>-77017542</v>
          </cell>
        </row>
        <row r="120">
          <cell r="D120" t="str">
            <v>기타유형고정자산</v>
          </cell>
          <cell r="E120">
            <v>13109367275</v>
          </cell>
          <cell r="F120">
            <v>12764544311</v>
          </cell>
          <cell r="G120">
            <v>407293700</v>
          </cell>
          <cell r="H120">
            <v>0</v>
          </cell>
          <cell r="I120">
            <v>407293700</v>
          </cell>
          <cell r="J120">
            <v>1223412607</v>
          </cell>
          <cell r="K120">
            <v>-1160941871</v>
          </cell>
          <cell r="L120">
            <v>13171838011</v>
          </cell>
        </row>
        <row r="121">
          <cell r="C121">
            <v>311100</v>
          </cell>
          <cell r="D121" t="str">
            <v>비품</v>
          </cell>
          <cell r="E121">
            <v>13038179275</v>
          </cell>
          <cell r="F121">
            <v>12993356311</v>
          </cell>
          <cell r="G121">
            <v>407293700</v>
          </cell>
          <cell r="H121">
            <v>0</v>
          </cell>
          <cell r="I121">
            <v>407293700</v>
          </cell>
          <cell r="J121">
            <v>1223412607</v>
          </cell>
          <cell r="K121">
            <v>-860941871</v>
          </cell>
          <cell r="L121">
            <v>13400650011</v>
          </cell>
        </row>
        <row r="122">
          <cell r="C122">
            <v>311102</v>
          </cell>
          <cell r="D122" t="str">
            <v>비품 정부보조금</v>
          </cell>
          <cell r="E122">
            <v>0</v>
          </cell>
          <cell r="F122">
            <v>-300000000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-300000000</v>
          </cell>
          <cell r="L122">
            <v>-300000000</v>
          </cell>
        </row>
        <row r="123">
          <cell r="C123">
            <v>313100</v>
          </cell>
          <cell r="D123" t="str">
            <v>기타유형자산</v>
          </cell>
          <cell r="E123">
            <v>71188000</v>
          </cell>
          <cell r="F123">
            <v>71188000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71188000</v>
          </cell>
        </row>
        <row r="124">
          <cell r="C124">
            <v>971360</v>
          </cell>
          <cell r="D124" t="str">
            <v>비품(BA조정)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D125" t="str">
            <v>기타유형고정자산충당금</v>
          </cell>
          <cell r="E125">
            <v>-8179813681</v>
          </cell>
          <cell r="F125">
            <v>-9169340358</v>
          </cell>
          <cell r="G125">
            <v>6250000</v>
          </cell>
          <cell r="H125">
            <v>-215490076</v>
          </cell>
          <cell r="I125">
            <v>-209240076</v>
          </cell>
          <cell r="J125">
            <v>894602419</v>
          </cell>
          <cell r="K125">
            <v>-2093369172</v>
          </cell>
          <cell r="L125">
            <v>-9378580434</v>
          </cell>
        </row>
        <row r="126">
          <cell r="C126">
            <v>312100</v>
          </cell>
          <cell r="D126" t="str">
            <v>비품감가상각누계액</v>
          </cell>
          <cell r="E126">
            <v>-8108637681</v>
          </cell>
          <cell r="F126">
            <v>-9135664358</v>
          </cell>
          <cell r="G126">
            <v>0</v>
          </cell>
          <cell r="H126">
            <v>-215490076</v>
          </cell>
          <cell r="I126">
            <v>-215490076</v>
          </cell>
          <cell r="J126">
            <v>850852419</v>
          </cell>
          <cell r="K126">
            <v>-2093369172</v>
          </cell>
          <cell r="L126">
            <v>-9351154434</v>
          </cell>
        </row>
        <row r="127">
          <cell r="C127">
            <v>312101</v>
          </cell>
          <cell r="D127" t="str">
            <v>비품 정부보조금 감누</v>
          </cell>
          <cell r="E127">
            <v>0</v>
          </cell>
          <cell r="F127">
            <v>37500000</v>
          </cell>
          <cell r="G127">
            <v>6250000</v>
          </cell>
          <cell r="H127">
            <v>0</v>
          </cell>
          <cell r="I127">
            <v>6250000</v>
          </cell>
          <cell r="J127">
            <v>43750000</v>
          </cell>
          <cell r="K127">
            <v>0</v>
          </cell>
          <cell r="L127">
            <v>43750000</v>
          </cell>
        </row>
        <row r="128">
          <cell r="C128">
            <v>314100</v>
          </cell>
          <cell r="D128" t="str">
            <v>기타유형자산감가상각</v>
          </cell>
          <cell r="E128">
            <v>-71176000</v>
          </cell>
          <cell r="F128">
            <v>-71176000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-71176000</v>
          </cell>
        </row>
        <row r="129">
          <cell r="C129">
            <v>971361</v>
          </cell>
          <cell r="D129" t="str">
            <v>비품누계(BA조정)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D130" t="str">
            <v>산업재산권</v>
          </cell>
          <cell r="E130">
            <v>541614840</v>
          </cell>
          <cell r="F130">
            <v>671008900</v>
          </cell>
          <cell r="G130">
            <v>0</v>
          </cell>
          <cell r="H130">
            <v>-17809247</v>
          </cell>
          <cell r="I130">
            <v>-17809247</v>
          </cell>
          <cell r="J130">
            <v>276515480</v>
          </cell>
          <cell r="K130">
            <v>-164930667</v>
          </cell>
          <cell r="L130">
            <v>653199653</v>
          </cell>
        </row>
        <row r="131">
          <cell r="C131">
            <v>320200</v>
          </cell>
          <cell r="D131" t="str">
            <v>산업재산권</v>
          </cell>
          <cell r="E131">
            <v>541614840</v>
          </cell>
          <cell r="F131">
            <v>671008900</v>
          </cell>
          <cell r="G131">
            <v>0</v>
          </cell>
          <cell r="H131">
            <v>-17809247</v>
          </cell>
          <cell r="I131">
            <v>-17809247</v>
          </cell>
          <cell r="J131">
            <v>276515480</v>
          </cell>
          <cell r="K131">
            <v>-164930667</v>
          </cell>
          <cell r="L131">
            <v>653199653</v>
          </cell>
        </row>
        <row r="132">
          <cell r="D132" t="str">
            <v>고객관계무형자산</v>
          </cell>
          <cell r="E132">
            <v>382514727</v>
          </cell>
          <cell r="F132">
            <v>236794831</v>
          </cell>
          <cell r="G132">
            <v>0</v>
          </cell>
          <cell r="H132">
            <v>-18214987</v>
          </cell>
          <cell r="I132">
            <v>-18214987</v>
          </cell>
          <cell r="J132">
            <v>0</v>
          </cell>
          <cell r="K132">
            <v>-163934883</v>
          </cell>
          <cell r="L132">
            <v>218579844</v>
          </cell>
        </row>
        <row r="133">
          <cell r="C133">
            <v>320300</v>
          </cell>
          <cell r="D133" t="str">
            <v>고객관계무형자산</v>
          </cell>
          <cell r="E133">
            <v>382514727</v>
          </cell>
          <cell r="F133">
            <v>236794831</v>
          </cell>
          <cell r="G133">
            <v>0</v>
          </cell>
          <cell r="H133">
            <v>-18214987</v>
          </cell>
          <cell r="I133">
            <v>-18214987</v>
          </cell>
          <cell r="J133">
            <v>0</v>
          </cell>
          <cell r="K133">
            <v>-163934883</v>
          </cell>
          <cell r="L133">
            <v>218579844</v>
          </cell>
        </row>
        <row r="134">
          <cell r="D134" t="str">
            <v>기타의 무형자산</v>
          </cell>
          <cell r="E134">
            <v>1811708524</v>
          </cell>
          <cell r="F134">
            <v>1772784324</v>
          </cell>
          <cell r="G134">
            <v>0</v>
          </cell>
          <cell r="H134">
            <v>-200000</v>
          </cell>
          <cell r="I134">
            <v>-200000</v>
          </cell>
          <cell r="J134">
            <v>0</v>
          </cell>
          <cell r="K134">
            <v>-39124200</v>
          </cell>
          <cell r="L134">
            <v>1772584324</v>
          </cell>
        </row>
        <row r="135">
          <cell r="C135">
            <v>320310</v>
          </cell>
          <cell r="D135" t="str">
            <v>고객관계상각누계액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C136">
            <v>320810</v>
          </cell>
          <cell r="D136" t="str">
            <v>무형자산_회원권</v>
          </cell>
          <cell r="E136">
            <v>1809441524</v>
          </cell>
          <cell r="F136">
            <v>1772117324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-37324200</v>
          </cell>
          <cell r="L136">
            <v>1772117324</v>
          </cell>
        </row>
        <row r="137">
          <cell r="C137">
            <v>321100</v>
          </cell>
          <cell r="D137" t="str">
            <v>기타영업권</v>
          </cell>
          <cell r="E137">
            <v>2267000</v>
          </cell>
          <cell r="F137">
            <v>667000</v>
          </cell>
          <cell r="G137">
            <v>0</v>
          </cell>
          <cell r="H137">
            <v>-200000</v>
          </cell>
          <cell r="I137">
            <v>-200000</v>
          </cell>
          <cell r="J137">
            <v>0</v>
          </cell>
          <cell r="K137">
            <v>-1800000</v>
          </cell>
          <cell r="L137">
            <v>467000</v>
          </cell>
        </row>
        <row r="138">
          <cell r="D138" t="str">
            <v>컴퓨터소프트웨어</v>
          </cell>
          <cell r="E138">
            <v>24488185977</v>
          </cell>
          <cell r="F138">
            <v>23569384996</v>
          </cell>
          <cell r="G138">
            <v>394358667</v>
          </cell>
          <cell r="H138">
            <v>-839044554</v>
          </cell>
          <cell r="I138">
            <v>-444685887</v>
          </cell>
          <cell r="J138">
            <v>6605213406</v>
          </cell>
          <cell r="K138">
            <v>-7968700274</v>
          </cell>
          <cell r="L138">
            <v>23124699109</v>
          </cell>
        </row>
        <row r="139">
          <cell r="C139">
            <v>321900</v>
          </cell>
          <cell r="D139" t="str">
            <v>컴퓨터소프트웨어</v>
          </cell>
          <cell r="E139">
            <v>24488185977</v>
          </cell>
          <cell r="F139">
            <v>23569384996</v>
          </cell>
          <cell r="G139">
            <v>394358667</v>
          </cell>
          <cell r="H139">
            <v>-839044554</v>
          </cell>
          <cell r="I139">
            <v>-444685887</v>
          </cell>
          <cell r="J139">
            <v>6605213406</v>
          </cell>
          <cell r="K139">
            <v>-7968700274</v>
          </cell>
          <cell r="L139">
            <v>23124699109</v>
          </cell>
        </row>
        <row r="140">
          <cell r="C140">
            <v>971420</v>
          </cell>
          <cell r="D140" t="str">
            <v>소프트웨어(BA조정)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D141" t="str">
            <v>건설중인 자산</v>
          </cell>
          <cell r="E141">
            <v>4825888235</v>
          </cell>
          <cell r="F141">
            <v>2124542909</v>
          </cell>
          <cell r="G141">
            <v>494767796</v>
          </cell>
          <cell r="H141">
            <v>-700677766</v>
          </cell>
          <cell r="I141">
            <v>-205909970</v>
          </cell>
          <cell r="J141">
            <v>3329304937</v>
          </cell>
          <cell r="K141">
            <v>-6236560233</v>
          </cell>
          <cell r="L141">
            <v>1918632939</v>
          </cell>
        </row>
        <row r="142">
          <cell r="C142">
            <v>336100</v>
          </cell>
          <cell r="D142" t="str">
            <v>비품건자</v>
          </cell>
          <cell r="E142">
            <v>5095888235</v>
          </cell>
          <cell r="F142">
            <v>2124542909</v>
          </cell>
          <cell r="G142">
            <v>494767796</v>
          </cell>
          <cell r="H142">
            <v>-700677766</v>
          </cell>
          <cell r="I142">
            <v>-205909970</v>
          </cell>
          <cell r="J142">
            <v>3059304937</v>
          </cell>
          <cell r="K142">
            <v>-6236560233</v>
          </cell>
          <cell r="L142">
            <v>1918632939</v>
          </cell>
        </row>
        <row r="143">
          <cell r="C143">
            <v>336110</v>
          </cell>
          <cell r="D143" t="str">
            <v>건자 정부보조금</v>
          </cell>
          <cell r="E143">
            <v>-270000000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270000000</v>
          </cell>
          <cell r="K143">
            <v>0</v>
          </cell>
          <cell r="L143">
            <v>0</v>
          </cell>
        </row>
        <row r="144">
          <cell r="D144" t="str">
            <v>부채</v>
          </cell>
          <cell r="E144">
            <v>-446432363437</v>
          </cell>
          <cell r="F144">
            <v>-517786057479</v>
          </cell>
          <cell r="G144">
            <v>3471581346186</v>
          </cell>
          <cell r="H144">
            <v>-3440605088887</v>
          </cell>
          <cell r="I144">
            <v>30976257299</v>
          </cell>
          <cell r="J144">
            <v>29139406314192</v>
          </cell>
          <cell r="K144">
            <v>-29179783750935</v>
          </cell>
          <cell r="L144">
            <v>-486809800180</v>
          </cell>
        </row>
        <row r="145">
          <cell r="D145" t="str">
            <v>미지급금</v>
          </cell>
          <cell r="E145">
            <v>-69833691044</v>
          </cell>
          <cell r="F145">
            <v>-103835139963</v>
          </cell>
          <cell r="G145">
            <v>1998400076518</v>
          </cell>
          <cell r="H145">
            <v>-1982741901937</v>
          </cell>
          <cell r="I145">
            <v>15658174581</v>
          </cell>
          <cell r="J145">
            <v>16359250131123</v>
          </cell>
          <cell r="K145">
            <v>-16377593405461</v>
          </cell>
          <cell r="L145">
            <v>-88176965382</v>
          </cell>
        </row>
        <row r="146">
          <cell r="C146">
            <v>404100</v>
          </cell>
          <cell r="D146" t="str">
            <v>미지급금</v>
          </cell>
          <cell r="E146">
            <v>-35716551487</v>
          </cell>
          <cell r="F146">
            <v>-34738746120</v>
          </cell>
          <cell r="G146">
            <v>1764752868265</v>
          </cell>
          <cell r="H146">
            <v>-1772439401731</v>
          </cell>
          <cell r="I146">
            <v>-7686533466</v>
          </cell>
          <cell r="J146">
            <v>14471525712358</v>
          </cell>
          <cell r="K146">
            <v>-14478234440457</v>
          </cell>
          <cell r="L146">
            <v>-42425279586</v>
          </cell>
        </row>
        <row r="147">
          <cell r="C147">
            <v>404103</v>
          </cell>
          <cell r="D147" t="str">
            <v>미지급금-Clearing</v>
          </cell>
          <cell r="E147">
            <v>-16706216727</v>
          </cell>
          <cell r="F147">
            <v>-52441934224</v>
          </cell>
          <cell r="G147">
            <v>231989745067</v>
          </cell>
          <cell r="H147">
            <v>-205837002915</v>
          </cell>
          <cell r="I147">
            <v>26152742152</v>
          </cell>
          <cell r="J147">
            <v>1865690642214</v>
          </cell>
          <cell r="K147">
            <v>-1875273617559</v>
          </cell>
          <cell r="L147">
            <v>-26289192072</v>
          </cell>
        </row>
        <row r="148">
          <cell r="C148">
            <v>404104</v>
          </cell>
          <cell r="D148" t="str">
            <v>미지급금-셀러지급보</v>
          </cell>
          <cell r="E148">
            <v>-8495939103</v>
          </cell>
          <cell r="F148">
            <v>-9950067051</v>
          </cell>
          <cell r="G148">
            <v>615150924</v>
          </cell>
          <cell r="H148">
            <v>-719335485</v>
          </cell>
          <cell r="I148">
            <v>-104184561</v>
          </cell>
          <cell r="J148">
            <v>7424381450</v>
          </cell>
          <cell r="K148">
            <v>-8982693959</v>
          </cell>
          <cell r="L148">
            <v>-10054251612</v>
          </cell>
        </row>
        <row r="149">
          <cell r="C149">
            <v>404200</v>
          </cell>
          <cell r="D149" t="str">
            <v>외화미지급금</v>
          </cell>
          <cell r="E149">
            <v>-52696030</v>
          </cell>
          <cell r="F149">
            <v>-39805733</v>
          </cell>
          <cell r="G149">
            <v>5809360</v>
          </cell>
          <cell r="H149">
            <v>-7159357</v>
          </cell>
          <cell r="I149">
            <v>-1349997</v>
          </cell>
          <cell r="J149">
            <v>378876755</v>
          </cell>
          <cell r="K149">
            <v>-367336455</v>
          </cell>
          <cell r="L149">
            <v>-41155730</v>
          </cell>
        </row>
        <row r="150">
          <cell r="C150">
            <v>404290</v>
          </cell>
          <cell r="D150" t="str">
            <v>외화미지급환산조정</v>
          </cell>
          <cell r="E150">
            <v>-1761464</v>
          </cell>
          <cell r="F150">
            <v>-1761464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-1761464</v>
          </cell>
        </row>
        <row r="151">
          <cell r="C151">
            <v>404300</v>
          </cell>
          <cell r="D151" t="str">
            <v>카드미지급금</v>
          </cell>
          <cell r="E151">
            <v>-730299262</v>
          </cell>
          <cell r="F151">
            <v>-245933217</v>
          </cell>
          <cell r="G151">
            <v>530609792</v>
          </cell>
          <cell r="H151">
            <v>-751143702</v>
          </cell>
          <cell r="I151">
            <v>-220533910</v>
          </cell>
          <cell r="J151">
            <v>4945056886</v>
          </cell>
          <cell r="K151">
            <v>-4681224751</v>
          </cell>
          <cell r="L151">
            <v>-466467127</v>
          </cell>
        </row>
        <row r="152">
          <cell r="C152">
            <v>405100</v>
          </cell>
          <cell r="D152" t="str">
            <v>미지급배당금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5000000000</v>
          </cell>
          <cell r="K152">
            <v>-5000000000</v>
          </cell>
          <cell r="L152">
            <v>0</v>
          </cell>
        </row>
        <row r="153">
          <cell r="C153">
            <v>405510</v>
          </cell>
          <cell r="D153" t="str">
            <v>기타미지급금-건강</v>
          </cell>
          <cell r="E153">
            <v>-407957370</v>
          </cell>
          <cell r="F153">
            <v>-463983720</v>
          </cell>
          <cell r="G153">
            <v>505893110</v>
          </cell>
          <cell r="H153">
            <v>-519051210</v>
          </cell>
          <cell r="I153">
            <v>-13158100</v>
          </cell>
          <cell r="J153">
            <v>4285461460</v>
          </cell>
          <cell r="K153">
            <v>-4354645910</v>
          </cell>
          <cell r="L153">
            <v>-477141820</v>
          </cell>
        </row>
        <row r="154">
          <cell r="C154">
            <v>405530</v>
          </cell>
          <cell r="D154" t="str">
            <v>기타미지급금-부가세</v>
          </cell>
          <cell r="E154">
            <v>-7722269601</v>
          </cell>
          <cell r="F154">
            <v>-5952908434</v>
          </cell>
          <cell r="G154">
            <v>0</v>
          </cell>
          <cell r="H154">
            <v>-2468807537</v>
          </cell>
          <cell r="I154">
            <v>-2468807537</v>
          </cell>
          <cell r="J154">
            <v>0</v>
          </cell>
          <cell r="K154">
            <v>-699446370</v>
          </cell>
          <cell r="L154">
            <v>-8421715971</v>
          </cell>
        </row>
        <row r="155">
          <cell r="D155" t="str">
            <v>미지급비용</v>
          </cell>
          <cell r="E155">
            <v>-29402938914</v>
          </cell>
          <cell r="F155">
            <v>-44446652058</v>
          </cell>
          <cell r="G155">
            <v>8786553601</v>
          </cell>
          <cell r="H155">
            <v>-2186693924</v>
          </cell>
          <cell r="I155">
            <v>6599859677</v>
          </cell>
          <cell r="J155">
            <v>45345801209</v>
          </cell>
          <cell r="K155">
            <v>-53789654676</v>
          </cell>
          <cell r="L155">
            <v>-37846792381</v>
          </cell>
        </row>
        <row r="156">
          <cell r="C156">
            <v>406100</v>
          </cell>
          <cell r="D156" t="str">
            <v>미지급비용</v>
          </cell>
          <cell r="E156">
            <v>-19212780634</v>
          </cell>
          <cell r="F156">
            <v>-33909076973</v>
          </cell>
          <cell r="G156">
            <v>3198978516</v>
          </cell>
          <cell r="H156">
            <v>4636359474</v>
          </cell>
          <cell r="I156">
            <v>7835337990</v>
          </cell>
          <cell r="J156">
            <v>6607682167</v>
          </cell>
          <cell r="K156">
            <v>-13468640516</v>
          </cell>
          <cell r="L156">
            <v>-26073738983</v>
          </cell>
        </row>
        <row r="157">
          <cell r="C157">
            <v>406110</v>
          </cell>
          <cell r="D157" t="str">
            <v>미지급비용_연월차</v>
          </cell>
          <cell r="E157">
            <v>-3939858230</v>
          </cell>
          <cell r="F157">
            <v>-5587575085</v>
          </cell>
          <cell r="G157">
            <v>5587575085</v>
          </cell>
          <cell r="H157">
            <v>-5723053398</v>
          </cell>
          <cell r="I157">
            <v>-135478313</v>
          </cell>
          <cell r="J157">
            <v>38738119042</v>
          </cell>
          <cell r="K157">
            <v>-40521314210</v>
          </cell>
          <cell r="L157">
            <v>-5723053398</v>
          </cell>
        </row>
        <row r="158">
          <cell r="C158">
            <v>406120</v>
          </cell>
          <cell r="D158" t="str">
            <v>미지급비용_IB</v>
          </cell>
          <cell r="E158">
            <v>-6250300050</v>
          </cell>
          <cell r="F158">
            <v>-4950000000</v>
          </cell>
          <cell r="G158">
            <v>0</v>
          </cell>
          <cell r="H158">
            <v>-1100000000</v>
          </cell>
          <cell r="I158">
            <v>-1100000000</v>
          </cell>
          <cell r="J158">
            <v>0</v>
          </cell>
          <cell r="K158">
            <v>200300050</v>
          </cell>
          <cell r="L158">
            <v>-6050000000</v>
          </cell>
        </row>
        <row r="159">
          <cell r="D159" t="str">
            <v>예수금</v>
          </cell>
          <cell r="E159">
            <v>-308325093314</v>
          </cell>
          <cell r="F159">
            <v>-334089572795</v>
          </cell>
          <cell r="G159">
            <v>825025740970</v>
          </cell>
          <cell r="H159">
            <v>-815756365332</v>
          </cell>
          <cell r="I159">
            <v>9269375638</v>
          </cell>
          <cell r="J159">
            <v>7130931801546</v>
          </cell>
          <cell r="K159">
            <v>-7147426905389</v>
          </cell>
          <cell r="L159">
            <v>-324820197157</v>
          </cell>
        </row>
        <row r="160">
          <cell r="C160">
            <v>411100</v>
          </cell>
          <cell r="D160" t="str">
            <v>예수소득세-기타소득</v>
          </cell>
          <cell r="E160">
            <v>-384000</v>
          </cell>
          <cell r="F160">
            <v>0</v>
          </cell>
          <cell r="G160">
            <v>0</v>
          </cell>
          <cell r="H160">
            <v>-96000</v>
          </cell>
          <cell r="I160">
            <v>-96000</v>
          </cell>
          <cell r="J160">
            <v>3562170</v>
          </cell>
          <cell r="K160">
            <v>-3274170</v>
          </cell>
          <cell r="L160">
            <v>-96000</v>
          </cell>
        </row>
        <row r="161">
          <cell r="C161">
            <v>411110</v>
          </cell>
          <cell r="D161" t="str">
            <v>예수소득세-사업소득</v>
          </cell>
          <cell r="E161">
            <v>-3000</v>
          </cell>
          <cell r="F161">
            <v>-102000</v>
          </cell>
          <cell r="G161">
            <v>102000</v>
          </cell>
          <cell r="H161">
            <v>-10500</v>
          </cell>
          <cell r="I161">
            <v>91500</v>
          </cell>
          <cell r="J161">
            <v>1183500</v>
          </cell>
          <cell r="K161">
            <v>-1191000</v>
          </cell>
          <cell r="L161">
            <v>-10500</v>
          </cell>
        </row>
        <row r="162">
          <cell r="C162">
            <v>411120</v>
          </cell>
          <cell r="D162" t="str">
            <v>예수소득세-퇴직소득</v>
          </cell>
          <cell r="E162">
            <v>0</v>
          </cell>
          <cell r="F162">
            <v>0</v>
          </cell>
          <cell r="G162">
            <v>10722010</v>
          </cell>
          <cell r="H162">
            <v>-10722010</v>
          </cell>
          <cell r="I162">
            <v>0</v>
          </cell>
          <cell r="J162">
            <v>121443400</v>
          </cell>
          <cell r="K162">
            <v>-121443400</v>
          </cell>
          <cell r="L162">
            <v>0</v>
          </cell>
        </row>
        <row r="163">
          <cell r="C163">
            <v>411130</v>
          </cell>
          <cell r="D163" t="str">
            <v>예수소득세-근로소득</v>
          </cell>
          <cell r="E163">
            <v>-712652540</v>
          </cell>
          <cell r="F163">
            <v>-795725430</v>
          </cell>
          <cell r="G163">
            <v>806439120</v>
          </cell>
          <cell r="H163">
            <v>-678924900</v>
          </cell>
          <cell r="I163">
            <v>127514220</v>
          </cell>
          <cell r="J163">
            <v>7279047180</v>
          </cell>
          <cell r="K163">
            <v>-7234605850</v>
          </cell>
          <cell r="L163">
            <v>-668211210</v>
          </cell>
        </row>
        <row r="164">
          <cell r="C164">
            <v>411170</v>
          </cell>
          <cell r="D164" t="str">
            <v>예수소득세-비거주자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624553</v>
          </cell>
          <cell r="K164">
            <v>-624553</v>
          </cell>
          <cell r="L164">
            <v>0</v>
          </cell>
        </row>
        <row r="165">
          <cell r="C165">
            <v>411180</v>
          </cell>
          <cell r="D165" t="str">
            <v>예수소득세-다량기타</v>
          </cell>
          <cell r="E165">
            <v>-5301930</v>
          </cell>
          <cell r="F165">
            <v>-4461520</v>
          </cell>
          <cell r="G165">
            <v>4461520</v>
          </cell>
          <cell r="H165">
            <v>-4166630</v>
          </cell>
          <cell r="I165">
            <v>294890</v>
          </cell>
          <cell r="J165">
            <v>26349520</v>
          </cell>
          <cell r="K165">
            <v>-25214220</v>
          </cell>
          <cell r="L165">
            <v>-4166630</v>
          </cell>
        </row>
        <row r="166">
          <cell r="C166">
            <v>411190</v>
          </cell>
          <cell r="D166" t="str">
            <v>예수소득세-다량사업</v>
          </cell>
          <cell r="E166">
            <v>-198430</v>
          </cell>
          <cell r="F166">
            <v>-220190</v>
          </cell>
          <cell r="G166">
            <v>220190</v>
          </cell>
          <cell r="H166">
            <v>-379920</v>
          </cell>
          <cell r="I166">
            <v>-159730</v>
          </cell>
          <cell r="J166">
            <v>1454320</v>
          </cell>
          <cell r="K166">
            <v>-1635810</v>
          </cell>
          <cell r="L166">
            <v>-379920</v>
          </cell>
        </row>
        <row r="167">
          <cell r="C167">
            <v>411200</v>
          </cell>
          <cell r="D167" t="str">
            <v>예수주민세</v>
          </cell>
          <cell r="E167">
            <v>-71849350</v>
          </cell>
          <cell r="F167">
            <v>-80047100</v>
          </cell>
          <cell r="G167">
            <v>82190230</v>
          </cell>
          <cell r="H167">
            <v>-69425060</v>
          </cell>
          <cell r="I167">
            <v>12765170</v>
          </cell>
          <cell r="J167">
            <v>743046183</v>
          </cell>
          <cell r="K167">
            <v>-738478763</v>
          </cell>
          <cell r="L167">
            <v>-67281930</v>
          </cell>
        </row>
        <row r="168">
          <cell r="C168">
            <v>420201</v>
          </cell>
          <cell r="D168" t="str">
            <v>예수금-국민연금</v>
          </cell>
          <cell r="E168">
            <v>-195593570</v>
          </cell>
          <cell r="F168">
            <v>-215693000</v>
          </cell>
          <cell r="G168">
            <v>215805820</v>
          </cell>
          <cell r="H168">
            <v>-217748460</v>
          </cell>
          <cell r="I168">
            <v>-1942640</v>
          </cell>
          <cell r="J168">
            <v>1839229790</v>
          </cell>
          <cell r="K168">
            <v>-1861271860</v>
          </cell>
          <cell r="L168">
            <v>-217635640</v>
          </cell>
        </row>
        <row r="169">
          <cell r="C169">
            <v>420202</v>
          </cell>
          <cell r="D169" t="str">
            <v>예수금-건강보험</v>
          </cell>
          <cell r="E169">
            <v>-212384600</v>
          </cell>
          <cell r="F169">
            <v>-248290720</v>
          </cell>
          <cell r="G169">
            <v>248487870</v>
          </cell>
          <cell r="H169">
            <v>-259703330</v>
          </cell>
          <cell r="I169">
            <v>-11215460</v>
          </cell>
          <cell r="J169">
            <v>2160339140</v>
          </cell>
          <cell r="K169">
            <v>-2207460720</v>
          </cell>
          <cell r="L169">
            <v>-259506180</v>
          </cell>
        </row>
        <row r="170">
          <cell r="C170">
            <v>420203</v>
          </cell>
          <cell r="D170" t="str">
            <v>예수금-고용보험</v>
          </cell>
          <cell r="E170">
            <v>-46359110</v>
          </cell>
          <cell r="F170">
            <v>-53604530</v>
          </cell>
          <cell r="G170">
            <v>53604750</v>
          </cell>
          <cell r="H170">
            <v>-51025760</v>
          </cell>
          <cell r="I170">
            <v>2578990</v>
          </cell>
          <cell r="J170">
            <v>471614650</v>
          </cell>
          <cell r="K170">
            <v>-476281080</v>
          </cell>
          <cell r="L170">
            <v>-51025540</v>
          </cell>
        </row>
        <row r="171">
          <cell r="C171">
            <v>420230</v>
          </cell>
          <cell r="D171" t="str">
            <v>11PayPoint_유상</v>
          </cell>
          <cell r="E171">
            <v>-470194663</v>
          </cell>
          <cell r="F171">
            <v>-1898376924</v>
          </cell>
          <cell r="G171">
            <v>824452474</v>
          </cell>
          <cell r="H171">
            <v>-4702310132</v>
          </cell>
          <cell r="I171">
            <v>-3877857658</v>
          </cell>
          <cell r="J171">
            <v>3809426212</v>
          </cell>
          <cell r="K171">
            <v>-9115466131</v>
          </cell>
          <cell r="L171">
            <v>-5776234582</v>
          </cell>
        </row>
        <row r="172">
          <cell r="C172">
            <v>420240</v>
          </cell>
          <cell r="D172" t="str">
            <v>11PayPoint_무상</v>
          </cell>
          <cell r="E172">
            <v>-9146723008</v>
          </cell>
          <cell r="F172">
            <v>-9005624024</v>
          </cell>
          <cell r="G172">
            <v>3723462855</v>
          </cell>
          <cell r="H172">
            <v>-4352713427</v>
          </cell>
          <cell r="I172">
            <v>-629250572</v>
          </cell>
          <cell r="J172">
            <v>37986893724</v>
          </cell>
          <cell r="K172">
            <v>-38475045312</v>
          </cell>
          <cell r="L172">
            <v>-9634874596</v>
          </cell>
        </row>
        <row r="173">
          <cell r="C173">
            <v>420250</v>
          </cell>
          <cell r="D173" t="str">
            <v>예수금-쇼핑몰</v>
          </cell>
          <cell r="E173">
            <v>-170378479836</v>
          </cell>
          <cell r="F173">
            <v>-207835308189</v>
          </cell>
          <cell r="G173">
            <v>588263424222</v>
          </cell>
          <cell r="H173">
            <v>-546944985401</v>
          </cell>
          <cell r="I173">
            <v>41318438821</v>
          </cell>
          <cell r="J173">
            <v>4985806478122</v>
          </cell>
          <cell r="K173">
            <v>-4981944867654</v>
          </cell>
          <cell r="L173">
            <v>-166516869368</v>
          </cell>
        </row>
        <row r="174">
          <cell r="C174">
            <v>420251</v>
          </cell>
          <cell r="D174" t="str">
            <v>예수금11번가-수수료</v>
          </cell>
          <cell r="E174">
            <v>-243600003</v>
          </cell>
          <cell r="F174">
            <v>-246000425</v>
          </cell>
          <cell r="G174">
            <v>1038820111</v>
          </cell>
          <cell r="H174">
            <v>-1045725227</v>
          </cell>
          <cell r="I174">
            <v>-6905116</v>
          </cell>
          <cell r="J174">
            <v>9130100316</v>
          </cell>
          <cell r="K174">
            <v>-9139405854</v>
          </cell>
          <cell r="L174">
            <v>-252905541</v>
          </cell>
        </row>
        <row r="175">
          <cell r="C175">
            <v>420260</v>
          </cell>
          <cell r="D175" t="str">
            <v>예수금-전자화폐</v>
          </cell>
          <cell r="E175">
            <v>-86456594167</v>
          </cell>
          <cell r="F175">
            <v>-90800544939</v>
          </cell>
          <cell r="G175">
            <v>126680190622</v>
          </cell>
          <cell r="H175">
            <v>-126386218033</v>
          </cell>
          <cell r="I175">
            <v>293972589</v>
          </cell>
          <cell r="J175">
            <v>1156174537573</v>
          </cell>
          <cell r="K175">
            <v>-1160224515756</v>
          </cell>
          <cell r="L175">
            <v>-90506572350</v>
          </cell>
        </row>
        <row r="176">
          <cell r="C176">
            <v>420270</v>
          </cell>
          <cell r="D176" t="str">
            <v>예수금-마일리지</v>
          </cell>
          <cell r="E176">
            <v>-2780890246</v>
          </cell>
          <cell r="F176">
            <v>-2768302822</v>
          </cell>
          <cell r="G176">
            <v>2495958135</v>
          </cell>
          <cell r="H176">
            <v>-2620332755</v>
          </cell>
          <cell r="I176">
            <v>-124374620</v>
          </cell>
          <cell r="J176">
            <v>23490049168</v>
          </cell>
          <cell r="K176">
            <v>-23601836364</v>
          </cell>
          <cell r="L176">
            <v>-2892677442</v>
          </cell>
        </row>
        <row r="177">
          <cell r="C177">
            <v>420271</v>
          </cell>
          <cell r="D177" t="str">
            <v>예수금-11번가쿠폰</v>
          </cell>
          <cell r="E177">
            <v>-2494497081</v>
          </cell>
          <cell r="F177">
            <v>-1326059552</v>
          </cell>
          <cell r="G177">
            <v>1690397366</v>
          </cell>
          <cell r="H177">
            <v>-2179027467</v>
          </cell>
          <cell r="I177">
            <v>-488630101</v>
          </cell>
          <cell r="J177">
            <v>12360125285</v>
          </cell>
          <cell r="K177">
            <v>-11680317857</v>
          </cell>
          <cell r="L177">
            <v>-1814689653</v>
          </cell>
        </row>
        <row r="178">
          <cell r="C178">
            <v>420288</v>
          </cell>
          <cell r="D178" t="str">
            <v>예수금-기프티콘</v>
          </cell>
          <cell r="E178">
            <v>-21390223585</v>
          </cell>
          <cell r="F178">
            <v>-25132845873</v>
          </cell>
          <cell r="G178">
            <v>38463119669</v>
          </cell>
          <cell r="H178">
            <v>-44502802447</v>
          </cell>
          <cell r="I178">
            <v>-6039682778</v>
          </cell>
          <cell r="J178">
            <v>382114766534</v>
          </cell>
          <cell r="K178">
            <v>-391897071600</v>
          </cell>
          <cell r="L178">
            <v>-31172528651</v>
          </cell>
        </row>
        <row r="179">
          <cell r="C179">
            <v>420289</v>
          </cell>
          <cell r="D179" t="str">
            <v>예수금-기프_이연</v>
          </cell>
          <cell r="E179">
            <v>-12461710431</v>
          </cell>
          <cell r="F179">
            <v>-12116462990</v>
          </cell>
          <cell r="G179">
            <v>209667707</v>
          </cell>
          <cell r="H179">
            <v>-307645718</v>
          </cell>
          <cell r="I179">
            <v>-97978011</v>
          </cell>
          <cell r="J179">
            <v>1878644549</v>
          </cell>
          <cell r="K179">
            <v>-1631375119</v>
          </cell>
          <cell r="L179">
            <v>-12214441001</v>
          </cell>
        </row>
        <row r="180">
          <cell r="C180">
            <v>420290</v>
          </cell>
          <cell r="D180" t="str">
            <v>예수금-기타판매</v>
          </cell>
          <cell r="E180">
            <v>837408</v>
          </cell>
          <cell r="F180">
            <v>837408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837408</v>
          </cell>
        </row>
        <row r="181">
          <cell r="C181">
            <v>420297</v>
          </cell>
          <cell r="D181" t="str">
            <v>예수금-ENT사업</v>
          </cell>
          <cell r="E181">
            <v>-10024000</v>
          </cell>
          <cell r="F181">
            <v>-10024000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-10024000</v>
          </cell>
        </row>
        <row r="182">
          <cell r="C182">
            <v>420698</v>
          </cell>
          <cell r="D182" t="str">
            <v>예수금-기프티콘캐쉬</v>
          </cell>
          <cell r="E182">
            <v>-244141185</v>
          </cell>
          <cell r="F182">
            <v>-443517820</v>
          </cell>
          <cell r="G182">
            <v>30180331</v>
          </cell>
          <cell r="H182">
            <v>-47450733</v>
          </cell>
          <cell r="I182">
            <v>-17270402</v>
          </cell>
          <cell r="J182">
            <v>277096197</v>
          </cell>
          <cell r="K182">
            <v>-493743234</v>
          </cell>
          <cell r="L182">
            <v>-460788222</v>
          </cell>
        </row>
        <row r="183">
          <cell r="C183">
            <v>420699</v>
          </cell>
          <cell r="D183" t="str">
            <v>예수금-선불카드</v>
          </cell>
          <cell r="E183">
            <v>-53023643</v>
          </cell>
          <cell r="F183">
            <v>-53023643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-53023643</v>
          </cell>
        </row>
        <row r="184">
          <cell r="C184">
            <v>420700</v>
          </cell>
          <cell r="D184" t="str">
            <v>예수금-비즈콘 캐쉬</v>
          </cell>
          <cell r="E184">
            <v>0</v>
          </cell>
          <cell r="F184">
            <v>-2667417000</v>
          </cell>
          <cell r="G184">
            <v>3721281050</v>
          </cell>
          <cell r="H184">
            <v>-1053864050</v>
          </cell>
          <cell r="I184">
            <v>2667417000</v>
          </cell>
          <cell r="J184">
            <v>3721281050</v>
          </cell>
          <cell r="K184">
            <v>-3721281050</v>
          </cell>
          <cell r="L184">
            <v>0</v>
          </cell>
        </row>
        <row r="185">
          <cell r="C185">
            <v>420715</v>
          </cell>
          <cell r="D185" t="str">
            <v>예수금-11Pay</v>
          </cell>
          <cell r="E185">
            <v>-951102344</v>
          </cell>
          <cell r="F185">
            <v>22625448498</v>
          </cell>
          <cell r="G185">
            <v>51906542584</v>
          </cell>
          <cell r="H185">
            <v>-75489695012</v>
          </cell>
          <cell r="I185">
            <v>-23583152428</v>
          </cell>
          <cell r="J185">
            <v>486924072488</v>
          </cell>
          <cell r="K185">
            <v>-486930674074</v>
          </cell>
          <cell r="L185">
            <v>-957703930</v>
          </cell>
        </row>
        <row r="186">
          <cell r="C186">
            <v>420716</v>
          </cell>
          <cell r="D186" t="str">
            <v>예수금-SK pay money</v>
          </cell>
          <cell r="E186">
            <v>0</v>
          </cell>
          <cell r="F186">
            <v>-1014163989</v>
          </cell>
          <cell r="G186">
            <v>4548456573</v>
          </cell>
          <cell r="H186">
            <v>-4823680620</v>
          </cell>
          <cell r="I186">
            <v>-275224047</v>
          </cell>
          <cell r="J186">
            <v>14463219573</v>
          </cell>
          <cell r="K186">
            <v>-15752607609</v>
          </cell>
          <cell r="L186">
            <v>-1289388036</v>
          </cell>
        </row>
        <row r="187">
          <cell r="C187">
            <v>420717</v>
          </cell>
          <cell r="D187" t="str">
            <v>예수금_제로페이</v>
          </cell>
          <cell r="E187">
            <v>0</v>
          </cell>
          <cell r="F187">
            <v>-42021</v>
          </cell>
          <cell r="G187">
            <v>7753761</v>
          </cell>
          <cell r="H187">
            <v>-7711740</v>
          </cell>
          <cell r="I187">
            <v>42021</v>
          </cell>
          <cell r="J187">
            <v>147216349</v>
          </cell>
          <cell r="K187">
            <v>-147216349</v>
          </cell>
          <cell r="L187">
            <v>0</v>
          </cell>
        </row>
        <row r="188">
          <cell r="D188" t="str">
            <v>매출부가세</v>
          </cell>
          <cell r="E188">
            <v>0</v>
          </cell>
          <cell r="F188">
            <v>0</v>
          </cell>
          <cell r="G188">
            <v>5329292941</v>
          </cell>
          <cell r="H188">
            <v>-5329292941</v>
          </cell>
          <cell r="I188">
            <v>0</v>
          </cell>
          <cell r="J188">
            <v>42884982204</v>
          </cell>
          <cell r="K188">
            <v>-42884982204</v>
          </cell>
          <cell r="L188">
            <v>0</v>
          </cell>
        </row>
        <row r="189">
          <cell r="C189">
            <v>420780</v>
          </cell>
          <cell r="D189" t="str">
            <v>매출부가세-기타</v>
          </cell>
          <cell r="E189">
            <v>0</v>
          </cell>
          <cell r="F189">
            <v>0</v>
          </cell>
          <cell r="G189">
            <v>5329292941</v>
          </cell>
          <cell r="H189">
            <v>-5329292941</v>
          </cell>
          <cell r="I189">
            <v>0</v>
          </cell>
          <cell r="J189">
            <v>42884982204</v>
          </cell>
          <cell r="K189">
            <v>-42884982204</v>
          </cell>
          <cell r="L189">
            <v>0</v>
          </cell>
        </row>
        <row r="190">
          <cell r="D190" t="str">
            <v>가수금</v>
          </cell>
          <cell r="E190">
            <v>0</v>
          </cell>
          <cell r="F190">
            <v>0</v>
          </cell>
          <cell r="G190">
            <v>630589183131</v>
          </cell>
          <cell r="H190">
            <v>-630589183131</v>
          </cell>
          <cell r="I190">
            <v>0</v>
          </cell>
          <cell r="J190">
            <v>5536744613322</v>
          </cell>
          <cell r="K190">
            <v>-5536744613322</v>
          </cell>
          <cell r="L190">
            <v>0</v>
          </cell>
        </row>
        <row r="191">
          <cell r="C191">
            <v>426101</v>
          </cell>
          <cell r="D191" t="str">
            <v>기타일반가수금(NEW)</v>
          </cell>
          <cell r="E191">
            <v>1162400489</v>
          </cell>
          <cell r="F191">
            <v>45377536986</v>
          </cell>
          <cell r="G191">
            <v>17056275183</v>
          </cell>
          <cell r="H191">
            <v>-60215844746</v>
          </cell>
          <cell r="I191">
            <v>-43159569563</v>
          </cell>
          <cell r="J191">
            <v>527363918231</v>
          </cell>
          <cell r="K191">
            <v>-526308351297</v>
          </cell>
          <cell r="L191">
            <v>2217967423</v>
          </cell>
        </row>
        <row r="192">
          <cell r="C192">
            <v>426102</v>
          </cell>
          <cell r="D192" t="str">
            <v>외화일반가수금</v>
          </cell>
          <cell r="E192">
            <v>-805884532</v>
          </cell>
          <cell r="F192">
            <v>-752703382</v>
          </cell>
          <cell r="G192">
            <v>174072800</v>
          </cell>
          <cell r="H192">
            <v>-686597574</v>
          </cell>
          <cell r="I192">
            <v>-512524774</v>
          </cell>
          <cell r="J192">
            <v>4770392142</v>
          </cell>
          <cell r="K192">
            <v>-5229735766</v>
          </cell>
          <cell r="L192">
            <v>-1265228156</v>
          </cell>
        </row>
        <row r="193">
          <cell r="C193">
            <v>426220</v>
          </cell>
          <cell r="D193" t="str">
            <v>오픈마켓가수금</v>
          </cell>
          <cell r="E193">
            <v>-356966461</v>
          </cell>
          <cell r="F193">
            <v>-20313982829</v>
          </cell>
          <cell r="G193">
            <v>553718432221</v>
          </cell>
          <cell r="H193">
            <v>-534118893920</v>
          </cell>
          <cell r="I193">
            <v>19599538301</v>
          </cell>
          <cell r="J193">
            <v>4675110528042</v>
          </cell>
          <cell r="K193">
            <v>-4675468006109</v>
          </cell>
          <cell r="L193">
            <v>-714444528</v>
          </cell>
        </row>
        <row r="194">
          <cell r="C194">
            <v>426230</v>
          </cell>
          <cell r="D194" t="str">
            <v>11PAY가수금</v>
          </cell>
          <cell r="E194">
            <v>516958</v>
          </cell>
          <cell r="F194">
            <v>-22092594242</v>
          </cell>
          <cell r="G194">
            <v>51644591257</v>
          </cell>
          <cell r="H194">
            <v>-26035463511</v>
          </cell>
          <cell r="I194">
            <v>25609127746</v>
          </cell>
          <cell r="J194">
            <v>310646518208</v>
          </cell>
          <cell r="K194">
            <v>-307130501662</v>
          </cell>
          <cell r="L194">
            <v>3516533504</v>
          </cell>
        </row>
        <row r="195">
          <cell r="C195">
            <v>426240</v>
          </cell>
          <cell r="D195" t="str">
            <v>지로가수금_제로페이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45078173</v>
          </cell>
          <cell r="K195">
            <v>-45078173</v>
          </cell>
          <cell r="L195">
            <v>0</v>
          </cell>
        </row>
        <row r="196">
          <cell r="C196">
            <v>426250</v>
          </cell>
          <cell r="D196" t="str">
            <v>지로가수금-SKpay머니</v>
          </cell>
          <cell r="E196">
            <v>0</v>
          </cell>
          <cell r="F196">
            <v>-2207651031</v>
          </cell>
          <cell r="G196">
            <v>7978067210</v>
          </cell>
          <cell r="H196">
            <v>-9516350600</v>
          </cell>
          <cell r="I196">
            <v>-1538283390</v>
          </cell>
          <cell r="J196">
            <v>18588575075</v>
          </cell>
          <cell r="K196">
            <v>-22334509496</v>
          </cell>
          <cell r="L196">
            <v>-3745934421</v>
          </cell>
        </row>
        <row r="197">
          <cell r="C197">
            <v>426500</v>
          </cell>
          <cell r="D197" t="str">
            <v>가수금_제로페이</v>
          </cell>
          <cell r="E197">
            <v>-66454</v>
          </cell>
          <cell r="F197">
            <v>-10605502</v>
          </cell>
          <cell r="G197">
            <v>17744460</v>
          </cell>
          <cell r="H197">
            <v>-16032780</v>
          </cell>
          <cell r="I197">
            <v>1711680</v>
          </cell>
          <cell r="J197">
            <v>219603451</v>
          </cell>
          <cell r="K197">
            <v>-228430819</v>
          </cell>
          <cell r="L197">
            <v>-8893822</v>
          </cell>
        </row>
        <row r="198">
          <cell r="D198" t="str">
            <v>선수금</v>
          </cell>
          <cell r="E198">
            <v>-171861924</v>
          </cell>
          <cell r="F198">
            <v>117175552</v>
          </cell>
          <cell r="G198">
            <v>1356728224</v>
          </cell>
          <cell r="H198">
            <v>-1483735819</v>
          </cell>
          <cell r="I198">
            <v>-127007595</v>
          </cell>
          <cell r="J198">
            <v>3921115331</v>
          </cell>
          <cell r="K198">
            <v>-3759085450</v>
          </cell>
          <cell r="L198">
            <v>-9832043</v>
          </cell>
        </row>
        <row r="199">
          <cell r="C199">
            <v>422300</v>
          </cell>
          <cell r="D199" t="str">
            <v>선수금-기타</v>
          </cell>
          <cell r="E199">
            <v>-162029881</v>
          </cell>
          <cell r="F199">
            <v>127007595</v>
          </cell>
          <cell r="G199">
            <v>1356728224</v>
          </cell>
          <cell r="H199">
            <v>-1483735819</v>
          </cell>
          <cell r="I199">
            <v>-127007595</v>
          </cell>
          <cell r="J199">
            <v>3921115331</v>
          </cell>
          <cell r="K199">
            <v>-3759085450</v>
          </cell>
          <cell r="L199">
            <v>0</v>
          </cell>
        </row>
        <row r="200">
          <cell r="C200">
            <v>422400</v>
          </cell>
          <cell r="D200" t="str">
            <v>선수금-도서몰</v>
          </cell>
          <cell r="E200">
            <v>-9535843</v>
          </cell>
          <cell r="F200">
            <v>-9535843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-9535843</v>
          </cell>
        </row>
        <row r="201">
          <cell r="C201">
            <v>422401</v>
          </cell>
          <cell r="D201" t="str">
            <v>선수금-화장품몰</v>
          </cell>
          <cell r="E201">
            <v>-296200</v>
          </cell>
          <cell r="F201">
            <v>-296200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-296200</v>
          </cell>
        </row>
        <row r="202">
          <cell r="D202" t="str">
            <v>선수수익</v>
          </cell>
          <cell r="E202">
            <v>0</v>
          </cell>
          <cell r="F202">
            <v>0</v>
          </cell>
          <cell r="G202">
            <v>2984000</v>
          </cell>
          <cell r="H202">
            <v>-2984000</v>
          </cell>
          <cell r="I202">
            <v>0</v>
          </cell>
          <cell r="J202">
            <v>29078900</v>
          </cell>
          <cell r="K202">
            <v>-29078900</v>
          </cell>
          <cell r="L202">
            <v>0</v>
          </cell>
        </row>
        <row r="203">
          <cell r="C203">
            <v>424300</v>
          </cell>
          <cell r="D203" t="str">
            <v>계약부채-기타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424304</v>
          </cell>
          <cell r="D204" t="str">
            <v>계약부채_Cashbag급여</v>
          </cell>
          <cell r="E204">
            <v>0</v>
          </cell>
          <cell r="F204">
            <v>0</v>
          </cell>
          <cell r="G204">
            <v>2984000</v>
          </cell>
          <cell r="H204">
            <v>-2984000</v>
          </cell>
          <cell r="I204">
            <v>0</v>
          </cell>
          <cell r="J204">
            <v>29078900</v>
          </cell>
          <cell r="K204">
            <v>-29078900</v>
          </cell>
          <cell r="L204">
            <v>0</v>
          </cell>
        </row>
        <row r="205">
          <cell r="D205" t="str">
            <v>유동성장기부채</v>
          </cell>
          <cell r="E205">
            <v>-12019055167</v>
          </cell>
          <cell r="F205">
            <v>-9942615493</v>
          </cell>
          <cell r="G205">
            <v>1115221404</v>
          </cell>
          <cell r="H205">
            <v>-1128830038</v>
          </cell>
          <cell r="I205">
            <v>-13608634</v>
          </cell>
          <cell r="J205">
            <v>9713088084</v>
          </cell>
          <cell r="K205">
            <v>-7650257044</v>
          </cell>
          <cell r="L205">
            <v>-9956224127</v>
          </cell>
        </row>
        <row r="206">
          <cell r="C206">
            <v>427400</v>
          </cell>
          <cell r="D206" t="str">
            <v>유동성장기부채-리스</v>
          </cell>
          <cell r="E206">
            <v>-12019055167</v>
          </cell>
          <cell r="F206">
            <v>-9942615493</v>
          </cell>
          <cell r="G206">
            <v>1115221404</v>
          </cell>
          <cell r="H206">
            <v>-1128830038</v>
          </cell>
          <cell r="I206">
            <v>-13608634</v>
          </cell>
          <cell r="J206">
            <v>9713088084</v>
          </cell>
          <cell r="K206">
            <v>-7650257044</v>
          </cell>
          <cell r="L206">
            <v>-9956224127</v>
          </cell>
        </row>
        <row r="207">
          <cell r="D207" t="str">
            <v>유동성 임대보증금</v>
          </cell>
          <cell r="E207">
            <v>-269700000</v>
          </cell>
          <cell r="F207">
            <v>-269700000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-269700000</v>
          </cell>
        </row>
        <row r="208">
          <cell r="C208">
            <v>427800</v>
          </cell>
          <cell r="D208" t="str">
            <v>유동성 임대보증금</v>
          </cell>
          <cell r="E208">
            <v>-269700000</v>
          </cell>
          <cell r="F208">
            <v>-269700000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-269700000</v>
          </cell>
        </row>
        <row r="209">
          <cell r="D209" t="str">
            <v>기타비유동부채</v>
          </cell>
          <cell r="E209">
            <v>-18341226291</v>
          </cell>
          <cell r="F209">
            <v>-12686420180</v>
          </cell>
          <cell r="G209">
            <v>620550925</v>
          </cell>
          <cell r="H209">
            <v>-459987949</v>
          </cell>
          <cell r="I209">
            <v>160562976</v>
          </cell>
          <cell r="J209">
            <v>6470748468</v>
          </cell>
          <cell r="K209">
            <v>-655379381</v>
          </cell>
          <cell r="L209">
            <v>-12525857204</v>
          </cell>
        </row>
        <row r="210">
          <cell r="C210">
            <v>443000</v>
          </cell>
          <cell r="D210" t="str">
            <v>장기리스부채</v>
          </cell>
          <cell r="E210">
            <v>-18341226291</v>
          </cell>
          <cell r="F210">
            <v>-12686420180</v>
          </cell>
          <cell r="G210">
            <v>620550925</v>
          </cell>
          <cell r="H210">
            <v>-459987949</v>
          </cell>
          <cell r="I210">
            <v>160562976</v>
          </cell>
          <cell r="J210">
            <v>6470748468</v>
          </cell>
          <cell r="K210">
            <v>-655379381</v>
          </cell>
          <cell r="L210">
            <v>-12525857204</v>
          </cell>
        </row>
        <row r="211">
          <cell r="D211" t="str">
            <v>장기미지급비용</v>
          </cell>
          <cell r="E211">
            <v>-2993747729</v>
          </cell>
          <cell r="F211">
            <v>-2989614802</v>
          </cell>
          <cell r="G211">
            <v>48509330</v>
          </cell>
          <cell r="H211">
            <v>-48302126</v>
          </cell>
          <cell r="I211">
            <v>207204</v>
          </cell>
          <cell r="J211">
            <v>439059260</v>
          </cell>
          <cell r="K211">
            <v>-434719129</v>
          </cell>
          <cell r="L211">
            <v>-2989407598</v>
          </cell>
        </row>
        <row r="212">
          <cell r="C212">
            <v>444100</v>
          </cell>
          <cell r="D212" t="str">
            <v>장기근속채무-종업원</v>
          </cell>
          <cell r="E212">
            <v>-2993747729</v>
          </cell>
          <cell r="F212">
            <v>-2989614802</v>
          </cell>
          <cell r="G212">
            <v>48509330</v>
          </cell>
          <cell r="H212">
            <v>-48302126</v>
          </cell>
          <cell r="I212">
            <v>207204</v>
          </cell>
          <cell r="J212">
            <v>439059260</v>
          </cell>
          <cell r="K212">
            <v>-434719129</v>
          </cell>
          <cell r="L212">
            <v>-2989407598</v>
          </cell>
        </row>
        <row r="213">
          <cell r="D213" t="str">
            <v>보증금</v>
          </cell>
          <cell r="E213">
            <v>-899395381</v>
          </cell>
          <cell r="F213">
            <v>-899395381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-899395381</v>
          </cell>
        </row>
        <row r="214">
          <cell r="C214">
            <v>453100</v>
          </cell>
          <cell r="D214" t="str">
            <v>임대보증금</v>
          </cell>
          <cell r="E214">
            <v>-899395381</v>
          </cell>
          <cell r="F214">
            <v>-899395381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-899395381</v>
          </cell>
        </row>
        <row r="215">
          <cell r="D215" t="str">
            <v>퇴직급여충당금</v>
          </cell>
          <cell r="E215">
            <v>-37699648678</v>
          </cell>
          <cell r="F215">
            <v>-40030794209</v>
          </cell>
          <cell r="G215">
            <v>250755830</v>
          </cell>
          <cell r="H215">
            <v>-617337395</v>
          </cell>
          <cell r="I215">
            <v>-366581565</v>
          </cell>
          <cell r="J215">
            <v>2877869954</v>
          </cell>
          <cell r="K215">
            <v>-5575597050</v>
          </cell>
          <cell r="L215">
            <v>-40397375774</v>
          </cell>
        </row>
        <row r="216">
          <cell r="C216">
            <v>454120</v>
          </cell>
          <cell r="D216" t="str">
            <v>확정급여채무_임원</v>
          </cell>
          <cell r="E216">
            <v>-844507410</v>
          </cell>
          <cell r="F216">
            <v>-887233888</v>
          </cell>
          <cell r="G216">
            <v>0</v>
          </cell>
          <cell r="H216">
            <v>-33597059</v>
          </cell>
          <cell r="I216">
            <v>-33597059</v>
          </cell>
          <cell r="J216">
            <v>226050000</v>
          </cell>
          <cell r="K216">
            <v>-302373537</v>
          </cell>
          <cell r="L216">
            <v>-920830947</v>
          </cell>
        </row>
        <row r="217">
          <cell r="C217">
            <v>454130</v>
          </cell>
          <cell r="D217" t="str">
            <v>확정급여채무_종업원</v>
          </cell>
          <cell r="E217">
            <v>-36855141268</v>
          </cell>
          <cell r="F217">
            <v>-39143560321</v>
          </cell>
          <cell r="G217">
            <v>250755830</v>
          </cell>
          <cell r="H217">
            <v>-583740336</v>
          </cell>
          <cell r="I217">
            <v>-332984506</v>
          </cell>
          <cell r="J217">
            <v>2651819954</v>
          </cell>
          <cell r="K217">
            <v>-5273223513</v>
          </cell>
          <cell r="L217">
            <v>-39476544827</v>
          </cell>
        </row>
        <row r="218">
          <cell r="D218" t="str">
            <v>퇴직보험예치금</v>
          </cell>
          <cell r="E218">
            <v>35001942443</v>
          </cell>
          <cell r="F218">
            <v>32840383308</v>
          </cell>
          <cell r="G218">
            <v>55749312</v>
          </cell>
          <cell r="H218">
            <v>-250755830</v>
          </cell>
          <cell r="I218">
            <v>-195006518</v>
          </cell>
          <cell r="J218">
            <v>798024791</v>
          </cell>
          <cell r="K218">
            <v>-3154590444</v>
          </cell>
          <cell r="L218">
            <v>32645376790</v>
          </cell>
        </row>
        <row r="219">
          <cell r="C219">
            <v>454400</v>
          </cell>
          <cell r="D219" t="str">
            <v>퇴직사외적립자산-종</v>
          </cell>
          <cell r="E219">
            <v>35001942443</v>
          </cell>
          <cell r="F219">
            <v>32840383308</v>
          </cell>
          <cell r="G219">
            <v>55749312</v>
          </cell>
          <cell r="H219">
            <v>-250755830</v>
          </cell>
          <cell r="I219">
            <v>-195006518</v>
          </cell>
          <cell r="J219">
            <v>798024791</v>
          </cell>
          <cell r="K219">
            <v>-3154590444</v>
          </cell>
          <cell r="L219">
            <v>32645376790</v>
          </cell>
        </row>
        <row r="220">
          <cell r="D220" t="str">
            <v>충당부채</v>
          </cell>
          <cell r="E220">
            <v>-1477947438</v>
          </cell>
          <cell r="F220">
            <v>-1553711458</v>
          </cell>
          <cell r="G220">
            <v>0</v>
          </cell>
          <cell r="H220">
            <v>-9718465</v>
          </cell>
          <cell r="I220">
            <v>-9718465</v>
          </cell>
          <cell r="J220">
            <v>0</v>
          </cell>
          <cell r="K220">
            <v>-85482485</v>
          </cell>
          <cell r="L220">
            <v>-1563429923</v>
          </cell>
        </row>
        <row r="221">
          <cell r="C221">
            <v>457200</v>
          </cell>
          <cell r="D221" t="str">
            <v>복구충당부채-고정</v>
          </cell>
          <cell r="E221">
            <v>-1477947438</v>
          </cell>
          <cell r="F221">
            <v>-1553711458</v>
          </cell>
          <cell r="G221">
            <v>0</v>
          </cell>
          <cell r="H221">
            <v>-9718465</v>
          </cell>
          <cell r="I221">
            <v>-9718465</v>
          </cell>
          <cell r="J221">
            <v>0</v>
          </cell>
          <cell r="K221">
            <v>-85482485</v>
          </cell>
          <cell r="L221">
            <v>-1563429923</v>
          </cell>
        </row>
        <row r="222">
          <cell r="D222" t="str">
            <v>자본</v>
          </cell>
          <cell r="E222">
            <v>-476991574086</v>
          </cell>
          <cell r="F222">
            <v>-468656333259</v>
          </cell>
          <cell r="G222">
            <v>854012700</v>
          </cell>
          <cell r="H222">
            <v>-6817869985</v>
          </cell>
          <cell r="I222">
            <v>-5963857285</v>
          </cell>
          <cell r="J222">
            <v>16768171382</v>
          </cell>
          <cell r="K222">
            <v>-14396787840</v>
          </cell>
          <cell r="L222">
            <v>-474620190544</v>
          </cell>
        </row>
        <row r="223">
          <cell r="D223" t="str">
            <v>보통주자본금</v>
          </cell>
          <cell r="E223">
            <v>-4191965500</v>
          </cell>
          <cell r="F223">
            <v>-4191965500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-4191965500</v>
          </cell>
        </row>
        <row r="224">
          <cell r="C224">
            <v>460100</v>
          </cell>
          <cell r="D224" t="str">
            <v>보통주</v>
          </cell>
          <cell r="E224">
            <v>-4191965500</v>
          </cell>
          <cell r="F224">
            <v>-4191965500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-4191965500</v>
          </cell>
        </row>
        <row r="225">
          <cell r="D225" t="str">
            <v>우선주자본금</v>
          </cell>
          <cell r="E225">
            <v>-931546500</v>
          </cell>
          <cell r="F225">
            <v>-931546500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-931546500</v>
          </cell>
        </row>
        <row r="226">
          <cell r="C226">
            <v>460200</v>
          </cell>
          <cell r="D226" t="str">
            <v>우선주</v>
          </cell>
          <cell r="E226">
            <v>-931546500</v>
          </cell>
          <cell r="F226">
            <v>-931546500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-931546500</v>
          </cell>
        </row>
        <row r="227">
          <cell r="D227" t="str">
            <v>주식발행초과금</v>
          </cell>
          <cell r="E227">
            <v>-463655072713</v>
          </cell>
          <cell r="F227">
            <v>-463655072713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-463655072713</v>
          </cell>
        </row>
        <row r="228">
          <cell r="C228">
            <v>461100</v>
          </cell>
          <cell r="D228" t="str">
            <v>주식발행초과금</v>
          </cell>
          <cell r="E228">
            <v>-463655072713</v>
          </cell>
          <cell r="F228">
            <v>-463655072713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-463655072713</v>
          </cell>
        </row>
        <row r="229">
          <cell r="D229" t="str">
            <v>법정적립금</v>
          </cell>
          <cell r="E229">
            <v>-1750000000</v>
          </cell>
          <cell r="F229">
            <v>-2250000000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-500000000</v>
          </cell>
          <cell r="L229">
            <v>-2250000000</v>
          </cell>
        </row>
        <row r="230">
          <cell r="C230">
            <v>462100</v>
          </cell>
          <cell r="D230" t="str">
            <v>이익준비금</v>
          </cell>
          <cell r="E230">
            <v>-1750000000</v>
          </cell>
          <cell r="F230">
            <v>-2250000000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-500000000</v>
          </cell>
          <cell r="L230">
            <v>-2250000000</v>
          </cell>
        </row>
        <row r="231">
          <cell r="D231" t="str">
            <v>임의적립금</v>
          </cell>
          <cell r="E231">
            <v>0</v>
          </cell>
          <cell r="F231">
            <v>-2300000000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-2300000000</v>
          </cell>
          <cell r="L231">
            <v>-2300000000</v>
          </cell>
        </row>
        <row r="232">
          <cell r="C232">
            <v>463500</v>
          </cell>
          <cell r="D232" t="str">
            <v>개인정보손해배상준비</v>
          </cell>
          <cell r="E232">
            <v>0</v>
          </cell>
          <cell r="F232">
            <v>-1000000000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-1000000000</v>
          </cell>
          <cell r="L232">
            <v>-1000000000</v>
          </cell>
        </row>
        <row r="233">
          <cell r="C233">
            <v>463600</v>
          </cell>
          <cell r="D233" t="str">
            <v>전자금융거래법적립금</v>
          </cell>
          <cell r="E233">
            <v>0</v>
          </cell>
          <cell r="F233">
            <v>-1300000000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-1300000000</v>
          </cell>
          <cell r="L233">
            <v>-1300000000</v>
          </cell>
        </row>
        <row r="234">
          <cell r="D234" t="str">
            <v>전기이월이익잉여금</v>
          </cell>
          <cell r="E234">
            <v>-55029631568</v>
          </cell>
          <cell r="F234">
            <v>-47229631568</v>
          </cell>
          <cell r="G234">
            <v>0</v>
          </cell>
          <cell r="H234">
            <v>0</v>
          </cell>
          <cell r="I234">
            <v>0</v>
          </cell>
          <cell r="J234">
            <v>7800000000</v>
          </cell>
          <cell r="K234">
            <v>0</v>
          </cell>
          <cell r="L234">
            <v>-47229631568</v>
          </cell>
        </row>
        <row r="235">
          <cell r="C235">
            <v>465100</v>
          </cell>
          <cell r="D235" t="str">
            <v>이월이익잉여금</v>
          </cell>
          <cell r="E235">
            <v>-56165827743</v>
          </cell>
          <cell r="F235">
            <v>-48365827743</v>
          </cell>
          <cell r="G235">
            <v>0</v>
          </cell>
          <cell r="H235">
            <v>0</v>
          </cell>
          <cell r="I235">
            <v>0</v>
          </cell>
          <cell r="J235">
            <v>7800000000</v>
          </cell>
          <cell r="K235">
            <v>0</v>
          </cell>
          <cell r="L235">
            <v>-48365827743</v>
          </cell>
        </row>
        <row r="236">
          <cell r="C236">
            <v>465300</v>
          </cell>
          <cell r="D236" t="str">
            <v>이익잉여-보험손익-종</v>
          </cell>
          <cell r="E236">
            <v>1136196175</v>
          </cell>
          <cell r="F236">
            <v>1136196175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1136196175</v>
          </cell>
        </row>
        <row r="237">
          <cell r="D237" t="str">
            <v>자기주식</v>
          </cell>
          <cell r="E237">
            <v>42575729077</v>
          </cell>
          <cell r="F237">
            <v>42575729077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42575729077</v>
          </cell>
        </row>
        <row r="238">
          <cell r="C238">
            <v>467100</v>
          </cell>
          <cell r="D238" t="str">
            <v>자기주식</v>
          </cell>
          <cell r="E238">
            <v>42575729077</v>
          </cell>
          <cell r="F238">
            <v>42575729077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42575729077</v>
          </cell>
        </row>
        <row r="239">
          <cell r="D239" t="str">
            <v>보험수리적손익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467710</v>
          </cell>
          <cell r="D240" t="str">
            <v>포괄보험손익-자산-종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467720</v>
          </cell>
          <cell r="D241" t="str">
            <v>포괄보험손익-자산-종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D242" t="str">
            <v>기타포괄손익</v>
          </cell>
          <cell r="E242">
            <v>5990913118</v>
          </cell>
          <cell r="F242">
            <v>9326153945</v>
          </cell>
          <cell r="G242">
            <v>854012700</v>
          </cell>
          <cell r="H242">
            <v>-6817869985</v>
          </cell>
          <cell r="I242">
            <v>-5963857285</v>
          </cell>
          <cell r="J242">
            <v>8968171382</v>
          </cell>
          <cell r="K242">
            <v>-11596787840</v>
          </cell>
          <cell r="L242">
            <v>3362296660</v>
          </cell>
        </row>
        <row r="243">
          <cell r="C243">
            <v>467402</v>
          </cell>
          <cell r="D243" t="str">
            <v>금융자산평가손-기타</v>
          </cell>
          <cell r="E243">
            <v>5978766928</v>
          </cell>
          <cell r="F243">
            <v>9267658813</v>
          </cell>
          <cell r="G243">
            <v>854012700</v>
          </cell>
          <cell r="H243">
            <v>-6817869985</v>
          </cell>
          <cell r="I243">
            <v>-5963857285</v>
          </cell>
          <cell r="J243">
            <v>8907025020</v>
          </cell>
          <cell r="K243">
            <v>-11581990420</v>
          </cell>
          <cell r="L243">
            <v>3303801528</v>
          </cell>
        </row>
        <row r="244">
          <cell r="C244">
            <v>467902</v>
          </cell>
          <cell r="D244" t="str">
            <v>부의지분법자본변동</v>
          </cell>
          <cell r="E244">
            <v>12146190</v>
          </cell>
          <cell r="F244">
            <v>58495132</v>
          </cell>
          <cell r="G244">
            <v>0</v>
          </cell>
          <cell r="H244">
            <v>0</v>
          </cell>
          <cell r="I244">
            <v>0</v>
          </cell>
          <cell r="J244">
            <v>61146362</v>
          </cell>
          <cell r="K244">
            <v>-14797420</v>
          </cell>
          <cell r="L244">
            <v>58495132</v>
          </cell>
        </row>
        <row r="245">
          <cell r="D245" t="str">
            <v>영업수익</v>
          </cell>
          <cell r="E245">
            <v>0</v>
          </cell>
          <cell r="F245">
            <v>-347737228152</v>
          </cell>
          <cell r="G245">
            <v>11990542077</v>
          </cell>
          <cell r="H245">
            <v>-57586242929</v>
          </cell>
          <cell r="I245">
            <v>-45595700852</v>
          </cell>
          <cell r="J245">
            <v>101528693983</v>
          </cell>
          <cell r="K245">
            <v>-494861622987</v>
          </cell>
          <cell r="L245">
            <v>-393332929004</v>
          </cell>
        </row>
        <row r="246">
          <cell r="D246" t="str">
            <v>부대수익</v>
          </cell>
          <cell r="E246">
            <v>0</v>
          </cell>
          <cell r="F246">
            <v>-10580514472</v>
          </cell>
          <cell r="G246">
            <v>915378836</v>
          </cell>
          <cell r="H246">
            <v>-2031717859</v>
          </cell>
          <cell r="I246">
            <v>-1116339023</v>
          </cell>
          <cell r="J246">
            <v>5496312047</v>
          </cell>
          <cell r="K246">
            <v>-17193165542</v>
          </cell>
          <cell r="L246">
            <v>-11696853495</v>
          </cell>
        </row>
        <row r="247">
          <cell r="C247">
            <v>599100</v>
          </cell>
          <cell r="D247" t="str">
            <v>기타영업수익</v>
          </cell>
          <cell r="E247">
            <v>0</v>
          </cell>
          <cell r="F247">
            <v>-10580514472</v>
          </cell>
          <cell r="G247">
            <v>915378836</v>
          </cell>
          <cell r="H247">
            <v>-2031717859</v>
          </cell>
          <cell r="I247">
            <v>-1116339023</v>
          </cell>
          <cell r="J247">
            <v>5496312047</v>
          </cell>
          <cell r="K247">
            <v>-17193165542</v>
          </cell>
          <cell r="L247">
            <v>-11696853495</v>
          </cell>
        </row>
        <row r="248">
          <cell r="D248" t="str">
            <v>Commerce</v>
          </cell>
          <cell r="E248">
            <v>0</v>
          </cell>
          <cell r="F248">
            <v>-303705678167</v>
          </cell>
          <cell r="G248">
            <v>7597779482</v>
          </cell>
          <cell r="H248">
            <v>-48590859588</v>
          </cell>
          <cell r="I248">
            <v>-40993080106</v>
          </cell>
          <cell r="J248">
            <v>63603022450</v>
          </cell>
          <cell r="K248">
            <v>-408301780723</v>
          </cell>
          <cell r="L248">
            <v>-344698758273</v>
          </cell>
        </row>
        <row r="249">
          <cell r="C249">
            <v>521020</v>
          </cell>
          <cell r="D249" t="str">
            <v>쇼핑몰광고수익</v>
          </cell>
          <cell r="E249">
            <v>0</v>
          </cell>
          <cell r="F249">
            <v>-143742485620</v>
          </cell>
          <cell r="G249">
            <v>45783882</v>
          </cell>
          <cell r="H249">
            <v>-18731855525</v>
          </cell>
          <cell r="I249">
            <v>-18686071643</v>
          </cell>
          <cell r="J249">
            <v>536614333</v>
          </cell>
          <cell r="K249">
            <v>-162965171596</v>
          </cell>
          <cell r="L249">
            <v>-162428557263</v>
          </cell>
        </row>
        <row r="250">
          <cell r="C250">
            <v>521030</v>
          </cell>
          <cell r="D250" t="str">
            <v>쇼핑몰부가수익</v>
          </cell>
          <cell r="E250">
            <v>0</v>
          </cell>
          <cell r="F250">
            <v>-435580281</v>
          </cell>
          <cell r="G250">
            <v>17422400</v>
          </cell>
          <cell r="H250">
            <v>-55551353</v>
          </cell>
          <cell r="I250">
            <v>-38128953</v>
          </cell>
          <cell r="J250">
            <v>140522750</v>
          </cell>
          <cell r="K250">
            <v>-614231984</v>
          </cell>
          <cell r="L250">
            <v>-473709234</v>
          </cell>
        </row>
        <row r="251">
          <cell r="C251">
            <v>523110</v>
          </cell>
          <cell r="D251" t="str">
            <v>쇼핑몰상품매출</v>
          </cell>
          <cell r="E251">
            <v>0</v>
          </cell>
          <cell r="F251">
            <v>-5050969704</v>
          </cell>
          <cell r="G251">
            <v>218608005</v>
          </cell>
          <cell r="H251">
            <v>-962557573</v>
          </cell>
          <cell r="I251">
            <v>-743949568</v>
          </cell>
          <cell r="J251">
            <v>229288896</v>
          </cell>
          <cell r="K251">
            <v>-6024208168</v>
          </cell>
          <cell r="L251">
            <v>-5794919272</v>
          </cell>
        </row>
        <row r="252">
          <cell r="C252">
            <v>528100</v>
          </cell>
          <cell r="D252" t="str">
            <v>쇼핑몰판매대행수익</v>
          </cell>
          <cell r="E252">
            <v>0</v>
          </cell>
          <cell r="F252">
            <v>-154476642562</v>
          </cell>
          <cell r="G252">
            <v>7315965195</v>
          </cell>
          <cell r="H252">
            <v>-28840895137</v>
          </cell>
          <cell r="I252">
            <v>-21524929942</v>
          </cell>
          <cell r="J252">
            <v>62696596471</v>
          </cell>
          <cell r="K252">
            <v>-238698168975</v>
          </cell>
          <cell r="L252">
            <v>-176001572504</v>
          </cell>
        </row>
        <row r="253">
          <cell r="D253" t="str">
            <v>상품매출</v>
          </cell>
          <cell r="E253">
            <v>0</v>
          </cell>
          <cell r="F253">
            <v>-9824252282</v>
          </cell>
          <cell r="G253">
            <v>0</v>
          </cell>
          <cell r="H253">
            <v>-934029134</v>
          </cell>
          <cell r="I253">
            <v>-934029134</v>
          </cell>
          <cell r="J253">
            <v>2314548</v>
          </cell>
          <cell r="K253">
            <v>-10760595964</v>
          </cell>
          <cell r="L253">
            <v>-10758281416</v>
          </cell>
        </row>
        <row r="254">
          <cell r="C254">
            <v>510201</v>
          </cell>
          <cell r="D254" t="str">
            <v>제품매출-국내매출</v>
          </cell>
          <cell r="E254">
            <v>0</v>
          </cell>
          <cell r="F254">
            <v>-8678356680</v>
          </cell>
          <cell r="G254">
            <v>0</v>
          </cell>
          <cell r="H254">
            <v>-799787334</v>
          </cell>
          <cell r="I254">
            <v>-799787334</v>
          </cell>
          <cell r="J254">
            <v>2314548</v>
          </cell>
          <cell r="K254">
            <v>-9480458562</v>
          </cell>
          <cell r="L254">
            <v>-9478144014</v>
          </cell>
        </row>
        <row r="255">
          <cell r="C255">
            <v>510202</v>
          </cell>
          <cell r="D255" t="str">
            <v>제품매출-수출매출</v>
          </cell>
          <cell r="E255">
            <v>0</v>
          </cell>
          <cell r="F255">
            <v>-1145895602</v>
          </cell>
          <cell r="G255">
            <v>0</v>
          </cell>
          <cell r="H255">
            <v>-134241800</v>
          </cell>
          <cell r="I255">
            <v>-134241800</v>
          </cell>
          <cell r="J255">
            <v>0</v>
          </cell>
          <cell r="K255">
            <v>-1280137402</v>
          </cell>
          <cell r="L255">
            <v>-1280137402</v>
          </cell>
        </row>
        <row r="256">
          <cell r="D256" t="str">
            <v>용역수익</v>
          </cell>
          <cell r="E256">
            <v>0</v>
          </cell>
          <cell r="F256">
            <v>-1461130557</v>
          </cell>
          <cell r="G256">
            <v>2225239108</v>
          </cell>
          <cell r="H256">
            <v>-2393397577</v>
          </cell>
          <cell r="I256">
            <v>-168158469</v>
          </cell>
          <cell r="J256">
            <v>22867282145</v>
          </cell>
          <cell r="K256">
            <v>-24496571171</v>
          </cell>
          <cell r="L256">
            <v>-1629289026</v>
          </cell>
        </row>
        <row r="257">
          <cell r="C257">
            <v>558850</v>
          </cell>
          <cell r="D257" t="str">
            <v>용역수익-기타(매출)</v>
          </cell>
          <cell r="E257">
            <v>0</v>
          </cell>
          <cell r="F257">
            <v>-20797359494</v>
          </cell>
          <cell r="G257">
            <v>89700</v>
          </cell>
          <cell r="H257">
            <v>-2239836154</v>
          </cell>
          <cell r="I257">
            <v>-2239746454</v>
          </cell>
          <cell r="J257">
            <v>805000</v>
          </cell>
          <cell r="K257">
            <v>-23037910948</v>
          </cell>
          <cell r="L257">
            <v>-23037105948</v>
          </cell>
        </row>
        <row r="258">
          <cell r="C258">
            <v>558860</v>
          </cell>
          <cell r="D258" t="str">
            <v>용역수익-기타(매입)</v>
          </cell>
          <cell r="E258">
            <v>0</v>
          </cell>
          <cell r="F258">
            <v>20640640237</v>
          </cell>
          <cell r="G258">
            <v>2225149408</v>
          </cell>
          <cell r="H258">
            <v>-82500</v>
          </cell>
          <cell r="I258">
            <v>2225066908</v>
          </cell>
          <cell r="J258">
            <v>22866477145</v>
          </cell>
          <cell r="K258">
            <v>-770000</v>
          </cell>
          <cell r="L258">
            <v>22865707145</v>
          </cell>
        </row>
        <row r="259">
          <cell r="C259">
            <v>558880</v>
          </cell>
          <cell r="D259" t="str">
            <v>용역수익-기타</v>
          </cell>
          <cell r="E259">
            <v>0</v>
          </cell>
          <cell r="F259">
            <v>-1304411300</v>
          </cell>
          <cell r="G259">
            <v>0</v>
          </cell>
          <cell r="H259">
            <v>-153478923</v>
          </cell>
          <cell r="I259">
            <v>-153478923</v>
          </cell>
          <cell r="J259">
            <v>0</v>
          </cell>
          <cell r="K259">
            <v>-1457890223</v>
          </cell>
          <cell r="L259">
            <v>-1457890223</v>
          </cell>
        </row>
        <row r="260">
          <cell r="D260" t="str">
            <v>기프티콘</v>
          </cell>
          <cell r="E260">
            <v>0</v>
          </cell>
          <cell r="F260">
            <v>-22165652674</v>
          </cell>
          <cell r="G260">
            <v>1252144651</v>
          </cell>
          <cell r="H260">
            <v>-3636238771</v>
          </cell>
          <cell r="I260">
            <v>-2384094120</v>
          </cell>
          <cell r="J260">
            <v>9559762793</v>
          </cell>
          <cell r="K260">
            <v>-34109509587</v>
          </cell>
          <cell r="L260">
            <v>-24549746794</v>
          </cell>
        </row>
        <row r="261">
          <cell r="C261">
            <v>558740</v>
          </cell>
          <cell r="D261" t="str">
            <v>기프티콘 미교환B2C</v>
          </cell>
          <cell r="E261">
            <v>0</v>
          </cell>
          <cell r="F261">
            <v>-148010468</v>
          </cell>
          <cell r="G261">
            <v>853730693</v>
          </cell>
          <cell r="H261">
            <v>-887913550</v>
          </cell>
          <cell r="I261">
            <v>-34182857</v>
          </cell>
          <cell r="J261">
            <v>6110479684</v>
          </cell>
          <cell r="K261">
            <v>-6292673009</v>
          </cell>
          <cell r="L261">
            <v>-182193325</v>
          </cell>
        </row>
        <row r="262">
          <cell r="C262">
            <v>558750</v>
          </cell>
          <cell r="D262" t="str">
            <v>기프티콘 B2B수수료</v>
          </cell>
          <cell r="E262">
            <v>0</v>
          </cell>
          <cell r="F262">
            <v>-521462485</v>
          </cell>
          <cell r="G262">
            <v>0</v>
          </cell>
          <cell r="H262">
            <v>-65782873</v>
          </cell>
          <cell r="I262">
            <v>-65782873</v>
          </cell>
          <cell r="J262">
            <v>0</v>
          </cell>
          <cell r="K262">
            <v>-587245358</v>
          </cell>
          <cell r="L262">
            <v>-587245358</v>
          </cell>
        </row>
        <row r="263">
          <cell r="C263">
            <v>558760</v>
          </cell>
          <cell r="D263" t="str">
            <v>기프티콘 제휴(B2C)</v>
          </cell>
          <cell r="E263">
            <v>0</v>
          </cell>
          <cell r="F263">
            <v>-14668689759</v>
          </cell>
          <cell r="G263">
            <v>398396668</v>
          </cell>
          <cell r="H263">
            <v>-1783469435</v>
          </cell>
          <cell r="I263">
            <v>-1385072767</v>
          </cell>
          <cell r="J263">
            <v>3448527842</v>
          </cell>
          <cell r="K263">
            <v>-19502290368</v>
          </cell>
          <cell r="L263">
            <v>-16053762526</v>
          </cell>
        </row>
        <row r="264">
          <cell r="C264">
            <v>558950</v>
          </cell>
          <cell r="D264" t="str">
            <v>기프티콘 미교환B2B</v>
          </cell>
          <cell r="E264">
            <v>0</v>
          </cell>
          <cell r="F264">
            <v>-3652389063</v>
          </cell>
          <cell r="G264">
            <v>17290</v>
          </cell>
          <cell r="H264">
            <v>-425010740</v>
          </cell>
          <cell r="I264">
            <v>-424993450</v>
          </cell>
          <cell r="J264">
            <v>755267</v>
          </cell>
          <cell r="K264">
            <v>-4078137780</v>
          </cell>
          <cell r="L264">
            <v>-4077382513</v>
          </cell>
        </row>
        <row r="265">
          <cell r="C265">
            <v>558960</v>
          </cell>
          <cell r="D265" t="str">
            <v>기프티콘 제휴(B2B)</v>
          </cell>
          <cell r="E265">
            <v>0</v>
          </cell>
          <cell r="F265">
            <v>-3175100899</v>
          </cell>
          <cell r="G265">
            <v>0</v>
          </cell>
          <cell r="H265">
            <v>-474062173</v>
          </cell>
          <cell r="I265">
            <v>-474062173</v>
          </cell>
          <cell r="J265">
            <v>0</v>
          </cell>
          <cell r="K265">
            <v>-3649163072</v>
          </cell>
          <cell r="L265">
            <v>-3649163072</v>
          </cell>
        </row>
        <row r="266">
          <cell r="D266" t="str">
            <v>비용</v>
          </cell>
          <cell r="E266">
            <v>0</v>
          </cell>
          <cell r="F266">
            <v>357210044589</v>
          </cell>
          <cell r="G266">
            <v>62463146907</v>
          </cell>
          <cell r="H266">
            <v>-17936443110</v>
          </cell>
          <cell r="I266">
            <v>44526703797</v>
          </cell>
          <cell r="J266">
            <v>524501684200</v>
          </cell>
          <cell r="K266">
            <v>-122764935814</v>
          </cell>
          <cell r="L266">
            <v>401736748386</v>
          </cell>
        </row>
        <row r="267">
          <cell r="D267" t="str">
            <v>판매비용</v>
          </cell>
          <cell r="E267">
            <v>0</v>
          </cell>
          <cell r="F267">
            <v>84008306239</v>
          </cell>
          <cell r="G267">
            <v>10942523934</v>
          </cell>
          <cell r="H267">
            <v>-228929974</v>
          </cell>
          <cell r="I267">
            <v>10713593960</v>
          </cell>
          <cell r="J267">
            <v>95973947761</v>
          </cell>
          <cell r="K267">
            <v>-1252047562</v>
          </cell>
          <cell r="L267">
            <v>94721900199</v>
          </cell>
        </row>
        <row r="268">
          <cell r="C268">
            <v>627100</v>
          </cell>
          <cell r="D268" t="str">
            <v>금융수수료</v>
          </cell>
          <cell r="E268">
            <v>0</v>
          </cell>
          <cell r="F268">
            <v>83780307479</v>
          </cell>
          <cell r="G268">
            <v>10899121949</v>
          </cell>
          <cell r="H268">
            <v>-226575351</v>
          </cell>
          <cell r="I268">
            <v>10672546598</v>
          </cell>
          <cell r="J268">
            <v>95640050191</v>
          </cell>
          <cell r="K268">
            <v>-1187196114</v>
          </cell>
          <cell r="L268">
            <v>94452854077</v>
          </cell>
        </row>
        <row r="269">
          <cell r="C269">
            <v>631900</v>
          </cell>
          <cell r="D269" t="str">
            <v>사내방송제작비</v>
          </cell>
          <cell r="E269">
            <v>0</v>
          </cell>
          <cell r="F269">
            <v>270679765</v>
          </cell>
          <cell r="G269">
            <v>34637717</v>
          </cell>
          <cell r="H269">
            <v>0</v>
          </cell>
          <cell r="I269">
            <v>34637717</v>
          </cell>
          <cell r="J269">
            <v>305317482</v>
          </cell>
          <cell r="K269">
            <v>0</v>
          </cell>
          <cell r="L269">
            <v>305317482</v>
          </cell>
        </row>
        <row r="270">
          <cell r="C270">
            <v>660100</v>
          </cell>
          <cell r="D270" t="str">
            <v>대손상각비</v>
          </cell>
          <cell r="E270">
            <v>0</v>
          </cell>
          <cell r="F270">
            <v>-42681005</v>
          </cell>
          <cell r="G270">
            <v>8764268</v>
          </cell>
          <cell r="H270">
            <v>-2354623</v>
          </cell>
          <cell r="I270">
            <v>6409645</v>
          </cell>
          <cell r="J270">
            <v>28580088</v>
          </cell>
          <cell r="K270">
            <v>-64851448</v>
          </cell>
          <cell r="L270">
            <v>-36271360</v>
          </cell>
        </row>
        <row r="271">
          <cell r="D271" t="str">
            <v>복리후생비</v>
          </cell>
          <cell r="E271">
            <v>0</v>
          </cell>
          <cell r="F271">
            <v>13162228665</v>
          </cell>
          <cell r="G271">
            <v>3645786547</v>
          </cell>
          <cell r="H271">
            <v>-2000313601</v>
          </cell>
          <cell r="I271">
            <v>1645472946</v>
          </cell>
          <cell r="J271">
            <v>18385457334</v>
          </cell>
          <cell r="K271">
            <v>-3577755723</v>
          </cell>
          <cell r="L271">
            <v>14807701611</v>
          </cell>
        </row>
        <row r="272">
          <cell r="C272">
            <v>603100</v>
          </cell>
          <cell r="D272" t="str">
            <v>급여성복리비</v>
          </cell>
          <cell r="E272">
            <v>0</v>
          </cell>
          <cell r="F272">
            <v>3059335530</v>
          </cell>
          <cell r="G272">
            <v>388707240</v>
          </cell>
          <cell r="H272">
            <v>0</v>
          </cell>
          <cell r="I272">
            <v>388707240</v>
          </cell>
          <cell r="J272">
            <v>3452527770</v>
          </cell>
          <cell r="K272">
            <v>-4485000</v>
          </cell>
          <cell r="L272">
            <v>3448042770</v>
          </cell>
        </row>
        <row r="273">
          <cell r="C273">
            <v>603200</v>
          </cell>
          <cell r="D273" t="str">
            <v>의료보험법정지원금</v>
          </cell>
          <cell r="E273">
            <v>0</v>
          </cell>
          <cell r="F273">
            <v>1936659048</v>
          </cell>
          <cell r="G273">
            <v>258894890</v>
          </cell>
          <cell r="H273">
            <v>-199890</v>
          </cell>
          <cell r="I273">
            <v>258695000</v>
          </cell>
          <cell r="J273">
            <v>2204953657</v>
          </cell>
          <cell r="K273">
            <v>-9599609</v>
          </cell>
          <cell r="L273">
            <v>2195354048</v>
          </cell>
        </row>
        <row r="274">
          <cell r="C274">
            <v>603210</v>
          </cell>
          <cell r="D274" t="str">
            <v>국민연금법정지원금</v>
          </cell>
          <cell r="E274">
            <v>0</v>
          </cell>
          <cell r="F274">
            <v>1642468164</v>
          </cell>
          <cell r="G274">
            <v>217748460</v>
          </cell>
          <cell r="H274">
            <v>-112820</v>
          </cell>
          <cell r="I274">
            <v>217635640</v>
          </cell>
          <cell r="J274">
            <v>1864400371</v>
          </cell>
          <cell r="K274">
            <v>-4296567</v>
          </cell>
          <cell r="L274">
            <v>1860103804</v>
          </cell>
        </row>
        <row r="275">
          <cell r="C275">
            <v>603220</v>
          </cell>
          <cell r="D275" t="str">
            <v>산재보험법정지원금</v>
          </cell>
          <cell r="E275">
            <v>0</v>
          </cell>
          <cell r="F275">
            <v>528600110</v>
          </cell>
          <cell r="G275">
            <v>61635860</v>
          </cell>
          <cell r="H275">
            <v>0</v>
          </cell>
          <cell r="I275">
            <v>61635860</v>
          </cell>
          <cell r="J275">
            <v>590235970</v>
          </cell>
          <cell r="K275">
            <v>0</v>
          </cell>
          <cell r="L275">
            <v>590235970</v>
          </cell>
        </row>
        <row r="276">
          <cell r="C276">
            <v>603230</v>
          </cell>
          <cell r="D276" t="str">
            <v>고용보험법정지원금</v>
          </cell>
          <cell r="E276">
            <v>0</v>
          </cell>
          <cell r="F276">
            <v>900102570</v>
          </cell>
          <cell r="G276">
            <v>105074120</v>
          </cell>
          <cell r="H276">
            <v>0</v>
          </cell>
          <cell r="I276">
            <v>105074120</v>
          </cell>
          <cell r="J276">
            <v>1005176690</v>
          </cell>
          <cell r="K276">
            <v>0</v>
          </cell>
          <cell r="L276">
            <v>1005176690</v>
          </cell>
        </row>
        <row r="277">
          <cell r="C277">
            <v>603300</v>
          </cell>
          <cell r="D277" t="str">
            <v>일반복리건강지원</v>
          </cell>
          <cell r="E277">
            <v>0</v>
          </cell>
          <cell r="F277">
            <v>82942600</v>
          </cell>
          <cell r="G277">
            <v>58287041</v>
          </cell>
          <cell r="H277">
            <v>0</v>
          </cell>
          <cell r="I277">
            <v>58287041</v>
          </cell>
          <cell r="J277">
            <v>141229641</v>
          </cell>
          <cell r="K277">
            <v>0</v>
          </cell>
          <cell r="L277">
            <v>141229641</v>
          </cell>
        </row>
        <row r="278">
          <cell r="C278">
            <v>603310</v>
          </cell>
          <cell r="D278" t="str">
            <v>일반복리경조/화환</v>
          </cell>
          <cell r="E278">
            <v>0</v>
          </cell>
          <cell r="F278">
            <v>10167271</v>
          </cell>
          <cell r="G278">
            <v>1022727</v>
          </cell>
          <cell r="H278">
            <v>0</v>
          </cell>
          <cell r="I278">
            <v>1022727</v>
          </cell>
          <cell r="J278">
            <v>11189998</v>
          </cell>
          <cell r="K278">
            <v>0</v>
          </cell>
          <cell r="L278">
            <v>11189998</v>
          </cell>
        </row>
        <row r="279">
          <cell r="C279">
            <v>603390</v>
          </cell>
          <cell r="D279" t="str">
            <v>기타일반복리비</v>
          </cell>
          <cell r="E279">
            <v>0</v>
          </cell>
          <cell r="F279">
            <v>3982333918</v>
          </cell>
          <cell r="G279">
            <v>2349703332</v>
          </cell>
          <cell r="H279">
            <v>-2000000000</v>
          </cell>
          <cell r="I279">
            <v>349703332</v>
          </cell>
          <cell r="J279">
            <v>7832037250</v>
          </cell>
          <cell r="K279">
            <v>-3500000000</v>
          </cell>
          <cell r="L279">
            <v>4332037250</v>
          </cell>
        </row>
        <row r="280">
          <cell r="C280">
            <v>603392</v>
          </cell>
          <cell r="D280" t="str">
            <v>장기근속-당기근무-종</v>
          </cell>
          <cell r="E280">
            <v>0</v>
          </cell>
          <cell r="F280">
            <v>353118321</v>
          </cell>
          <cell r="G280">
            <v>44139790</v>
          </cell>
          <cell r="H280">
            <v>0</v>
          </cell>
          <cell r="I280">
            <v>44139790</v>
          </cell>
          <cell r="J280">
            <v>397258111</v>
          </cell>
          <cell r="K280">
            <v>0</v>
          </cell>
          <cell r="L280">
            <v>397258111</v>
          </cell>
        </row>
        <row r="281">
          <cell r="C281">
            <v>603393</v>
          </cell>
          <cell r="D281" t="str">
            <v>장기근속-이자원가-종</v>
          </cell>
          <cell r="E281">
            <v>0</v>
          </cell>
          <cell r="F281">
            <v>33298682</v>
          </cell>
          <cell r="G281">
            <v>4162336</v>
          </cell>
          <cell r="H281">
            <v>0</v>
          </cell>
          <cell r="I281">
            <v>4162336</v>
          </cell>
          <cell r="J281">
            <v>37461018</v>
          </cell>
          <cell r="K281">
            <v>0</v>
          </cell>
          <cell r="L281">
            <v>37461018</v>
          </cell>
        </row>
        <row r="282">
          <cell r="C282">
            <v>603400</v>
          </cell>
          <cell r="D282" t="str">
            <v>복지시설운영비</v>
          </cell>
          <cell r="E282">
            <v>0</v>
          </cell>
          <cell r="F282">
            <v>297126562</v>
          </cell>
          <cell r="G282">
            <v>76679105</v>
          </cell>
          <cell r="H282">
            <v>0</v>
          </cell>
          <cell r="I282">
            <v>76679105</v>
          </cell>
          <cell r="J282">
            <v>433179323</v>
          </cell>
          <cell r="K282">
            <v>-59373656</v>
          </cell>
          <cell r="L282">
            <v>373805667</v>
          </cell>
        </row>
        <row r="283">
          <cell r="C283">
            <v>603600</v>
          </cell>
          <cell r="D283" t="str">
            <v>특근자석식비</v>
          </cell>
          <cell r="E283">
            <v>0</v>
          </cell>
          <cell r="F283">
            <v>247121000</v>
          </cell>
          <cell r="G283">
            <v>31801000</v>
          </cell>
          <cell r="H283">
            <v>0</v>
          </cell>
          <cell r="I283">
            <v>31801000</v>
          </cell>
          <cell r="J283">
            <v>278922000</v>
          </cell>
          <cell r="K283">
            <v>0</v>
          </cell>
          <cell r="L283">
            <v>278922000</v>
          </cell>
        </row>
        <row r="284">
          <cell r="C284">
            <v>603790</v>
          </cell>
          <cell r="D284" t="str">
            <v>기타후생복리비</v>
          </cell>
          <cell r="E284">
            <v>0</v>
          </cell>
          <cell r="F284">
            <v>74502006</v>
          </cell>
          <cell r="G284">
            <v>24927273</v>
          </cell>
          <cell r="H284">
            <v>-891</v>
          </cell>
          <cell r="I284">
            <v>24926382</v>
          </cell>
          <cell r="J284">
            <v>99429279</v>
          </cell>
          <cell r="K284">
            <v>-891</v>
          </cell>
          <cell r="L284">
            <v>99428388</v>
          </cell>
        </row>
        <row r="285">
          <cell r="C285">
            <v>654100</v>
          </cell>
          <cell r="D285" t="str">
            <v>포상비</v>
          </cell>
          <cell r="E285">
            <v>0</v>
          </cell>
          <cell r="F285">
            <v>14452883</v>
          </cell>
          <cell r="G285">
            <v>23003373</v>
          </cell>
          <cell r="H285">
            <v>0</v>
          </cell>
          <cell r="I285">
            <v>23003373</v>
          </cell>
          <cell r="J285">
            <v>37456256</v>
          </cell>
          <cell r="K285">
            <v>0</v>
          </cell>
          <cell r="L285">
            <v>37456256</v>
          </cell>
        </row>
        <row r="286">
          <cell r="D286" t="str">
            <v>급여</v>
          </cell>
          <cell r="E286">
            <v>0</v>
          </cell>
          <cell r="F286">
            <v>60021185590</v>
          </cell>
          <cell r="G286">
            <v>12984156848</v>
          </cell>
          <cell r="H286">
            <v>-5711188895</v>
          </cell>
          <cell r="I286">
            <v>7272967953</v>
          </cell>
          <cell r="J286">
            <v>107243529234</v>
          </cell>
          <cell r="K286">
            <v>-39949375691</v>
          </cell>
          <cell r="L286">
            <v>67294153543</v>
          </cell>
        </row>
        <row r="287">
          <cell r="C287">
            <v>600100</v>
          </cell>
          <cell r="D287" t="str">
            <v>임원급여-급여</v>
          </cell>
          <cell r="E287">
            <v>0</v>
          </cell>
          <cell r="F287">
            <v>1590423954</v>
          </cell>
          <cell r="G287">
            <v>213754000</v>
          </cell>
          <cell r="H287">
            <v>-30660000</v>
          </cell>
          <cell r="I287">
            <v>183094000</v>
          </cell>
          <cell r="J287">
            <v>1931786000</v>
          </cell>
          <cell r="K287">
            <v>-158268046</v>
          </cell>
          <cell r="L287">
            <v>1773517954</v>
          </cell>
        </row>
        <row r="288">
          <cell r="C288">
            <v>600102</v>
          </cell>
          <cell r="D288" t="str">
            <v>임원급여-상여</v>
          </cell>
          <cell r="E288">
            <v>0</v>
          </cell>
          <cell r="F288">
            <v>2506658000</v>
          </cell>
          <cell r="G288">
            <v>0</v>
          </cell>
          <cell r="H288">
            <v>0</v>
          </cell>
          <cell r="I288">
            <v>0</v>
          </cell>
          <cell r="J288">
            <v>2506658000</v>
          </cell>
          <cell r="K288">
            <v>0</v>
          </cell>
          <cell r="L288">
            <v>2506658000</v>
          </cell>
        </row>
        <row r="289">
          <cell r="C289">
            <v>600200</v>
          </cell>
          <cell r="D289" t="str">
            <v>기본급</v>
          </cell>
          <cell r="E289">
            <v>0</v>
          </cell>
          <cell r="F289">
            <v>22460884990</v>
          </cell>
          <cell r="G289">
            <v>2851987890</v>
          </cell>
          <cell r="H289">
            <v>-25777810</v>
          </cell>
          <cell r="I289">
            <v>2826210080</v>
          </cell>
          <cell r="J289">
            <v>25578895231</v>
          </cell>
          <cell r="K289">
            <v>-291800161</v>
          </cell>
          <cell r="L289">
            <v>25287095070</v>
          </cell>
        </row>
        <row r="290">
          <cell r="C290">
            <v>600300</v>
          </cell>
          <cell r="D290" t="str">
            <v>정기상여금</v>
          </cell>
          <cell r="E290">
            <v>0</v>
          </cell>
          <cell r="F290">
            <v>14974430660</v>
          </cell>
          <cell r="G290">
            <v>1900841630</v>
          </cell>
          <cell r="H290">
            <v>-17186190</v>
          </cell>
          <cell r="I290">
            <v>1883655440</v>
          </cell>
          <cell r="J290">
            <v>17052554627</v>
          </cell>
          <cell r="K290">
            <v>-194468527</v>
          </cell>
          <cell r="L290">
            <v>16858086100</v>
          </cell>
        </row>
        <row r="291">
          <cell r="C291">
            <v>600310</v>
          </cell>
          <cell r="D291" t="str">
            <v>특별상여금</v>
          </cell>
          <cell r="E291">
            <v>0</v>
          </cell>
          <cell r="F291">
            <v>7310050950</v>
          </cell>
          <cell r="G291">
            <v>1129661620</v>
          </cell>
          <cell r="H291">
            <v>-44444480</v>
          </cell>
          <cell r="I291">
            <v>1085217140</v>
          </cell>
          <cell r="J291">
            <v>8889071030</v>
          </cell>
          <cell r="K291">
            <v>-493802940</v>
          </cell>
          <cell r="L291">
            <v>8395268090</v>
          </cell>
        </row>
        <row r="292">
          <cell r="C292">
            <v>600400</v>
          </cell>
          <cell r="D292" t="str">
            <v>초과근무수당</v>
          </cell>
          <cell r="E292">
            <v>0</v>
          </cell>
          <cell r="F292">
            <v>5140318490</v>
          </cell>
          <cell r="G292">
            <v>654747410</v>
          </cell>
          <cell r="H292">
            <v>-5545330</v>
          </cell>
          <cell r="I292">
            <v>649202080</v>
          </cell>
          <cell r="J292">
            <v>5852936766</v>
          </cell>
          <cell r="K292">
            <v>-63416196</v>
          </cell>
          <cell r="L292">
            <v>5789520570</v>
          </cell>
        </row>
        <row r="293">
          <cell r="C293">
            <v>600410</v>
          </cell>
          <cell r="D293" t="str">
            <v>야간근무수당</v>
          </cell>
          <cell r="E293">
            <v>0</v>
          </cell>
          <cell r="F293">
            <v>123097370</v>
          </cell>
          <cell r="G293">
            <v>11104710</v>
          </cell>
          <cell r="H293">
            <v>0</v>
          </cell>
          <cell r="I293">
            <v>11104710</v>
          </cell>
          <cell r="J293">
            <v>134202080</v>
          </cell>
          <cell r="K293">
            <v>0</v>
          </cell>
          <cell r="L293">
            <v>134202080</v>
          </cell>
        </row>
        <row r="294">
          <cell r="C294">
            <v>600420</v>
          </cell>
          <cell r="D294" t="str">
            <v>휴일근무수당</v>
          </cell>
          <cell r="E294">
            <v>0</v>
          </cell>
          <cell r="F294">
            <v>279993200</v>
          </cell>
          <cell r="G294">
            <v>23491580</v>
          </cell>
          <cell r="H294">
            <v>0</v>
          </cell>
          <cell r="I294">
            <v>23491580</v>
          </cell>
          <cell r="J294">
            <v>303484780</v>
          </cell>
          <cell r="K294">
            <v>0</v>
          </cell>
          <cell r="L294">
            <v>303484780</v>
          </cell>
        </row>
        <row r="295">
          <cell r="C295">
            <v>600430</v>
          </cell>
          <cell r="D295" t="str">
            <v>연월차수당</v>
          </cell>
          <cell r="E295">
            <v>0</v>
          </cell>
          <cell r="F295">
            <v>147081760</v>
          </cell>
          <cell r="G295">
            <v>10734120</v>
          </cell>
          <cell r="H295">
            <v>0</v>
          </cell>
          <cell r="I295">
            <v>10734120</v>
          </cell>
          <cell r="J295">
            <v>158087200</v>
          </cell>
          <cell r="K295">
            <v>-271320</v>
          </cell>
          <cell r="L295">
            <v>157815880</v>
          </cell>
        </row>
        <row r="296">
          <cell r="C296">
            <v>600431</v>
          </cell>
          <cell r="D296" t="str">
            <v>연월차수당_조정</v>
          </cell>
          <cell r="E296">
            <v>0</v>
          </cell>
          <cell r="F296">
            <v>1647716855</v>
          </cell>
          <cell r="G296">
            <v>5723053398</v>
          </cell>
          <cell r="H296">
            <v>-5587575085</v>
          </cell>
          <cell r="I296">
            <v>135478313</v>
          </cell>
          <cell r="J296">
            <v>40521314210</v>
          </cell>
          <cell r="K296">
            <v>-38738119042</v>
          </cell>
          <cell r="L296">
            <v>1783195168</v>
          </cell>
        </row>
        <row r="297">
          <cell r="C297">
            <v>600490</v>
          </cell>
          <cell r="D297" t="str">
            <v>기타수당</v>
          </cell>
          <cell r="E297">
            <v>0</v>
          </cell>
          <cell r="F297">
            <v>57769920</v>
          </cell>
          <cell r="G297">
            <v>0</v>
          </cell>
          <cell r="H297">
            <v>0</v>
          </cell>
          <cell r="I297">
            <v>0</v>
          </cell>
          <cell r="J297">
            <v>57769920</v>
          </cell>
          <cell r="K297">
            <v>0</v>
          </cell>
          <cell r="L297">
            <v>57769920</v>
          </cell>
        </row>
        <row r="298">
          <cell r="C298">
            <v>600500</v>
          </cell>
          <cell r="D298" t="str">
            <v>계약직급여</v>
          </cell>
          <cell r="E298">
            <v>0</v>
          </cell>
          <cell r="F298">
            <v>661652342</v>
          </cell>
          <cell r="G298">
            <v>106937620</v>
          </cell>
          <cell r="H298">
            <v>0</v>
          </cell>
          <cell r="I298">
            <v>106937620</v>
          </cell>
          <cell r="J298">
            <v>772764270</v>
          </cell>
          <cell r="K298">
            <v>-4174308</v>
          </cell>
          <cell r="L298">
            <v>768589962</v>
          </cell>
        </row>
        <row r="299">
          <cell r="C299">
            <v>600700</v>
          </cell>
          <cell r="D299" t="str">
            <v>용역직인건비</v>
          </cell>
          <cell r="E299">
            <v>0</v>
          </cell>
          <cell r="F299">
            <v>3121107099</v>
          </cell>
          <cell r="G299">
            <v>357842870</v>
          </cell>
          <cell r="H299">
            <v>0</v>
          </cell>
          <cell r="I299">
            <v>357842870</v>
          </cell>
          <cell r="J299">
            <v>3484005120</v>
          </cell>
          <cell r="K299">
            <v>-5055151</v>
          </cell>
          <cell r="L299">
            <v>3478949969</v>
          </cell>
        </row>
        <row r="300">
          <cell r="D300" t="str">
            <v>전용회선료</v>
          </cell>
          <cell r="E300">
            <v>0</v>
          </cell>
          <cell r="F300">
            <v>1021300179</v>
          </cell>
          <cell r="G300">
            <v>155264808</v>
          </cell>
          <cell r="H300">
            <v>0</v>
          </cell>
          <cell r="I300">
            <v>155264808</v>
          </cell>
          <cell r="J300">
            <v>1176564987</v>
          </cell>
          <cell r="K300">
            <v>0</v>
          </cell>
          <cell r="L300">
            <v>1176564987</v>
          </cell>
        </row>
        <row r="301">
          <cell r="C301">
            <v>610900</v>
          </cell>
          <cell r="D301" t="str">
            <v>기타전용회선료</v>
          </cell>
          <cell r="E301">
            <v>0</v>
          </cell>
          <cell r="F301">
            <v>1021300179</v>
          </cell>
          <cell r="G301">
            <v>155264808</v>
          </cell>
          <cell r="H301">
            <v>0</v>
          </cell>
          <cell r="I301">
            <v>155264808</v>
          </cell>
          <cell r="J301">
            <v>1176564987</v>
          </cell>
          <cell r="K301">
            <v>0</v>
          </cell>
          <cell r="L301">
            <v>1176564987</v>
          </cell>
        </row>
        <row r="302">
          <cell r="D302" t="str">
            <v>퇴직급여</v>
          </cell>
          <cell r="E302">
            <v>0</v>
          </cell>
          <cell r="F302">
            <v>4611515416</v>
          </cell>
          <cell r="G302">
            <v>687327415</v>
          </cell>
          <cell r="H302">
            <v>-55749312</v>
          </cell>
          <cell r="I302">
            <v>631578103</v>
          </cell>
          <cell r="J302">
            <v>5744837329</v>
          </cell>
          <cell r="K302">
            <v>-501743810</v>
          </cell>
          <cell r="L302">
            <v>5243093519</v>
          </cell>
        </row>
        <row r="303">
          <cell r="C303">
            <v>602110</v>
          </cell>
          <cell r="D303" t="str">
            <v>퇴직급여-당기근무-종</v>
          </cell>
          <cell r="E303">
            <v>0</v>
          </cell>
          <cell r="F303">
            <v>4274351056</v>
          </cell>
          <cell r="G303">
            <v>589432559</v>
          </cell>
          <cell r="H303">
            <v>0</v>
          </cell>
          <cell r="I303">
            <v>589432559</v>
          </cell>
          <cell r="J303">
            <v>4863783615</v>
          </cell>
          <cell r="K303">
            <v>0</v>
          </cell>
          <cell r="L303">
            <v>4863783615</v>
          </cell>
        </row>
        <row r="304">
          <cell r="C304">
            <v>602112</v>
          </cell>
          <cell r="D304" t="str">
            <v>퇴직급여-당기근무-임</v>
          </cell>
          <cell r="E304">
            <v>0</v>
          </cell>
          <cell r="F304">
            <v>251978804</v>
          </cell>
          <cell r="G304">
            <v>31497350</v>
          </cell>
          <cell r="H304">
            <v>0</v>
          </cell>
          <cell r="I304">
            <v>31497350</v>
          </cell>
          <cell r="J304">
            <v>283476154</v>
          </cell>
          <cell r="K304">
            <v>0</v>
          </cell>
          <cell r="L304">
            <v>283476154</v>
          </cell>
        </row>
        <row r="305">
          <cell r="C305">
            <v>602130</v>
          </cell>
          <cell r="D305" t="str">
            <v>퇴직급여-이자비용-종</v>
          </cell>
          <cell r="E305">
            <v>0</v>
          </cell>
          <cell r="F305">
            <v>514382380</v>
          </cell>
          <cell r="G305">
            <v>64297797</v>
          </cell>
          <cell r="H305">
            <v>0</v>
          </cell>
          <cell r="I305">
            <v>64297797</v>
          </cell>
          <cell r="J305">
            <v>578680177</v>
          </cell>
          <cell r="K305">
            <v>0</v>
          </cell>
          <cell r="L305">
            <v>578680177</v>
          </cell>
        </row>
        <row r="306">
          <cell r="C306">
            <v>602131</v>
          </cell>
          <cell r="D306" t="str">
            <v>퇴직급여-이자비용-임</v>
          </cell>
          <cell r="E306">
            <v>0</v>
          </cell>
          <cell r="F306">
            <v>16797674</v>
          </cell>
          <cell r="G306">
            <v>2099709</v>
          </cell>
          <cell r="H306">
            <v>0</v>
          </cell>
          <cell r="I306">
            <v>2099709</v>
          </cell>
          <cell r="J306">
            <v>18897383</v>
          </cell>
          <cell r="K306">
            <v>0</v>
          </cell>
          <cell r="L306">
            <v>18897383</v>
          </cell>
        </row>
        <row r="307">
          <cell r="C307">
            <v>602140</v>
          </cell>
          <cell r="D307" t="str">
            <v>퇴직급여-기대수익-종</v>
          </cell>
          <cell r="E307">
            <v>0</v>
          </cell>
          <cell r="F307">
            <v>-420496898</v>
          </cell>
          <cell r="G307">
            <v>0</v>
          </cell>
          <cell r="H307">
            <v>-52562112</v>
          </cell>
          <cell r="I307">
            <v>-52562112</v>
          </cell>
          <cell r="J307">
            <v>0</v>
          </cell>
          <cell r="K307">
            <v>-473059010</v>
          </cell>
          <cell r="L307">
            <v>-473059010</v>
          </cell>
        </row>
        <row r="308">
          <cell r="C308">
            <v>602141</v>
          </cell>
          <cell r="D308" t="str">
            <v>퇴직급여-기대수익-임</v>
          </cell>
          <cell r="E308">
            <v>0</v>
          </cell>
          <cell r="F308">
            <v>-25497600</v>
          </cell>
          <cell r="G308">
            <v>0</v>
          </cell>
          <cell r="H308">
            <v>-3187200</v>
          </cell>
          <cell r="I308">
            <v>-3187200</v>
          </cell>
          <cell r="J308">
            <v>0</v>
          </cell>
          <cell r="K308">
            <v>-28684800</v>
          </cell>
          <cell r="L308">
            <v>-28684800</v>
          </cell>
        </row>
        <row r="309">
          <cell r="D309" t="str">
            <v>고객유지</v>
          </cell>
          <cell r="E309">
            <v>0</v>
          </cell>
          <cell r="F309">
            <v>33553264236</v>
          </cell>
          <cell r="G309">
            <v>11249995476</v>
          </cell>
          <cell r="H309">
            <v>-7119311640</v>
          </cell>
          <cell r="I309">
            <v>4130683836</v>
          </cell>
          <cell r="J309">
            <v>96087613940</v>
          </cell>
          <cell r="K309">
            <v>-58403665868</v>
          </cell>
          <cell r="L309">
            <v>37683948072</v>
          </cell>
        </row>
        <row r="310">
          <cell r="C310">
            <v>624300</v>
          </cell>
          <cell r="D310" t="str">
            <v>고객유지판촉비</v>
          </cell>
          <cell r="E310">
            <v>0</v>
          </cell>
          <cell r="F310">
            <v>33553264236</v>
          </cell>
          <cell r="G310">
            <v>11249995476</v>
          </cell>
          <cell r="H310">
            <v>-7119311640</v>
          </cell>
          <cell r="I310">
            <v>4130683836</v>
          </cell>
          <cell r="J310">
            <v>96087613940</v>
          </cell>
          <cell r="K310">
            <v>-58403665868</v>
          </cell>
          <cell r="L310">
            <v>37683948072</v>
          </cell>
        </row>
        <row r="311">
          <cell r="D311" t="str">
            <v>사옥관리비</v>
          </cell>
          <cell r="E311">
            <v>0</v>
          </cell>
          <cell r="F311">
            <v>3799326883</v>
          </cell>
          <cell r="G311">
            <v>2268712035</v>
          </cell>
          <cell r="H311">
            <v>-1787242592</v>
          </cell>
          <cell r="I311">
            <v>481469443</v>
          </cell>
          <cell r="J311">
            <v>15350111598</v>
          </cell>
          <cell r="K311">
            <v>-11069315272</v>
          </cell>
          <cell r="L311">
            <v>4280796326</v>
          </cell>
        </row>
        <row r="312">
          <cell r="C312">
            <v>625300</v>
          </cell>
          <cell r="D312" t="str">
            <v>사옥관리용역비</v>
          </cell>
          <cell r="E312">
            <v>0</v>
          </cell>
          <cell r="F312">
            <v>3789366792</v>
          </cell>
          <cell r="G312">
            <v>485169443</v>
          </cell>
          <cell r="H312">
            <v>-3700000</v>
          </cell>
          <cell r="I312">
            <v>481469443</v>
          </cell>
          <cell r="J312">
            <v>4311356235</v>
          </cell>
          <cell r="K312">
            <v>-40520000</v>
          </cell>
          <cell r="L312">
            <v>4270836235</v>
          </cell>
        </row>
        <row r="313">
          <cell r="C313">
            <v>634300</v>
          </cell>
          <cell r="D313" t="str">
            <v>사옥수리비</v>
          </cell>
          <cell r="E313">
            <v>0</v>
          </cell>
          <cell r="F313">
            <v>9460091</v>
          </cell>
          <cell r="G313">
            <v>0</v>
          </cell>
          <cell r="H313">
            <v>0</v>
          </cell>
          <cell r="I313">
            <v>0</v>
          </cell>
          <cell r="J313">
            <v>9460091</v>
          </cell>
          <cell r="K313">
            <v>0</v>
          </cell>
          <cell r="L313">
            <v>9460091</v>
          </cell>
        </row>
        <row r="314">
          <cell r="C314">
            <v>634400</v>
          </cell>
          <cell r="D314" t="str">
            <v>사무집기수선비</v>
          </cell>
          <cell r="E314">
            <v>0</v>
          </cell>
          <cell r="F314">
            <v>500000</v>
          </cell>
          <cell r="G314">
            <v>0</v>
          </cell>
          <cell r="H314">
            <v>0</v>
          </cell>
          <cell r="I314">
            <v>0</v>
          </cell>
          <cell r="J314">
            <v>500000</v>
          </cell>
          <cell r="K314">
            <v>0</v>
          </cell>
          <cell r="L314">
            <v>500000</v>
          </cell>
        </row>
        <row r="315">
          <cell r="C315">
            <v>635200</v>
          </cell>
          <cell r="D315" t="str">
            <v>사무실임차료</v>
          </cell>
          <cell r="E315">
            <v>0</v>
          </cell>
          <cell r="F315">
            <v>0</v>
          </cell>
          <cell r="G315">
            <v>1778702136</v>
          </cell>
          <cell r="H315">
            <v>-1778702136</v>
          </cell>
          <cell r="I315">
            <v>0</v>
          </cell>
          <cell r="J315">
            <v>10984359624</v>
          </cell>
          <cell r="K315">
            <v>-10984359624</v>
          </cell>
          <cell r="L315">
            <v>0</v>
          </cell>
        </row>
        <row r="316">
          <cell r="C316">
            <v>635600</v>
          </cell>
          <cell r="D316" t="str">
            <v>사무집기임차료</v>
          </cell>
          <cell r="E316">
            <v>0</v>
          </cell>
          <cell r="F316">
            <v>0</v>
          </cell>
          <cell r="G316">
            <v>4840456</v>
          </cell>
          <cell r="H316">
            <v>-4840456</v>
          </cell>
          <cell r="I316">
            <v>0</v>
          </cell>
          <cell r="J316">
            <v>44435648</v>
          </cell>
          <cell r="K316">
            <v>-44435648</v>
          </cell>
          <cell r="L316">
            <v>0</v>
          </cell>
        </row>
        <row r="317">
          <cell r="D317" t="str">
            <v>외주용역비</v>
          </cell>
          <cell r="E317">
            <v>0</v>
          </cell>
          <cell r="F317">
            <v>36461438147</v>
          </cell>
          <cell r="G317">
            <v>4633012624</v>
          </cell>
          <cell r="H317">
            <v>-225032498</v>
          </cell>
          <cell r="I317">
            <v>4407980126</v>
          </cell>
          <cell r="J317">
            <v>41804372442</v>
          </cell>
          <cell r="K317">
            <v>-934954169</v>
          </cell>
          <cell r="L317">
            <v>40869418273</v>
          </cell>
        </row>
        <row r="318">
          <cell r="C318">
            <v>625200</v>
          </cell>
          <cell r="D318" t="str">
            <v>일반조사용역비</v>
          </cell>
          <cell r="E318">
            <v>0</v>
          </cell>
          <cell r="F318">
            <v>27800000</v>
          </cell>
          <cell r="G318">
            <v>0</v>
          </cell>
          <cell r="H318">
            <v>0</v>
          </cell>
          <cell r="I318">
            <v>0</v>
          </cell>
          <cell r="J318">
            <v>27800000</v>
          </cell>
          <cell r="K318">
            <v>0</v>
          </cell>
          <cell r="L318">
            <v>27800000</v>
          </cell>
        </row>
        <row r="319">
          <cell r="C319">
            <v>625900</v>
          </cell>
          <cell r="D319" t="str">
            <v>기타외주용역비</v>
          </cell>
          <cell r="E319">
            <v>0</v>
          </cell>
          <cell r="F319">
            <v>8028791075</v>
          </cell>
          <cell r="G319">
            <v>1474421679</v>
          </cell>
          <cell r="H319">
            <v>-216864943</v>
          </cell>
          <cell r="I319">
            <v>1257556736</v>
          </cell>
          <cell r="J319">
            <v>9509879420</v>
          </cell>
          <cell r="K319">
            <v>-223531609</v>
          </cell>
          <cell r="L319">
            <v>9286347811</v>
          </cell>
        </row>
        <row r="320">
          <cell r="C320">
            <v>625910</v>
          </cell>
          <cell r="D320" t="str">
            <v>외주용역비_시스템</v>
          </cell>
          <cell r="E320">
            <v>0</v>
          </cell>
          <cell r="F320">
            <v>14567502752</v>
          </cell>
          <cell r="G320">
            <v>1592037866</v>
          </cell>
          <cell r="H320">
            <v>0</v>
          </cell>
          <cell r="I320">
            <v>1592037866</v>
          </cell>
          <cell r="J320">
            <v>16529539618</v>
          </cell>
          <cell r="K320">
            <v>-369999000</v>
          </cell>
          <cell r="L320">
            <v>16159540618</v>
          </cell>
        </row>
        <row r="321">
          <cell r="C321">
            <v>625930</v>
          </cell>
          <cell r="D321" t="str">
            <v>외주용역비_콜센터</v>
          </cell>
          <cell r="E321">
            <v>0</v>
          </cell>
          <cell r="F321">
            <v>13837344320</v>
          </cell>
          <cell r="G321">
            <v>1566553079</v>
          </cell>
          <cell r="H321">
            <v>-8167555</v>
          </cell>
          <cell r="I321">
            <v>1558385524</v>
          </cell>
          <cell r="J321">
            <v>15737153404</v>
          </cell>
          <cell r="K321">
            <v>-341423560</v>
          </cell>
          <cell r="L321">
            <v>15395729844</v>
          </cell>
        </row>
        <row r="322">
          <cell r="D322" t="str">
            <v>일반수수료</v>
          </cell>
          <cell r="E322">
            <v>0</v>
          </cell>
          <cell r="F322">
            <v>16641338273</v>
          </cell>
          <cell r="G322">
            <v>2860884718</v>
          </cell>
          <cell r="H322">
            <v>-290416215</v>
          </cell>
          <cell r="I322">
            <v>2570468503</v>
          </cell>
          <cell r="J322">
            <v>19606181798</v>
          </cell>
          <cell r="K322">
            <v>-394375022</v>
          </cell>
          <cell r="L322">
            <v>19211806776</v>
          </cell>
        </row>
        <row r="323">
          <cell r="C323">
            <v>626100</v>
          </cell>
          <cell r="D323" t="str">
            <v>자문수수료</v>
          </cell>
          <cell r="E323">
            <v>0</v>
          </cell>
          <cell r="F323">
            <v>1094708460</v>
          </cell>
          <cell r="G323">
            <v>543360900</v>
          </cell>
          <cell r="H323">
            <v>0</v>
          </cell>
          <cell r="I323">
            <v>543360900</v>
          </cell>
          <cell r="J323">
            <v>1638069360</v>
          </cell>
          <cell r="K323">
            <v>0</v>
          </cell>
          <cell r="L323">
            <v>1638069360</v>
          </cell>
        </row>
        <row r="324">
          <cell r="C324">
            <v>626170</v>
          </cell>
          <cell r="D324" t="str">
            <v>일반수수료-변동</v>
          </cell>
          <cell r="E324">
            <v>0</v>
          </cell>
          <cell r="F324">
            <v>9454422071</v>
          </cell>
          <cell r="G324">
            <v>1217757972</v>
          </cell>
          <cell r="H324">
            <v>-190950</v>
          </cell>
          <cell r="I324">
            <v>1217567022</v>
          </cell>
          <cell r="J324">
            <v>10678201421</v>
          </cell>
          <cell r="K324">
            <v>-6212328</v>
          </cell>
          <cell r="L324">
            <v>10671989093</v>
          </cell>
        </row>
        <row r="325">
          <cell r="C325">
            <v>626180</v>
          </cell>
          <cell r="D325" t="str">
            <v>물류비</v>
          </cell>
          <cell r="E325">
            <v>0</v>
          </cell>
          <cell r="F325">
            <v>3396095827</v>
          </cell>
          <cell r="G325">
            <v>455098313</v>
          </cell>
          <cell r="H325">
            <v>-50312380</v>
          </cell>
          <cell r="I325">
            <v>404785933</v>
          </cell>
          <cell r="J325">
            <v>3870185596</v>
          </cell>
          <cell r="K325">
            <v>-69303836</v>
          </cell>
          <cell r="L325">
            <v>3800881760</v>
          </cell>
        </row>
        <row r="326">
          <cell r="C326">
            <v>626190</v>
          </cell>
          <cell r="D326" t="str">
            <v>일반수수료-고정</v>
          </cell>
          <cell r="E326">
            <v>0</v>
          </cell>
          <cell r="F326">
            <v>2408943915</v>
          </cell>
          <cell r="G326">
            <v>608771533</v>
          </cell>
          <cell r="H326">
            <v>-239912885</v>
          </cell>
          <cell r="I326">
            <v>368858648</v>
          </cell>
          <cell r="J326">
            <v>3096661421</v>
          </cell>
          <cell r="K326">
            <v>-318858858</v>
          </cell>
          <cell r="L326">
            <v>2777802563</v>
          </cell>
        </row>
        <row r="327">
          <cell r="C327">
            <v>626200</v>
          </cell>
          <cell r="D327" t="str">
            <v>지급수수료_브랜드</v>
          </cell>
          <cell r="E327">
            <v>0</v>
          </cell>
          <cell r="F327">
            <v>287168000</v>
          </cell>
          <cell r="G327">
            <v>35896000</v>
          </cell>
          <cell r="H327">
            <v>0</v>
          </cell>
          <cell r="I327">
            <v>35896000</v>
          </cell>
          <cell r="J327">
            <v>323064000</v>
          </cell>
          <cell r="K327">
            <v>0</v>
          </cell>
          <cell r="L327">
            <v>323064000</v>
          </cell>
        </row>
        <row r="328">
          <cell r="D328" t="str">
            <v>광고선전비</v>
          </cell>
          <cell r="E328">
            <v>0</v>
          </cell>
          <cell r="F328">
            <v>70266352524</v>
          </cell>
          <cell r="G328">
            <v>8211458940</v>
          </cell>
          <cell r="H328">
            <v>140016495</v>
          </cell>
          <cell r="I328">
            <v>8351475435</v>
          </cell>
          <cell r="J328">
            <v>80850747461</v>
          </cell>
          <cell r="K328">
            <v>-2232919502</v>
          </cell>
          <cell r="L328">
            <v>78617827959</v>
          </cell>
        </row>
        <row r="329">
          <cell r="C329">
            <v>630190</v>
          </cell>
          <cell r="D329" t="str">
            <v>기타일반광고비</v>
          </cell>
          <cell r="E329">
            <v>0</v>
          </cell>
          <cell r="F329">
            <v>3467293113</v>
          </cell>
          <cell r="G329">
            <v>638770611</v>
          </cell>
          <cell r="H329">
            <v>-17500000</v>
          </cell>
          <cell r="I329">
            <v>621270611</v>
          </cell>
          <cell r="J329">
            <v>4551063724</v>
          </cell>
          <cell r="K329">
            <v>-462500000</v>
          </cell>
          <cell r="L329">
            <v>4088563724</v>
          </cell>
        </row>
        <row r="330">
          <cell r="C330">
            <v>630195</v>
          </cell>
          <cell r="D330" t="str">
            <v>기타매체일반광고비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632100</v>
          </cell>
          <cell r="D331" t="str">
            <v>판촉행사비용</v>
          </cell>
          <cell r="E331">
            <v>0</v>
          </cell>
          <cell r="F331">
            <v>17431156425</v>
          </cell>
          <cell r="G331">
            <v>1453223894</v>
          </cell>
          <cell r="H331">
            <v>191252882</v>
          </cell>
          <cell r="I331">
            <v>1644476776</v>
          </cell>
          <cell r="J331">
            <v>19860208702</v>
          </cell>
          <cell r="K331">
            <v>-784575501</v>
          </cell>
          <cell r="L331">
            <v>19075633201</v>
          </cell>
        </row>
        <row r="332">
          <cell r="C332">
            <v>633900</v>
          </cell>
          <cell r="D332" t="str">
            <v>기타판촉비</v>
          </cell>
          <cell r="E332">
            <v>0</v>
          </cell>
          <cell r="F332">
            <v>96534685</v>
          </cell>
          <cell r="G332">
            <v>55648689</v>
          </cell>
          <cell r="H332">
            <v>-33736387</v>
          </cell>
          <cell r="I332">
            <v>21912302</v>
          </cell>
          <cell r="J332">
            <v>1088265988</v>
          </cell>
          <cell r="K332">
            <v>-969819001</v>
          </cell>
          <cell r="L332">
            <v>118446987</v>
          </cell>
        </row>
        <row r="333">
          <cell r="C333">
            <v>634100</v>
          </cell>
          <cell r="D333" t="str">
            <v>제휴수수료</v>
          </cell>
          <cell r="E333">
            <v>0</v>
          </cell>
          <cell r="F333">
            <v>49271368301</v>
          </cell>
          <cell r="G333">
            <v>6063815746</v>
          </cell>
          <cell r="H333">
            <v>0</v>
          </cell>
          <cell r="I333">
            <v>6063815746</v>
          </cell>
          <cell r="J333">
            <v>55351209047</v>
          </cell>
          <cell r="K333">
            <v>-16025000</v>
          </cell>
          <cell r="L333">
            <v>55335184047</v>
          </cell>
        </row>
        <row r="334">
          <cell r="D334" t="str">
            <v>업무지원비</v>
          </cell>
          <cell r="E334">
            <v>0</v>
          </cell>
          <cell r="F334">
            <v>450488165</v>
          </cell>
          <cell r="G334">
            <v>74456434</v>
          </cell>
          <cell r="H334">
            <v>-39035000</v>
          </cell>
          <cell r="I334">
            <v>35421434</v>
          </cell>
          <cell r="J334">
            <v>552317655</v>
          </cell>
          <cell r="K334">
            <v>-66408056</v>
          </cell>
          <cell r="L334">
            <v>485909599</v>
          </cell>
        </row>
        <row r="335">
          <cell r="C335">
            <v>635500</v>
          </cell>
          <cell r="D335" t="str">
            <v>단기리스료</v>
          </cell>
          <cell r="E335">
            <v>0</v>
          </cell>
          <cell r="F335">
            <v>188058509</v>
          </cell>
          <cell r="G335">
            <v>52526388</v>
          </cell>
          <cell r="H335">
            <v>-39000000</v>
          </cell>
          <cell r="I335">
            <v>13526388</v>
          </cell>
          <cell r="J335">
            <v>260697953</v>
          </cell>
          <cell r="K335">
            <v>-59113056</v>
          </cell>
          <cell r="L335">
            <v>201584897</v>
          </cell>
        </row>
        <row r="336">
          <cell r="C336">
            <v>639300</v>
          </cell>
          <cell r="D336" t="str">
            <v>일반사무용소모품비</v>
          </cell>
          <cell r="E336">
            <v>0</v>
          </cell>
          <cell r="F336">
            <v>102556505</v>
          </cell>
          <cell r="G336">
            <v>7782747</v>
          </cell>
          <cell r="H336">
            <v>-35000</v>
          </cell>
          <cell r="I336">
            <v>7747747</v>
          </cell>
          <cell r="J336">
            <v>111099252</v>
          </cell>
          <cell r="K336">
            <v>-795000</v>
          </cell>
          <cell r="L336">
            <v>110304252</v>
          </cell>
        </row>
        <row r="337">
          <cell r="C337">
            <v>639400</v>
          </cell>
          <cell r="D337" t="str">
            <v>영업용소모품비</v>
          </cell>
          <cell r="E337">
            <v>0</v>
          </cell>
          <cell r="F337">
            <v>132516441</v>
          </cell>
          <cell r="G337">
            <v>9581659</v>
          </cell>
          <cell r="H337">
            <v>0</v>
          </cell>
          <cell r="I337">
            <v>9581659</v>
          </cell>
          <cell r="J337">
            <v>148598100</v>
          </cell>
          <cell r="K337">
            <v>-6500000</v>
          </cell>
          <cell r="L337">
            <v>142098100</v>
          </cell>
        </row>
        <row r="338">
          <cell r="C338">
            <v>643100</v>
          </cell>
          <cell r="D338" t="str">
            <v>도서구입비</v>
          </cell>
          <cell r="E338">
            <v>0</v>
          </cell>
          <cell r="F338">
            <v>25292710</v>
          </cell>
          <cell r="G338">
            <v>4565640</v>
          </cell>
          <cell r="H338">
            <v>0</v>
          </cell>
          <cell r="I338">
            <v>4565640</v>
          </cell>
          <cell r="J338">
            <v>29858350</v>
          </cell>
          <cell r="K338">
            <v>0</v>
          </cell>
          <cell r="L338">
            <v>29858350</v>
          </cell>
        </row>
        <row r="339">
          <cell r="C339">
            <v>643400</v>
          </cell>
          <cell r="D339" t="str">
            <v>사무용인쇄비</v>
          </cell>
          <cell r="E339">
            <v>0</v>
          </cell>
          <cell r="F339">
            <v>2064000</v>
          </cell>
          <cell r="G339">
            <v>0</v>
          </cell>
          <cell r="H339">
            <v>0</v>
          </cell>
          <cell r="I339">
            <v>0</v>
          </cell>
          <cell r="J339">
            <v>2064000</v>
          </cell>
          <cell r="K339">
            <v>0</v>
          </cell>
          <cell r="L339">
            <v>2064000</v>
          </cell>
        </row>
        <row r="340">
          <cell r="D340" t="str">
            <v>기타관리비용</v>
          </cell>
          <cell r="E340">
            <v>0</v>
          </cell>
          <cell r="F340">
            <v>283651662</v>
          </cell>
          <cell r="G340">
            <v>22957090</v>
          </cell>
          <cell r="H340">
            <v>0</v>
          </cell>
          <cell r="I340">
            <v>22957090</v>
          </cell>
          <cell r="J340">
            <v>324796248</v>
          </cell>
          <cell r="K340">
            <v>-18187496</v>
          </cell>
          <cell r="L340">
            <v>306608752</v>
          </cell>
        </row>
        <row r="341">
          <cell r="C341">
            <v>644100</v>
          </cell>
          <cell r="D341" t="str">
            <v>화재보험료</v>
          </cell>
          <cell r="E341">
            <v>0</v>
          </cell>
          <cell r="F341">
            <v>15698221</v>
          </cell>
          <cell r="G341">
            <v>2176554</v>
          </cell>
          <cell r="H341">
            <v>0</v>
          </cell>
          <cell r="I341">
            <v>2176554</v>
          </cell>
          <cell r="J341">
            <v>17874775</v>
          </cell>
          <cell r="K341">
            <v>0</v>
          </cell>
          <cell r="L341">
            <v>17874775</v>
          </cell>
        </row>
        <row r="342">
          <cell r="C342">
            <v>644110</v>
          </cell>
          <cell r="D342" t="str">
            <v>배상책임보험료</v>
          </cell>
          <cell r="E342">
            <v>0</v>
          </cell>
          <cell r="F342">
            <v>163727796</v>
          </cell>
          <cell r="G342">
            <v>4946365</v>
          </cell>
          <cell r="H342">
            <v>0</v>
          </cell>
          <cell r="I342">
            <v>4946365</v>
          </cell>
          <cell r="J342">
            <v>168674161</v>
          </cell>
          <cell r="K342">
            <v>0</v>
          </cell>
          <cell r="L342">
            <v>168674161</v>
          </cell>
        </row>
        <row r="343">
          <cell r="C343">
            <v>644190</v>
          </cell>
          <cell r="D343" t="str">
            <v>기타보험료</v>
          </cell>
          <cell r="E343">
            <v>0</v>
          </cell>
          <cell r="F343">
            <v>3313252</v>
          </cell>
          <cell r="G343">
            <v>407367</v>
          </cell>
          <cell r="H343">
            <v>0</v>
          </cell>
          <cell r="I343">
            <v>407367</v>
          </cell>
          <cell r="J343">
            <v>3720619</v>
          </cell>
          <cell r="K343">
            <v>0</v>
          </cell>
          <cell r="L343">
            <v>3720619</v>
          </cell>
        </row>
        <row r="344">
          <cell r="C344">
            <v>645100</v>
          </cell>
          <cell r="D344" t="str">
            <v>피해보상비</v>
          </cell>
          <cell r="E344">
            <v>0</v>
          </cell>
          <cell r="F344">
            <v>72771147</v>
          </cell>
          <cell r="G344">
            <v>11618596</v>
          </cell>
          <cell r="H344">
            <v>0</v>
          </cell>
          <cell r="I344">
            <v>11618596</v>
          </cell>
          <cell r="J344">
            <v>102577239</v>
          </cell>
          <cell r="K344">
            <v>-18187496</v>
          </cell>
          <cell r="L344">
            <v>84389743</v>
          </cell>
        </row>
        <row r="345">
          <cell r="C345">
            <v>655100</v>
          </cell>
          <cell r="D345" t="str">
            <v>잡비</v>
          </cell>
          <cell r="E345">
            <v>0</v>
          </cell>
          <cell r="F345">
            <v>28141246</v>
          </cell>
          <cell r="G345">
            <v>3808208</v>
          </cell>
          <cell r="H345">
            <v>0</v>
          </cell>
          <cell r="I345">
            <v>3808208</v>
          </cell>
          <cell r="J345">
            <v>31949454</v>
          </cell>
          <cell r="K345">
            <v>0</v>
          </cell>
          <cell r="L345">
            <v>31949454</v>
          </cell>
        </row>
        <row r="346">
          <cell r="D346" t="str">
            <v>통신비</v>
          </cell>
          <cell r="E346">
            <v>0</v>
          </cell>
          <cell r="F346">
            <v>88048694</v>
          </cell>
          <cell r="G346">
            <v>11007778</v>
          </cell>
          <cell r="H346">
            <v>0</v>
          </cell>
          <cell r="I346">
            <v>11007778</v>
          </cell>
          <cell r="J346">
            <v>99056472</v>
          </cell>
          <cell r="K346">
            <v>0</v>
          </cell>
          <cell r="L346">
            <v>99056472</v>
          </cell>
        </row>
        <row r="347">
          <cell r="C347">
            <v>637310</v>
          </cell>
          <cell r="D347" t="str">
            <v>자가사용통신비</v>
          </cell>
          <cell r="E347">
            <v>0</v>
          </cell>
          <cell r="F347">
            <v>42270011</v>
          </cell>
          <cell r="G347">
            <v>5610015</v>
          </cell>
          <cell r="H347">
            <v>0</v>
          </cell>
          <cell r="I347">
            <v>5610015</v>
          </cell>
          <cell r="J347">
            <v>47880026</v>
          </cell>
          <cell r="K347">
            <v>0</v>
          </cell>
          <cell r="L347">
            <v>47880026</v>
          </cell>
        </row>
        <row r="348">
          <cell r="C348">
            <v>637400</v>
          </cell>
          <cell r="D348" t="str">
            <v>일반통신비</v>
          </cell>
          <cell r="E348">
            <v>0</v>
          </cell>
          <cell r="F348">
            <v>45778683</v>
          </cell>
          <cell r="G348">
            <v>5397763</v>
          </cell>
          <cell r="H348">
            <v>0</v>
          </cell>
          <cell r="I348">
            <v>5397763</v>
          </cell>
          <cell r="J348">
            <v>51176446</v>
          </cell>
          <cell r="K348">
            <v>0</v>
          </cell>
          <cell r="L348">
            <v>51176446</v>
          </cell>
        </row>
        <row r="349">
          <cell r="D349" t="str">
            <v>전산장비소모품비</v>
          </cell>
          <cell r="E349">
            <v>0</v>
          </cell>
          <cell r="F349">
            <v>7593517</v>
          </cell>
          <cell r="G349">
            <v>250744</v>
          </cell>
          <cell r="H349">
            <v>0</v>
          </cell>
          <cell r="I349">
            <v>250744</v>
          </cell>
          <cell r="J349">
            <v>7844261</v>
          </cell>
          <cell r="K349">
            <v>0</v>
          </cell>
          <cell r="L349">
            <v>7844261</v>
          </cell>
        </row>
        <row r="350">
          <cell r="C350">
            <v>639200</v>
          </cell>
          <cell r="D350" t="str">
            <v>전산장비소모품비</v>
          </cell>
          <cell r="E350">
            <v>0</v>
          </cell>
          <cell r="F350">
            <v>7593517</v>
          </cell>
          <cell r="G350">
            <v>250744</v>
          </cell>
          <cell r="H350">
            <v>0</v>
          </cell>
          <cell r="I350">
            <v>250744</v>
          </cell>
          <cell r="J350">
            <v>7844261</v>
          </cell>
          <cell r="K350">
            <v>0</v>
          </cell>
          <cell r="L350">
            <v>7844261</v>
          </cell>
        </row>
        <row r="351">
          <cell r="D351" t="str">
            <v>세금과공과</v>
          </cell>
          <cell r="E351">
            <v>0</v>
          </cell>
          <cell r="F351">
            <v>604572254</v>
          </cell>
          <cell r="G351">
            <v>52948504</v>
          </cell>
          <cell r="H351">
            <v>0</v>
          </cell>
          <cell r="I351">
            <v>52948504</v>
          </cell>
          <cell r="J351">
            <v>657520758</v>
          </cell>
          <cell r="K351">
            <v>0</v>
          </cell>
          <cell r="L351">
            <v>657520758</v>
          </cell>
        </row>
        <row r="352">
          <cell r="C352">
            <v>640100</v>
          </cell>
          <cell r="D352" t="str">
            <v>건물분 재산세</v>
          </cell>
          <cell r="E352">
            <v>0</v>
          </cell>
          <cell r="F352">
            <v>7230680</v>
          </cell>
          <cell r="G352">
            <v>7017030</v>
          </cell>
          <cell r="H352">
            <v>0</v>
          </cell>
          <cell r="I352">
            <v>7017030</v>
          </cell>
          <cell r="J352">
            <v>14247710</v>
          </cell>
          <cell r="K352">
            <v>0</v>
          </cell>
          <cell r="L352">
            <v>14247710</v>
          </cell>
        </row>
        <row r="353">
          <cell r="C353">
            <v>640200</v>
          </cell>
          <cell r="D353" t="str">
            <v>토지분 재산세</v>
          </cell>
          <cell r="E353">
            <v>0</v>
          </cell>
          <cell r="F353">
            <v>0</v>
          </cell>
          <cell r="G353">
            <v>26700</v>
          </cell>
          <cell r="H353">
            <v>0</v>
          </cell>
          <cell r="I353">
            <v>26700</v>
          </cell>
          <cell r="J353">
            <v>26700</v>
          </cell>
          <cell r="K353">
            <v>0</v>
          </cell>
          <cell r="L353">
            <v>26700</v>
          </cell>
        </row>
        <row r="354">
          <cell r="C354">
            <v>640300</v>
          </cell>
          <cell r="D354" t="str">
            <v>법인균등할주민세</v>
          </cell>
          <cell r="E354">
            <v>0</v>
          </cell>
          <cell r="F354">
            <v>1315000</v>
          </cell>
          <cell r="G354">
            <v>0</v>
          </cell>
          <cell r="H354">
            <v>0</v>
          </cell>
          <cell r="I354">
            <v>0</v>
          </cell>
          <cell r="J354">
            <v>1315000</v>
          </cell>
          <cell r="K354">
            <v>0</v>
          </cell>
          <cell r="L354">
            <v>1315000</v>
          </cell>
        </row>
        <row r="355">
          <cell r="C355">
            <v>640400</v>
          </cell>
          <cell r="D355" t="str">
            <v>종업원할사업소세</v>
          </cell>
          <cell r="E355">
            <v>0</v>
          </cell>
          <cell r="F355">
            <v>297242020</v>
          </cell>
          <cell r="G355">
            <v>38408800</v>
          </cell>
          <cell r="H355">
            <v>0</v>
          </cell>
          <cell r="I355">
            <v>38408800</v>
          </cell>
          <cell r="J355">
            <v>335650820</v>
          </cell>
          <cell r="K355">
            <v>0</v>
          </cell>
          <cell r="L355">
            <v>335650820</v>
          </cell>
        </row>
        <row r="356">
          <cell r="C356">
            <v>640410</v>
          </cell>
          <cell r="D356" t="str">
            <v>재산할사업소세</v>
          </cell>
          <cell r="E356">
            <v>0</v>
          </cell>
          <cell r="F356">
            <v>9520000</v>
          </cell>
          <cell r="G356">
            <v>0</v>
          </cell>
          <cell r="H356">
            <v>0</v>
          </cell>
          <cell r="I356">
            <v>0</v>
          </cell>
          <cell r="J356">
            <v>9520000</v>
          </cell>
          <cell r="K356">
            <v>0</v>
          </cell>
          <cell r="L356">
            <v>9520000</v>
          </cell>
        </row>
        <row r="357">
          <cell r="C357">
            <v>640500</v>
          </cell>
          <cell r="D357" t="str">
            <v>협회비</v>
          </cell>
          <cell r="E357">
            <v>0</v>
          </cell>
          <cell r="F357">
            <v>170294021</v>
          </cell>
          <cell r="G357">
            <v>7454574</v>
          </cell>
          <cell r="H357">
            <v>0</v>
          </cell>
          <cell r="I357">
            <v>7454574</v>
          </cell>
          <cell r="J357">
            <v>177748595</v>
          </cell>
          <cell r="K357">
            <v>0</v>
          </cell>
          <cell r="L357">
            <v>177748595</v>
          </cell>
        </row>
        <row r="358">
          <cell r="C358">
            <v>641900</v>
          </cell>
          <cell r="D358" t="str">
            <v>기타세금과공과</v>
          </cell>
          <cell r="E358">
            <v>0</v>
          </cell>
          <cell r="F358">
            <v>118970533</v>
          </cell>
          <cell r="G358">
            <v>41400</v>
          </cell>
          <cell r="H358">
            <v>0</v>
          </cell>
          <cell r="I358">
            <v>41400</v>
          </cell>
          <cell r="J358">
            <v>119011933</v>
          </cell>
          <cell r="K358">
            <v>0</v>
          </cell>
          <cell r="L358">
            <v>119011933</v>
          </cell>
        </row>
        <row r="359">
          <cell r="D359" t="str">
            <v>차량유지비</v>
          </cell>
          <cell r="E359">
            <v>0</v>
          </cell>
          <cell r="F359">
            <v>167438190</v>
          </cell>
          <cell r="G359">
            <v>41907586</v>
          </cell>
          <cell r="H359">
            <v>-21025315</v>
          </cell>
          <cell r="I359">
            <v>20882271</v>
          </cell>
          <cell r="J359">
            <v>349648153</v>
          </cell>
          <cell r="K359">
            <v>-161327692</v>
          </cell>
          <cell r="L359">
            <v>188320461</v>
          </cell>
        </row>
        <row r="360">
          <cell r="C360">
            <v>635700</v>
          </cell>
          <cell r="D360" t="str">
            <v>차량임차료</v>
          </cell>
          <cell r="E360">
            <v>0</v>
          </cell>
          <cell r="F360">
            <v>0</v>
          </cell>
          <cell r="G360">
            <v>21025315</v>
          </cell>
          <cell r="H360">
            <v>-21025315</v>
          </cell>
          <cell r="I360">
            <v>0</v>
          </cell>
          <cell r="J360">
            <v>161327692</v>
          </cell>
          <cell r="K360">
            <v>-161327692</v>
          </cell>
          <cell r="L360">
            <v>0</v>
          </cell>
        </row>
        <row r="361">
          <cell r="C361">
            <v>642100</v>
          </cell>
          <cell r="D361" t="str">
            <v>차량유지비</v>
          </cell>
          <cell r="E361">
            <v>0</v>
          </cell>
          <cell r="F361">
            <v>24788510</v>
          </cell>
          <cell r="G361">
            <v>4881331</v>
          </cell>
          <cell r="H361">
            <v>0</v>
          </cell>
          <cell r="I361">
            <v>4881331</v>
          </cell>
          <cell r="J361">
            <v>29669841</v>
          </cell>
          <cell r="K361">
            <v>0</v>
          </cell>
          <cell r="L361">
            <v>29669841</v>
          </cell>
        </row>
        <row r="362">
          <cell r="C362">
            <v>642200</v>
          </cell>
          <cell r="D362" t="str">
            <v>직책자교통비</v>
          </cell>
          <cell r="E362">
            <v>0</v>
          </cell>
          <cell r="F362">
            <v>142649680</v>
          </cell>
          <cell r="G362">
            <v>16000940</v>
          </cell>
          <cell r="H362">
            <v>0</v>
          </cell>
          <cell r="I362">
            <v>16000940</v>
          </cell>
          <cell r="J362">
            <v>158650620</v>
          </cell>
          <cell r="K362">
            <v>0</v>
          </cell>
          <cell r="L362">
            <v>158650620</v>
          </cell>
        </row>
        <row r="363">
          <cell r="D363" t="str">
            <v>임원차량유지비</v>
          </cell>
          <cell r="E363">
            <v>0</v>
          </cell>
          <cell r="F363">
            <v>27749081</v>
          </cell>
          <cell r="G363">
            <v>4673572</v>
          </cell>
          <cell r="H363">
            <v>0</v>
          </cell>
          <cell r="I363">
            <v>4673572</v>
          </cell>
          <cell r="J363">
            <v>32422653</v>
          </cell>
          <cell r="K363">
            <v>0</v>
          </cell>
          <cell r="L363">
            <v>32422653</v>
          </cell>
        </row>
        <row r="364">
          <cell r="C364">
            <v>642300</v>
          </cell>
          <cell r="D364" t="str">
            <v>임원차량유지비</v>
          </cell>
          <cell r="E364">
            <v>0</v>
          </cell>
          <cell r="F364">
            <v>27749081</v>
          </cell>
          <cell r="G364">
            <v>4673572</v>
          </cell>
          <cell r="H364">
            <v>0</v>
          </cell>
          <cell r="I364">
            <v>4673572</v>
          </cell>
          <cell r="J364">
            <v>32422653</v>
          </cell>
          <cell r="K364">
            <v>0</v>
          </cell>
          <cell r="L364">
            <v>32422653</v>
          </cell>
        </row>
        <row r="365">
          <cell r="D365" t="str">
            <v>기타영업비용</v>
          </cell>
          <cell r="E365">
            <v>0</v>
          </cell>
          <cell r="F365">
            <v>104754284</v>
          </cell>
          <cell r="G365">
            <v>0</v>
          </cell>
          <cell r="H365">
            <v>0</v>
          </cell>
          <cell r="I365">
            <v>0</v>
          </cell>
          <cell r="J365">
            <v>104754284</v>
          </cell>
          <cell r="K365">
            <v>0</v>
          </cell>
          <cell r="L365">
            <v>104754284</v>
          </cell>
        </row>
        <row r="366">
          <cell r="C366">
            <v>645101</v>
          </cell>
          <cell r="D366" t="str">
            <v>기타영업비용</v>
          </cell>
          <cell r="E366">
            <v>0</v>
          </cell>
          <cell r="F366">
            <v>104754284</v>
          </cell>
          <cell r="G366">
            <v>0</v>
          </cell>
          <cell r="H366">
            <v>0</v>
          </cell>
          <cell r="I366">
            <v>0</v>
          </cell>
          <cell r="J366">
            <v>104754284</v>
          </cell>
          <cell r="K366">
            <v>0</v>
          </cell>
          <cell r="L366">
            <v>104754284</v>
          </cell>
        </row>
        <row r="367">
          <cell r="D367" t="str">
            <v>교육훈련비</v>
          </cell>
          <cell r="E367">
            <v>0</v>
          </cell>
          <cell r="F367">
            <v>423157631</v>
          </cell>
          <cell r="G367">
            <v>40063278</v>
          </cell>
          <cell r="H367">
            <v>-572430</v>
          </cell>
          <cell r="I367">
            <v>39490848</v>
          </cell>
          <cell r="J367">
            <v>463376669</v>
          </cell>
          <cell r="K367">
            <v>-728190</v>
          </cell>
          <cell r="L367">
            <v>462648479</v>
          </cell>
        </row>
        <row r="368">
          <cell r="C368">
            <v>646100</v>
          </cell>
          <cell r="D368" t="str">
            <v>국내교육훈련비</v>
          </cell>
          <cell r="E368">
            <v>0</v>
          </cell>
          <cell r="F368">
            <v>126928493</v>
          </cell>
          <cell r="G368">
            <v>16714057</v>
          </cell>
          <cell r="H368">
            <v>-572430</v>
          </cell>
          <cell r="I368">
            <v>16141627</v>
          </cell>
          <cell r="J368">
            <v>143798310</v>
          </cell>
          <cell r="K368">
            <v>-728190</v>
          </cell>
          <cell r="L368">
            <v>143070120</v>
          </cell>
        </row>
        <row r="369">
          <cell r="C369">
            <v>646200</v>
          </cell>
          <cell r="D369" t="str">
            <v>해외교육훈련비</v>
          </cell>
          <cell r="E369">
            <v>0</v>
          </cell>
          <cell r="F369">
            <v>2028304</v>
          </cell>
          <cell r="G369">
            <v>0</v>
          </cell>
          <cell r="H369">
            <v>0</v>
          </cell>
          <cell r="I369">
            <v>0</v>
          </cell>
          <cell r="J369">
            <v>2028304</v>
          </cell>
          <cell r="K369">
            <v>0</v>
          </cell>
          <cell r="L369">
            <v>2028304</v>
          </cell>
        </row>
        <row r="370">
          <cell r="C370">
            <v>646300</v>
          </cell>
          <cell r="D370" t="str">
            <v>신규채용교육비</v>
          </cell>
          <cell r="E370">
            <v>0</v>
          </cell>
          <cell r="F370">
            <v>283882637</v>
          </cell>
          <cell r="G370">
            <v>23349221</v>
          </cell>
          <cell r="H370">
            <v>0</v>
          </cell>
          <cell r="I370">
            <v>23349221</v>
          </cell>
          <cell r="J370">
            <v>307231858</v>
          </cell>
          <cell r="K370">
            <v>0</v>
          </cell>
          <cell r="L370">
            <v>307231858</v>
          </cell>
        </row>
        <row r="371">
          <cell r="C371">
            <v>646900</v>
          </cell>
          <cell r="D371" t="str">
            <v>기타교육훈련비</v>
          </cell>
          <cell r="E371">
            <v>0</v>
          </cell>
          <cell r="F371">
            <v>10318197</v>
          </cell>
          <cell r="G371">
            <v>0</v>
          </cell>
          <cell r="H371">
            <v>0</v>
          </cell>
          <cell r="I371">
            <v>0</v>
          </cell>
          <cell r="J371">
            <v>10318197</v>
          </cell>
          <cell r="K371">
            <v>0</v>
          </cell>
          <cell r="L371">
            <v>10318197</v>
          </cell>
        </row>
        <row r="372">
          <cell r="D372" t="str">
            <v>여비교통비</v>
          </cell>
          <cell r="E372">
            <v>0</v>
          </cell>
          <cell r="F372">
            <v>144790703</v>
          </cell>
          <cell r="G372">
            <v>13861068</v>
          </cell>
          <cell r="H372">
            <v>0</v>
          </cell>
          <cell r="I372">
            <v>13861068</v>
          </cell>
          <cell r="J372">
            <v>158661771</v>
          </cell>
          <cell r="K372">
            <v>-10000</v>
          </cell>
          <cell r="L372">
            <v>158651771</v>
          </cell>
        </row>
        <row r="373">
          <cell r="C373">
            <v>648100</v>
          </cell>
          <cell r="D373" t="str">
            <v>시내출장비</v>
          </cell>
          <cell r="E373">
            <v>0</v>
          </cell>
          <cell r="F373">
            <v>4685548</v>
          </cell>
          <cell r="G373">
            <v>313780</v>
          </cell>
          <cell r="H373">
            <v>0</v>
          </cell>
          <cell r="I373">
            <v>313780</v>
          </cell>
          <cell r="J373">
            <v>5009328</v>
          </cell>
          <cell r="K373">
            <v>-10000</v>
          </cell>
          <cell r="L373">
            <v>4999328</v>
          </cell>
        </row>
        <row r="374">
          <cell r="C374">
            <v>648110</v>
          </cell>
          <cell r="D374" t="str">
            <v>야근교통비</v>
          </cell>
          <cell r="E374">
            <v>0</v>
          </cell>
          <cell r="F374">
            <v>84576770</v>
          </cell>
          <cell r="G374">
            <v>3544620</v>
          </cell>
          <cell r="H374">
            <v>0</v>
          </cell>
          <cell r="I374">
            <v>3544620</v>
          </cell>
          <cell r="J374">
            <v>88121390</v>
          </cell>
          <cell r="K374">
            <v>0</v>
          </cell>
          <cell r="L374">
            <v>88121390</v>
          </cell>
        </row>
        <row r="375">
          <cell r="C375">
            <v>648200</v>
          </cell>
          <cell r="D375" t="str">
            <v>시외출장비</v>
          </cell>
          <cell r="E375">
            <v>0</v>
          </cell>
          <cell r="F375">
            <v>11706852</v>
          </cell>
          <cell r="G375">
            <v>729392</v>
          </cell>
          <cell r="H375">
            <v>0</v>
          </cell>
          <cell r="I375">
            <v>729392</v>
          </cell>
          <cell r="J375">
            <v>12436244</v>
          </cell>
          <cell r="K375">
            <v>0</v>
          </cell>
          <cell r="L375">
            <v>12436244</v>
          </cell>
        </row>
        <row r="376">
          <cell r="C376">
            <v>648300</v>
          </cell>
          <cell r="D376" t="str">
            <v>해외출장비</v>
          </cell>
          <cell r="E376">
            <v>0</v>
          </cell>
          <cell r="F376">
            <v>531600</v>
          </cell>
          <cell r="G376">
            <v>0</v>
          </cell>
          <cell r="H376">
            <v>0</v>
          </cell>
          <cell r="I376">
            <v>0</v>
          </cell>
          <cell r="J376">
            <v>531600</v>
          </cell>
          <cell r="K376">
            <v>0</v>
          </cell>
          <cell r="L376">
            <v>531600</v>
          </cell>
        </row>
        <row r="377">
          <cell r="C377">
            <v>648500</v>
          </cell>
          <cell r="D377" t="str">
            <v>시내교통비</v>
          </cell>
          <cell r="E377">
            <v>0</v>
          </cell>
          <cell r="F377">
            <v>43289933</v>
          </cell>
          <cell r="G377">
            <v>9273276</v>
          </cell>
          <cell r="H377">
            <v>0</v>
          </cell>
          <cell r="I377">
            <v>9273276</v>
          </cell>
          <cell r="J377">
            <v>52563209</v>
          </cell>
          <cell r="K377">
            <v>0</v>
          </cell>
          <cell r="L377">
            <v>52563209</v>
          </cell>
        </row>
        <row r="378">
          <cell r="D378" t="str">
            <v>접대성경비</v>
          </cell>
          <cell r="E378">
            <v>0</v>
          </cell>
          <cell r="F378">
            <v>1491708904</v>
          </cell>
          <cell r="G378">
            <v>254004333</v>
          </cell>
          <cell r="H378">
            <v>0</v>
          </cell>
          <cell r="I378">
            <v>254004333</v>
          </cell>
          <cell r="J378">
            <v>1745713237</v>
          </cell>
          <cell r="K378">
            <v>0</v>
          </cell>
          <cell r="L378">
            <v>1745713237</v>
          </cell>
        </row>
        <row r="379">
          <cell r="C379">
            <v>603500</v>
          </cell>
          <cell r="D379" t="str">
            <v>동적요소관리비</v>
          </cell>
          <cell r="E379">
            <v>0</v>
          </cell>
          <cell r="F379">
            <v>914606582</v>
          </cell>
          <cell r="G379">
            <v>172847782</v>
          </cell>
          <cell r="H379">
            <v>0</v>
          </cell>
          <cell r="I379">
            <v>172847782</v>
          </cell>
          <cell r="J379">
            <v>1087454364</v>
          </cell>
          <cell r="K379">
            <v>0</v>
          </cell>
          <cell r="L379">
            <v>1087454364</v>
          </cell>
        </row>
        <row r="380">
          <cell r="C380">
            <v>603700</v>
          </cell>
          <cell r="D380" t="str">
            <v>직책자동적요소관리비</v>
          </cell>
          <cell r="E380">
            <v>0</v>
          </cell>
          <cell r="F380">
            <v>163500479</v>
          </cell>
          <cell r="G380">
            <v>38384437</v>
          </cell>
          <cell r="H380">
            <v>0</v>
          </cell>
          <cell r="I380">
            <v>38384437</v>
          </cell>
          <cell r="J380">
            <v>201884916</v>
          </cell>
          <cell r="K380">
            <v>0</v>
          </cell>
          <cell r="L380">
            <v>201884916</v>
          </cell>
        </row>
        <row r="381">
          <cell r="C381">
            <v>651200</v>
          </cell>
          <cell r="D381" t="str">
            <v>업무회의비</v>
          </cell>
          <cell r="E381">
            <v>0</v>
          </cell>
          <cell r="F381">
            <v>82440641</v>
          </cell>
          <cell r="G381">
            <v>8231028</v>
          </cell>
          <cell r="H381">
            <v>0</v>
          </cell>
          <cell r="I381">
            <v>8231028</v>
          </cell>
          <cell r="J381">
            <v>90671669</v>
          </cell>
          <cell r="K381">
            <v>0</v>
          </cell>
          <cell r="L381">
            <v>90671669</v>
          </cell>
        </row>
        <row r="382">
          <cell r="C382">
            <v>651400</v>
          </cell>
          <cell r="D382" t="str">
            <v>업무추진비</v>
          </cell>
          <cell r="E382">
            <v>0</v>
          </cell>
          <cell r="F382">
            <v>43025450</v>
          </cell>
          <cell r="G382">
            <v>3987080</v>
          </cell>
          <cell r="H382">
            <v>0</v>
          </cell>
          <cell r="I382">
            <v>3987080</v>
          </cell>
          <cell r="J382">
            <v>47012530</v>
          </cell>
          <cell r="K382">
            <v>0</v>
          </cell>
          <cell r="L382">
            <v>47012530</v>
          </cell>
        </row>
        <row r="383">
          <cell r="C383">
            <v>652000</v>
          </cell>
          <cell r="D383" t="str">
            <v>영업활동지원비</v>
          </cell>
          <cell r="E383">
            <v>0</v>
          </cell>
          <cell r="F383">
            <v>88200090</v>
          </cell>
          <cell r="G383">
            <v>4454190</v>
          </cell>
          <cell r="H383">
            <v>0</v>
          </cell>
          <cell r="I383">
            <v>4454190</v>
          </cell>
          <cell r="J383">
            <v>92654280</v>
          </cell>
          <cell r="K383">
            <v>0</v>
          </cell>
          <cell r="L383">
            <v>92654280</v>
          </cell>
        </row>
        <row r="384">
          <cell r="C384">
            <v>652100</v>
          </cell>
          <cell r="D384" t="str">
            <v>접대비</v>
          </cell>
          <cell r="E384">
            <v>0</v>
          </cell>
          <cell r="F384">
            <v>156392009</v>
          </cell>
          <cell r="G384">
            <v>23019950</v>
          </cell>
          <cell r="H384">
            <v>0</v>
          </cell>
          <cell r="I384">
            <v>23019950</v>
          </cell>
          <cell r="J384">
            <v>179411959</v>
          </cell>
          <cell r="K384">
            <v>0</v>
          </cell>
          <cell r="L384">
            <v>179411959</v>
          </cell>
        </row>
        <row r="385">
          <cell r="C385">
            <v>652160</v>
          </cell>
          <cell r="D385" t="str">
            <v>임원동적요소비</v>
          </cell>
          <cell r="E385">
            <v>0</v>
          </cell>
          <cell r="F385">
            <v>34741290</v>
          </cell>
          <cell r="G385">
            <v>2282940</v>
          </cell>
          <cell r="H385">
            <v>0</v>
          </cell>
          <cell r="I385">
            <v>2282940</v>
          </cell>
          <cell r="J385">
            <v>37024230</v>
          </cell>
          <cell r="K385">
            <v>0</v>
          </cell>
          <cell r="L385">
            <v>37024230</v>
          </cell>
        </row>
        <row r="386">
          <cell r="C386">
            <v>653100</v>
          </cell>
          <cell r="D386" t="str">
            <v>사내행사비</v>
          </cell>
          <cell r="E386">
            <v>0</v>
          </cell>
          <cell r="F386">
            <v>8802363</v>
          </cell>
          <cell r="G386">
            <v>796926</v>
          </cell>
          <cell r="H386">
            <v>0</v>
          </cell>
          <cell r="I386">
            <v>796926</v>
          </cell>
          <cell r="J386">
            <v>9599289</v>
          </cell>
          <cell r="K386">
            <v>0</v>
          </cell>
          <cell r="L386">
            <v>9599289</v>
          </cell>
        </row>
        <row r="387">
          <cell r="D387" t="str">
            <v>유형자산상각비</v>
          </cell>
          <cell r="E387">
            <v>0</v>
          </cell>
          <cell r="F387">
            <v>14194707252</v>
          </cell>
          <cell r="G387">
            <v>2193399931</v>
          </cell>
          <cell r="H387">
            <v>-458095825</v>
          </cell>
          <cell r="I387">
            <v>1735304106</v>
          </cell>
          <cell r="J387">
            <v>19520389194</v>
          </cell>
          <cell r="K387">
            <v>-3590377836</v>
          </cell>
          <cell r="L387">
            <v>15930011358</v>
          </cell>
        </row>
        <row r="388">
          <cell r="C388">
            <v>670100</v>
          </cell>
          <cell r="D388" t="str">
            <v>건물상각</v>
          </cell>
          <cell r="E388">
            <v>0</v>
          </cell>
          <cell r="F388">
            <v>23390742</v>
          </cell>
          <cell r="G388">
            <v>2923843</v>
          </cell>
          <cell r="H388">
            <v>0</v>
          </cell>
          <cell r="I388">
            <v>2923843</v>
          </cell>
          <cell r="J388">
            <v>26314585</v>
          </cell>
          <cell r="K388">
            <v>0</v>
          </cell>
          <cell r="L388">
            <v>26314585</v>
          </cell>
        </row>
        <row r="389">
          <cell r="C389">
            <v>672100</v>
          </cell>
          <cell r="D389" t="str">
            <v>기계장치상각</v>
          </cell>
          <cell r="E389">
            <v>0</v>
          </cell>
          <cell r="F389">
            <v>6121748473</v>
          </cell>
          <cell r="G389">
            <v>746133949</v>
          </cell>
          <cell r="H389">
            <v>0</v>
          </cell>
          <cell r="I389">
            <v>746133949</v>
          </cell>
          <cell r="J389">
            <v>6867882422</v>
          </cell>
          <cell r="K389">
            <v>0</v>
          </cell>
          <cell r="L389">
            <v>6867882422</v>
          </cell>
        </row>
        <row r="390">
          <cell r="C390">
            <v>675100</v>
          </cell>
          <cell r="D390" t="str">
            <v>비품상각</v>
          </cell>
          <cell r="E390">
            <v>0</v>
          </cell>
          <cell r="F390">
            <v>2001953771</v>
          </cell>
          <cell r="G390">
            <v>236202638</v>
          </cell>
          <cell r="H390">
            <v>-6250000</v>
          </cell>
          <cell r="I390">
            <v>229952638</v>
          </cell>
          <cell r="J390">
            <v>2279782230</v>
          </cell>
          <cell r="K390">
            <v>-47875821</v>
          </cell>
          <cell r="L390">
            <v>2231906409</v>
          </cell>
        </row>
        <row r="391">
          <cell r="C391">
            <v>675120</v>
          </cell>
          <cell r="D391" t="str">
            <v>사용권자산상각-건물</v>
          </cell>
          <cell r="E391">
            <v>0</v>
          </cell>
          <cell r="F391">
            <v>5903321020</v>
          </cell>
          <cell r="G391">
            <v>1188522691</v>
          </cell>
          <cell r="H391">
            <v>-451845825</v>
          </cell>
          <cell r="I391">
            <v>736676866</v>
          </cell>
          <cell r="J391">
            <v>10182499901</v>
          </cell>
          <cell r="K391">
            <v>-3542502015</v>
          </cell>
          <cell r="L391">
            <v>6639997886</v>
          </cell>
        </row>
        <row r="392">
          <cell r="C392">
            <v>675140</v>
          </cell>
          <cell r="D392" t="str">
            <v>사용권자산상각-비품</v>
          </cell>
          <cell r="E392">
            <v>0</v>
          </cell>
          <cell r="F392">
            <v>29340016</v>
          </cell>
          <cell r="G392">
            <v>3667502</v>
          </cell>
          <cell r="H392">
            <v>0</v>
          </cell>
          <cell r="I392">
            <v>3667502</v>
          </cell>
          <cell r="J392">
            <v>33007518</v>
          </cell>
          <cell r="K392">
            <v>0</v>
          </cell>
          <cell r="L392">
            <v>33007518</v>
          </cell>
        </row>
        <row r="393">
          <cell r="C393">
            <v>675150</v>
          </cell>
          <cell r="D393" t="str">
            <v>사용권자산상각-차량</v>
          </cell>
          <cell r="E393">
            <v>0</v>
          </cell>
          <cell r="F393">
            <v>114953230</v>
          </cell>
          <cell r="G393">
            <v>15949308</v>
          </cell>
          <cell r="H393">
            <v>0</v>
          </cell>
          <cell r="I393">
            <v>15949308</v>
          </cell>
          <cell r="J393">
            <v>130902538</v>
          </cell>
          <cell r="K393">
            <v>0</v>
          </cell>
          <cell r="L393">
            <v>130902538</v>
          </cell>
        </row>
        <row r="394">
          <cell r="D394" t="str">
            <v>무형자산상각비</v>
          </cell>
          <cell r="E394">
            <v>0</v>
          </cell>
          <cell r="F394">
            <v>7256247615</v>
          </cell>
          <cell r="G394">
            <v>875268788</v>
          </cell>
          <cell r="H394">
            <v>0</v>
          </cell>
          <cell r="I394">
            <v>875268788</v>
          </cell>
          <cell r="J394">
            <v>8131574183</v>
          </cell>
          <cell r="K394">
            <v>-57780</v>
          </cell>
          <cell r="L394">
            <v>8131516403</v>
          </cell>
        </row>
        <row r="395">
          <cell r="C395">
            <v>677200</v>
          </cell>
          <cell r="D395" t="str">
            <v>산업재산권상각</v>
          </cell>
          <cell r="E395">
            <v>0</v>
          </cell>
          <cell r="F395">
            <v>142934499</v>
          </cell>
          <cell r="G395">
            <v>17809247</v>
          </cell>
          <cell r="H395">
            <v>0</v>
          </cell>
          <cell r="I395">
            <v>17809247</v>
          </cell>
          <cell r="J395">
            <v>160801526</v>
          </cell>
          <cell r="K395">
            <v>-57780</v>
          </cell>
          <cell r="L395">
            <v>160743746</v>
          </cell>
        </row>
        <row r="396">
          <cell r="C396">
            <v>677500</v>
          </cell>
          <cell r="D396" t="str">
            <v>고객관계자산상각</v>
          </cell>
          <cell r="E396">
            <v>0</v>
          </cell>
          <cell r="F396">
            <v>145719896</v>
          </cell>
          <cell r="G396">
            <v>18214987</v>
          </cell>
          <cell r="H396">
            <v>0</v>
          </cell>
          <cell r="I396">
            <v>18214987</v>
          </cell>
          <cell r="J396">
            <v>163934883</v>
          </cell>
          <cell r="K396">
            <v>0</v>
          </cell>
          <cell r="L396">
            <v>163934883</v>
          </cell>
        </row>
        <row r="397">
          <cell r="C397">
            <v>679000</v>
          </cell>
          <cell r="D397" t="str">
            <v>기타영업권상각</v>
          </cell>
          <cell r="E397">
            <v>0</v>
          </cell>
          <cell r="F397">
            <v>1600000</v>
          </cell>
          <cell r="G397">
            <v>200000</v>
          </cell>
          <cell r="H397">
            <v>0</v>
          </cell>
          <cell r="I397">
            <v>200000</v>
          </cell>
          <cell r="J397">
            <v>1800000</v>
          </cell>
          <cell r="K397">
            <v>0</v>
          </cell>
          <cell r="L397">
            <v>1800000</v>
          </cell>
        </row>
        <row r="398">
          <cell r="C398">
            <v>679900</v>
          </cell>
          <cell r="D398" t="str">
            <v>소프트웨어상각</v>
          </cell>
          <cell r="E398">
            <v>0</v>
          </cell>
          <cell r="F398">
            <v>6965993220</v>
          </cell>
          <cell r="G398">
            <v>839044554</v>
          </cell>
          <cell r="H398">
            <v>0</v>
          </cell>
          <cell r="I398">
            <v>839044554</v>
          </cell>
          <cell r="J398">
            <v>7805037774</v>
          </cell>
          <cell r="K398">
            <v>0</v>
          </cell>
          <cell r="L398">
            <v>7805037774</v>
          </cell>
        </row>
        <row r="399">
          <cell r="D399" t="str">
            <v>상품매출원가</v>
          </cell>
          <cell r="E399">
            <v>0</v>
          </cell>
          <cell r="F399">
            <v>8269629837</v>
          </cell>
          <cell r="G399">
            <v>1222389098</v>
          </cell>
          <cell r="H399">
            <v>-139185740</v>
          </cell>
          <cell r="I399">
            <v>1083203358</v>
          </cell>
          <cell r="J399">
            <v>9698816472</v>
          </cell>
          <cell r="K399">
            <v>-345983277</v>
          </cell>
          <cell r="L399">
            <v>9352833195</v>
          </cell>
        </row>
        <row r="400">
          <cell r="C400">
            <v>680400</v>
          </cell>
          <cell r="D400" t="str">
            <v>국내매출원가-쇼핑몰</v>
          </cell>
          <cell r="E400">
            <v>0</v>
          </cell>
          <cell r="F400">
            <v>3718531257</v>
          </cell>
          <cell r="G400">
            <v>757523167</v>
          </cell>
          <cell r="H400">
            <v>-139085562</v>
          </cell>
          <cell r="I400">
            <v>618437605</v>
          </cell>
          <cell r="J400">
            <v>4624525796</v>
          </cell>
          <cell r="K400">
            <v>-287556934</v>
          </cell>
          <cell r="L400">
            <v>4336968862</v>
          </cell>
        </row>
        <row r="401">
          <cell r="C401">
            <v>680800</v>
          </cell>
          <cell r="D401" t="str">
            <v>제품매출원가</v>
          </cell>
          <cell r="E401">
            <v>0</v>
          </cell>
          <cell r="F401">
            <v>4551098580</v>
          </cell>
          <cell r="G401">
            <v>464865931</v>
          </cell>
          <cell r="H401">
            <v>-100178</v>
          </cell>
          <cell r="I401">
            <v>464765753</v>
          </cell>
          <cell r="J401">
            <v>5074290676</v>
          </cell>
          <cell r="K401">
            <v>-58426343</v>
          </cell>
          <cell r="L401">
            <v>5015864333</v>
          </cell>
        </row>
        <row r="402">
          <cell r="D402" t="str">
            <v>용역매출원가</v>
          </cell>
          <cell r="E402">
            <v>0</v>
          </cell>
          <cell r="F402">
            <v>149250648</v>
          </cell>
          <cell r="G402">
            <v>16835358</v>
          </cell>
          <cell r="H402">
            <v>-360568</v>
          </cell>
          <cell r="I402">
            <v>16474790</v>
          </cell>
          <cell r="J402">
            <v>431428306</v>
          </cell>
          <cell r="K402">
            <v>-265702868</v>
          </cell>
          <cell r="L402">
            <v>165725438</v>
          </cell>
        </row>
        <row r="403">
          <cell r="C403">
            <v>681220</v>
          </cell>
          <cell r="D403" t="str">
            <v>용역매출원가-기타</v>
          </cell>
          <cell r="E403">
            <v>0</v>
          </cell>
          <cell r="F403">
            <v>149250648</v>
          </cell>
          <cell r="G403">
            <v>16835358</v>
          </cell>
          <cell r="H403">
            <v>-360568</v>
          </cell>
          <cell r="I403">
            <v>16474790</v>
          </cell>
          <cell r="J403">
            <v>431428306</v>
          </cell>
          <cell r="K403">
            <v>-265702868</v>
          </cell>
          <cell r="L403">
            <v>165725438</v>
          </cell>
        </row>
        <row r="404">
          <cell r="D404" t="str">
            <v>영업외손익</v>
          </cell>
          <cell r="E404">
            <v>0</v>
          </cell>
          <cell r="F404">
            <v>-11050313483</v>
          </cell>
          <cell r="G404">
            <v>4063686967</v>
          </cell>
          <cell r="H404">
            <v>-3549863066</v>
          </cell>
          <cell r="I404">
            <v>513823901</v>
          </cell>
          <cell r="J404">
            <v>35434501673</v>
          </cell>
          <cell r="K404">
            <v>-45970991255</v>
          </cell>
          <cell r="L404">
            <v>-10536489582</v>
          </cell>
        </row>
        <row r="405">
          <cell r="D405" t="str">
            <v>이자수익</v>
          </cell>
          <cell r="E405">
            <v>0</v>
          </cell>
          <cell r="F405">
            <v>-5070460116</v>
          </cell>
          <cell r="G405">
            <v>2891491642</v>
          </cell>
          <cell r="H405">
            <v>-3515776187</v>
          </cell>
          <cell r="I405">
            <v>-624284545</v>
          </cell>
          <cell r="J405">
            <v>22185531834</v>
          </cell>
          <cell r="K405">
            <v>-27880276495</v>
          </cell>
          <cell r="L405">
            <v>-5694744661</v>
          </cell>
        </row>
        <row r="406">
          <cell r="C406">
            <v>800100</v>
          </cell>
          <cell r="D406" t="str">
            <v>제예금수입이자</v>
          </cell>
          <cell r="E406">
            <v>0</v>
          </cell>
          <cell r="F406">
            <v>-4981893294</v>
          </cell>
          <cell r="G406">
            <v>2891491642</v>
          </cell>
          <cell r="H406">
            <v>-3504522991</v>
          </cell>
          <cell r="I406">
            <v>-613031349</v>
          </cell>
          <cell r="J406">
            <v>22185531832</v>
          </cell>
          <cell r="K406">
            <v>-27780456475</v>
          </cell>
          <cell r="L406">
            <v>-5594924643</v>
          </cell>
        </row>
        <row r="407">
          <cell r="C407">
            <v>800150</v>
          </cell>
          <cell r="D407" t="str">
            <v>수입이자_임차보증금</v>
          </cell>
          <cell r="E407">
            <v>0</v>
          </cell>
          <cell r="F407">
            <v>-4253758</v>
          </cell>
          <cell r="G407">
            <v>0</v>
          </cell>
          <cell r="H407">
            <v>-538120</v>
          </cell>
          <cell r="I407">
            <v>-538120</v>
          </cell>
          <cell r="J407">
            <v>0</v>
          </cell>
          <cell r="K407">
            <v>-4791878</v>
          </cell>
          <cell r="L407">
            <v>-4791878</v>
          </cell>
        </row>
        <row r="408">
          <cell r="C408">
            <v>800230</v>
          </cell>
          <cell r="D408" t="str">
            <v>이자수익-리스순투유</v>
          </cell>
          <cell r="E408">
            <v>0</v>
          </cell>
          <cell r="F408">
            <v>-84313064</v>
          </cell>
          <cell r="G408">
            <v>0</v>
          </cell>
          <cell r="H408">
            <v>-10715076</v>
          </cell>
          <cell r="I408">
            <v>-10715076</v>
          </cell>
          <cell r="J408">
            <v>2</v>
          </cell>
          <cell r="K408">
            <v>-95028142</v>
          </cell>
          <cell r="L408">
            <v>-95028140</v>
          </cell>
        </row>
        <row r="409">
          <cell r="D409" t="str">
            <v>금융자산평가이익</v>
          </cell>
          <cell r="E409">
            <v>0</v>
          </cell>
          <cell r="F409">
            <v>-14757139695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-14757139695</v>
          </cell>
          <cell r="L409">
            <v>-14757139695</v>
          </cell>
        </row>
        <row r="410">
          <cell r="C410">
            <v>805300</v>
          </cell>
          <cell r="D410" t="str">
            <v>유동당기금융-평가익</v>
          </cell>
          <cell r="E410">
            <v>0</v>
          </cell>
          <cell r="F410">
            <v>-61549253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-61549253</v>
          </cell>
          <cell r="L410">
            <v>-61549253</v>
          </cell>
        </row>
        <row r="411">
          <cell r="C411">
            <v>805600</v>
          </cell>
          <cell r="D411" t="str">
            <v>파생상품평가이익</v>
          </cell>
          <cell r="E411">
            <v>0</v>
          </cell>
          <cell r="F411">
            <v>-14695590442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-14695590442</v>
          </cell>
          <cell r="L411">
            <v>-14695590442</v>
          </cell>
        </row>
        <row r="412">
          <cell r="D412" t="str">
            <v>외환차익</v>
          </cell>
          <cell r="E412">
            <v>0</v>
          </cell>
          <cell r="F412">
            <v>-82023373</v>
          </cell>
          <cell r="G412">
            <v>0</v>
          </cell>
          <cell r="H412">
            <v>-6180754</v>
          </cell>
          <cell r="I412">
            <v>-6180754</v>
          </cell>
          <cell r="J412">
            <v>0</v>
          </cell>
          <cell r="K412">
            <v>-88204127</v>
          </cell>
          <cell r="L412">
            <v>-88204127</v>
          </cell>
        </row>
        <row r="413">
          <cell r="C413">
            <v>807100</v>
          </cell>
          <cell r="D413" t="str">
            <v>외환차익-금융</v>
          </cell>
          <cell r="E413">
            <v>0</v>
          </cell>
          <cell r="F413">
            <v>-19748143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-19748143</v>
          </cell>
          <cell r="L413">
            <v>-19748143</v>
          </cell>
        </row>
        <row r="414">
          <cell r="C414">
            <v>807130</v>
          </cell>
          <cell r="D414" t="str">
            <v>외환차익-영업</v>
          </cell>
          <cell r="E414">
            <v>0</v>
          </cell>
          <cell r="F414">
            <v>-62275230</v>
          </cell>
          <cell r="G414">
            <v>0</v>
          </cell>
          <cell r="H414">
            <v>-6180754</v>
          </cell>
          <cell r="I414">
            <v>-6180754</v>
          </cell>
          <cell r="J414">
            <v>0</v>
          </cell>
          <cell r="K414">
            <v>-68455984</v>
          </cell>
          <cell r="L414">
            <v>-68455984</v>
          </cell>
        </row>
        <row r="415">
          <cell r="D415" t="str">
            <v>외화환산이익</v>
          </cell>
          <cell r="E415">
            <v>0</v>
          </cell>
          <cell r="F415">
            <v>14811986</v>
          </cell>
          <cell r="G415">
            <v>0</v>
          </cell>
          <cell r="H415">
            <v>5099744</v>
          </cell>
          <cell r="I415">
            <v>5099744</v>
          </cell>
          <cell r="J415">
            <v>0</v>
          </cell>
          <cell r="K415">
            <v>19911730</v>
          </cell>
          <cell r="L415">
            <v>19911730</v>
          </cell>
        </row>
        <row r="416">
          <cell r="C416">
            <v>808170</v>
          </cell>
          <cell r="D416" t="str">
            <v>외화환산익_금융기타</v>
          </cell>
          <cell r="E416">
            <v>0</v>
          </cell>
          <cell r="F416">
            <v>14811986</v>
          </cell>
          <cell r="G416">
            <v>0</v>
          </cell>
          <cell r="H416">
            <v>5099744</v>
          </cell>
          <cell r="I416">
            <v>5099744</v>
          </cell>
          <cell r="J416">
            <v>0</v>
          </cell>
          <cell r="K416">
            <v>19911730</v>
          </cell>
          <cell r="L416">
            <v>19911730</v>
          </cell>
        </row>
        <row r="417">
          <cell r="D417" t="str">
            <v>유형자산처분이익</v>
          </cell>
          <cell r="E417">
            <v>0</v>
          </cell>
          <cell r="F417">
            <v>-209985527</v>
          </cell>
          <cell r="G417">
            <v>0</v>
          </cell>
          <cell r="H417">
            <v>0</v>
          </cell>
          <cell r="I417">
            <v>0</v>
          </cell>
          <cell r="J417">
            <v>21726373</v>
          </cell>
          <cell r="K417">
            <v>-231711900</v>
          </cell>
          <cell r="L417">
            <v>-209985527</v>
          </cell>
        </row>
        <row r="418">
          <cell r="C418">
            <v>812100</v>
          </cell>
          <cell r="D418" t="str">
            <v>유형자산처분익</v>
          </cell>
          <cell r="E418">
            <v>0</v>
          </cell>
          <cell r="F418">
            <v>-209709727</v>
          </cell>
          <cell r="G418">
            <v>0</v>
          </cell>
          <cell r="H418">
            <v>0</v>
          </cell>
          <cell r="I418">
            <v>0</v>
          </cell>
          <cell r="J418">
            <v>21726373</v>
          </cell>
          <cell r="K418">
            <v>-231436100</v>
          </cell>
          <cell r="L418">
            <v>-209709727</v>
          </cell>
        </row>
        <row r="419">
          <cell r="C419">
            <v>812200</v>
          </cell>
          <cell r="D419" t="str">
            <v>무형자산처분익</v>
          </cell>
          <cell r="E419">
            <v>0</v>
          </cell>
          <cell r="F419">
            <v>-275800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-275800</v>
          </cell>
          <cell r="L419">
            <v>-275800</v>
          </cell>
        </row>
        <row r="420">
          <cell r="D420" t="str">
            <v>지분법평가손실</v>
          </cell>
          <cell r="E420">
            <v>0</v>
          </cell>
          <cell r="F420">
            <v>7859632573</v>
          </cell>
          <cell r="G420">
            <v>1014681045</v>
          </cell>
          <cell r="H420">
            <v>0</v>
          </cell>
          <cell r="I420">
            <v>1014681045</v>
          </cell>
          <cell r="J420">
            <v>10833398803</v>
          </cell>
          <cell r="K420">
            <v>-1959085185</v>
          </cell>
          <cell r="L420">
            <v>8874313618</v>
          </cell>
        </row>
        <row r="421">
          <cell r="C421">
            <v>830100</v>
          </cell>
          <cell r="D421" t="str">
            <v>지분법평가손실</v>
          </cell>
          <cell r="E421">
            <v>0</v>
          </cell>
          <cell r="F421">
            <v>7859632573</v>
          </cell>
          <cell r="G421">
            <v>1014681045</v>
          </cell>
          <cell r="H421">
            <v>0</v>
          </cell>
          <cell r="I421">
            <v>1014681045</v>
          </cell>
          <cell r="J421">
            <v>10833398803</v>
          </cell>
          <cell r="K421">
            <v>-1959085185</v>
          </cell>
          <cell r="L421">
            <v>8874313618</v>
          </cell>
        </row>
        <row r="422">
          <cell r="D422" t="str">
            <v>잡이익</v>
          </cell>
          <cell r="E422">
            <v>0</v>
          </cell>
          <cell r="F422">
            <v>-188566263</v>
          </cell>
          <cell r="G422">
            <v>0</v>
          </cell>
          <cell r="H422">
            <v>-1080</v>
          </cell>
          <cell r="I422">
            <v>-1080</v>
          </cell>
          <cell r="J422">
            <v>0</v>
          </cell>
          <cell r="K422">
            <v>-188567343</v>
          </cell>
          <cell r="L422">
            <v>-188567343</v>
          </cell>
        </row>
        <row r="423">
          <cell r="C423">
            <v>815190</v>
          </cell>
          <cell r="D423" t="str">
            <v>기타잡이익</v>
          </cell>
          <cell r="E423">
            <v>0</v>
          </cell>
          <cell r="F423">
            <v>-188566263</v>
          </cell>
          <cell r="G423">
            <v>0</v>
          </cell>
          <cell r="H423">
            <v>-1080</v>
          </cell>
          <cell r="I423">
            <v>-1080</v>
          </cell>
          <cell r="J423">
            <v>0</v>
          </cell>
          <cell r="K423">
            <v>-188567343</v>
          </cell>
          <cell r="L423">
            <v>-188567343</v>
          </cell>
        </row>
        <row r="424">
          <cell r="D424" t="str">
            <v>기부금</v>
          </cell>
          <cell r="E424">
            <v>0</v>
          </cell>
          <cell r="F424">
            <v>111372320</v>
          </cell>
          <cell r="G424">
            <v>44003390</v>
          </cell>
          <cell r="H424">
            <v>-33000000</v>
          </cell>
          <cell r="I424">
            <v>11003390</v>
          </cell>
          <cell r="J424">
            <v>555375710</v>
          </cell>
          <cell r="K424">
            <v>-433000000</v>
          </cell>
          <cell r="L424">
            <v>122375710</v>
          </cell>
        </row>
        <row r="425">
          <cell r="C425">
            <v>829100</v>
          </cell>
          <cell r="D425" t="str">
            <v>법정기부금</v>
          </cell>
          <cell r="E425">
            <v>0</v>
          </cell>
          <cell r="F425">
            <v>107127500</v>
          </cell>
          <cell r="G425">
            <v>0</v>
          </cell>
          <cell r="H425">
            <v>0</v>
          </cell>
          <cell r="I425">
            <v>0</v>
          </cell>
          <cell r="J425">
            <v>107127500</v>
          </cell>
          <cell r="K425">
            <v>0</v>
          </cell>
          <cell r="L425">
            <v>107127500</v>
          </cell>
        </row>
        <row r="426">
          <cell r="C426">
            <v>829200</v>
          </cell>
          <cell r="D426" t="str">
            <v>지정기부금</v>
          </cell>
          <cell r="E426">
            <v>0</v>
          </cell>
          <cell r="F426">
            <v>4244820</v>
          </cell>
          <cell r="G426">
            <v>44003390</v>
          </cell>
          <cell r="H426">
            <v>-33000000</v>
          </cell>
          <cell r="I426">
            <v>11003390</v>
          </cell>
          <cell r="J426">
            <v>448248210</v>
          </cell>
          <cell r="K426">
            <v>-433000000</v>
          </cell>
          <cell r="L426">
            <v>15248210</v>
          </cell>
        </row>
        <row r="427">
          <cell r="D427" t="str">
            <v>이자비용</v>
          </cell>
          <cell r="E427">
            <v>0</v>
          </cell>
          <cell r="F427">
            <v>654149666</v>
          </cell>
          <cell r="G427">
            <v>72546353</v>
          </cell>
          <cell r="H427">
            <v>0</v>
          </cell>
          <cell r="I427">
            <v>72546353</v>
          </cell>
          <cell r="J427">
            <v>726696019</v>
          </cell>
          <cell r="K427">
            <v>0</v>
          </cell>
          <cell r="L427">
            <v>726696019</v>
          </cell>
        </row>
        <row r="428">
          <cell r="C428">
            <v>820190</v>
          </cell>
          <cell r="D428" t="str">
            <v>기타지급이자</v>
          </cell>
          <cell r="E428">
            <v>0</v>
          </cell>
          <cell r="F428">
            <v>76031354</v>
          </cell>
          <cell r="G428">
            <v>9787569</v>
          </cell>
          <cell r="H428">
            <v>0</v>
          </cell>
          <cell r="I428">
            <v>9787569</v>
          </cell>
          <cell r="J428">
            <v>85818923</v>
          </cell>
          <cell r="K428">
            <v>0</v>
          </cell>
          <cell r="L428">
            <v>85818923</v>
          </cell>
        </row>
        <row r="429">
          <cell r="C429">
            <v>820200</v>
          </cell>
          <cell r="D429" t="str">
            <v>이자비용-유동장기리</v>
          </cell>
          <cell r="E429">
            <v>0</v>
          </cell>
          <cell r="F429">
            <v>578118312</v>
          </cell>
          <cell r="G429">
            <v>62758784</v>
          </cell>
          <cell r="H429">
            <v>0</v>
          </cell>
          <cell r="I429">
            <v>62758784</v>
          </cell>
          <cell r="J429">
            <v>640877096</v>
          </cell>
          <cell r="K429">
            <v>0</v>
          </cell>
          <cell r="L429">
            <v>640877096</v>
          </cell>
        </row>
        <row r="430">
          <cell r="D430" t="str">
            <v>기타의대손상각비</v>
          </cell>
          <cell r="E430">
            <v>0</v>
          </cell>
          <cell r="F430">
            <v>10111280</v>
          </cell>
          <cell r="G430">
            <v>0</v>
          </cell>
          <cell r="H430">
            <v>-4789</v>
          </cell>
          <cell r="I430">
            <v>-4789</v>
          </cell>
          <cell r="J430">
            <v>18587481</v>
          </cell>
          <cell r="K430">
            <v>-8480990</v>
          </cell>
          <cell r="L430">
            <v>10106491</v>
          </cell>
        </row>
        <row r="431">
          <cell r="C431">
            <v>821100</v>
          </cell>
          <cell r="D431" t="str">
            <v>미수금대손상각</v>
          </cell>
          <cell r="E431">
            <v>0</v>
          </cell>
          <cell r="F431">
            <v>9899260</v>
          </cell>
          <cell r="G431">
            <v>0</v>
          </cell>
          <cell r="H431">
            <v>-4789</v>
          </cell>
          <cell r="I431">
            <v>-4789</v>
          </cell>
          <cell r="J431">
            <v>18375461</v>
          </cell>
          <cell r="K431">
            <v>-8480990</v>
          </cell>
          <cell r="L431">
            <v>9894471</v>
          </cell>
        </row>
        <row r="432">
          <cell r="C432">
            <v>821190</v>
          </cell>
          <cell r="D432" t="str">
            <v>기타대손상각</v>
          </cell>
          <cell r="E432">
            <v>0</v>
          </cell>
          <cell r="F432">
            <v>212020</v>
          </cell>
          <cell r="G432">
            <v>0</v>
          </cell>
          <cell r="H432">
            <v>0</v>
          </cell>
          <cell r="I432">
            <v>0</v>
          </cell>
          <cell r="J432">
            <v>212020</v>
          </cell>
          <cell r="K432">
            <v>0</v>
          </cell>
          <cell r="L432">
            <v>212020</v>
          </cell>
        </row>
        <row r="433">
          <cell r="D433" t="str">
            <v>유형자산처분손실</v>
          </cell>
          <cell r="E433">
            <v>0</v>
          </cell>
          <cell r="F433">
            <v>118469373</v>
          </cell>
          <cell r="G433">
            <v>0</v>
          </cell>
          <cell r="H433">
            <v>0</v>
          </cell>
          <cell r="I433">
            <v>0</v>
          </cell>
          <cell r="J433">
            <v>129028867</v>
          </cell>
          <cell r="K433">
            <v>-10559494</v>
          </cell>
          <cell r="L433">
            <v>118469373</v>
          </cell>
        </row>
        <row r="434">
          <cell r="C434">
            <v>833100</v>
          </cell>
          <cell r="D434" t="str">
            <v>유형자산처분손실</v>
          </cell>
          <cell r="E434">
            <v>0</v>
          </cell>
          <cell r="F434">
            <v>36150000</v>
          </cell>
          <cell r="G434">
            <v>0</v>
          </cell>
          <cell r="H434">
            <v>0</v>
          </cell>
          <cell r="I434">
            <v>0</v>
          </cell>
          <cell r="J434">
            <v>45380552</v>
          </cell>
          <cell r="K434">
            <v>-9230552</v>
          </cell>
          <cell r="L434">
            <v>36150000</v>
          </cell>
        </row>
        <row r="435">
          <cell r="C435">
            <v>833200</v>
          </cell>
          <cell r="D435" t="str">
            <v>무형자산처분손실</v>
          </cell>
          <cell r="E435">
            <v>0</v>
          </cell>
          <cell r="F435">
            <v>82319373</v>
          </cell>
          <cell r="G435">
            <v>0</v>
          </cell>
          <cell r="H435">
            <v>0</v>
          </cell>
          <cell r="I435">
            <v>0</v>
          </cell>
          <cell r="J435">
            <v>83648315</v>
          </cell>
          <cell r="K435">
            <v>-1328942</v>
          </cell>
          <cell r="L435">
            <v>82319373</v>
          </cell>
        </row>
        <row r="436">
          <cell r="D436" t="str">
            <v>외환차손</v>
          </cell>
          <cell r="E436">
            <v>0</v>
          </cell>
          <cell r="F436">
            <v>36709345</v>
          </cell>
          <cell r="G436">
            <v>1513035</v>
          </cell>
          <cell r="H436">
            <v>0</v>
          </cell>
          <cell r="I436">
            <v>1513035</v>
          </cell>
          <cell r="J436">
            <v>38222380</v>
          </cell>
          <cell r="K436">
            <v>0</v>
          </cell>
          <cell r="L436">
            <v>38222380</v>
          </cell>
        </row>
        <row r="437">
          <cell r="C437">
            <v>826100</v>
          </cell>
          <cell r="D437" t="str">
            <v>외환차손-금융</v>
          </cell>
          <cell r="E437">
            <v>0</v>
          </cell>
          <cell r="F437">
            <v>6639055</v>
          </cell>
          <cell r="G437">
            <v>105565</v>
          </cell>
          <cell r="H437">
            <v>0</v>
          </cell>
          <cell r="I437">
            <v>105565</v>
          </cell>
          <cell r="J437">
            <v>6744620</v>
          </cell>
          <cell r="K437">
            <v>0</v>
          </cell>
          <cell r="L437">
            <v>6744620</v>
          </cell>
        </row>
        <row r="438">
          <cell r="C438">
            <v>826130</v>
          </cell>
          <cell r="D438" t="str">
            <v>외환차손-영업</v>
          </cell>
          <cell r="E438">
            <v>0</v>
          </cell>
          <cell r="F438">
            <v>30070290</v>
          </cell>
          <cell r="G438">
            <v>1407470</v>
          </cell>
          <cell r="H438">
            <v>0</v>
          </cell>
          <cell r="I438">
            <v>1407470</v>
          </cell>
          <cell r="J438">
            <v>31477760</v>
          </cell>
          <cell r="K438">
            <v>0</v>
          </cell>
          <cell r="L438">
            <v>31477760</v>
          </cell>
        </row>
        <row r="439">
          <cell r="D439" t="str">
            <v>외화환산손실</v>
          </cell>
          <cell r="E439">
            <v>0</v>
          </cell>
          <cell r="F439">
            <v>17054135</v>
          </cell>
          <cell r="G439">
            <v>39451496</v>
          </cell>
          <cell r="H439">
            <v>0</v>
          </cell>
          <cell r="I439">
            <v>39451496</v>
          </cell>
          <cell r="J439">
            <v>56505631</v>
          </cell>
          <cell r="K439">
            <v>0</v>
          </cell>
          <cell r="L439">
            <v>56505631</v>
          </cell>
        </row>
        <row r="440">
          <cell r="C440">
            <v>827170</v>
          </cell>
          <cell r="D440" t="str">
            <v>외화환산손_금융기타</v>
          </cell>
          <cell r="E440">
            <v>0</v>
          </cell>
          <cell r="F440">
            <v>17054135</v>
          </cell>
          <cell r="G440">
            <v>39451496</v>
          </cell>
          <cell r="H440">
            <v>0</v>
          </cell>
          <cell r="I440">
            <v>39451496</v>
          </cell>
          <cell r="J440">
            <v>56505631</v>
          </cell>
          <cell r="K440">
            <v>0</v>
          </cell>
          <cell r="L440">
            <v>56505631</v>
          </cell>
        </row>
        <row r="441">
          <cell r="D441" t="str">
            <v>지분법적용투자주식손상차손</v>
          </cell>
          <cell r="E441">
            <v>0</v>
          </cell>
          <cell r="F441">
            <v>433877756</v>
          </cell>
          <cell r="G441">
            <v>0</v>
          </cell>
          <cell r="H441">
            <v>0</v>
          </cell>
          <cell r="I441">
            <v>0</v>
          </cell>
          <cell r="J441">
            <v>867755512</v>
          </cell>
          <cell r="K441">
            <v>-433877756</v>
          </cell>
          <cell r="L441">
            <v>433877756</v>
          </cell>
        </row>
        <row r="442">
          <cell r="C442">
            <v>831120</v>
          </cell>
          <cell r="D442" t="str">
            <v>지분법주식손상차손</v>
          </cell>
          <cell r="E442">
            <v>0</v>
          </cell>
          <cell r="F442">
            <v>433877756</v>
          </cell>
          <cell r="G442">
            <v>0</v>
          </cell>
          <cell r="H442">
            <v>0</v>
          </cell>
          <cell r="I442">
            <v>0</v>
          </cell>
          <cell r="J442">
            <v>867755512</v>
          </cell>
          <cell r="K442">
            <v>-433877756</v>
          </cell>
          <cell r="L442">
            <v>433877756</v>
          </cell>
        </row>
        <row r="443">
          <cell r="D443" t="str">
            <v>잡손실</v>
          </cell>
          <cell r="E443">
            <v>0</v>
          </cell>
          <cell r="F443">
            <v>1673057</v>
          </cell>
          <cell r="G443">
            <v>6</v>
          </cell>
          <cell r="H443">
            <v>0</v>
          </cell>
          <cell r="I443">
            <v>6</v>
          </cell>
          <cell r="J443">
            <v>1673063</v>
          </cell>
          <cell r="K443">
            <v>0</v>
          </cell>
          <cell r="L443">
            <v>1673063</v>
          </cell>
        </row>
        <row r="444">
          <cell r="C444">
            <v>835100</v>
          </cell>
          <cell r="D444" t="str">
            <v>잡손실</v>
          </cell>
          <cell r="E444">
            <v>0</v>
          </cell>
          <cell r="F444">
            <v>1673057</v>
          </cell>
          <cell r="G444">
            <v>6</v>
          </cell>
          <cell r="H444">
            <v>0</v>
          </cell>
          <cell r="I444">
            <v>6</v>
          </cell>
          <cell r="J444">
            <v>1673063</v>
          </cell>
          <cell r="K444">
            <v>0</v>
          </cell>
          <cell r="L444">
            <v>1673063</v>
          </cell>
        </row>
        <row r="445">
          <cell r="D445" t="str">
            <v>법인세비용</v>
          </cell>
          <cell r="E445">
            <v>0</v>
          </cell>
          <cell r="F445">
            <v>544594110</v>
          </cell>
          <cell r="G445">
            <v>790199487</v>
          </cell>
          <cell r="H445">
            <v>0</v>
          </cell>
          <cell r="I445">
            <v>790199487</v>
          </cell>
          <cell r="J445">
            <v>1334793597</v>
          </cell>
          <cell r="K445">
            <v>0</v>
          </cell>
          <cell r="L445">
            <v>1334793597</v>
          </cell>
        </row>
        <row r="446">
          <cell r="D446" t="str">
            <v>법인세비용</v>
          </cell>
          <cell r="E446">
            <v>0</v>
          </cell>
          <cell r="F446">
            <v>544594110</v>
          </cell>
          <cell r="G446">
            <v>790199487</v>
          </cell>
          <cell r="H446">
            <v>0</v>
          </cell>
          <cell r="I446">
            <v>790199487</v>
          </cell>
          <cell r="J446">
            <v>1334793597</v>
          </cell>
          <cell r="K446">
            <v>0</v>
          </cell>
          <cell r="L446">
            <v>1334793597</v>
          </cell>
        </row>
        <row r="447">
          <cell r="C447">
            <v>849100</v>
          </cell>
          <cell r="D447" t="str">
            <v>법인세</v>
          </cell>
          <cell r="E447">
            <v>0</v>
          </cell>
          <cell r="F447">
            <v>544594110</v>
          </cell>
          <cell r="G447">
            <v>790199487</v>
          </cell>
          <cell r="H447">
            <v>0</v>
          </cell>
          <cell r="I447">
            <v>790199487</v>
          </cell>
          <cell r="J447">
            <v>1334793597</v>
          </cell>
          <cell r="K447">
            <v>0</v>
          </cell>
          <cell r="L447">
            <v>1334793597</v>
          </cell>
        </row>
        <row r="448">
          <cell r="D448" t="str">
            <v>본지사&amp;자산EXP&amp;조정</v>
          </cell>
          <cell r="E448">
            <v>0</v>
          </cell>
          <cell r="F448">
            <v>0</v>
          </cell>
          <cell r="G448">
            <v>4159519264168</v>
          </cell>
          <cell r="H448">
            <v>-4159519264168</v>
          </cell>
          <cell r="I448">
            <v>0</v>
          </cell>
          <cell r="J448">
            <v>34683286450826</v>
          </cell>
          <cell r="K448">
            <v>-34683286450826</v>
          </cell>
          <cell r="L448">
            <v>0</v>
          </cell>
        </row>
        <row r="449">
          <cell r="D449" t="str">
            <v>조정계정</v>
          </cell>
          <cell r="E449">
            <v>0</v>
          </cell>
          <cell r="F449">
            <v>0</v>
          </cell>
          <cell r="G449">
            <v>4159519264168</v>
          </cell>
          <cell r="H449">
            <v>-4159519264168</v>
          </cell>
          <cell r="I449">
            <v>0</v>
          </cell>
          <cell r="J449">
            <v>34683286450826</v>
          </cell>
          <cell r="K449">
            <v>-34683286450826</v>
          </cell>
          <cell r="L449">
            <v>0</v>
          </cell>
        </row>
        <row r="450">
          <cell r="C450">
            <v>970200</v>
          </cell>
          <cell r="D450" t="str">
            <v>자금이체조정</v>
          </cell>
          <cell r="E450">
            <v>0</v>
          </cell>
          <cell r="F450">
            <v>0</v>
          </cell>
          <cell r="G450">
            <v>1754443894238</v>
          </cell>
          <cell r="H450">
            <v>-1754443894238</v>
          </cell>
          <cell r="I450">
            <v>0</v>
          </cell>
          <cell r="J450">
            <v>14368467124688</v>
          </cell>
          <cell r="K450">
            <v>-14368467124688</v>
          </cell>
          <cell r="L450">
            <v>0</v>
          </cell>
        </row>
        <row r="451">
          <cell r="C451">
            <v>970400</v>
          </cell>
          <cell r="D451" t="str">
            <v>자금미지급금조정계정</v>
          </cell>
          <cell r="E451">
            <v>0</v>
          </cell>
          <cell r="F451">
            <v>0</v>
          </cell>
          <cell r="G451">
            <v>2393025062860</v>
          </cell>
          <cell r="H451">
            <v>-2393025062860</v>
          </cell>
          <cell r="I451">
            <v>0</v>
          </cell>
          <cell r="J451">
            <v>20229503671232</v>
          </cell>
          <cell r="K451">
            <v>-20229503671232</v>
          </cell>
          <cell r="L451">
            <v>0</v>
          </cell>
        </row>
        <row r="452">
          <cell r="C452">
            <v>970401</v>
          </cell>
          <cell r="D452" t="str">
            <v>자금미수금조정계정</v>
          </cell>
          <cell r="E452">
            <v>0</v>
          </cell>
          <cell r="F452">
            <v>0</v>
          </cell>
          <cell r="G452">
            <v>112717858</v>
          </cell>
          <cell r="H452">
            <v>-112717858</v>
          </cell>
          <cell r="I452">
            <v>0</v>
          </cell>
          <cell r="J452">
            <v>3871559754</v>
          </cell>
          <cell r="K452">
            <v>-3871559754</v>
          </cell>
          <cell r="L452">
            <v>0</v>
          </cell>
        </row>
        <row r="453">
          <cell r="C453">
            <v>971000</v>
          </cell>
          <cell r="D453" t="str">
            <v>자산매각액</v>
          </cell>
          <cell r="E453">
            <v>0</v>
          </cell>
          <cell r="F453">
            <v>-261610000</v>
          </cell>
          <cell r="G453">
            <v>0</v>
          </cell>
          <cell r="H453">
            <v>0</v>
          </cell>
          <cell r="I453">
            <v>0</v>
          </cell>
          <cell r="J453">
            <v>229000000</v>
          </cell>
          <cell r="K453">
            <v>-490610000</v>
          </cell>
          <cell r="L453">
            <v>-261610000</v>
          </cell>
        </row>
        <row r="454">
          <cell r="C454">
            <v>971001</v>
          </cell>
          <cell r="D454" t="str">
            <v>자산매각액조정</v>
          </cell>
          <cell r="E454">
            <v>0</v>
          </cell>
          <cell r="F454">
            <v>261610000</v>
          </cell>
          <cell r="G454">
            <v>0</v>
          </cell>
          <cell r="H454">
            <v>0</v>
          </cell>
          <cell r="I454">
            <v>0</v>
          </cell>
          <cell r="J454">
            <v>269980000</v>
          </cell>
          <cell r="K454">
            <v>-8370000</v>
          </cell>
          <cell r="L454">
            <v>261610000</v>
          </cell>
        </row>
        <row r="455">
          <cell r="C455">
            <v>971101</v>
          </cell>
          <cell r="D455" t="str">
            <v>세무용 감가상각충당</v>
          </cell>
          <cell r="E455">
            <v>0</v>
          </cell>
          <cell r="F455">
            <v>-11681049197</v>
          </cell>
          <cell r="G455">
            <v>0</v>
          </cell>
          <cell r="H455">
            <v>-5597701404</v>
          </cell>
          <cell r="I455">
            <v>-5597701404</v>
          </cell>
          <cell r="J455">
            <v>0</v>
          </cell>
          <cell r="K455">
            <v>-17278750601</v>
          </cell>
          <cell r="L455">
            <v>-17278750601</v>
          </cell>
        </row>
        <row r="456">
          <cell r="C456">
            <v>971201</v>
          </cell>
          <cell r="D456" t="str">
            <v>세무용 감가상각비</v>
          </cell>
          <cell r="E456">
            <v>0</v>
          </cell>
          <cell r="F456">
            <v>11681049197</v>
          </cell>
          <cell r="G456">
            <v>5597701404</v>
          </cell>
          <cell r="H456">
            <v>0</v>
          </cell>
          <cell r="I456">
            <v>5597701404</v>
          </cell>
          <cell r="J456">
            <v>17278750601</v>
          </cell>
          <cell r="K456">
            <v>0</v>
          </cell>
          <cell r="L456">
            <v>17278750601</v>
          </cell>
        </row>
        <row r="457">
          <cell r="C457">
            <v>973000</v>
          </cell>
          <cell r="D457" t="str">
            <v>급여조정</v>
          </cell>
          <cell r="E457">
            <v>0</v>
          </cell>
          <cell r="F457">
            <v>0</v>
          </cell>
          <cell r="G457">
            <v>5988887808</v>
          </cell>
          <cell r="H457">
            <v>-5988887808</v>
          </cell>
          <cell r="I457">
            <v>0</v>
          </cell>
          <cell r="J457">
            <v>63276364551</v>
          </cell>
          <cell r="K457">
            <v>-63276364551</v>
          </cell>
          <cell r="L457">
            <v>0</v>
          </cell>
        </row>
        <row r="458">
          <cell r="C458">
            <v>974110</v>
          </cell>
          <cell r="D458" t="str">
            <v>임차보증금투자예산</v>
          </cell>
          <cell r="E458">
            <v>533199600</v>
          </cell>
          <cell r="F458">
            <v>572199600</v>
          </cell>
          <cell r="G458">
            <v>351000000</v>
          </cell>
          <cell r="H458">
            <v>0</v>
          </cell>
          <cell r="I458">
            <v>351000000</v>
          </cell>
          <cell r="J458">
            <v>390000000</v>
          </cell>
          <cell r="K458">
            <v>0</v>
          </cell>
          <cell r="L458">
            <v>923199600</v>
          </cell>
        </row>
        <row r="459">
          <cell r="C459">
            <v>974120</v>
          </cell>
          <cell r="D459" t="str">
            <v>투자예산조정</v>
          </cell>
          <cell r="E459">
            <v>-533199600</v>
          </cell>
          <cell r="F459">
            <v>-572199600</v>
          </cell>
          <cell r="G459">
            <v>0</v>
          </cell>
          <cell r="H459">
            <v>-351000000</v>
          </cell>
          <cell r="I459">
            <v>-351000000</v>
          </cell>
          <cell r="J459">
            <v>0</v>
          </cell>
          <cell r="K459">
            <v>-390000000</v>
          </cell>
          <cell r="L459">
            <v>-923199600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.4Q"/>
      <sheetName val="19.1Q"/>
      <sheetName val="19.2Q"/>
      <sheetName val="19.3Q"/>
      <sheetName val="19.4Q"/>
      <sheetName val="20.1Q"/>
      <sheetName val="20.2Q"/>
      <sheetName val="20.3Q"/>
      <sheetName val="20.4Q"/>
      <sheetName val="그룹COA"/>
      <sheetName val="21.1Q"/>
      <sheetName val="21.2Q"/>
      <sheetName val="21.3Q"/>
      <sheetName val="21.10월"/>
      <sheetName val="21.4Q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G/L 계정</v>
          </cell>
          <cell r="B1" t="str">
            <v>G/L 계정명</v>
          </cell>
          <cell r="C1" t="str">
            <v>그룹 계정 번호</v>
          </cell>
          <cell r="D1" t="str">
            <v>그룹</v>
          </cell>
        </row>
        <row r="2">
          <cell r="A2">
            <v>100000</v>
          </cell>
          <cell r="B2" t="str">
            <v>현금- 원화</v>
          </cell>
          <cell r="C2">
            <v>201101</v>
          </cell>
          <cell r="D2">
            <v>2011</v>
          </cell>
        </row>
        <row r="3">
          <cell r="A3">
            <v>100001</v>
          </cell>
          <cell r="B3" t="str">
            <v>소액현금</v>
          </cell>
          <cell r="C3">
            <v>201102</v>
          </cell>
          <cell r="D3">
            <v>2011</v>
          </cell>
        </row>
        <row r="4">
          <cell r="A4">
            <v>101000</v>
          </cell>
          <cell r="B4" t="str">
            <v>현금-외화</v>
          </cell>
          <cell r="C4">
            <v>201101</v>
          </cell>
          <cell r="D4">
            <v>2011</v>
          </cell>
        </row>
        <row r="5">
          <cell r="A5">
            <v>109999</v>
          </cell>
          <cell r="B5" t="str">
            <v>현금-Migration</v>
          </cell>
          <cell r="C5">
            <v>201101</v>
          </cell>
          <cell r="D5">
            <v>2011</v>
          </cell>
        </row>
        <row r="6">
          <cell r="A6">
            <v>110000</v>
          </cell>
          <cell r="B6" t="str">
            <v>신한 지출 모계좌</v>
          </cell>
          <cell r="C6">
            <v>201101</v>
          </cell>
          <cell r="D6">
            <v>2011</v>
          </cell>
        </row>
        <row r="7">
          <cell r="A7">
            <v>110712</v>
          </cell>
          <cell r="B7" t="str">
            <v>하나 지출 모계좌</v>
          </cell>
          <cell r="C7">
            <v>201101</v>
          </cell>
          <cell r="D7">
            <v>2011</v>
          </cell>
        </row>
        <row r="8">
          <cell r="A8">
            <v>110714</v>
          </cell>
          <cell r="B8" t="str">
            <v>하나 임원급여 이체계좌</v>
          </cell>
          <cell r="C8">
            <v>201101</v>
          </cell>
          <cell r="D8">
            <v>2011</v>
          </cell>
        </row>
        <row r="9">
          <cell r="A9">
            <v>110715</v>
          </cell>
          <cell r="B9" t="str">
            <v>하나 급여 계좌</v>
          </cell>
          <cell r="C9">
            <v>201101</v>
          </cell>
          <cell r="D9">
            <v>2011</v>
          </cell>
        </row>
        <row r="10">
          <cell r="A10">
            <v>111000</v>
          </cell>
          <cell r="B10" t="str">
            <v>신한 수입 모계좌</v>
          </cell>
          <cell r="C10">
            <v>201101</v>
          </cell>
          <cell r="D10">
            <v>2011</v>
          </cell>
        </row>
        <row r="11">
          <cell r="A11">
            <v>111002</v>
          </cell>
          <cell r="B11" t="str">
            <v>판매회계 예금</v>
          </cell>
          <cell r="C11">
            <v>201101</v>
          </cell>
          <cell r="D11">
            <v>2011</v>
          </cell>
        </row>
        <row r="12">
          <cell r="A12">
            <v>111049</v>
          </cell>
          <cell r="B12" t="str">
            <v>신한 팀가상 모계좌</v>
          </cell>
          <cell r="C12">
            <v>201101</v>
          </cell>
          <cell r="D12">
            <v>2011</v>
          </cell>
        </row>
        <row r="13">
          <cell r="A13">
            <v>111050</v>
          </cell>
          <cell r="B13" t="str">
            <v>신한-보통예금-전자방식결제 수입금</v>
          </cell>
          <cell r="C13">
            <v>201101</v>
          </cell>
          <cell r="D13">
            <v>2011</v>
          </cell>
        </row>
        <row r="14">
          <cell r="A14">
            <v>111390</v>
          </cell>
          <cell r="B14" t="str">
            <v>하나 미래유통 카드수납계좌</v>
          </cell>
          <cell r="C14">
            <v>201101</v>
          </cell>
          <cell r="D14">
            <v>2011</v>
          </cell>
        </row>
        <row r="15">
          <cell r="A15">
            <v>111400</v>
          </cell>
          <cell r="B15" t="str">
            <v>하나 국책 앱불법복제방지기술연구</v>
          </cell>
          <cell r="C15">
            <v>201101</v>
          </cell>
          <cell r="D15">
            <v>2011</v>
          </cell>
        </row>
        <row r="16">
          <cell r="A16">
            <v>111438</v>
          </cell>
          <cell r="B16" t="str">
            <v>하나  :  54991001467604</v>
          </cell>
          <cell r="C16">
            <v>201101</v>
          </cell>
          <cell r="D16">
            <v>2011</v>
          </cell>
        </row>
        <row r="17">
          <cell r="A17">
            <v>111490</v>
          </cell>
          <cell r="B17" t="str">
            <v>하나 국책 센싱기반감성서비스</v>
          </cell>
          <cell r="C17">
            <v>201101</v>
          </cell>
          <cell r="D17">
            <v>2011</v>
          </cell>
        </row>
        <row r="18">
          <cell r="A18">
            <v>111700</v>
          </cell>
          <cell r="B18" t="str">
            <v>신한 SKT와 B2B 전용계좌</v>
          </cell>
          <cell r="C18">
            <v>201101</v>
          </cell>
          <cell r="D18">
            <v>2011</v>
          </cell>
        </row>
        <row r="19">
          <cell r="A19">
            <v>111733</v>
          </cell>
          <cell r="B19" t="str">
            <v>신한 무급휴직자 미수금 회수관리</v>
          </cell>
          <cell r="C19">
            <v>201101</v>
          </cell>
          <cell r="D19">
            <v>2011</v>
          </cell>
        </row>
        <row r="20">
          <cell r="A20">
            <v>111735</v>
          </cell>
          <cell r="B20" t="str">
            <v>신한 수입금운용(야간)</v>
          </cell>
          <cell r="C20">
            <v>201101</v>
          </cell>
          <cell r="D20">
            <v>2011</v>
          </cell>
        </row>
        <row r="21">
          <cell r="A21">
            <v>111801</v>
          </cell>
          <cell r="B21" t="str">
            <v>국민 쇼핑몰</v>
          </cell>
          <cell r="C21">
            <v>201101</v>
          </cell>
          <cell r="D21">
            <v>2011</v>
          </cell>
        </row>
        <row r="22">
          <cell r="A22">
            <v>111802</v>
          </cell>
          <cell r="B22" t="str">
            <v>하나 쇼핑몰</v>
          </cell>
          <cell r="C22">
            <v>201101</v>
          </cell>
          <cell r="D22">
            <v>2011</v>
          </cell>
        </row>
        <row r="23">
          <cell r="A23">
            <v>111803</v>
          </cell>
          <cell r="B23" t="str">
            <v>신한 쇼핑몰</v>
          </cell>
          <cell r="C23">
            <v>201101</v>
          </cell>
          <cell r="D23">
            <v>2011</v>
          </cell>
        </row>
        <row r="24">
          <cell r="A24">
            <v>111804</v>
          </cell>
          <cell r="B24" t="str">
            <v>국민 11번가 지출 모계좌</v>
          </cell>
          <cell r="C24">
            <v>201101</v>
          </cell>
          <cell r="D24">
            <v>2011</v>
          </cell>
        </row>
        <row r="25">
          <cell r="A25">
            <v>111806</v>
          </cell>
          <cell r="B25" t="str">
            <v>우리 11번가 수입금</v>
          </cell>
          <cell r="C25">
            <v>201101</v>
          </cell>
          <cell r="D25">
            <v>2011</v>
          </cell>
        </row>
        <row r="26">
          <cell r="A26">
            <v>111807</v>
          </cell>
          <cell r="B26" t="str">
            <v>우리 11번가 가상계좌</v>
          </cell>
          <cell r="C26">
            <v>201101</v>
          </cell>
          <cell r="D26">
            <v>2011</v>
          </cell>
        </row>
        <row r="27">
          <cell r="A27">
            <v>111808</v>
          </cell>
          <cell r="B27" t="str">
            <v>신한 11번가 가상계좌</v>
          </cell>
          <cell r="C27">
            <v>201101</v>
          </cell>
          <cell r="D27">
            <v>2011</v>
          </cell>
        </row>
        <row r="28">
          <cell r="A28">
            <v>111809</v>
          </cell>
          <cell r="B28" t="str">
            <v>국민 11번가 가상계좌</v>
          </cell>
          <cell r="C28">
            <v>201101</v>
          </cell>
          <cell r="D28">
            <v>2011</v>
          </cell>
        </row>
        <row r="29">
          <cell r="A29">
            <v>111810</v>
          </cell>
          <cell r="B29" t="str">
            <v>하나 11번가 가상계좌</v>
          </cell>
          <cell r="C29">
            <v>201101</v>
          </cell>
          <cell r="D29">
            <v>2011</v>
          </cell>
        </row>
        <row r="30">
          <cell r="A30">
            <v>111811</v>
          </cell>
          <cell r="B30" t="str">
            <v>기업 11번가 가상계좌</v>
          </cell>
          <cell r="C30">
            <v>201101</v>
          </cell>
          <cell r="D30">
            <v>2011</v>
          </cell>
        </row>
        <row r="31">
          <cell r="A31">
            <v>111812</v>
          </cell>
          <cell r="B31" t="str">
            <v>우리 11번가 지출 모계좌</v>
          </cell>
          <cell r="C31">
            <v>201101</v>
          </cell>
          <cell r="D31">
            <v>2011</v>
          </cell>
        </row>
        <row r="32">
          <cell r="A32">
            <v>111813</v>
          </cell>
          <cell r="B32" t="str">
            <v>제일 11번가 가상계좌</v>
          </cell>
          <cell r="C32">
            <v>201101</v>
          </cell>
          <cell r="D32">
            <v>2011</v>
          </cell>
        </row>
        <row r="33">
          <cell r="A33">
            <v>111814</v>
          </cell>
          <cell r="B33" t="str">
            <v>신한 11번가 해외정산 원화</v>
          </cell>
          <cell r="C33">
            <v>201101</v>
          </cell>
          <cell r="D33">
            <v>2011</v>
          </cell>
        </row>
        <row r="34">
          <cell r="A34">
            <v>111815</v>
          </cell>
          <cell r="B34" t="str">
            <v>외환 11번가 가상계좌</v>
          </cell>
          <cell r="C34">
            <v>201101</v>
          </cell>
          <cell r="D34">
            <v>2011</v>
          </cell>
        </row>
        <row r="35">
          <cell r="A35">
            <v>111816</v>
          </cell>
          <cell r="B35" t="str">
            <v>광주 11번가 가상계좌</v>
          </cell>
          <cell r="C35">
            <v>201101</v>
          </cell>
          <cell r="D35">
            <v>2011</v>
          </cell>
        </row>
        <row r="36">
          <cell r="A36">
            <v>111817</v>
          </cell>
          <cell r="B36" t="str">
            <v>부산 11번가 가상계좌</v>
          </cell>
          <cell r="C36">
            <v>201101</v>
          </cell>
          <cell r="D36">
            <v>2011</v>
          </cell>
        </row>
        <row r="37">
          <cell r="A37">
            <v>111818</v>
          </cell>
          <cell r="B37" t="str">
            <v>농협 11번가 가상계좌</v>
          </cell>
          <cell r="C37">
            <v>201101</v>
          </cell>
          <cell r="D37">
            <v>2011</v>
          </cell>
        </row>
        <row r="38">
          <cell r="A38">
            <v>111819</v>
          </cell>
          <cell r="B38" t="str">
            <v>경남 11번가 가상계좌</v>
          </cell>
          <cell r="C38">
            <v>201101</v>
          </cell>
          <cell r="D38">
            <v>2011</v>
          </cell>
        </row>
        <row r="39">
          <cell r="A39">
            <v>111820</v>
          </cell>
          <cell r="B39" t="str">
            <v>신한 11번가 결제대금예치(수입금모계좌)</v>
          </cell>
          <cell r="C39">
            <v>201101</v>
          </cell>
          <cell r="D39">
            <v>2011</v>
          </cell>
        </row>
        <row r="40">
          <cell r="A40">
            <v>111901</v>
          </cell>
          <cell r="B40" t="str">
            <v>국민 OMP 가상계좌 모계좌</v>
          </cell>
          <cell r="C40">
            <v>201101</v>
          </cell>
          <cell r="D40">
            <v>2011</v>
          </cell>
        </row>
        <row r="41">
          <cell r="A41">
            <v>111902</v>
          </cell>
          <cell r="B41" t="str">
            <v>농협 OMP 가상계좌 모계좌</v>
          </cell>
          <cell r="C41">
            <v>201101</v>
          </cell>
          <cell r="D41">
            <v>2011</v>
          </cell>
        </row>
        <row r="42">
          <cell r="A42">
            <v>111903</v>
          </cell>
          <cell r="B42" t="str">
            <v>하나 OMP 가상계좌 모계좌</v>
          </cell>
          <cell r="C42">
            <v>201101</v>
          </cell>
          <cell r="D42">
            <v>2011</v>
          </cell>
        </row>
        <row r="43">
          <cell r="A43">
            <v>111904</v>
          </cell>
          <cell r="B43" t="str">
            <v>우리 OMP 가상계좌 모계좌</v>
          </cell>
          <cell r="C43">
            <v>201101</v>
          </cell>
          <cell r="D43">
            <v>2011</v>
          </cell>
        </row>
        <row r="44">
          <cell r="A44">
            <v>111905</v>
          </cell>
          <cell r="B44" t="str">
            <v>신한 OMP 가상계좌 모계좌</v>
          </cell>
          <cell r="C44">
            <v>201101</v>
          </cell>
          <cell r="D44">
            <v>2011</v>
          </cell>
        </row>
        <row r="45">
          <cell r="A45">
            <v>111906</v>
          </cell>
          <cell r="B45" t="str">
            <v>신한 OMP 가맹점 등록계좌</v>
          </cell>
          <cell r="C45">
            <v>201101</v>
          </cell>
          <cell r="D45">
            <v>2011</v>
          </cell>
        </row>
        <row r="46">
          <cell r="A46">
            <v>112001</v>
          </cell>
          <cell r="B46" t="str">
            <v>하나 소액현금(임1)</v>
          </cell>
          <cell r="C46">
            <v>201101</v>
          </cell>
          <cell r="D46">
            <v>2011</v>
          </cell>
        </row>
        <row r="47">
          <cell r="A47">
            <v>112002</v>
          </cell>
          <cell r="B47" t="str">
            <v>하나 소액현금(임2)</v>
          </cell>
          <cell r="C47">
            <v>201101</v>
          </cell>
          <cell r="D47">
            <v>2011</v>
          </cell>
        </row>
        <row r="48">
          <cell r="A48">
            <v>112003</v>
          </cell>
          <cell r="B48" t="str">
            <v>하나 소액현금(임3)</v>
          </cell>
          <cell r="C48">
            <v>201101</v>
          </cell>
          <cell r="D48">
            <v>2011</v>
          </cell>
        </row>
        <row r="49">
          <cell r="A49">
            <v>112004</v>
          </cell>
          <cell r="B49" t="str">
            <v>하나 소액현금(임4)</v>
          </cell>
          <cell r="C49">
            <v>201101</v>
          </cell>
          <cell r="D49">
            <v>2011</v>
          </cell>
        </row>
        <row r="50">
          <cell r="A50">
            <v>112005</v>
          </cell>
          <cell r="B50" t="str">
            <v>하나 소액현금(임5)</v>
          </cell>
          <cell r="C50">
            <v>201101</v>
          </cell>
          <cell r="D50">
            <v>2011</v>
          </cell>
        </row>
        <row r="51">
          <cell r="A51">
            <v>112006</v>
          </cell>
          <cell r="B51" t="str">
            <v>하나 소액현금(임6)</v>
          </cell>
          <cell r="C51">
            <v>201101</v>
          </cell>
          <cell r="D51">
            <v>2011</v>
          </cell>
        </row>
        <row r="52">
          <cell r="A52">
            <v>112007</v>
          </cell>
          <cell r="B52" t="str">
            <v>하나 소액현금(임7)</v>
          </cell>
          <cell r="C52">
            <v>201101</v>
          </cell>
          <cell r="D52">
            <v>2011</v>
          </cell>
        </row>
        <row r="53">
          <cell r="A53">
            <v>112008</v>
          </cell>
          <cell r="B53" t="str">
            <v>하나 소액현금(임8)</v>
          </cell>
          <cell r="C53">
            <v>201101</v>
          </cell>
          <cell r="D53">
            <v>2011</v>
          </cell>
        </row>
        <row r="54">
          <cell r="A54">
            <v>112009</v>
          </cell>
          <cell r="B54" t="str">
            <v>하나 소액현금(임9)</v>
          </cell>
          <cell r="C54">
            <v>201101</v>
          </cell>
          <cell r="D54">
            <v>2011</v>
          </cell>
        </row>
        <row r="55">
          <cell r="A55">
            <v>112010</v>
          </cell>
          <cell r="B55" t="str">
            <v>하나 소액현금(임10)</v>
          </cell>
          <cell r="C55">
            <v>201101</v>
          </cell>
          <cell r="D55">
            <v>2011</v>
          </cell>
        </row>
        <row r="56">
          <cell r="A56">
            <v>112011</v>
          </cell>
          <cell r="B56" t="str">
            <v>하나 소액현금(임11)</v>
          </cell>
          <cell r="C56">
            <v>201101</v>
          </cell>
          <cell r="D56">
            <v>2011</v>
          </cell>
        </row>
        <row r="57">
          <cell r="A57">
            <v>112012</v>
          </cell>
          <cell r="B57" t="str">
            <v>하나 소액현금(임12)</v>
          </cell>
          <cell r="C57">
            <v>201101</v>
          </cell>
          <cell r="D57">
            <v>2011</v>
          </cell>
        </row>
        <row r="58">
          <cell r="A58">
            <v>112013</v>
          </cell>
          <cell r="B58" t="str">
            <v>하나 소액현금(임13)</v>
          </cell>
          <cell r="C58">
            <v>201101</v>
          </cell>
          <cell r="D58">
            <v>2011</v>
          </cell>
        </row>
        <row r="59">
          <cell r="A59">
            <v>112014</v>
          </cell>
          <cell r="B59" t="str">
            <v>하나 소액현금(임14)</v>
          </cell>
          <cell r="C59">
            <v>201101</v>
          </cell>
          <cell r="D59">
            <v>2011</v>
          </cell>
        </row>
        <row r="60">
          <cell r="A60">
            <v>112015</v>
          </cell>
          <cell r="B60" t="str">
            <v>하나 소액현금(임15)</v>
          </cell>
          <cell r="C60">
            <v>201101</v>
          </cell>
          <cell r="D60">
            <v>2011</v>
          </cell>
        </row>
        <row r="61">
          <cell r="A61">
            <v>112016</v>
          </cell>
          <cell r="B61" t="str">
            <v>하나 소액현금(임16)</v>
          </cell>
          <cell r="C61">
            <v>201101</v>
          </cell>
          <cell r="D61">
            <v>2011</v>
          </cell>
        </row>
        <row r="62">
          <cell r="A62">
            <v>112017</v>
          </cell>
          <cell r="B62" t="str">
            <v>하나 소액현금(임19)</v>
          </cell>
          <cell r="C62">
            <v>201101</v>
          </cell>
          <cell r="D62">
            <v>2011</v>
          </cell>
        </row>
        <row r="63">
          <cell r="A63">
            <v>112018</v>
          </cell>
          <cell r="B63" t="str">
            <v>하나 소액현금(임17)</v>
          </cell>
          <cell r="C63">
            <v>201101</v>
          </cell>
          <cell r="D63">
            <v>2011</v>
          </cell>
        </row>
        <row r="64">
          <cell r="A64">
            <v>112019</v>
          </cell>
          <cell r="B64" t="str">
            <v>하나 소액현금(임18)</v>
          </cell>
          <cell r="C64">
            <v>201101</v>
          </cell>
          <cell r="D64">
            <v>2011</v>
          </cell>
        </row>
        <row r="65">
          <cell r="A65">
            <v>112020</v>
          </cell>
          <cell r="B65" t="str">
            <v>하나 소액현금(임20)</v>
          </cell>
          <cell r="C65">
            <v>201101</v>
          </cell>
          <cell r="D65">
            <v>2011</v>
          </cell>
        </row>
        <row r="66">
          <cell r="A66">
            <v>112021</v>
          </cell>
          <cell r="B66" t="str">
            <v>하나 소액현금</v>
          </cell>
          <cell r="C66">
            <v>201101</v>
          </cell>
          <cell r="D66">
            <v>2011</v>
          </cell>
        </row>
        <row r="67">
          <cell r="A67">
            <v>112022</v>
          </cell>
          <cell r="B67" t="str">
            <v>하나 소액현금</v>
          </cell>
          <cell r="C67">
            <v>201101</v>
          </cell>
          <cell r="D67">
            <v>2011</v>
          </cell>
        </row>
        <row r="68">
          <cell r="A68">
            <v>112117</v>
          </cell>
          <cell r="B68" t="str">
            <v>하나 소액현금(미래유통)</v>
          </cell>
          <cell r="C68">
            <v>201101</v>
          </cell>
          <cell r="D68">
            <v>2011</v>
          </cell>
        </row>
        <row r="69">
          <cell r="A69">
            <v>115004</v>
          </cell>
          <cell r="B69" t="str">
            <v>신한 법인카드결제</v>
          </cell>
          <cell r="C69">
            <v>201101</v>
          </cell>
          <cell r="D69">
            <v>2011</v>
          </cell>
        </row>
        <row r="70">
          <cell r="A70">
            <v>115006</v>
          </cell>
          <cell r="B70" t="str">
            <v>신한 급여 계좌</v>
          </cell>
          <cell r="C70">
            <v>201101</v>
          </cell>
          <cell r="D70">
            <v>2011</v>
          </cell>
        </row>
        <row r="71">
          <cell r="A71">
            <v>121311</v>
          </cell>
          <cell r="B71" t="str">
            <v>신한 영화사업 가상 모계좌</v>
          </cell>
          <cell r="C71">
            <v>201101</v>
          </cell>
          <cell r="D71">
            <v>2011</v>
          </cell>
        </row>
        <row r="72">
          <cell r="A72">
            <v>127000</v>
          </cell>
          <cell r="B72" t="str">
            <v>증권예탁금(현대투신) 055-001-01100957</v>
          </cell>
          <cell r="C72">
            <v>203907</v>
          </cell>
          <cell r="D72">
            <v>2039</v>
          </cell>
        </row>
        <row r="73">
          <cell r="A73">
            <v>128000</v>
          </cell>
          <cell r="B73" t="str">
            <v>예금-금전신탁</v>
          </cell>
          <cell r="C73">
            <v>201101</v>
          </cell>
          <cell r="D73">
            <v>2011</v>
          </cell>
        </row>
        <row r="74">
          <cell r="A74">
            <v>139999</v>
          </cell>
          <cell r="B74" t="str">
            <v>Conversion 조종</v>
          </cell>
          <cell r="C74">
            <v>201101</v>
          </cell>
          <cell r="D74">
            <v>2011</v>
          </cell>
        </row>
        <row r="75">
          <cell r="A75">
            <v>140000</v>
          </cell>
          <cell r="B75" t="str">
            <v>신탁예금</v>
          </cell>
          <cell r="C75">
            <v>203301</v>
          </cell>
          <cell r="D75">
            <v>2033</v>
          </cell>
        </row>
        <row r="76">
          <cell r="A76">
            <v>142000</v>
          </cell>
          <cell r="B76" t="str">
            <v>단자예금-어음관리구좌(CMA)</v>
          </cell>
          <cell r="C76">
            <v>203904</v>
          </cell>
          <cell r="D76">
            <v>2039</v>
          </cell>
        </row>
        <row r="77">
          <cell r="A77">
            <v>142100</v>
          </cell>
          <cell r="B77" t="str">
            <v>단자예금-발행어음</v>
          </cell>
          <cell r="C77">
            <v>203903</v>
          </cell>
          <cell r="D77">
            <v>2039</v>
          </cell>
        </row>
        <row r="78">
          <cell r="A78">
            <v>142200</v>
          </cell>
          <cell r="B78" t="str">
            <v>단자예금-기타</v>
          </cell>
          <cell r="C78">
            <v>203950</v>
          </cell>
          <cell r="D78">
            <v>2039</v>
          </cell>
        </row>
        <row r="79">
          <cell r="A79">
            <v>142300</v>
          </cell>
          <cell r="B79" t="str">
            <v>표지어음</v>
          </cell>
          <cell r="C79">
            <v>203905</v>
          </cell>
          <cell r="D79">
            <v>2039</v>
          </cell>
        </row>
        <row r="80">
          <cell r="A80">
            <v>142400</v>
          </cell>
          <cell r="B80" t="str">
            <v>환매채(RP)</v>
          </cell>
          <cell r="C80">
            <v>203901</v>
          </cell>
          <cell r="D80">
            <v>2039</v>
          </cell>
        </row>
        <row r="81">
          <cell r="A81">
            <v>144000</v>
          </cell>
          <cell r="B81" t="str">
            <v>정기적금</v>
          </cell>
          <cell r="C81">
            <v>203201</v>
          </cell>
          <cell r="D81">
            <v>2032</v>
          </cell>
        </row>
        <row r="82">
          <cell r="A82">
            <v>146000</v>
          </cell>
          <cell r="B82" t="str">
            <v>정기예금</v>
          </cell>
          <cell r="C82">
            <v>203101</v>
          </cell>
          <cell r="D82">
            <v>2031</v>
          </cell>
        </row>
        <row r="83">
          <cell r="A83">
            <v>147000</v>
          </cell>
          <cell r="B83" t="str">
            <v>기업자유예금-MMDA</v>
          </cell>
          <cell r="C83">
            <v>202401</v>
          </cell>
          <cell r="D83">
            <v>2024</v>
          </cell>
        </row>
        <row r="84">
          <cell r="A84">
            <v>148000</v>
          </cell>
          <cell r="B84" t="str">
            <v>별단예금</v>
          </cell>
          <cell r="C84">
            <v>203401</v>
          </cell>
          <cell r="D84">
            <v>2034</v>
          </cell>
        </row>
        <row r="85">
          <cell r="A85">
            <v>150000</v>
          </cell>
          <cell r="B85" t="str">
            <v>기업어음(CP)</v>
          </cell>
          <cell r="C85">
            <v>203906</v>
          </cell>
          <cell r="D85">
            <v>2039</v>
          </cell>
        </row>
        <row r="86">
          <cell r="A86">
            <v>152000</v>
          </cell>
          <cell r="B86" t="str">
            <v>양도성정기예금(CD)</v>
          </cell>
          <cell r="C86">
            <v>203902</v>
          </cell>
          <cell r="D86">
            <v>2039</v>
          </cell>
        </row>
        <row r="87">
          <cell r="A87">
            <v>154100</v>
          </cell>
          <cell r="B87" t="str">
            <v>외화당좌예금</v>
          </cell>
          <cell r="C87">
            <v>201202</v>
          </cell>
          <cell r="D87">
            <v>2012</v>
          </cell>
        </row>
        <row r="88">
          <cell r="A88">
            <v>154200</v>
          </cell>
          <cell r="B88" t="str">
            <v>외화정기예금</v>
          </cell>
          <cell r="C88">
            <v>203102</v>
          </cell>
          <cell r="D88">
            <v>2031</v>
          </cell>
        </row>
        <row r="89">
          <cell r="A89">
            <v>154247</v>
          </cell>
          <cell r="B89" t="str">
            <v>외환 USD계좌</v>
          </cell>
          <cell r="C89">
            <v>202404</v>
          </cell>
          <cell r="D89">
            <v>2024</v>
          </cell>
        </row>
        <row r="90">
          <cell r="A90">
            <v>154258</v>
          </cell>
          <cell r="B90" t="str">
            <v>외환 외화 팀가상 모계좌</v>
          </cell>
          <cell r="C90">
            <v>201202</v>
          </cell>
          <cell r="D90">
            <v>2012</v>
          </cell>
        </row>
        <row r="91">
          <cell r="A91">
            <v>154261</v>
          </cell>
          <cell r="B91" t="str">
            <v>신한 11번가 해외판매자 정산 계좌</v>
          </cell>
          <cell r="C91">
            <v>201202</v>
          </cell>
          <cell r="D91">
            <v>2012</v>
          </cell>
        </row>
        <row r="92">
          <cell r="A92">
            <v>154282</v>
          </cell>
          <cell r="B92" t="str">
            <v>외환 외화 Multi Currencies 계좌</v>
          </cell>
          <cell r="C92">
            <v>201202</v>
          </cell>
          <cell r="D92">
            <v>2012</v>
          </cell>
        </row>
        <row r="93">
          <cell r="A93">
            <v>154283</v>
          </cell>
          <cell r="B93" t="str">
            <v>하나 USD 계좌</v>
          </cell>
          <cell r="C93">
            <v>201202</v>
          </cell>
          <cell r="D93">
            <v>2012</v>
          </cell>
        </row>
        <row r="94">
          <cell r="A94">
            <v>154284</v>
          </cell>
          <cell r="B94" t="str">
            <v>하나 HKD 계좌</v>
          </cell>
          <cell r="C94">
            <v>201202</v>
          </cell>
          <cell r="D94">
            <v>2012</v>
          </cell>
        </row>
        <row r="95">
          <cell r="A95">
            <v>154286</v>
          </cell>
          <cell r="B95" t="str">
            <v>하나 SGD 계좌</v>
          </cell>
          <cell r="C95">
            <v>201202</v>
          </cell>
          <cell r="D95">
            <v>2012</v>
          </cell>
        </row>
        <row r="96">
          <cell r="A96">
            <v>154287</v>
          </cell>
          <cell r="B96" t="str">
            <v>하나 GBP 계좌</v>
          </cell>
          <cell r="C96">
            <v>201202</v>
          </cell>
          <cell r="D96">
            <v>2012</v>
          </cell>
        </row>
        <row r="97">
          <cell r="A97">
            <v>154288</v>
          </cell>
          <cell r="B97" t="str">
            <v>하나 EUR 계좌</v>
          </cell>
          <cell r="C97">
            <v>201202</v>
          </cell>
          <cell r="D97">
            <v>2012</v>
          </cell>
        </row>
        <row r="98">
          <cell r="A98">
            <v>154289</v>
          </cell>
          <cell r="B98" t="str">
            <v>하나 JPY 계좌</v>
          </cell>
          <cell r="C98">
            <v>201202</v>
          </cell>
          <cell r="D98">
            <v>2012</v>
          </cell>
        </row>
        <row r="99">
          <cell r="A99">
            <v>154290</v>
          </cell>
          <cell r="B99" t="str">
            <v>외화정기예금환산조정</v>
          </cell>
          <cell r="C99">
            <v>203103</v>
          </cell>
          <cell r="D99">
            <v>2031</v>
          </cell>
        </row>
        <row r="100">
          <cell r="A100">
            <v>154310</v>
          </cell>
          <cell r="B100" t="str">
            <v>외화예금-MMDA</v>
          </cell>
          <cell r="C100">
            <v>202402</v>
          </cell>
          <cell r="D100">
            <v>2024</v>
          </cell>
        </row>
        <row r="101">
          <cell r="A101">
            <v>159900</v>
          </cell>
          <cell r="B101" t="str">
            <v>사내현금</v>
          </cell>
          <cell r="C101">
            <v>897111</v>
          </cell>
          <cell r="D101">
            <v>8971</v>
          </cell>
        </row>
        <row r="102">
          <cell r="A102">
            <v>159910</v>
          </cell>
          <cell r="B102" t="str">
            <v>사내현금차입</v>
          </cell>
          <cell r="C102">
            <v>897121</v>
          </cell>
          <cell r="D102">
            <v>8971</v>
          </cell>
        </row>
        <row r="103">
          <cell r="A103">
            <v>190000</v>
          </cell>
          <cell r="B103" t="str">
            <v>회사채</v>
          </cell>
          <cell r="C103">
            <v>204301</v>
          </cell>
          <cell r="D103">
            <v>2043</v>
          </cell>
        </row>
        <row r="104">
          <cell r="A104">
            <v>191000</v>
          </cell>
          <cell r="B104" t="str">
            <v>국공채</v>
          </cell>
          <cell r="C104">
            <v>204101</v>
          </cell>
          <cell r="D104">
            <v>2041</v>
          </cell>
        </row>
        <row r="105">
          <cell r="A105">
            <v>192000</v>
          </cell>
          <cell r="B105" t="str">
            <v>금융채권</v>
          </cell>
          <cell r="C105">
            <v>204250</v>
          </cell>
          <cell r="D105">
            <v>2042</v>
          </cell>
        </row>
        <row r="106">
          <cell r="A106">
            <v>193000</v>
          </cell>
          <cell r="B106" t="str">
            <v>통화안정증권</v>
          </cell>
          <cell r="C106">
            <v>204201</v>
          </cell>
          <cell r="D106">
            <v>2042</v>
          </cell>
        </row>
        <row r="107">
          <cell r="A107">
            <v>199000</v>
          </cell>
          <cell r="B107" t="str">
            <v>기타유가증권</v>
          </cell>
          <cell r="C107">
            <v>204501</v>
          </cell>
          <cell r="D107">
            <v>2045</v>
          </cell>
        </row>
        <row r="108">
          <cell r="A108">
            <v>200100</v>
          </cell>
          <cell r="B108" t="str">
            <v>외상매출금-서비스</v>
          </cell>
          <cell r="C108">
            <v>207101</v>
          </cell>
          <cell r="D108">
            <v>2071</v>
          </cell>
        </row>
        <row r="109">
          <cell r="A109">
            <v>200400</v>
          </cell>
          <cell r="B109" t="str">
            <v>외상매출금-기타</v>
          </cell>
          <cell r="C109">
            <v>207104</v>
          </cell>
          <cell r="D109">
            <v>2071</v>
          </cell>
        </row>
        <row r="110">
          <cell r="A110">
            <v>200490</v>
          </cell>
          <cell r="B110" t="str">
            <v>외상매출금환산조정</v>
          </cell>
          <cell r="C110">
            <v>207105</v>
          </cell>
          <cell r="D110">
            <v>2071</v>
          </cell>
        </row>
        <row r="111">
          <cell r="A111">
            <v>200500</v>
          </cell>
          <cell r="B111" t="str">
            <v>외상매출금-영화</v>
          </cell>
          <cell r="C111">
            <v>207106</v>
          </cell>
          <cell r="D111">
            <v>2071</v>
          </cell>
        </row>
        <row r="112">
          <cell r="A112">
            <v>204900</v>
          </cell>
          <cell r="B112" t="str">
            <v>외상매출금대충</v>
          </cell>
          <cell r="C112">
            <v>208101</v>
          </cell>
          <cell r="D112">
            <v>2081</v>
          </cell>
        </row>
        <row r="113">
          <cell r="A113">
            <v>205100</v>
          </cell>
          <cell r="B113" t="str">
            <v>받을어음</v>
          </cell>
          <cell r="C113">
            <v>209101</v>
          </cell>
          <cell r="D113">
            <v>2091</v>
          </cell>
        </row>
        <row r="114">
          <cell r="A114">
            <v>206100</v>
          </cell>
          <cell r="B114" t="str">
            <v>단기대여금-우리사주조합</v>
          </cell>
          <cell r="C114">
            <v>213901</v>
          </cell>
          <cell r="D114">
            <v>2139</v>
          </cell>
        </row>
        <row r="115">
          <cell r="A115">
            <v>206110</v>
          </cell>
          <cell r="B115" t="str">
            <v>단기대여금-주임종단기대여</v>
          </cell>
          <cell r="C115">
            <v>213301</v>
          </cell>
          <cell r="D115">
            <v>2133</v>
          </cell>
        </row>
        <row r="116">
          <cell r="A116">
            <v>206111</v>
          </cell>
          <cell r="B116" t="str">
            <v>주임종대여금_현재가치할인차금</v>
          </cell>
          <cell r="C116">
            <v>213302</v>
          </cell>
          <cell r="D116">
            <v>2133</v>
          </cell>
        </row>
        <row r="117">
          <cell r="A117">
            <v>206190</v>
          </cell>
          <cell r="B117" t="str">
            <v>단기대여금-기타</v>
          </cell>
          <cell r="C117">
            <v>213950</v>
          </cell>
          <cell r="D117">
            <v>2139</v>
          </cell>
        </row>
        <row r="118">
          <cell r="A118">
            <v>206199</v>
          </cell>
          <cell r="B118" t="str">
            <v>유동성장기대여금-기타</v>
          </cell>
          <cell r="C118">
            <v>215801</v>
          </cell>
          <cell r="D118">
            <v>2158</v>
          </cell>
        </row>
        <row r="119">
          <cell r="A119">
            <v>206900</v>
          </cell>
          <cell r="B119" t="str">
            <v>단기대여금대충</v>
          </cell>
          <cell r="C119">
            <v>214101</v>
          </cell>
          <cell r="D119">
            <v>2141</v>
          </cell>
        </row>
        <row r="120">
          <cell r="A120">
            <v>207320</v>
          </cell>
          <cell r="B120" t="str">
            <v>미수금-정산금기타</v>
          </cell>
          <cell r="C120">
            <v>217906</v>
          </cell>
          <cell r="D120">
            <v>2179</v>
          </cell>
        </row>
        <row r="121">
          <cell r="A121">
            <v>207330</v>
          </cell>
          <cell r="B121" t="str">
            <v>미수금-포인트결제</v>
          </cell>
          <cell r="C121">
            <v>217907</v>
          </cell>
          <cell r="D121">
            <v>2179</v>
          </cell>
        </row>
        <row r="122">
          <cell r="A122">
            <v>207340</v>
          </cell>
          <cell r="B122" t="str">
            <v>미수금-포인트(11번가)</v>
          </cell>
          <cell r="C122">
            <v>217908</v>
          </cell>
          <cell r="D122">
            <v>2179</v>
          </cell>
        </row>
        <row r="123">
          <cell r="A123">
            <v>207400</v>
          </cell>
          <cell r="B123" t="str">
            <v>미수금-카드</v>
          </cell>
          <cell r="C123">
            <v>217909</v>
          </cell>
          <cell r="D123">
            <v>2179</v>
          </cell>
        </row>
        <row r="124">
          <cell r="A124">
            <v>207900</v>
          </cell>
          <cell r="B124" t="str">
            <v>미수금-서비스</v>
          </cell>
          <cell r="C124">
            <v>217932</v>
          </cell>
          <cell r="D124">
            <v>2179</v>
          </cell>
        </row>
        <row r="125">
          <cell r="A125">
            <v>208900</v>
          </cell>
          <cell r="B125" t="str">
            <v>미수금-거래처(recon)</v>
          </cell>
          <cell r="C125">
            <v>217917</v>
          </cell>
          <cell r="D125">
            <v>2179</v>
          </cell>
        </row>
        <row r="126">
          <cell r="A126">
            <v>209000</v>
          </cell>
          <cell r="B126" t="str">
            <v>미수금-기타 non-recon</v>
          </cell>
          <cell r="C126">
            <v>217918</v>
          </cell>
          <cell r="D126">
            <v>2179</v>
          </cell>
        </row>
        <row r="127">
          <cell r="A127">
            <v>209010</v>
          </cell>
          <cell r="B127" t="str">
            <v>미수금-국민연금</v>
          </cell>
          <cell r="C127">
            <v>217919</v>
          </cell>
          <cell r="D127">
            <v>2179</v>
          </cell>
        </row>
        <row r="128">
          <cell r="A128">
            <v>209020</v>
          </cell>
          <cell r="B128" t="str">
            <v>미수금-건강보험</v>
          </cell>
          <cell r="C128">
            <v>217920</v>
          </cell>
          <cell r="D128">
            <v>2179</v>
          </cell>
        </row>
        <row r="129">
          <cell r="A129">
            <v>209030</v>
          </cell>
          <cell r="B129" t="str">
            <v>미수금-급여기타</v>
          </cell>
          <cell r="C129">
            <v>217921</v>
          </cell>
          <cell r="D129">
            <v>2179</v>
          </cell>
        </row>
        <row r="130">
          <cell r="A130">
            <v>209040</v>
          </cell>
          <cell r="B130" t="str">
            <v>미수금-다량기타</v>
          </cell>
          <cell r="C130">
            <v>217922</v>
          </cell>
          <cell r="D130">
            <v>2179</v>
          </cell>
        </row>
        <row r="131">
          <cell r="A131">
            <v>209190</v>
          </cell>
          <cell r="B131" t="str">
            <v>미수금외화환산조정</v>
          </cell>
          <cell r="C131">
            <v>217925</v>
          </cell>
          <cell r="D131">
            <v>2179</v>
          </cell>
        </row>
        <row r="132">
          <cell r="A132">
            <v>209200</v>
          </cell>
          <cell r="B132" t="str">
            <v>미수금-부가세</v>
          </cell>
          <cell r="C132">
            <v>217401</v>
          </cell>
          <cell r="D132">
            <v>2174</v>
          </cell>
        </row>
        <row r="133">
          <cell r="A133">
            <v>209900</v>
          </cell>
          <cell r="B133" t="str">
            <v>미수금대충</v>
          </cell>
          <cell r="C133">
            <v>218101</v>
          </cell>
          <cell r="D133">
            <v>2181</v>
          </cell>
        </row>
        <row r="134">
          <cell r="A134">
            <v>209930</v>
          </cell>
          <cell r="B134" t="str">
            <v>미수금현재가치할인차금</v>
          </cell>
          <cell r="C134">
            <v>217926</v>
          </cell>
          <cell r="D134">
            <v>2179</v>
          </cell>
        </row>
        <row r="135">
          <cell r="A135">
            <v>210100</v>
          </cell>
          <cell r="B135" t="str">
            <v>미수이자-제예금</v>
          </cell>
          <cell r="C135">
            <v>223101</v>
          </cell>
          <cell r="D135">
            <v>2231</v>
          </cell>
        </row>
        <row r="136">
          <cell r="A136">
            <v>210110</v>
          </cell>
          <cell r="B136" t="str">
            <v>미수이자-유가증권</v>
          </cell>
          <cell r="C136">
            <v>223102</v>
          </cell>
          <cell r="D136">
            <v>2231</v>
          </cell>
        </row>
        <row r="137">
          <cell r="A137">
            <v>210190</v>
          </cell>
          <cell r="B137" t="str">
            <v>미수이자-기타</v>
          </cell>
          <cell r="C137">
            <v>223150</v>
          </cell>
          <cell r="D137">
            <v>2231</v>
          </cell>
        </row>
        <row r="138">
          <cell r="A138">
            <v>210200</v>
          </cell>
          <cell r="B138" t="str">
            <v>미수이자-채권매입</v>
          </cell>
          <cell r="C138">
            <v>223103</v>
          </cell>
          <cell r="D138">
            <v>2231</v>
          </cell>
        </row>
        <row r="139">
          <cell r="A139">
            <v>210900</v>
          </cell>
          <cell r="B139" t="str">
            <v>기타미수수익</v>
          </cell>
          <cell r="C139">
            <v>223901</v>
          </cell>
          <cell r="D139">
            <v>2239</v>
          </cell>
        </row>
        <row r="140">
          <cell r="A140">
            <v>220100</v>
          </cell>
          <cell r="B140" t="str">
            <v>선급금-자산대체</v>
          </cell>
          <cell r="C140">
            <v>225901</v>
          </cell>
          <cell r="D140">
            <v>2259</v>
          </cell>
        </row>
        <row r="141">
          <cell r="A141">
            <v>220105</v>
          </cell>
          <cell r="B141" t="str">
            <v>선급금-비용대체</v>
          </cell>
          <cell r="C141">
            <v>225902</v>
          </cell>
          <cell r="D141">
            <v>2259</v>
          </cell>
        </row>
        <row r="142">
          <cell r="A142">
            <v>220120</v>
          </cell>
          <cell r="B142" t="str">
            <v>선급금-비용대체(영화)</v>
          </cell>
          <cell r="C142">
            <v>225904</v>
          </cell>
          <cell r="D142">
            <v>2259</v>
          </cell>
        </row>
        <row r="143">
          <cell r="A143">
            <v>220130</v>
          </cell>
          <cell r="B143" t="str">
            <v>선급금-영화개발비</v>
          </cell>
          <cell r="C143">
            <v>225905</v>
          </cell>
          <cell r="D143">
            <v>2259</v>
          </cell>
        </row>
        <row r="144">
          <cell r="A144">
            <v>220140</v>
          </cell>
          <cell r="B144" t="str">
            <v>선급금-영화판권투자</v>
          </cell>
          <cell r="C144">
            <v>225906</v>
          </cell>
          <cell r="D144">
            <v>2259</v>
          </cell>
        </row>
        <row r="145">
          <cell r="A145">
            <v>220190</v>
          </cell>
          <cell r="B145" t="str">
            <v>선급금대충</v>
          </cell>
          <cell r="C145">
            <v>226101</v>
          </cell>
          <cell r="D145">
            <v>2261</v>
          </cell>
        </row>
        <row r="146">
          <cell r="A146">
            <v>220200</v>
          </cell>
          <cell r="B146" t="str">
            <v>투자손실충당금-영화</v>
          </cell>
          <cell r="C146">
            <v>241709</v>
          </cell>
          <cell r="D146">
            <v>2417</v>
          </cell>
        </row>
        <row r="147">
          <cell r="A147">
            <v>221100</v>
          </cell>
          <cell r="B147" t="str">
            <v>선급보험료-화재</v>
          </cell>
          <cell r="C147">
            <v>227201</v>
          </cell>
          <cell r="D147">
            <v>2272</v>
          </cell>
        </row>
        <row r="148">
          <cell r="A148">
            <v>221110</v>
          </cell>
          <cell r="B148" t="str">
            <v>선급보험료-배상책임</v>
          </cell>
          <cell r="C148">
            <v>227202</v>
          </cell>
          <cell r="D148">
            <v>2272</v>
          </cell>
        </row>
        <row r="149">
          <cell r="A149">
            <v>221120</v>
          </cell>
          <cell r="B149" t="str">
            <v>선급보험료-고용</v>
          </cell>
          <cell r="C149">
            <v>227203</v>
          </cell>
          <cell r="D149">
            <v>2272</v>
          </cell>
        </row>
        <row r="150">
          <cell r="A150">
            <v>221125</v>
          </cell>
          <cell r="B150" t="str">
            <v>선급보험료-산재</v>
          </cell>
          <cell r="C150">
            <v>227204</v>
          </cell>
          <cell r="D150">
            <v>2272</v>
          </cell>
        </row>
        <row r="151">
          <cell r="A151">
            <v>221140</v>
          </cell>
          <cell r="B151" t="str">
            <v>선급보험료-차량</v>
          </cell>
          <cell r="C151">
            <v>227206</v>
          </cell>
          <cell r="D151">
            <v>2272</v>
          </cell>
        </row>
        <row r="152">
          <cell r="A152">
            <v>221160</v>
          </cell>
          <cell r="B152" t="str">
            <v>선급보험료-보증보험</v>
          </cell>
          <cell r="C152">
            <v>227208</v>
          </cell>
          <cell r="D152">
            <v>2272</v>
          </cell>
        </row>
        <row r="153">
          <cell r="A153">
            <v>221210</v>
          </cell>
          <cell r="B153" t="str">
            <v>선급임차료-전산장비리스</v>
          </cell>
          <cell r="C153">
            <v>227404</v>
          </cell>
          <cell r="D153">
            <v>2274</v>
          </cell>
        </row>
        <row r="154">
          <cell r="A154">
            <v>221220</v>
          </cell>
          <cell r="B154" t="str">
            <v>선급임차료-통신설비임차</v>
          </cell>
          <cell r="C154">
            <v>227405</v>
          </cell>
          <cell r="D154">
            <v>2274</v>
          </cell>
        </row>
        <row r="155">
          <cell r="A155">
            <v>221240</v>
          </cell>
          <cell r="B155" t="str">
            <v>선급임차료-사무실임차</v>
          </cell>
          <cell r="C155">
            <v>227407</v>
          </cell>
          <cell r="D155">
            <v>2274</v>
          </cell>
        </row>
        <row r="156">
          <cell r="A156">
            <v>221250</v>
          </cell>
          <cell r="B156" t="str">
            <v>선급임차료_임차보증금현재가치평가</v>
          </cell>
          <cell r="C156">
            <v>227408</v>
          </cell>
          <cell r="D156">
            <v>2274</v>
          </cell>
        </row>
        <row r="157">
          <cell r="A157">
            <v>221290</v>
          </cell>
          <cell r="B157" t="str">
            <v>선급임차료-기타</v>
          </cell>
          <cell r="C157">
            <v>227450</v>
          </cell>
          <cell r="D157">
            <v>2274</v>
          </cell>
        </row>
        <row r="158">
          <cell r="A158">
            <v>221300</v>
          </cell>
          <cell r="B158" t="str">
            <v>기타선급비용-국내교육훈련비</v>
          </cell>
          <cell r="C158">
            <v>227901</v>
          </cell>
          <cell r="D158">
            <v>2279</v>
          </cell>
        </row>
        <row r="159">
          <cell r="A159">
            <v>221310</v>
          </cell>
          <cell r="B159" t="str">
            <v>기타선급비용-해외교육훈련비</v>
          </cell>
          <cell r="C159">
            <v>227902</v>
          </cell>
          <cell r="D159">
            <v>2279</v>
          </cell>
        </row>
        <row r="160">
          <cell r="A160">
            <v>221320</v>
          </cell>
          <cell r="B160" t="str">
            <v>기타선급비용-정보이용료</v>
          </cell>
          <cell r="C160">
            <v>227903</v>
          </cell>
          <cell r="D160">
            <v>2279</v>
          </cell>
        </row>
        <row r="161">
          <cell r="A161">
            <v>221330</v>
          </cell>
          <cell r="B161" t="str">
            <v>기타선급비용-일반수수료</v>
          </cell>
          <cell r="C161">
            <v>227904</v>
          </cell>
          <cell r="D161">
            <v>2279</v>
          </cell>
        </row>
        <row r="162">
          <cell r="A162">
            <v>221340</v>
          </cell>
          <cell r="B162" t="str">
            <v>기타선급비용-IT O/S</v>
          </cell>
          <cell r="C162">
            <v>227905</v>
          </cell>
          <cell r="D162">
            <v>2279</v>
          </cell>
        </row>
        <row r="163">
          <cell r="A163">
            <v>221900</v>
          </cell>
          <cell r="B163" t="str">
            <v>기타선급비용-광고</v>
          </cell>
          <cell r="C163">
            <v>227906</v>
          </cell>
          <cell r="D163">
            <v>2279</v>
          </cell>
        </row>
        <row r="164">
          <cell r="A164">
            <v>221905</v>
          </cell>
          <cell r="B164" t="str">
            <v>기타선급비용-특수매체광고</v>
          </cell>
          <cell r="C164">
            <v>227907</v>
          </cell>
          <cell r="D164">
            <v>2279</v>
          </cell>
        </row>
        <row r="165">
          <cell r="A165">
            <v>221910</v>
          </cell>
          <cell r="B165" t="str">
            <v>기타선급비용-정기간행물구독</v>
          </cell>
          <cell r="C165">
            <v>227908</v>
          </cell>
          <cell r="D165">
            <v>2279</v>
          </cell>
        </row>
        <row r="166">
          <cell r="A166">
            <v>221930</v>
          </cell>
          <cell r="B166" t="str">
            <v>기타선급비용-콘도관리</v>
          </cell>
          <cell r="C166">
            <v>227910</v>
          </cell>
          <cell r="D166">
            <v>2279</v>
          </cell>
        </row>
        <row r="167">
          <cell r="A167">
            <v>221940</v>
          </cell>
          <cell r="B167" t="str">
            <v>기타선급비용-통신망수도광열비</v>
          </cell>
          <cell r="C167">
            <v>227911</v>
          </cell>
          <cell r="D167">
            <v>2279</v>
          </cell>
        </row>
        <row r="168">
          <cell r="A168">
            <v>221970</v>
          </cell>
          <cell r="B168" t="str">
            <v>선급비용_주임종대여금현재가치평가</v>
          </cell>
          <cell r="C168">
            <v>227914</v>
          </cell>
          <cell r="D168">
            <v>2279</v>
          </cell>
        </row>
        <row r="169">
          <cell r="A169">
            <v>221990</v>
          </cell>
          <cell r="B169" t="str">
            <v>기타선급비용-기타</v>
          </cell>
          <cell r="C169">
            <v>227950</v>
          </cell>
          <cell r="D169">
            <v>2279</v>
          </cell>
        </row>
        <row r="170">
          <cell r="A170">
            <v>221997</v>
          </cell>
          <cell r="B170" t="str">
            <v>선급보험료-장기성조정</v>
          </cell>
          <cell r="C170">
            <v>227299</v>
          </cell>
          <cell r="D170">
            <v>2272</v>
          </cell>
        </row>
        <row r="171">
          <cell r="A171">
            <v>221998</v>
          </cell>
          <cell r="B171" t="str">
            <v>선급임차료-장기성조정</v>
          </cell>
          <cell r="C171">
            <v>227499</v>
          </cell>
          <cell r="D171">
            <v>2274</v>
          </cell>
        </row>
        <row r="172">
          <cell r="A172">
            <v>221999</v>
          </cell>
          <cell r="B172" t="str">
            <v>선급비용기타-장기성조정</v>
          </cell>
          <cell r="C172">
            <v>227951</v>
          </cell>
          <cell r="D172">
            <v>2279</v>
          </cell>
        </row>
        <row r="173">
          <cell r="A173">
            <v>222100</v>
          </cell>
          <cell r="B173" t="str">
            <v>선급이자</v>
          </cell>
          <cell r="C173">
            <v>227501</v>
          </cell>
          <cell r="D173">
            <v>2275</v>
          </cell>
        </row>
        <row r="174">
          <cell r="A174">
            <v>223100</v>
          </cell>
          <cell r="B174" t="str">
            <v>단기예치금</v>
          </cell>
          <cell r="C174">
            <v>233101</v>
          </cell>
          <cell r="D174">
            <v>2331</v>
          </cell>
        </row>
        <row r="175">
          <cell r="A175">
            <v>223190</v>
          </cell>
          <cell r="B175" t="str">
            <v>단기예치금외화환산조정</v>
          </cell>
          <cell r="C175">
            <v>233102</v>
          </cell>
          <cell r="D175">
            <v>2331</v>
          </cell>
        </row>
        <row r="176">
          <cell r="A176">
            <v>226100</v>
          </cell>
          <cell r="B176" t="str">
            <v>매입부가세-과세(전액공제)</v>
          </cell>
          <cell r="C176">
            <v>416101</v>
          </cell>
          <cell r="D176">
            <v>4161</v>
          </cell>
        </row>
        <row r="177">
          <cell r="A177">
            <v>226110</v>
          </cell>
          <cell r="B177" t="str">
            <v>매입부가세-이동공통(안분공제)</v>
          </cell>
          <cell r="C177">
            <v>416103</v>
          </cell>
          <cell r="D177">
            <v>4161</v>
          </cell>
        </row>
        <row r="178">
          <cell r="A178">
            <v>226120</v>
          </cell>
          <cell r="B178" t="str">
            <v>매입부가세-전사공통(안분공제)</v>
          </cell>
          <cell r="C178">
            <v>416102</v>
          </cell>
          <cell r="D178">
            <v>4161</v>
          </cell>
        </row>
        <row r="179">
          <cell r="A179">
            <v>227100</v>
          </cell>
          <cell r="B179" t="str">
            <v>선납법인세</v>
          </cell>
          <cell r="C179">
            <v>227101</v>
          </cell>
          <cell r="D179">
            <v>2271</v>
          </cell>
        </row>
        <row r="180">
          <cell r="A180">
            <v>227110</v>
          </cell>
          <cell r="B180" t="str">
            <v>선납법인세SAS</v>
          </cell>
          <cell r="C180">
            <v>227102</v>
          </cell>
          <cell r="D180">
            <v>2271</v>
          </cell>
        </row>
        <row r="181">
          <cell r="A181">
            <v>228110</v>
          </cell>
          <cell r="B181" t="str">
            <v>통화선도-유동자산</v>
          </cell>
          <cell r="C181">
            <v>229301</v>
          </cell>
          <cell r="D181">
            <v>2293</v>
          </cell>
        </row>
        <row r="182">
          <cell r="A182">
            <v>228120</v>
          </cell>
          <cell r="B182" t="str">
            <v>통화스왑-유동자산</v>
          </cell>
          <cell r="C182">
            <v>229201</v>
          </cell>
          <cell r="D182">
            <v>2292</v>
          </cell>
        </row>
        <row r="183">
          <cell r="A183">
            <v>228130</v>
          </cell>
          <cell r="B183" t="str">
            <v>이자율스왑-유동자산</v>
          </cell>
          <cell r="C183">
            <v>229202</v>
          </cell>
          <cell r="D183">
            <v>2292</v>
          </cell>
        </row>
        <row r="184">
          <cell r="A184">
            <v>229100</v>
          </cell>
          <cell r="B184" t="str">
            <v>이연법인세자산-유동</v>
          </cell>
          <cell r="C184">
            <v>231101</v>
          </cell>
          <cell r="D184">
            <v>2311</v>
          </cell>
        </row>
        <row r="185">
          <cell r="A185">
            <v>230100</v>
          </cell>
          <cell r="B185" t="str">
            <v>가지급금</v>
          </cell>
          <cell r="C185">
            <v>232901</v>
          </cell>
          <cell r="D185">
            <v>2329</v>
          </cell>
        </row>
        <row r="186">
          <cell r="A186">
            <v>231100</v>
          </cell>
          <cell r="B186" t="str">
            <v>전도금</v>
          </cell>
          <cell r="C186">
            <v>232901</v>
          </cell>
          <cell r="D186">
            <v>2329</v>
          </cell>
        </row>
        <row r="187">
          <cell r="A187">
            <v>232100</v>
          </cell>
          <cell r="B187" t="str">
            <v>미정산계정</v>
          </cell>
          <cell r="C187">
            <v>217929</v>
          </cell>
          <cell r="D187">
            <v>2179</v>
          </cell>
        </row>
        <row r="188">
          <cell r="A188">
            <v>232101</v>
          </cell>
          <cell r="B188" t="str">
            <v>미정산계정-자재매각</v>
          </cell>
          <cell r="C188">
            <v>217930</v>
          </cell>
          <cell r="D188">
            <v>2179</v>
          </cell>
        </row>
        <row r="189">
          <cell r="A189">
            <v>233100</v>
          </cell>
          <cell r="B189" t="str">
            <v>유동성매도가능증권</v>
          </cell>
          <cell r="C189">
            <v>205999</v>
          </cell>
          <cell r="D189">
            <v>2059</v>
          </cell>
        </row>
        <row r="190">
          <cell r="A190">
            <v>233101</v>
          </cell>
          <cell r="B190" t="str">
            <v>유동성매도가능증권-국공채</v>
          </cell>
          <cell r="C190">
            <v>205101</v>
          </cell>
          <cell r="D190">
            <v>2051</v>
          </cell>
        </row>
        <row r="191">
          <cell r="A191">
            <v>233102</v>
          </cell>
          <cell r="B191" t="str">
            <v>유동성매도가능증권-금융채</v>
          </cell>
          <cell r="C191">
            <v>205201</v>
          </cell>
          <cell r="D191">
            <v>2052</v>
          </cell>
        </row>
        <row r="192">
          <cell r="A192">
            <v>233103</v>
          </cell>
          <cell r="B192" t="str">
            <v>유동성매도가능증권-회사채</v>
          </cell>
          <cell r="C192">
            <v>205301</v>
          </cell>
          <cell r="D192">
            <v>2053</v>
          </cell>
        </row>
        <row r="193">
          <cell r="A193">
            <v>233104</v>
          </cell>
          <cell r="B193" t="str">
            <v>유동성매도가능증권-주식</v>
          </cell>
          <cell r="C193">
            <v>205401</v>
          </cell>
          <cell r="D193">
            <v>2054</v>
          </cell>
        </row>
        <row r="194">
          <cell r="A194">
            <v>233105</v>
          </cell>
          <cell r="B194" t="str">
            <v>유동성매도가능증권-출자금</v>
          </cell>
          <cell r="C194">
            <v>205801</v>
          </cell>
          <cell r="D194">
            <v>2058</v>
          </cell>
        </row>
        <row r="195">
          <cell r="A195">
            <v>233106</v>
          </cell>
          <cell r="B195" t="str">
            <v>유동성매도가능증권-기타</v>
          </cell>
          <cell r="C195">
            <v>205901</v>
          </cell>
          <cell r="D195">
            <v>2059</v>
          </cell>
        </row>
        <row r="196">
          <cell r="A196">
            <v>233200</v>
          </cell>
          <cell r="B196" t="str">
            <v>유동성만기보유증권</v>
          </cell>
          <cell r="C196">
            <v>206999</v>
          </cell>
          <cell r="D196">
            <v>2069</v>
          </cell>
        </row>
        <row r="197">
          <cell r="A197">
            <v>233201</v>
          </cell>
          <cell r="B197" t="str">
            <v>유동성만기보유증권_국공채</v>
          </cell>
          <cell r="C197">
            <v>206901</v>
          </cell>
          <cell r="D197">
            <v>2069</v>
          </cell>
        </row>
        <row r="198">
          <cell r="A198">
            <v>233202</v>
          </cell>
          <cell r="B198" t="str">
            <v>유동성만기보유증권_금융채</v>
          </cell>
          <cell r="C198">
            <v>206301</v>
          </cell>
          <cell r="D198">
            <v>2063</v>
          </cell>
        </row>
        <row r="199">
          <cell r="A199">
            <v>233203</v>
          </cell>
          <cell r="B199" t="str">
            <v>유동성만기보유증권_회사채</v>
          </cell>
          <cell r="C199">
            <v>206901</v>
          </cell>
          <cell r="D199">
            <v>2069</v>
          </cell>
        </row>
        <row r="200">
          <cell r="A200">
            <v>240200</v>
          </cell>
          <cell r="B200" t="str">
            <v>국내상품-쇼핑몰</v>
          </cell>
          <cell r="C200">
            <v>241701</v>
          </cell>
          <cell r="D200">
            <v>2417</v>
          </cell>
        </row>
        <row r="201">
          <cell r="A201">
            <v>240400</v>
          </cell>
          <cell r="B201" t="str">
            <v>국내상품</v>
          </cell>
          <cell r="C201">
            <v>241701</v>
          </cell>
          <cell r="D201">
            <v>2417</v>
          </cell>
        </row>
        <row r="202">
          <cell r="A202">
            <v>240500</v>
          </cell>
          <cell r="B202" t="str">
            <v>미완성영화</v>
          </cell>
          <cell r="C202">
            <v>241702</v>
          </cell>
          <cell r="D202">
            <v>2417</v>
          </cell>
        </row>
        <row r="203">
          <cell r="A203">
            <v>240600</v>
          </cell>
          <cell r="B203" t="str">
            <v>영화상품-SKT</v>
          </cell>
          <cell r="C203">
            <v>241703</v>
          </cell>
          <cell r="D203">
            <v>2417</v>
          </cell>
        </row>
        <row r="204">
          <cell r="A204">
            <v>240610</v>
          </cell>
          <cell r="B204" t="str">
            <v>영화상품-외부투자</v>
          </cell>
          <cell r="C204">
            <v>241704</v>
          </cell>
          <cell r="D204">
            <v>2417</v>
          </cell>
        </row>
        <row r="205">
          <cell r="A205">
            <v>258900</v>
          </cell>
          <cell r="B205" t="str">
            <v>기타저장품</v>
          </cell>
          <cell r="C205">
            <v>241390</v>
          </cell>
          <cell r="D205">
            <v>2413</v>
          </cell>
        </row>
        <row r="206">
          <cell r="A206">
            <v>258910</v>
          </cell>
          <cell r="B206" t="str">
            <v>상품권저장품</v>
          </cell>
          <cell r="C206">
            <v>241304</v>
          </cell>
          <cell r="D206">
            <v>2413</v>
          </cell>
        </row>
        <row r="207">
          <cell r="A207">
            <v>258920</v>
          </cell>
          <cell r="B207" t="str">
            <v>물품저장품</v>
          </cell>
          <cell r="C207">
            <v>241305</v>
          </cell>
          <cell r="D207">
            <v>2413</v>
          </cell>
        </row>
        <row r="208">
          <cell r="A208">
            <v>258930</v>
          </cell>
          <cell r="B208" t="str">
            <v>해외매출저장품</v>
          </cell>
          <cell r="C208">
            <v>241306</v>
          </cell>
          <cell r="D208">
            <v>2413</v>
          </cell>
        </row>
        <row r="209">
          <cell r="A209">
            <v>261100</v>
          </cell>
          <cell r="B209" t="str">
            <v>특정예금</v>
          </cell>
          <cell r="C209">
            <v>251501</v>
          </cell>
          <cell r="D209">
            <v>2515</v>
          </cell>
        </row>
        <row r="210">
          <cell r="A210">
            <v>261200</v>
          </cell>
          <cell r="B210" t="str">
            <v>정기예금-장기</v>
          </cell>
          <cell r="C210">
            <v>251101</v>
          </cell>
          <cell r="D210">
            <v>2511</v>
          </cell>
        </row>
        <row r="211">
          <cell r="A211">
            <v>270100</v>
          </cell>
          <cell r="B211" t="str">
            <v>출자금-증안기금</v>
          </cell>
          <cell r="C211">
            <v>252801</v>
          </cell>
          <cell r="D211">
            <v>2528</v>
          </cell>
        </row>
        <row r="212">
          <cell r="A212">
            <v>270110</v>
          </cell>
          <cell r="B212" t="str">
            <v>출자금-기타</v>
          </cell>
          <cell r="C212">
            <v>252802</v>
          </cell>
          <cell r="D212">
            <v>2528</v>
          </cell>
        </row>
        <row r="213">
          <cell r="A213">
            <v>271100</v>
          </cell>
          <cell r="B213" t="str">
            <v>지분법적용투자주식</v>
          </cell>
          <cell r="C213">
            <v>254101</v>
          </cell>
          <cell r="D213">
            <v>2541</v>
          </cell>
        </row>
        <row r="214">
          <cell r="A214">
            <v>272100</v>
          </cell>
          <cell r="B214" t="str">
            <v>매도가능주식</v>
          </cell>
          <cell r="C214">
            <v>252401</v>
          </cell>
          <cell r="D214">
            <v>2524</v>
          </cell>
        </row>
        <row r="215">
          <cell r="A215">
            <v>272200</v>
          </cell>
          <cell r="B215" t="str">
            <v>매도가능채권-국공채</v>
          </cell>
          <cell r="C215">
            <v>252101</v>
          </cell>
          <cell r="D215">
            <v>2521</v>
          </cell>
        </row>
        <row r="216">
          <cell r="A216">
            <v>272201</v>
          </cell>
          <cell r="B216" t="str">
            <v>국공채-매입</v>
          </cell>
          <cell r="C216">
            <v>252102</v>
          </cell>
          <cell r="D216">
            <v>2521</v>
          </cell>
        </row>
        <row r="217">
          <cell r="A217">
            <v>272210</v>
          </cell>
          <cell r="B217" t="str">
            <v>매도가능채권-금융채</v>
          </cell>
          <cell r="C217">
            <v>252201</v>
          </cell>
          <cell r="D217">
            <v>2522</v>
          </cell>
        </row>
        <row r="218">
          <cell r="A218">
            <v>272220</v>
          </cell>
          <cell r="B218" t="str">
            <v>매도가능채권-회사채</v>
          </cell>
          <cell r="C218">
            <v>252301</v>
          </cell>
          <cell r="D218">
            <v>2523</v>
          </cell>
        </row>
        <row r="219">
          <cell r="A219">
            <v>272290</v>
          </cell>
          <cell r="B219" t="str">
            <v>매도가능채권-기타</v>
          </cell>
          <cell r="C219">
            <v>252901</v>
          </cell>
          <cell r="D219">
            <v>2529</v>
          </cell>
        </row>
        <row r="220">
          <cell r="A220">
            <v>273100</v>
          </cell>
          <cell r="B220" t="str">
            <v>출자금-지분법</v>
          </cell>
          <cell r="C220">
            <v>254102</v>
          </cell>
          <cell r="D220">
            <v>2541</v>
          </cell>
        </row>
        <row r="221">
          <cell r="A221">
            <v>274100</v>
          </cell>
          <cell r="B221" t="str">
            <v>프로젝트투자-영화</v>
          </cell>
          <cell r="C221">
            <v>259101</v>
          </cell>
          <cell r="D221">
            <v>2591</v>
          </cell>
        </row>
        <row r="222">
          <cell r="A222">
            <v>274500</v>
          </cell>
          <cell r="B222" t="str">
            <v>프로젝트투자손실충당금</v>
          </cell>
          <cell r="C222">
            <v>259102</v>
          </cell>
          <cell r="D222">
            <v>2591</v>
          </cell>
        </row>
        <row r="223">
          <cell r="A223">
            <v>275100</v>
          </cell>
          <cell r="B223" t="str">
            <v>만기보유채권-회사채</v>
          </cell>
          <cell r="C223">
            <v>253301</v>
          </cell>
          <cell r="D223">
            <v>2533</v>
          </cell>
        </row>
        <row r="224">
          <cell r="A224">
            <v>275900</v>
          </cell>
          <cell r="B224" t="str">
            <v>만기보유채권-기타</v>
          </cell>
          <cell r="C224">
            <v>253901</v>
          </cell>
          <cell r="D224">
            <v>2539</v>
          </cell>
        </row>
        <row r="225">
          <cell r="A225">
            <v>281190</v>
          </cell>
          <cell r="B225" t="str">
            <v>장기대여금-기타</v>
          </cell>
          <cell r="C225">
            <v>255801</v>
          </cell>
          <cell r="D225">
            <v>2558</v>
          </cell>
        </row>
        <row r="226">
          <cell r="A226">
            <v>281200</v>
          </cell>
          <cell r="B226" t="str">
            <v>주임종장기대여금</v>
          </cell>
          <cell r="C226">
            <v>255301</v>
          </cell>
          <cell r="D226">
            <v>2553</v>
          </cell>
        </row>
        <row r="227">
          <cell r="A227">
            <v>281201</v>
          </cell>
          <cell r="B227" t="str">
            <v>장기주임종대여금_현재가치할인차금</v>
          </cell>
          <cell r="C227">
            <v>255302</v>
          </cell>
          <cell r="D227">
            <v>2553</v>
          </cell>
        </row>
        <row r="228">
          <cell r="A228">
            <v>281210</v>
          </cell>
          <cell r="B228" t="str">
            <v>장기대여금_기타환산조정</v>
          </cell>
          <cell r="C228">
            <v>255802</v>
          </cell>
          <cell r="D228">
            <v>2558</v>
          </cell>
        </row>
        <row r="229">
          <cell r="A229">
            <v>281900</v>
          </cell>
          <cell r="B229" t="str">
            <v>장기대여금대충</v>
          </cell>
          <cell r="C229">
            <v>256101</v>
          </cell>
          <cell r="D229">
            <v>2561</v>
          </cell>
        </row>
        <row r="230">
          <cell r="A230">
            <v>282100</v>
          </cell>
          <cell r="B230" t="str">
            <v>임차보증금</v>
          </cell>
          <cell r="C230">
            <v>285201</v>
          </cell>
          <cell r="D230">
            <v>2852</v>
          </cell>
        </row>
        <row r="231">
          <cell r="A231">
            <v>282110</v>
          </cell>
          <cell r="B231" t="str">
            <v>임차보증금_현재가치할인차금</v>
          </cell>
          <cell r="C231">
            <v>285204</v>
          </cell>
          <cell r="D231">
            <v>2852</v>
          </cell>
        </row>
        <row r="232">
          <cell r="A232">
            <v>282190</v>
          </cell>
          <cell r="B232" t="str">
            <v>임차보증금외화환산조정</v>
          </cell>
          <cell r="C232">
            <v>285202</v>
          </cell>
          <cell r="D232">
            <v>2852</v>
          </cell>
        </row>
        <row r="233">
          <cell r="A233">
            <v>282900</v>
          </cell>
          <cell r="B233" t="str">
            <v>임차보증금대충</v>
          </cell>
          <cell r="C233">
            <v>285203</v>
          </cell>
          <cell r="D233">
            <v>2852</v>
          </cell>
        </row>
        <row r="234">
          <cell r="A234">
            <v>284200</v>
          </cell>
          <cell r="B234" t="str">
            <v>예치보증금-회원가입</v>
          </cell>
          <cell r="C234">
            <v>285801</v>
          </cell>
          <cell r="D234">
            <v>2858</v>
          </cell>
        </row>
        <row r="235">
          <cell r="A235">
            <v>284210</v>
          </cell>
          <cell r="B235" t="str">
            <v>예치보증금-관리비예납</v>
          </cell>
          <cell r="C235">
            <v>285802</v>
          </cell>
          <cell r="D235">
            <v>2858</v>
          </cell>
        </row>
        <row r="236">
          <cell r="A236">
            <v>284290</v>
          </cell>
          <cell r="B236" t="str">
            <v>예치보증금-기타</v>
          </cell>
          <cell r="C236">
            <v>285890</v>
          </cell>
          <cell r="D236">
            <v>2858</v>
          </cell>
        </row>
        <row r="237">
          <cell r="A237">
            <v>284300</v>
          </cell>
          <cell r="B237" t="str">
            <v>단퇴보험예치금</v>
          </cell>
          <cell r="C237">
            <v>289102</v>
          </cell>
          <cell r="D237">
            <v>2891</v>
          </cell>
        </row>
        <row r="238">
          <cell r="A238">
            <v>286100</v>
          </cell>
          <cell r="B238" t="str">
            <v>장기선급비용</v>
          </cell>
          <cell r="C238">
            <v>286901</v>
          </cell>
          <cell r="D238">
            <v>2869</v>
          </cell>
        </row>
        <row r="239">
          <cell r="A239">
            <v>286101</v>
          </cell>
          <cell r="B239" t="str">
            <v>장기선급비용-선급법인세</v>
          </cell>
          <cell r="C239">
            <v>286101</v>
          </cell>
          <cell r="D239">
            <v>2861</v>
          </cell>
        </row>
        <row r="240">
          <cell r="A240">
            <v>286102</v>
          </cell>
          <cell r="B240" t="str">
            <v>장기선급비용-선급보험료</v>
          </cell>
          <cell r="C240">
            <v>286201</v>
          </cell>
          <cell r="D240">
            <v>2862</v>
          </cell>
        </row>
        <row r="241">
          <cell r="A241">
            <v>286103</v>
          </cell>
          <cell r="B241" t="str">
            <v>장기선급비용-선급임차료</v>
          </cell>
          <cell r="C241">
            <v>286401</v>
          </cell>
          <cell r="D241">
            <v>2864</v>
          </cell>
        </row>
        <row r="242">
          <cell r="A242">
            <v>286104</v>
          </cell>
          <cell r="B242" t="str">
            <v>장기선급비용-선급이자 및 선급할인료</v>
          </cell>
          <cell r="C242">
            <v>286501</v>
          </cell>
          <cell r="D242">
            <v>2865</v>
          </cell>
        </row>
        <row r="243">
          <cell r="A243">
            <v>286105</v>
          </cell>
          <cell r="B243" t="str">
            <v>장기선급비용-기타</v>
          </cell>
          <cell r="C243">
            <v>286901</v>
          </cell>
          <cell r="D243">
            <v>2869</v>
          </cell>
        </row>
        <row r="244">
          <cell r="A244">
            <v>292100</v>
          </cell>
          <cell r="B244" t="str">
            <v>이연법인세자산-고정</v>
          </cell>
          <cell r="C244">
            <v>290101</v>
          </cell>
          <cell r="D244">
            <v>2901</v>
          </cell>
        </row>
        <row r="245">
          <cell r="A245">
            <v>293010</v>
          </cell>
          <cell r="B245" t="str">
            <v>통화선도-투자자산</v>
          </cell>
          <cell r="C245">
            <v>287301</v>
          </cell>
          <cell r="D245">
            <v>2873</v>
          </cell>
        </row>
        <row r="246">
          <cell r="A246">
            <v>293020</v>
          </cell>
          <cell r="B246" t="str">
            <v>통화스왑-투자자산</v>
          </cell>
          <cell r="C246">
            <v>287201</v>
          </cell>
          <cell r="D246">
            <v>2872</v>
          </cell>
        </row>
        <row r="247">
          <cell r="A247">
            <v>293030</v>
          </cell>
          <cell r="B247" t="str">
            <v>이자율스왑-투자자산</v>
          </cell>
          <cell r="C247">
            <v>287202</v>
          </cell>
          <cell r="D247">
            <v>2872</v>
          </cell>
        </row>
        <row r="248">
          <cell r="A248">
            <v>293100</v>
          </cell>
          <cell r="B248" t="str">
            <v>주식청약증거금</v>
          </cell>
          <cell r="C248">
            <v>251401</v>
          </cell>
          <cell r="D248">
            <v>2514</v>
          </cell>
        </row>
        <row r="249">
          <cell r="A249">
            <v>294100</v>
          </cell>
          <cell r="B249" t="str">
            <v>기타자산</v>
          </cell>
          <cell r="C249">
            <v>259190</v>
          </cell>
          <cell r="D249">
            <v>2591</v>
          </cell>
        </row>
        <row r="250">
          <cell r="A250">
            <v>299900</v>
          </cell>
          <cell r="B250" t="str">
            <v>사내외상매출금</v>
          </cell>
          <cell r="C250">
            <v>897211</v>
          </cell>
          <cell r="D250">
            <v>8972</v>
          </cell>
        </row>
        <row r="251">
          <cell r="A251">
            <v>299901</v>
          </cell>
          <cell r="B251" t="str">
            <v>사내거래외상매출금</v>
          </cell>
          <cell r="C251">
            <v>897212</v>
          </cell>
          <cell r="D251">
            <v>8972</v>
          </cell>
        </row>
        <row r="252">
          <cell r="A252">
            <v>300100</v>
          </cell>
          <cell r="B252" t="str">
            <v>토지</v>
          </cell>
          <cell r="C252">
            <v>261101</v>
          </cell>
          <cell r="D252">
            <v>2611</v>
          </cell>
        </row>
        <row r="253">
          <cell r="A253">
            <v>300110</v>
          </cell>
          <cell r="B253" t="str">
            <v>토지손상차손누계액</v>
          </cell>
          <cell r="C253">
            <v>261201</v>
          </cell>
          <cell r="D253">
            <v>2612</v>
          </cell>
        </row>
        <row r="254">
          <cell r="A254">
            <v>301100</v>
          </cell>
          <cell r="B254" t="str">
            <v>건물</v>
          </cell>
          <cell r="C254">
            <v>262101</v>
          </cell>
          <cell r="D254">
            <v>2621</v>
          </cell>
        </row>
        <row r="255">
          <cell r="A255">
            <v>302100</v>
          </cell>
          <cell r="B255" t="str">
            <v>건물감가상각누계액</v>
          </cell>
          <cell r="C255">
            <v>262201</v>
          </cell>
          <cell r="D255">
            <v>2622</v>
          </cell>
        </row>
        <row r="256">
          <cell r="A256">
            <v>302110</v>
          </cell>
          <cell r="B256" t="str">
            <v>건물손상차손누계액</v>
          </cell>
          <cell r="C256">
            <v>262301</v>
          </cell>
          <cell r="D256">
            <v>2623</v>
          </cell>
        </row>
        <row r="257">
          <cell r="A257">
            <v>302120</v>
          </cell>
          <cell r="B257" t="str">
            <v>건물이월장부가조정</v>
          </cell>
          <cell r="C257">
            <v>262301</v>
          </cell>
          <cell r="D257">
            <v>2623</v>
          </cell>
        </row>
        <row r="258">
          <cell r="A258">
            <v>303100</v>
          </cell>
          <cell r="B258" t="str">
            <v>구축물</v>
          </cell>
          <cell r="C258">
            <v>263101</v>
          </cell>
          <cell r="D258">
            <v>2631</v>
          </cell>
        </row>
        <row r="259">
          <cell r="A259">
            <v>304100</v>
          </cell>
          <cell r="B259" t="str">
            <v>구축물감가상각누계액</v>
          </cell>
          <cell r="C259">
            <v>263201</v>
          </cell>
          <cell r="D259">
            <v>2632</v>
          </cell>
        </row>
        <row r="260">
          <cell r="A260">
            <v>304110</v>
          </cell>
          <cell r="B260" t="str">
            <v>구축물손상차손누계액</v>
          </cell>
          <cell r="C260">
            <v>263301</v>
          </cell>
          <cell r="D260">
            <v>2633</v>
          </cell>
        </row>
        <row r="261">
          <cell r="A261">
            <v>304120</v>
          </cell>
          <cell r="B261" t="str">
            <v>구축물이월장부가조정</v>
          </cell>
          <cell r="C261">
            <v>263301</v>
          </cell>
          <cell r="D261">
            <v>2633</v>
          </cell>
        </row>
        <row r="262">
          <cell r="A262">
            <v>305100</v>
          </cell>
          <cell r="B262" t="str">
            <v>기계장치</v>
          </cell>
          <cell r="C262">
            <v>265101</v>
          </cell>
          <cell r="D262">
            <v>2651</v>
          </cell>
        </row>
        <row r="263">
          <cell r="A263">
            <v>306100</v>
          </cell>
          <cell r="B263" t="str">
            <v>기계장치감가상각누계액</v>
          </cell>
          <cell r="C263">
            <v>265201</v>
          </cell>
          <cell r="D263">
            <v>2652</v>
          </cell>
        </row>
        <row r="264">
          <cell r="A264">
            <v>306110</v>
          </cell>
          <cell r="B264" t="str">
            <v>기계장치손상차손누계액</v>
          </cell>
          <cell r="C264">
            <v>265301</v>
          </cell>
          <cell r="D264">
            <v>2653</v>
          </cell>
        </row>
        <row r="265">
          <cell r="A265">
            <v>306120</v>
          </cell>
          <cell r="B265" t="str">
            <v>기계장치이월장부가조정</v>
          </cell>
          <cell r="C265">
            <v>265201</v>
          </cell>
          <cell r="D265">
            <v>2652</v>
          </cell>
        </row>
        <row r="266">
          <cell r="A266">
            <v>307100</v>
          </cell>
          <cell r="B266" t="str">
            <v>차량운반구</v>
          </cell>
          <cell r="C266">
            <v>267101</v>
          </cell>
          <cell r="D266">
            <v>2671</v>
          </cell>
        </row>
        <row r="267">
          <cell r="A267">
            <v>308100</v>
          </cell>
          <cell r="B267" t="str">
            <v>차량운반구감가상각누계액</v>
          </cell>
          <cell r="C267">
            <v>267201</v>
          </cell>
          <cell r="D267">
            <v>2672</v>
          </cell>
        </row>
        <row r="268">
          <cell r="A268">
            <v>308110</v>
          </cell>
          <cell r="B268" t="str">
            <v>차량운반구손상차손누계액</v>
          </cell>
          <cell r="C268">
            <v>267301</v>
          </cell>
          <cell r="D268">
            <v>2673</v>
          </cell>
        </row>
        <row r="269">
          <cell r="A269">
            <v>308120</v>
          </cell>
          <cell r="B269" t="str">
            <v>차량운반구이월장부가조정</v>
          </cell>
          <cell r="C269">
            <v>267201</v>
          </cell>
          <cell r="D269">
            <v>2672</v>
          </cell>
        </row>
        <row r="270">
          <cell r="A270">
            <v>308200</v>
          </cell>
          <cell r="B270" t="str">
            <v>복구충당자산_비품</v>
          </cell>
          <cell r="C270">
            <v>269114</v>
          </cell>
          <cell r="D270">
            <v>2691</v>
          </cell>
        </row>
        <row r="271">
          <cell r="A271">
            <v>308210</v>
          </cell>
          <cell r="B271" t="str">
            <v>복구충당자산_비품감가상각누계액</v>
          </cell>
          <cell r="C271">
            <v>269205</v>
          </cell>
          <cell r="D271">
            <v>2692</v>
          </cell>
        </row>
        <row r="272">
          <cell r="A272">
            <v>308220</v>
          </cell>
          <cell r="B272" t="str">
            <v>복구충당자산_비품손상차손누계액</v>
          </cell>
          <cell r="C272">
            <v>269303</v>
          </cell>
          <cell r="D272">
            <v>2693</v>
          </cell>
        </row>
        <row r="273">
          <cell r="A273">
            <v>308300</v>
          </cell>
          <cell r="B273" t="str">
            <v>복구충당자산_기지국</v>
          </cell>
          <cell r="C273">
            <v>265103</v>
          </cell>
          <cell r="D273">
            <v>2651</v>
          </cell>
        </row>
        <row r="274">
          <cell r="A274">
            <v>308310</v>
          </cell>
          <cell r="B274" t="str">
            <v>복구충당자산_기지국감가상각누계액</v>
          </cell>
          <cell r="C274">
            <v>265203</v>
          </cell>
          <cell r="D274">
            <v>2652</v>
          </cell>
        </row>
        <row r="275">
          <cell r="A275">
            <v>308320</v>
          </cell>
          <cell r="B275" t="str">
            <v>복구충당자산_기지국손상차손누계액</v>
          </cell>
          <cell r="C275">
            <v>265302</v>
          </cell>
          <cell r="D275">
            <v>2653</v>
          </cell>
        </row>
        <row r="276">
          <cell r="A276">
            <v>309100</v>
          </cell>
          <cell r="B276" t="str">
            <v>공기구</v>
          </cell>
          <cell r="C276">
            <v>269101</v>
          </cell>
          <cell r="D276">
            <v>2691</v>
          </cell>
        </row>
        <row r="277">
          <cell r="A277">
            <v>310100</v>
          </cell>
          <cell r="B277" t="str">
            <v>공기구감가상각누계액</v>
          </cell>
          <cell r="C277">
            <v>269201</v>
          </cell>
          <cell r="D277">
            <v>2692</v>
          </cell>
        </row>
        <row r="278">
          <cell r="A278">
            <v>310110</v>
          </cell>
          <cell r="B278" t="str">
            <v>공기구손상차손누계액</v>
          </cell>
          <cell r="C278">
            <v>269301</v>
          </cell>
          <cell r="D278">
            <v>2693</v>
          </cell>
        </row>
        <row r="279">
          <cell r="A279">
            <v>310120</v>
          </cell>
          <cell r="B279" t="str">
            <v>공기구이월장부가조정</v>
          </cell>
          <cell r="C279">
            <v>269201</v>
          </cell>
          <cell r="D279">
            <v>2692</v>
          </cell>
        </row>
        <row r="280">
          <cell r="A280">
            <v>311100</v>
          </cell>
          <cell r="B280" t="str">
            <v>비품</v>
          </cell>
          <cell r="C280">
            <v>269111</v>
          </cell>
          <cell r="D280">
            <v>2691</v>
          </cell>
        </row>
        <row r="281">
          <cell r="A281">
            <v>311101</v>
          </cell>
          <cell r="B281" t="str">
            <v>비품-구매카탈로그</v>
          </cell>
          <cell r="C281">
            <v>269112</v>
          </cell>
          <cell r="D281">
            <v>2691</v>
          </cell>
        </row>
        <row r="282">
          <cell r="A282">
            <v>312100</v>
          </cell>
          <cell r="B282" t="str">
            <v>비품감가상각누계액</v>
          </cell>
          <cell r="C282">
            <v>269202</v>
          </cell>
          <cell r="D282">
            <v>2692</v>
          </cell>
        </row>
        <row r="283">
          <cell r="A283">
            <v>312110</v>
          </cell>
          <cell r="B283" t="str">
            <v>비품손상차손누계액</v>
          </cell>
          <cell r="C283">
            <v>269302</v>
          </cell>
          <cell r="D283">
            <v>2693</v>
          </cell>
        </row>
        <row r="284">
          <cell r="A284">
            <v>312120</v>
          </cell>
          <cell r="B284" t="str">
            <v>비품이월장부가조정</v>
          </cell>
          <cell r="C284">
            <v>269202</v>
          </cell>
          <cell r="D284">
            <v>2692</v>
          </cell>
        </row>
        <row r="285">
          <cell r="A285">
            <v>313100</v>
          </cell>
          <cell r="B285" t="str">
            <v>기타유형자산</v>
          </cell>
          <cell r="C285">
            <v>272101</v>
          </cell>
          <cell r="D285">
            <v>2721</v>
          </cell>
        </row>
        <row r="286">
          <cell r="A286">
            <v>314100</v>
          </cell>
          <cell r="B286" t="str">
            <v>기타유형자산감가상각누계액</v>
          </cell>
          <cell r="C286">
            <v>272201</v>
          </cell>
          <cell r="D286">
            <v>2722</v>
          </cell>
        </row>
        <row r="287">
          <cell r="A287">
            <v>314110</v>
          </cell>
          <cell r="B287" t="str">
            <v>기타유형자산손상차손누계액</v>
          </cell>
          <cell r="C287">
            <v>272301</v>
          </cell>
          <cell r="D287">
            <v>2723</v>
          </cell>
        </row>
        <row r="288">
          <cell r="A288">
            <v>314120</v>
          </cell>
          <cell r="B288" t="str">
            <v>기타유형자산이월장부가조정</v>
          </cell>
          <cell r="C288">
            <v>272201</v>
          </cell>
          <cell r="D288">
            <v>2722</v>
          </cell>
        </row>
        <row r="289">
          <cell r="A289">
            <v>320100</v>
          </cell>
          <cell r="B289" t="str">
            <v>영업권</v>
          </cell>
          <cell r="C289">
            <v>278201</v>
          </cell>
          <cell r="D289">
            <v>2782</v>
          </cell>
        </row>
        <row r="290">
          <cell r="A290">
            <v>320101</v>
          </cell>
          <cell r="B290" t="str">
            <v>영업권이월장부가조정</v>
          </cell>
          <cell r="C290">
            <v>278201</v>
          </cell>
          <cell r="D290">
            <v>2782</v>
          </cell>
        </row>
        <row r="291">
          <cell r="A291">
            <v>320110</v>
          </cell>
          <cell r="B291" t="str">
            <v>임차권리금</v>
          </cell>
          <cell r="C291">
            <v>278601</v>
          </cell>
          <cell r="D291">
            <v>2786</v>
          </cell>
        </row>
        <row r="292">
          <cell r="A292">
            <v>320200</v>
          </cell>
          <cell r="B292" t="str">
            <v>산업재산권</v>
          </cell>
          <cell r="C292">
            <v>278501</v>
          </cell>
          <cell r="D292">
            <v>2785</v>
          </cell>
        </row>
        <row r="293">
          <cell r="A293">
            <v>320300</v>
          </cell>
          <cell r="B293" t="str">
            <v>고객관계무형자산</v>
          </cell>
          <cell r="C293">
            <v>278907</v>
          </cell>
          <cell r="D293">
            <v>2789</v>
          </cell>
        </row>
        <row r="294">
          <cell r="A294">
            <v>320400</v>
          </cell>
          <cell r="B294" t="str">
            <v>개발비</v>
          </cell>
          <cell r="C294">
            <v>278101</v>
          </cell>
          <cell r="D294">
            <v>2781</v>
          </cell>
        </row>
        <row r="295">
          <cell r="A295">
            <v>320810</v>
          </cell>
          <cell r="B295" t="str">
            <v>무형자산_회원권_콘도</v>
          </cell>
          <cell r="C295">
            <v>279201</v>
          </cell>
          <cell r="D295">
            <v>2792</v>
          </cell>
        </row>
        <row r="296">
          <cell r="A296">
            <v>321000</v>
          </cell>
          <cell r="B296" t="str">
            <v>사용수익기부자산</v>
          </cell>
          <cell r="C296">
            <v>278901</v>
          </cell>
          <cell r="D296">
            <v>2789</v>
          </cell>
        </row>
        <row r="297">
          <cell r="A297">
            <v>321100</v>
          </cell>
          <cell r="B297" t="str">
            <v>기타영업권</v>
          </cell>
          <cell r="C297">
            <v>278907</v>
          </cell>
          <cell r="D297">
            <v>2789</v>
          </cell>
        </row>
        <row r="298">
          <cell r="A298">
            <v>321150</v>
          </cell>
          <cell r="B298" t="str">
            <v>영화판권</v>
          </cell>
          <cell r="C298">
            <v>278903</v>
          </cell>
          <cell r="D298">
            <v>2789</v>
          </cell>
        </row>
        <row r="299">
          <cell r="A299">
            <v>321900</v>
          </cell>
          <cell r="B299" t="str">
            <v>컴퓨터소프트웨어</v>
          </cell>
          <cell r="C299">
            <v>278902</v>
          </cell>
          <cell r="D299">
            <v>2789</v>
          </cell>
        </row>
        <row r="300">
          <cell r="A300">
            <v>330100</v>
          </cell>
          <cell r="B300" t="str">
            <v>토지건자</v>
          </cell>
          <cell r="C300">
            <v>274101</v>
          </cell>
          <cell r="D300">
            <v>2741</v>
          </cell>
        </row>
        <row r="301">
          <cell r="A301">
            <v>331100</v>
          </cell>
          <cell r="B301" t="str">
            <v>건물건자</v>
          </cell>
          <cell r="C301">
            <v>274102</v>
          </cell>
          <cell r="D301">
            <v>2741</v>
          </cell>
        </row>
        <row r="302">
          <cell r="A302">
            <v>332100</v>
          </cell>
          <cell r="B302" t="str">
            <v>구축물건자</v>
          </cell>
          <cell r="C302">
            <v>274103</v>
          </cell>
          <cell r="D302">
            <v>2741</v>
          </cell>
        </row>
        <row r="303">
          <cell r="A303">
            <v>333100</v>
          </cell>
          <cell r="B303" t="str">
            <v>기계장치건자</v>
          </cell>
          <cell r="C303">
            <v>274104</v>
          </cell>
          <cell r="D303">
            <v>2741</v>
          </cell>
        </row>
        <row r="304">
          <cell r="A304">
            <v>334100</v>
          </cell>
          <cell r="B304" t="str">
            <v>차량운반구건자</v>
          </cell>
          <cell r="C304">
            <v>274105</v>
          </cell>
          <cell r="D304">
            <v>2741</v>
          </cell>
        </row>
        <row r="305">
          <cell r="A305">
            <v>335100</v>
          </cell>
          <cell r="B305" t="str">
            <v>공기구건자</v>
          </cell>
          <cell r="C305">
            <v>274106</v>
          </cell>
          <cell r="D305">
            <v>2741</v>
          </cell>
        </row>
        <row r="306">
          <cell r="A306">
            <v>336100</v>
          </cell>
          <cell r="B306" t="str">
            <v>비품건자</v>
          </cell>
          <cell r="C306">
            <v>274107</v>
          </cell>
          <cell r="D306">
            <v>2741</v>
          </cell>
        </row>
        <row r="307">
          <cell r="A307">
            <v>337100</v>
          </cell>
          <cell r="B307" t="str">
            <v>기타유형고정건자</v>
          </cell>
          <cell r="C307">
            <v>274108</v>
          </cell>
          <cell r="D307">
            <v>2741</v>
          </cell>
        </row>
        <row r="308">
          <cell r="A308">
            <v>350100</v>
          </cell>
          <cell r="B308" t="str">
            <v>투자부동산_토지</v>
          </cell>
          <cell r="C308">
            <v>277101</v>
          </cell>
          <cell r="D308">
            <v>2771</v>
          </cell>
        </row>
        <row r="309">
          <cell r="A309">
            <v>350110</v>
          </cell>
          <cell r="B309" t="str">
            <v>투자부동산_토지손상차손누계액</v>
          </cell>
          <cell r="C309">
            <v>277301</v>
          </cell>
          <cell r="D309">
            <v>2773</v>
          </cell>
        </row>
        <row r="310">
          <cell r="A310">
            <v>350200</v>
          </cell>
          <cell r="B310" t="str">
            <v>투자부동산_건물</v>
          </cell>
          <cell r="C310">
            <v>277102</v>
          </cell>
          <cell r="D310">
            <v>2771</v>
          </cell>
        </row>
        <row r="311">
          <cell r="A311">
            <v>350210</v>
          </cell>
          <cell r="B311" t="str">
            <v>투자부동산_건물감가상각누계액</v>
          </cell>
          <cell r="C311">
            <v>277201</v>
          </cell>
          <cell r="D311">
            <v>2772</v>
          </cell>
        </row>
        <row r="312">
          <cell r="A312">
            <v>350220</v>
          </cell>
          <cell r="B312" t="str">
            <v>투자부동산_건물손상차손누계액</v>
          </cell>
          <cell r="C312">
            <v>277302</v>
          </cell>
          <cell r="D312">
            <v>2773</v>
          </cell>
        </row>
        <row r="313">
          <cell r="A313">
            <v>400100</v>
          </cell>
          <cell r="B313" t="str">
            <v>외상매입금</v>
          </cell>
          <cell r="C313">
            <v>401101</v>
          </cell>
          <cell r="D313">
            <v>4011</v>
          </cell>
        </row>
        <row r="314">
          <cell r="A314">
            <v>403100</v>
          </cell>
          <cell r="B314" t="str">
            <v>단기차입금-일반</v>
          </cell>
          <cell r="C314">
            <v>403201</v>
          </cell>
          <cell r="D314">
            <v>4032</v>
          </cell>
        </row>
        <row r="315">
          <cell r="A315">
            <v>403110</v>
          </cell>
          <cell r="B315" t="str">
            <v>단기차입금-신탁</v>
          </cell>
          <cell r="C315">
            <v>403902</v>
          </cell>
          <cell r="D315">
            <v>4039</v>
          </cell>
        </row>
        <row r="316">
          <cell r="A316">
            <v>403120</v>
          </cell>
          <cell r="B316" t="str">
            <v>단기차입금-단자</v>
          </cell>
          <cell r="C316">
            <v>403901</v>
          </cell>
          <cell r="D316">
            <v>4039</v>
          </cell>
        </row>
        <row r="317">
          <cell r="A317">
            <v>403130</v>
          </cell>
          <cell r="B317" t="str">
            <v>단기차입금-보험</v>
          </cell>
          <cell r="C317">
            <v>403903</v>
          </cell>
          <cell r="D317">
            <v>4039</v>
          </cell>
        </row>
        <row r="318">
          <cell r="A318">
            <v>403190</v>
          </cell>
          <cell r="B318" t="str">
            <v>단기차입금-기타</v>
          </cell>
          <cell r="C318">
            <v>403904</v>
          </cell>
          <cell r="D318">
            <v>4039</v>
          </cell>
        </row>
        <row r="319">
          <cell r="A319">
            <v>403200</v>
          </cell>
          <cell r="B319" t="str">
            <v>단기외화차입금</v>
          </cell>
          <cell r="C319">
            <v>403202</v>
          </cell>
          <cell r="D319">
            <v>4032</v>
          </cell>
        </row>
        <row r="320">
          <cell r="A320">
            <v>403290</v>
          </cell>
          <cell r="B320" t="str">
            <v>단기외화차입환산조정</v>
          </cell>
          <cell r="C320">
            <v>403203</v>
          </cell>
          <cell r="D320">
            <v>4032</v>
          </cell>
        </row>
        <row r="321">
          <cell r="A321">
            <v>404100</v>
          </cell>
          <cell r="B321" t="str">
            <v>미지급금</v>
          </cell>
          <cell r="C321">
            <v>409901</v>
          </cell>
          <cell r="D321">
            <v>4099</v>
          </cell>
        </row>
        <row r="322">
          <cell r="A322">
            <v>404101</v>
          </cell>
          <cell r="B322" t="str">
            <v>미지급금-CP정산</v>
          </cell>
          <cell r="C322">
            <v>409902</v>
          </cell>
          <cell r="D322">
            <v>4099</v>
          </cell>
        </row>
        <row r="323">
          <cell r="A323">
            <v>404102</v>
          </cell>
          <cell r="B323" t="str">
            <v>미지급금-자산구매</v>
          </cell>
          <cell r="C323">
            <v>409101</v>
          </cell>
          <cell r="D323">
            <v>4091</v>
          </cell>
        </row>
        <row r="324">
          <cell r="A324">
            <v>404110</v>
          </cell>
          <cell r="B324" t="str">
            <v>어음미지급금</v>
          </cell>
          <cell r="C324">
            <v>409912</v>
          </cell>
          <cell r="D324">
            <v>4099</v>
          </cell>
        </row>
        <row r="325">
          <cell r="A325">
            <v>404200</v>
          </cell>
          <cell r="B325" t="str">
            <v>외화미지급금</v>
          </cell>
          <cell r="C325">
            <v>409903</v>
          </cell>
          <cell r="D325">
            <v>4099</v>
          </cell>
        </row>
        <row r="326">
          <cell r="A326">
            <v>404290</v>
          </cell>
          <cell r="B326" t="str">
            <v>외화미지급금-환산조정</v>
          </cell>
          <cell r="C326">
            <v>409904</v>
          </cell>
          <cell r="D326">
            <v>4099</v>
          </cell>
        </row>
        <row r="327">
          <cell r="A327">
            <v>404300</v>
          </cell>
          <cell r="B327" t="str">
            <v>카드미지급금</v>
          </cell>
          <cell r="C327">
            <v>409905</v>
          </cell>
          <cell r="D327">
            <v>4099</v>
          </cell>
        </row>
        <row r="328">
          <cell r="A328">
            <v>404990</v>
          </cell>
          <cell r="B328" t="str">
            <v>미지급장기성조정</v>
          </cell>
          <cell r="C328">
            <v>409916</v>
          </cell>
          <cell r="D328">
            <v>4099</v>
          </cell>
        </row>
        <row r="329">
          <cell r="A329">
            <v>405100</v>
          </cell>
          <cell r="B329" t="str">
            <v>미지급배당금</v>
          </cell>
          <cell r="C329">
            <v>419101</v>
          </cell>
          <cell r="D329">
            <v>4191</v>
          </cell>
        </row>
        <row r="330">
          <cell r="A330">
            <v>405190</v>
          </cell>
          <cell r="B330" t="str">
            <v>미지급배당금-주주별</v>
          </cell>
          <cell r="C330">
            <v>419102</v>
          </cell>
          <cell r="D330">
            <v>4191</v>
          </cell>
        </row>
        <row r="331">
          <cell r="A331">
            <v>405200</v>
          </cell>
          <cell r="B331" t="str">
            <v>미지급법인세</v>
          </cell>
          <cell r="C331">
            <v>412101</v>
          </cell>
          <cell r="D331">
            <v>4121</v>
          </cell>
        </row>
        <row r="332">
          <cell r="A332">
            <v>405300</v>
          </cell>
          <cell r="B332" t="str">
            <v>미지급주민세</v>
          </cell>
          <cell r="C332">
            <v>412102</v>
          </cell>
          <cell r="D332">
            <v>4121</v>
          </cell>
        </row>
        <row r="333">
          <cell r="A333">
            <v>405400</v>
          </cell>
          <cell r="B333" t="str">
            <v>미지급농특세</v>
          </cell>
          <cell r="C333">
            <v>412103</v>
          </cell>
          <cell r="D333">
            <v>4121</v>
          </cell>
        </row>
        <row r="334">
          <cell r="A334">
            <v>405500</v>
          </cell>
          <cell r="B334" t="str">
            <v>기타미지급금</v>
          </cell>
          <cell r="C334">
            <v>409906</v>
          </cell>
          <cell r="D334">
            <v>4099</v>
          </cell>
        </row>
        <row r="335">
          <cell r="A335">
            <v>405510</v>
          </cell>
          <cell r="B335" t="str">
            <v>기타미지급금-건강보험이자</v>
          </cell>
          <cell r="C335">
            <v>409907</v>
          </cell>
          <cell r="D335">
            <v>4099</v>
          </cell>
        </row>
        <row r="336">
          <cell r="A336">
            <v>405520</v>
          </cell>
          <cell r="B336" t="str">
            <v>기타미지급금-정산금</v>
          </cell>
          <cell r="C336">
            <v>409908</v>
          </cell>
          <cell r="D336">
            <v>4099</v>
          </cell>
        </row>
        <row r="337">
          <cell r="A337">
            <v>405530</v>
          </cell>
          <cell r="B337" t="str">
            <v>기타미지급금-부가세</v>
          </cell>
          <cell r="C337">
            <v>409909</v>
          </cell>
          <cell r="D337">
            <v>4099</v>
          </cell>
        </row>
        <row r="338">
          <cell r="A338">
            <v>406100</v>
          </cell>
          <cell r="B338" t="str">
            <v>미지급비용</v>
          </cell>
          <cell r="C338">
            <v>410950</v>
          </cell>
          <cell r="D338">
            <v>4109</v>
          </cell>
        </row>
        <row r="339">
          <cell r="A339">
            <v>406110</v>
          </cell>
          <cell r="B339" t="str">
            <v>미지급비용_연월차</v>
          </cell>
          <cell r="C339">
            <v>410102</v>
          </cell>
          <cell r="D339">
            <v>4101</v>
          </cell>
        </row>
        <row r="340">
          <cell r="A340">
            <v>406120</v>
          </cell>
          <cell r="B340" t="str">
            <v>미지급비용_IB</v>
          </cell>
          <cell r="C340">
            <v>410103</v>
          </cell>
          <cell r="D340">
            <v>4101</v>
          </cell>
        </row>
        <row r="341">
          <cell r="A341">
            <v>406130</v>
          </cell>
          <cell r="B341" t="str">
            <v>미지급비용_확정기여</v>
          </cell>
          <cell r="C341">
            <v>410104</v>
          </cell>
          <cell r="D341">
            <v>4101</v>
          </cell>
        </row>
        <row r="342">
          <cell r="A342">
            <v>406150</v>
          </cell>
          <cell r="B342" t="str">
            <v>미지급비용_11번가</v>
          </cell>
          <cell r="C342">
            <v>410950</v>
          </cell>
          <cell r="D342">
            <v>4109</v>
          </cell>
        </row>
        <row r="343">
          <cell r="A343">
            <v>407100</v>
          </cell>
          <cell r="B343" t="str">
            <v>미지급이자</v>
          </cell>
          <cell r="C343">
            <v>410201</v>
          </cell>
          <cell r="D343">
            <v>4102</v>
          </cell>
        </row>
        <row r="344">
          <cell r="A344">
            <v>408100</v>
          </cell>
          <cell r="B344" t="str">
            <v>미지급보증금</v>
          </cell>
          <cell r="C344">
            <v>409911</v>
          </cell>
          <cell r="D344">
            <v>4099</v>
          </cell>
        </row>
        <row r="345">
          <cell r="A345">
            <v>411100</v>
          </cell>
          <cell r="B345" t="str">
            <v>예수소득세-기타소득</v>
          </cell>
          <cell r="C345">
            <v>406201</v>
          </cell>
          <cell r="D345">
            <v>4062</v>
          </cell>
        </row>
        <row r="346">
          <cell r="A346">
            <v>411110</v>
          </cell>
          <cell r="B346" t="str">
            <v>예수소득세-사업소득</v>
          </cell>
          <cell r="C346">
            <v>406202</v>
          </cell>
          <cell r="D346">
            <v>4062</v>
          </cell>
        </row>
        <row r="347">
          <cell r="A347">
            <v>411120</v>
          </cell>
          <cell r="B347" t="str">
            <v>예수소득세-퇴직소득</v>
          </cell>
          <cell r="C347">
            <v>406203</v>
          </cell>
          <cell r="D347">
            <v>4062</v>
          </cell>
        </row>
        <row r="348">
          <cell r="A348">
            <v>411130</v>
          </cell>
          <cell r="B348" t="str">
            <v>예수소득세-근로소득</v>
          </cell>
          <cell r="C348">
            <v>406204</v>
          </cell>
          <cell r="D348">
            <v>4062</v>
          </cell>
        </row>
        <row r="349">
          <cell r="A349">
            <v>411140</v>
          </cell>
          <cell r="B349" t="str">
            <v>예수소득세-일용근로소득</v>
          </cell>
          <cell r="C349">
            <v>406205</v>
          </cell>
          <cell r="D349">
            <v>4062</v>
          </cell>
        </row>
        <row r="350">
          <cell r="A350">
            <v>411150</v>
          </cell>
          <cell r="B350" t="str">
            <v>예수소득세-이자소득</v>
          </cell>
          <cell r="C350">
            <v>406206</v>
          </cell>
          <cell r="D350">
            <v>4062</v>
          </cell>
        </row>
        <row r="351">
          <cell r="A351">
            <v>411160</v>
          </cell>
          <cell r="B351" t="str">
            <v>예수소득세-배당소득</v>
          </cell>
          <cell r="C351">
            <v>406207</v>
          </cell>
          <cell r="D351">
            <v>4062</v>
          </cell>
        </row>
        <row r="352">
          <cell r="A352">
            <v>411170</v>
          </cell>
          <cell r="B352" t="str">
            <v>예수소득세-비거주자</v>
          </cell>
          <cell r="C352">
            <v>406208</v>
          </cell>
          <cell r="D352">
            <v>4062</v>
          </cell>
        </row>
        <row r="353">
          <cell r="A353">
            <v>411180</v>
          </cell>
          <cell r="B353" t="str">
            <v>예수소득세-다량기타소득</v>
          </cell>
          <cell r="C353">
            <v>406209</v>
          </cell>
          <cell r="D353">
            <v>4062</v>
          </cell>
        </row>
        <row r="354">
          <cell r="A354">
            <v>411200</v>
          </cell>
          <cell r="B354" t="str">
            <v>예수주민세</v>
          </cell>
          <cell r="C354">
            <v>406401</v>
          </cell>
          <cell r="D354">
            <v>4064</v>
          </cell>
        </row>
        <row r="355">
          <cell r="A355">
            <v>411300</v>
          </cell>
          <cell r="B355" t="str">
            <v>예수농특세</v>
          </cell>
          <cell r="C355">
            <v>406301</v>
          </cell>
          <cell r="D355">
            <v>4063</v>
          </cell>
        </row>
        <row r="356">
          <cell r="A356">
            <v>420200</v>
          </cell>
          <cell r="B356" t="str">
            <v>예수금-급여공제</v>
          </cell>
          <cell r="C356">
            <v>405101</v>
          </cell>
          <cell r="D356">
            <v>4051</v>
          </cell>
        </row>
        <row r="357">
          <cell r="A357">
            <v>420201</v>
          </cell>
          <cell r="B357" t="str">
            <v>예수금-국민연금</v>
          </cell>
          <cell r="C357">
            <v>405102</v>
          </cell>
          <cell r="D357">
            <v>4051</v>
          </cell>
        </row>
        <row r="358">
          <cell r="A358">
            <v>420202</v>
          </cell>
          <cell r="B358" t="str">
            <v>예수금-건강보험</v>
          </cell>
          <cell r="C358">
            <v>405103</v>
          </cell>
          <cell r="D358">
            <v>4051</v>
          </cell>
        </row>
        <row r="359">
          <cell r="A359">
            <v>420203</v>
          </cell>
          <cell r="B359" t="str">
            <v>예수금-고용보험</v>
          </cell>
          <cell r="C359">
            <v>405104</v>
          </cell>
          <cell r="D359">
            <v>4051</v>
          </cell>
        </row>
        <row r="360">
          <cell r="A360">
            <v>420204</v>
          </cell>
          <cell r="B360" t="str">
            <v>예수금-채권압류</v>
          </cell>
          <cell r="C360">
            <v>405105</v>
          </cell>
          <cell r="D360">
            <v>4051</v>
          </cell>
        </row>
        <row r="361">
          <cell r="A361">
            <v>420205</v>
          </cell>
          <cell r="B361" t="str">
            <v>예수금-급여기타</v>
          </cell>
          <cell r="C361">
            <v>405190</v>
          </cell>
          <cell r="D361">
            <v>4051</v>
          </cell>
        </row>
        <row r="362">
          <cell r="A362">
            <v>420210</v>
          </cell>
          <cell r="B362" t="str">
            <v>예수금-수탁매출</v>
          </cell>
          <cell r="C362">
            <v>405202</v>
          </cell>
          <cell r="D362">
            <v>4052</v>
          </cell>
        </row>
        <row r="363">
          <cell r="A363">
            <v>420220</v>
          </cell>
          <cell r="B363" t="str">
            <v>예수금-국책연구지원</v>
          </cell>
          <cell r="C363">
            <v>405203</v>
          </cell>
          <cell r="D363">
            <v>4052</v>
          </cell>
        </row>
        <row r="364">
          <cell r="A364">
            <v>420250</v>
          </cell>
          <cell r="B364" t="str">
            <v>예수금-쇼핑몰</v>
          </cell>
          <cell r="C364">
            <v>405208</v>
          </cell>
          <cell r="D364">
            <v>4052</v>
          </cell>
        </row>
        <row r="365">
          <cell r="A365">
            <v>420255</v>
          </cell>
          <cell r="B365" t="str">
            <v>예수금-극장부금</v>
          </cell>
          <cell r="C365">
            <v>405209</v>
          </cell>
          <cell r="D365">
            <v>4052</v>
          </cell>
        </row>
        <row r="366">
          <cell r="A366">
            <v>420260</v>
          </cell>
          <cell r="B366" t="str">
            <v>예수금-전자화폐</v>
          </cell>
          <cell r="C366">
            <v>405210</v>
          </cell>
          <cell r="D366">
            <v>4052</v>
          </cell>
        </row>
        <row r="367">
          <cell r="A367">
            <v>420270</v>
          </cell>
          <cell r="B367" t="str">
            <v>예수금-마일리지</v>
          </cell>
          <cell r="C367">
            <v>405211</v>
          </cell>
          <cell r="D367">
            <v>4052</v>
          </cell>
        </row>
        <row r="368">
          <cell r="A368">
            <v>420280</v>
          </cell>
          <cell r="B368" t="str">
            <v>예수금-기타공제</v>
          </cell>
          <cell r="C368">
            <v>405212</v>
          </cell>
          <cell r="D368">
            <v>4052</v>
          </cell>
        </row>
        <row r="369">
          <cell r="A369">
            <v>420285</v>
          </cell>
          <cell r="B369" t="str">
            <v>예수금-상품판매공제</v>
          </cell>
          <cell r="C369">
            <v>405222</v>
          </cell>
          <cell r="D369">
            <v>4052</v>
          </cell>
        </row>
        <row r="370">
          <cell r="A370">
            <v>420290</v>
          </cell>
          <cell r="B370" t="str">
            <v>예수금-기타판매</v>
          </cell>
          <cell r="C370">
            <v>405213</v>
          </cell>
          <cell r="D370">
            <v>4052</v>
          </cell>
        </row>
        <row r="371">
          <cell r="A371">
            <v>420297</v>
          </cell>
          <cell r="B371" t="str">
            <v>예수금-영화투자금</v>
          </cell>
          <cell r="C371">
            <v>405223</v>
          </cell>
          <cell r="D371">
            <v>4052</v>
          </cell>
        </row>
        <row r="372">
          <cell r="A372">
            <v>420300</v>
          </cell>
          <cell r="B372" t="str">
            <v>예수보증금</v>
          </cell>
          <cell r="C372">
            <v>407101</v>
          </cell>
          <cell r="D372">
            <v>4071</v>
          </cell>
        </row>
        <row r="373">
          <cell r="A373">
            <v>420400</v>
          </cell>
          <cell r="B373" t="str">
            <v>예수과납금-예수초과금</v>
          </cell>
          <cell r="C373">
            <v>405215</v>
          </cell>
          <cell r="D373">
            <v>4052</v>
          </cell>
        </row>
        <row r="374">
          <cell r="A374">
            <v>420600</v>
          </cell>
          <cell r="B374" t="str">
            <v>예수보증보험료</v>
          </cell>
          <cell r="C374">
            <v>405218</v>
          </cell>
          <cell r="D374">
            <v>4052</v>
          </cell>
        </row>
        <row r="375">
          <cell r="A375">
            <v>420710</v>
          </cell>
          <cell r="B375" t="str">
            <v>매출부가세-청구</v>
          </cell>
          <cell r="C375">
            <v>416201</v>
          </cell>
          <cell r="D375">
            <v>4162</v>
          </cell>
        </row>
        <row r="376">
          <cell r="A376">
            <v>420780</v>
          </cell>
          <cell r="B376" t="str">
            <v>매출부가세-기타</v>
          </cell>
          <cell r="C376">
            <v>416290</v>
          </cell>
          <cell r="D376">
            <v>4162</v>
          </cell>
        </row>
        <row r="377">
          <cell r="A377">
            <v>422100</v>
          </cell>
          <cell r="B377" t="str">
            <v>선수요금</v>
          </cell>
          <cell r="C377">
            <v>404101</v>
          </cell>
          <cell r="D377">
            <v>4041</v>
          </cell>
        </row>
        <row r="378">
          <cell r="A378">
            <v>422110</v>
          </cell>
          <cell r="B378" t="str">
            <v>선수요금-포인트결제</v>
          </cell>
          <cell r="C378">
            <v>404102</v>
          </cell>
          <cell r="D378">
            <v>4041</v>
          </cell>
        </row>
        <row r="379">
          <cell r="A379">
            <v>422200</v>
          </cell>
          <cell r="B379" t="str">
            <v>상품권선수금</v>
          </cell>
          <cell r="C379">
            <v>404103</v>
          </cell>
          <cell r="D379">
            <v>4041</v>
          </cell>
        </row>
        <row r="380">
          <cell r="A380">
            <v>422300</v>
          </cell>
          <cell r="B380" t="str">
            <v>선수금-기타</v>
          </cell>
          <cell r="C380">
            <v>404901</v>
          </cell>
          <cell r="D380">
            <v>4049</v>
          </cell>
        </row>
        <row r="381">
          <cell r="A381">
            <v>422400</v>
          </cell>
          <cell r="B381" t="str">
            <v>선수금-도서몰</v>
          </cell>
          <cell r="C381">
            <v>404104</v>
          </cell>
          <cell r="D381">
            <v>4041</v>
          </cell>
        </row>
        <row r="382">
          <cell r="A382">
            <v>422401</v>
          </cell>
          <cell r="B382" t="str">
            <v>선수금-화장품몰</v>
          </cell>
          <cell r="C382">
            <v>404105</v>
          </cell>
          <cell r="D382">
            <v>4041</v>
          </cell>
        </row>
        <row r="383">
          <cell r="A383">
            <v>422402</v>
          </cell>
          <cell r="B383" t="str">
            <v>선수금-의류몰</v>
          </cell>
          <cell r="C383">
            <v>404106</v>
          </cell>
          <cell r="D383">
            <v>4041</v>
          </cell>
        </row>
        <row r="384">
          <cell r="A384">
            <v>422910</v>
          </cell>
          <cell r="B384" t="str">
            <v>기타선수금-FAX통장</v>
          </cell>
          <cell r="C384">
            <v>404108</v>
          </cell>
          <cell r="D384">
            <v>4041</v>
          </cell>
        </row>
        <row r="385">
          <cell r="A385">
            <v>424100</v>
          </cell>
          <cell r="B385" t="str">
            <v>선수이자</v>
          </cell>
          <cell r="C385">
            <v>408102</v>
          </cell>
          <cell r="D385">
            <v>4081</v>
          </cell>
        </row>
        <row r="386">
          <cell r="A386">
            <v>424200</v>
          </cell>
          <cell r="B386" t="str">
            <v>선수수익</v>
          </cell>
          <cell r="C386">
            <v>408950</v>
          </cell>
          <cell r="D386">
            <v>4089</v>
          </cell>
        </row>
        <row r="387">
          <cell r="A387">
            <v>424600</v>
          </cell>
          <cell r="B387" t="str">
            <v>선수수익_고객충성제도</v>
          </cell>
          <cell r="C387">
            <v>408905</v>
          </cell>
          <cell r="D387">
            <v>4089</v>
          </cell>
        </row>
        <row r="388">
          <cell r="A388">
            <v>424700</v>
          </cell>
          <cell r="B388" t="str">
            <v>선수수익_수입임대료</v>
          </cell>
          <cell r="C388">
            <v>408902</v>
          </cell>
          <cell r="D388">
            <v>4089</v>
          </cell>
        </row>
        <row r="389">
          <cell r="A389">
            <v>426010</v>
          </cell>
          <cell r="B389" t="str">
            <v>통화선도-유동부채</v>
          </cell>
          <cell r="C389">
            <v>413301</v>
          </cell>
          <cell r="D389">
            <v>4133</v>
          </cell>
        </row>
        <row r="390">
          <cell r="A390">
            <v>426020</v>
          </cell>
          <cell r="B390" t="str">
            <v>통화스왑-유동부채</v>
          </cell>
          <cell r="C390">
            <v>413201</v>
          </cell>
          <cell r="D390">
            <v>4132</v>
          </cell>
        </row>
        <row r="391">
          <cell r="A391">
            <v>426030</v>
          </cell>
          <cell r="B391" t="str">
            <v>이자율스왑-유동부채</v>
          </cell>
          <cell r="C391">
            <v>413202</v>
          </cell>
          <cell r="D391">
            <v>4132</v>
          </cell>
        </row>
        <row r="392">
          <cell r="A392">
            <v>426040</v>
          </cell>
          <cell r="B392" t="str">
            <v>통화옵션부채</v>
          </cell>
          <cell r="C392">
            <v>413501</v>
          </cell>
          <cell r="D392">
            <v>4135</v>
          </cell>
        </row>
        <row r="393">
          <cell r="A393">
            <v>426100</v>
          </cell>
          <cell r="B393" t="str">
            <v>일반가수금-기타</v>
          </cell>
          <cell r="C393">
            <v>417901</v>
          </cell>
          <cell r="D393">
            <v>4179</v>
          </cell>
        </row>
        <row r="394">
          <cell r="A394">
            <v>426101</v>
          </cell>
          <cell r="B394" t="str">
            <v>일반가수금-기타(NEW)</v>
          </cell>
          <cell r="C394">
            <v>417902</v>
          </cell>
          <cell r="D394">
            <v>4179</v>
          </cell>
        </row>
        <row r="395">
          <cell r="A395">
            <v>426102</v>
          </cell>
          <cell r="B395" t="str">
            <v>외화일반가수금</v>
          </cell>
          <cell r="C395">
            <v>417903</v>
          </cell>
          <cell r="D395">
            <v>4179</v>
          </cell>
        </row>
        <row r="396">
          <cell r="A396">
            <v>426206</v>
          </cell>
          <cell r="B396" t="str">
            <v>카드이체가수금</v>
          </cell>
          <cell r="C396">
            <v>417918</v>
          </cell>
          <cell r="D396">
            <v>4179</v>
          </cell>
        </row>
        <row r="397">
          <cell r="A397">
            <v>426216</v>
          </cell>
          <cell r="B397" t="str">
            <v>지로가수금-포인트결제</v>
          </cell>
          <cell r="C397">
            <v>417923</v>
          </cell>
          <cell r="D397">
            <v>4179</v>
          </cell>
        </row>
        <row r="398">
          <cell r="A398">
            <v>426218</v>
          </cell>
          <cell r="B398" t="str">
            <v>지로가수금-전자결제</v>
          </cell>
          <cell r="C398">
            <v>417924</v>
          </cell>
          <cell r="D398">
            <v>4179</v>
          </cell>
        </row>
        <row r="399">
          <cell r="A399">
            <v>426220</v>
          </cell>
          <cell r="B399" t="str">
            <v>지로가수금-쇼핑몰</v>
          </cell>
          <cell r="C399">
            <v>417925</v>
          </cell>
          <cell r="D399">
            <v>4179</v>
          </cell>
        </row>
        <row r="400">
          <cell r="A400">
            <v>426230</v>
          </cell>
          <cell r="B400" t="str">
            <v>영화사업가수금</v>
          </cell>
          <cell r="C400">
            <v>417927</v>
          </cell>
          <cell r="D400">
            <v>4179</v>
          </cell>
        </row>
        <row r="401">
          <cell r="A401">
            <v>426500</v>
          </cell>
          <cell r="B401" t="str">
            <v>원인불명가수금</v>
          </cell>
          <cell r="C401">
            <v>417933</v>
          </cell>
          <cell r="D401">
            <v>4179</v>
          </cell>
        </row>
        <row r="402">
          <cell r="A402">
            <v>427100</v>
          </cell>
          <cell r="B402" t="str">
            <v>유동성장기차입금</v>
          </cell>
          <cell r="C402">
            <v>411201</v>
          </cell>
          <cell r="D402">
            <v>4112</v>
          </cell>
        </row>
        <row r="403">
          <cell r="A403">
            <v>427150</v>
          </cell>
          <cell r="B403" t="str">
            <v>유동성장기차입금-외화</v>
          </cell>
          <cell r="C403">
            <v>411202</v>
          </cell>
          <cell r="D403">
            <v>4112</v>
          </cell>
        </row>
        <row r="404">
          <cell r="A404">
            <v>427200</v>
          </cell>
          <cell r="B404" t="str">
            <v>유동성사채</v>
          </cell>
          <cell r="C404">
            <v>411101</v>
          </cell>
          <cell r="D404">
            <v>4111</v>
          </cell>
        </row>
        <row r="405">
          <cell r="A405">
            <v>427250</v>
          </cell>
          <cell r="B405" t="str">
            <v>유동성사채-외화</v>
          </cell>
          <cell r="C405">
            <v>411102</v>
          </cell>
          <cell r="D405">
            <v>4111</v>
          </cell>
        </row>
        <row r="406">
          <cell r="A406">
            <v>427300</v>
          </cell>
          <cell r="B406" t="str">
            <v>유동성사채할인발행차금</v>
          </cell>
          <cell r="C406">
            <v>411601</v>
          </cell>
          <cell r="D406">
            <v>4116</v>
          </cell>
        </row>
        <row r="407">
          <cell r="A407">
            <v>427350</v>
          </cell>
          <cell r="B407" t="str">
            <v>유동성사채할인발행차금-외화</v>
          </cell>
          <cell r="C407">
            <v>411602</v>
          </cell>
          <cell r="D407">
            <v>4116</v>
          </cell>
        </row>
        <row r="408">
          <cell r="A408">
            <v>427400</v>
          </cell>
          <cell r="B408" t="str">
            <v>금융리스-유동성대체</v>
          </cell>
          <cell r="C408">
            <v>411301</v>
          </cell>
          <cell r="D408">
            <v>4113</v>
          </cell>
        </row>
        <row r="409">
          <cell r="A409">
            <v>427500</v>
          </cell>
          <cell r="B409" t="str">
            <v>유동성전환사채</v>
          </cell>
          <cell r="C409">
            <v>411103</v>
          </cell>
          <cell r="D409">
            <v>4111</v>
          </cell>
        </row>
        <row r="410">
          <cell r="A410">
            <v>427550</v>
          </cell>
          <cell r="B410" t="str">
            <v>유동성사채상환할증금</v>
          </cell>
          <cell r="C410">
            <v>411801</v>
          </cell>
          <cell r="D410">
            <v>4118</v>
          </cell>
        </row>
        <row r="411">
          <cell r="A411">
            <v>427600</v>
          </cell>
          <cell r="B411" t="str">
            <v>유동성전환권조정</v>
          </cell>
          <cell r="C411">
            <v>411701</v>
          </cell>
          <cell r="D411">
            <v>4117</v>
          </cell>
        </row>
        <row r="412">
          <cell r="A412">
            <v>427700</v>
          </cell>
          <cell r="B412" t="str">
            <v>유동성장기미지급금</v>
          </cell>
          <cell r="C412">
            <v>411501</v>
          </cell>
          <cell r="D412">
            <v>4115</v>
          </cell>
        </row>
        <row r="413">
          <cell r="A413">
            <v>427710</v>
          </cell>
          <cell r="B413" t="str">
            <v>유동성장기미지급금현재가치할인차금</v>
          </cell>
          <cell r="C413">
            <v>411901</v>
          </cell>
          <cell r="D413">
            <v>4119</v>
          </cell>
        </row>
        <row r="414">
          <cell r="A414">
            <v>428100</v>
          </cell>
          <cell r="B414" t="str">
            <v>이연법인세부채-유동</v>
          </cell>
          <cell r="C414">
            <v>415101</v>
          </cell>
          <cell r="D414">
            <v>4151</v>
          </cell>
        </row>
        <row r="415">
          <cell r="A415">
            <v>429100</v>
          </cell>
          <cell r="B415" t="str">
            <v>충당부채-유동</v>
          </cell>
          <cell r="C415">
            <v>430301</v>
          </cell>
          <cell r="D415">
            <v>4303</v>
          </cell>
        </row>
        <row r="416">
          <cell r="A416">
            <v>429200</v>
          </cell>
          <cell r="B416" t="str">
            <v>복구충당부채-유동</v>
          </cell>
          <cell r="C416">
            <v>430201</v>
          </cell>
          <cell r="D416">
            <v>4302</v>
          </cell>
        </row>
        <row r="417">
          <cell r="A417">
            <v>440100</v>
          </cell>
          <cell r="B417" t="str">
            <v>사채</v>
          </cell>
          <cell r="C417">
            <v>431101</v>
          </cell>
          <cell r="D417">
            <v>4311</v>
          </cell>
        </row>
        <row r="418">
          <cell r="A418">
            <v>440150</v>
          </cell>
          <cell r="B418" t="str">
            <v>사채-외화</v>
          </cell>
          <cell r="C418">
            <v>431102</v>
          </cell>
          <cell r="D418">
            <v>4311</v>
          </cell>
        </row>
        <row r="419">
          <cell r="A419">
            <v>440159</v>
          </cell>
          <cell r="B419" t="str">
            <v>외화사채환산조정</v>
          </cell>
          <cell r="C419">
            <v>431103</v>
          </cell>
          <cell r="D419">
            <v>4311</v>
          </cell>
        </row>
        <row r="420">
          <cell r="A420">
            <v>440160</v>
          </cell>
          <cell r="B420" t="str">
            <v>전환사채</v>
          </cell>
          <cell r="C420">
            <v>434101</v>
          </cell>
          <cell r="D420">
            <v>4341</v>
          </cell>
        </row>
        <row r="421">
          <cell r="A421">
            <v>440165</v>
          </cell>
          <cell r="B421" t="str">
            <v>사채상환할증금</v>
          </cell>
          <cell r="C421">
            <v>434401</v>
          </cell>
          <cell r="D421">
            <v>4344</v>
          </cell>
        </row>
        <row r="422">
          <cell r="A422">
            <v>440200</v>
          </cell>
          <cell r="B422" t="str">
            <v>사채할인발행차금</v>
          </cell>
          <cell r="C422">
            <v>431201</v>
          </cell>
          <cell r="D422">
            <v>4312</v>
          </cell>
        </row>
        <row r="423">
          <cell r="A423">
            <v>440250</v>
          </cell>
          <cell r="B423" t="str">
            <v>사채할인발행차금-외화</v>
          </cell>
          <cell r="C423">
            <v>431202</v>
          </cell>
          <cell r="D423">
            <v>4312</v>
          </cell>
        </row>
        <row r="424">
          <cell r="A424">
            <v>442100</v>
          </cell>
          <cell r="B424" t="str">
            <v>장기차입금</v>
          </cell>
          <cell r="C424">
            <v>436101</v>
          </cell>
          <cell r="D424">
            <v>4361</v>
          </cell>
        </row>
        <row r="425">
          <cell r="A425">
            <v>442150</v>
          </cell>
          <cell r="B425" t="str">
            <v>외화장기차입금</v>
          </cell>
          <cell r="C425">
            <v>436102</v>
          </cell>
          <cell r="D425">
            <v>4361</v>
          </cell>
        </row>
        <row r="426">
          <cell r="A426">
            <v>442159</v>
          </cell>
          <cell r="B426" t="str">
            <v>외화장기차입환산조정</v>
          </cell>
          <cell r="C426">
            <v>436103</v>
          </cell>
          <cell r="D426">
            <v>4361</v>
          </cell>
        </row>
        <row r="427">
          <cell r="A427">
            <v>443000</v>
          </cell>
          <cell r="B427" t="str">
            <v>장기금융리스</v>
          </cell>
          <cell r="C427">
            <v>445101</v>
          </cell>
          <cell r="D427">
            <v>4451</v>
          </cell>
        </row>
        <row r="428">
          <cell r="A428">
            <v>444100</v>
          </cell>
          <cell r="B428" t="str">
            <v>장기근속채무-종업원</v>
          </cell>
          <cell r="C428">
            <v>447101</v>
          </cell>
          <cell r="D428">
            <v>4471</v>
          </cell>
        </row>
        <row r="429">
          <cell r="A429">
            <v>444101</v>
          </cell>
          <cell r="B429" t="str">
            <v>장기근속채무-임원</v>
          </cell>
          <cell r="C429">
            <v>447101</v>
          </cell>
          <cell r="D429">
            <v>4471</v>
          </cell>
        </row>
        <row r="430">
          <cell r="A430">
            <v>450100</v>
          </cell>
          <cell r="B430" t="str">
            <v>장기미지급금</v>
          </cell>
          <cell r="C430">
            <v>442101</v>
          </cell>
          <cell r="D430">
            <v>4421</v>
          </cell>
        </row>
        <row r="431">
          <cell r="A431">
            <v>450110</v>
          </cell>
          <cell r="B431" t="str">
            <v>장기미지급금 현재가치할인차금</v>
          </cell>
          <cell r="C431">
            <v>442901</v>
          </cell>
          <cell r="D431">
            <v>4429</v>
          </cell>
        </row>
        <row r="432">
          <cell r="A432">
            <v>453100</v>
          </cell>
          <cell r="B432" t="str">
            <v>임대보증금</v>
          </cell>
          <cell r="C432">
            <v>443201</v>
          </cell>
          <cell r="D432">
            <v>4432</v>
          </cell>
        </row>
        <row r="433">
          <cell r="A433">
            <v>453110</v>
          </cell>
          <cell r="B433" t="str">
            <v>임대보증금_현재가치할인차금</v>
          </cell>
          <cell r="C433">
            <v>443202</v>
          </cell>
          <cell r="D433">
            <v>4432</v>
          </cell>
        </row>
        <row r="434">
          <cell r="A434">
            <v>454100</v>
          </cell>
          <cell r="B434" t="str">
            <v>퇴직급여충당금-임원</v>
          </cell>
          <cell r="C434">
            <v>437101</v>
          </cell>
          <cell r="D434">
            <v>4371</v>
          </cell>
        </row>
        <row r="435">
          <cell r="A435">
            <v>454110</v>
          </cell>
          <cell r="B435" t="str">
            <v>퇴직급여충당금-종업원</v>
          </cell>
          <cell r="C435">
            <v>437102</v>
          </cell>
          <cell r="D435">
            <v>4371</v>
          </cell>
        </row>
        <row r="436">
          <cell r="A436">
            <v>454120</v>
          </cell>
          <cell r="B436" t="str">
            <v>퇴직급여부채_확정급여채무_임원</v>
          </cell>
          <cell r="C436">
            <v>437201</v>
          </cell>
          <cell r="D436">
            <v>4372</v>
          </cell>
        </row>
        <row r="437">
          <cell r="A437">
            <v>454130</v>
          </cell>
          <cell r="B437" t="str">
            <v>퇴직급여부채_확정급여채무_종업원</v>
          </cell>
          <cell r="C437">
            <v>437202</v>
          </cell>
          <cell r="D437">
            <v>4372</v>
          </cell>
        </row>
        <row r="438">
          <cell r="A438">
            <v>454200</v>
          </cell>
          <cell r="B438" t="str">
            <v>단체퇴직급여충당금-임원</v>
          </cell>
          <cell r="C438">
            <v>437103</v>
          </cell>
          <cell r="D438">
            <v>4371</v>
          </cell>
        </row>
        <row r="439">
          <cell r="A439">
            <v>454210</v>
          </cell>
          <cell r="B439" t="str">
            <v>단체퇴직급여충당금-종업원</v>
          </cell>
          <cell r="C439">
            <v>437104</v>
          </cell>
          <cell r="D439">
            <v>4371</v>
          </cell>
        </row>
        <row r="440">
          <cell r="A440">
            <v>454310</v>
          </cell>
          <cell r="B440" t="str">
            <v>퇴직보험예치금</v>
          </cell>
          <cell r="C440">
            <v>289101</v>
          </cell>
          <cell r="D440">
            <v>2891</v>
          </cell>
        </row>
        <row r="441">
          <cell r="A441">
            <v>454400</v>
          </cell>
          <cell r="B441" t="str">
            <v>퇴직보험-사외적립자산-종업원</v>
          </cell>
          <cell r="C441">
            <v>289301</v>
          </cell>
          <cell r="D441">
            <v>2893</v>
          </cell>
        </row>
        <row r="442">
          <cell r="A442">
            <v>454401</v>
          </cell>
          <cell r="B442" t="str">
            <v>퇴직보험-사외적립자산-임원</v>
          </cell>
          <cell r="C442">
            <v>289301</v>
          </cell>
          <cell r="D442">
            <v>2893</v>
          </cell>
        </row>
        <row r="443">
          <cell r="A443">
            <v>454410</v>
          </cell>
          <cell r="B443" t="str">
            <v>퇴직급여-미인식과거근무원가-종업원</v>
          </cell>
          <cell r="C443">
            <v>437203</v>
          </cell>
          <cell r="D443">
            <v>4372</v>
          </cell>
        </row>
        <row r="444">
          <cell r="A444">
            <v>454411</v>
          </cell>
          <cell r="B444" t="str">
            <v>퇴직급여-미인식과거근무원가-임원</v>
          </cell>
          <cell r="C444">
            <v>437203</v>
          </cell>
          <cell r="D444">
            <v>4372</v>
          </cell>
        </row>
        <row r="445">
          <cell r="A445">
            <v>454500</v>
          </cell>
          <cell r="B445" t="str">
            <v>국민연금전환금-임원</v>
          </cell>
          <cell r="C445">
            <v>289201</v>
          </cell>
          <cell r="D445">
            <v>2892</v>
          </cell>
        </row>
        <row r="446">
          <cell r="A446">
            <v>454510</v>
          </cell>
          <cell r="B446" t="str">
            <v>국민연금전환금-종업원</v>
          </cell>
          <cell r="C446">
            <v>289202</v>
          </cell>
          <cell r="D446">
            <v>2892</v>
          </cell>
        </row>
        <row r="447">
          <cell r="A447">
            <v>454590</v>
          </cell>
          <cell r="B447" t="str">
            <v>국민연금전환금-기타</v>
          </cell>
          <cell r="C447">
            <v>289290</v>
          </cell>
          <cell r="D447">
            <v>2892</v>
          </cell>
        </row>
        <row r="448">
          <cell r="A448">
            <v>455100</v>
          </cell>
          <cell r="B448" t="str">
            <v>이연법인세부채-고정</v>
          </cell>
          <cell r="C448">
            <v>440101</v>
          </cell>
          <cell r="D448">
            <v>4401</v>
          </cell>
        </row>
        <row r="449">
          <cell r="A449">
            <v>456010</v>
          </cell>
          <cell r="B449" t="str">
            <v>통화선도-고정부채</v>
          </cell>
          <cell r="C449">
            <v>438301</v>
          </cell>
          <cell r="D449">
            <v>4383</v>
          </cell>
        </row>
        <row r="450">
          <cell r="A450">
            <v>456020</v>
          </cell>
          <cell r="B450" t="str">
            <v>통화스왑-고정부채</v>
          </cell>
          <cell r="C450">
            <v>438201</v>
          </cell>
          <cell r="D450">
            <v>4382</v>
          </cell>
        </row>
        <row r="451">
          <cell r="A451">
            <v>456030</v>
          </cell>
          <cell r="B451" t="str">
            <v>이자율스왑-고정부채</v>
          </cell>
          <cell r="C451">
            <v>438202</v>
          </cell>
          <cell r="D451">
            <v>4382</v>
          </cell>
        </row>
        <row r="452">
          <cell r="A452">
            <v>457100</v>
          </cell>
          <cell r="B452" t="str">
            <v>충당부채-고정</v>
          </cell>
          <cell r="C452">
            <v>444301</v>
          </cell>
          <cell r="D452">
            <v>4443</v>
          </cell>
        </row>
        <row r="453">
          <cell r="A453">
            <v>457200</v>
          </cell>
          <cell r="B453" t="str">
            <v>복구충당부채-고정</v>
          </cell>
          <cell r="C453">
            <v>444201</v>
          </cell>
          <cell r="D453">
            <v>4442</v>
          </cell>
        </row>
        <row r="454">
          <cell r="A454">
            <v>458200</v>
          </cell>
          <cell r="B454" t="str">
            <v>장기선수수익_고객충성제도</v>
          </cell>
          <cell r="C454">
            <v>458102</v>
          </cell>
          <cell r="D454">
            <v>4581</v>
          </cell>
        </row>
        <row r="455">
          <cell r="A455">
            <v>459910</v>
          </cell>
          <cell r="B455" t="str">
            <v>사내차입금</v>
          </cell>
          <cell r="C455">
            <v>897521</v>
          </cell>
          <cell r="D455">
            <v>8975</v>
          </cell>
        </row>
        <row r="456">
          <cell r="A456">
            <v>459920</v>
          </cell>
          <cell r="B456" t="str">
            <v>사내대여금</v>
          </cell>
          <cell r="C456">
            <v>897511</v>
          </cell>
          <cell r="D456">
            <v>8975</v>
          </cell>
        </row>
        <row r="457">
          <cell r="A457">
            <v>460100</v>
          </cell>
          <cell r="B457" t="str">
            <v>보통주</v>
          </cell>
          <cell r="C457">
            <v>461101</v>
          </cell>
          <cell r="D457">
            <v>4611</v>
          </cell>
        </row>
        <row r="458">
          <cell r="A458">
            <v>461100</v>
          </cell>
          <cell r="B458" t="str">
            <v>주식발행초과금</v>
          </cell>
          <cell r="C458">
            <v>462101</v>
          </cell>
          <cell r="D458">
            <v>4621</v>
          </cell>
        </row>
        <row r="459">
          <cell r="A459">
            <v>461200</v>
          </cell>
          <cell r="B459" t="str">
            <v>기타자본잉여금</v>
          </cell>
          <cell r="C459">
            <v>462901</v>
          </cell>
          <cell r="D459">
            <v>4629</v>
          </cell>
        </row>
        <row r="460">
          <cell r="A460">
            <v>461400</v>
          </cell>
          <cell r="B460" t="str">
            <v>자기주식처분이익</v>
          </cell>
          <cell r="C460">
            <v>462901</v>
          </cell>
          <cell r="D460">
            <v>4629</v>
          </cell>
        </row>
        <row r="461">
          <cell r="A461">
            <v>461500</v>
          </cell>
          <cell r="B461" t="str">
            <v>기타자본잉여금_지분법평가</v>
          </cell>
          <cell r="C461">
            <v>462301</v>
          </cell>
          <cell r="D461">
            <v>4623</v>
          </cell>
        </row>
        <row r="462">
          <cell r="A462">
            <v>462100</v>
          </cell>
          <cell r="B462" t="str">
            <v>이익준비금</v>
          </cell>
          <cell r="C462">
            <v>463101</v>
          </cell>
          <cell r="D462">
            <v>4631</v>
          </cell>
        </row>
        <row r="463">
          <cell r="A463">
            <v>462200</v>
          </cell>
          <cell r="B463" t="str">
            <v>재무구조개선적립금</v>
          </cell>
          <cell r="C463">
            <v>464101</v>
          </cell>
          <cell r="D463">
            <v>4641</v>
          </cell>
        </row>
        <row r="464">
          <cell r="A464">
            <v>462300</v>
          </cell>
          <cell r="B464" t="str">
            <v>기업합리화적립금</v>
          </cell>
          <cell r="C464">
            <v>464102</v>
          </cell>
          <cell r="D464">
            <v>4641</v>
          </cell>
        </row>
        <row r="465">
          <cell r="A465">
            <v>463100</v>
          </cell>
          <cell r="B465" t="str">
            <v>사업확장적립금</v>
          </cell>
          <cell r="C465">
            <v>464103</v>
          </cell>
          <cell r="D465">
            <v>4641</v>
          </cell>
        </row>
        <row r="466">
          <cell r="A466">
            <v>463200</v>
          </cell>
          <cell r="B466" t="str">
            <v>해외투자손실준비금</v>
          </cell>
          <cell r="C466">
            <v>464104</v>
          </cell>
          <cell r="D466">
            <v>4641</v>
          </cell>
        </row>
        <row r="467">
          <cell r="A467">
            <v>463300</v>
          </cell>
          <cell r="B467" t="str">
            <v>연구및인력개발준비금</v>
          </cell>
          <cell r="C467">
            <v>464105</v>
          </cell>
          <cell r="D467">
            <v>4641</v>
          </cell>
        </row>
        <row r="468">
          <cell r="A468">
            <v>463400</v>
          </cell>
          <cell r="B468" t="str">
            <v>자사주처분손실준비금</v>
          </cell>
          <cell r="C468">
            <v>464106</v>
          </cell>
          <cell r="D468">
            <v>4641</v>
          </cell>
        </row>
        <row r="469">
          <cell r="A469">
            <v>463500</v>
          </cell>
          <cell r="B469" t="str">
            <v>기술개발적립금</v>
          </cell>
          <cell r="C469">
            <v>464107</v>
          </cell>
          <cell r="D469">
            <v>4641</v>
          </cell>
        </row>
        <row r="470">
          <cell r="A470">
            <v>465100</v>
          </cell>
          <cell r="B470" t="str">
            <v>이월이익잉여금</v>
          </cell>
          <cell r="C470">
            <v>465101</v>
          </cell>
          <cell r="D470">
            <v>4651</v>
          </cell>
        </row>
        <row r="471">
          <cell r="A471">
            <v>465200</v>
          </cell>
          <cell r="B471" t="str">
            <v>이월이익잉여금_지분법평가</v>
          </cell>
          <cell r="C471">
            <v>465102</v>
          </cell>
          <cell r="D471">
            <v>4651</v>
          </cell>
        </row>
        <row r="472">
          <cell r="A472">
            <v>465300</v>
          </cell>
          <cell r="B472" t="str">
            <v>이월이익잉여금-보험수리적손익-종업원</v>
          </cell>
          <cell r="C472">
            <v>465301</v>
          </cell>
          <cell r="D472">
            <v>4653</v>
          </cell>
        </row>
        <row r="473">
          <cell r="A473">
            <v>465301</v>
          </cell>
          <cell r="B473" t="str">
            <v>이월이익잉여금-보험수리적손익-임원</v>
          </cell>
          <cell r="C473">
            <v>465302</v>
          </cell>
          <cell r="D473">
            <v>4653</v>
          </cell>
        </row>
        <row r="474">
          <cell r="A474">
            <v>467100</v>
          </cell>
          <cell r="B474" t="str">
            <v>자기주식</v>
          </cell>
          <cell r="C474">
            <v>466301</v>
          </cell>
          <cell r="D474">
            <v>4663</v>
          </cell>
        </row>
        <row r="475">
          <cell r="A475">
            <v>467200</v>
          </cell>
          <cell r="B475" t="str">
            <v>미교부주식배당금</v>
          </cell>
          <cell r="C475">
            <v>466501</v>
          </cell>
          <cell r="D475">
            <v>4665</v>
          </cell>
        </row>
        <row r="476">
          <cell r="A476">
            <v>467300</v>
          </cell>
          <cell r="B476" t="str">
            <v>투자유가증권평가이익</v>
          </cell>
          <cell r="C476">
            <v>467301</v>
          </cell>
          <cell r="D476">
            <v>4673</v>
          </cell>
        </row>
        <row r="477">
          <cell r="A477">
            <v>467350</v>
          </cell>
          <cell r="B477" t="str">
            <v>지분법적용투자주식평가이익</v>
          </cell>
          <cell r="C477">
            <v>467101</v>
          </cell>
          <cell r="D477">
            <v>4671</v>
          </cell>
        </row>
        <row r="478">
          <cell r="A478">
            <v>467400</v>
          </cell>
          <cell r="B478" t="str">
            <v>투자유가증권평가손실</v>
          </cell>
          <cell r="C478">
            <v>467401</v>
          </cell>
          <cell r="D478">
            <v>4674</v>
          </cell>
        </row>
        <row r="479">
          <cell r="A479">
            <v>467450</v>
          </cell>
          <cell r="B479" t="str">
            <v>지분법적용투자주식평가손실</v>
          </cell>
          <cell r="C479">
            <v>467201</v>
          </cell>
          <cell r="D479">
            <v>4672</v>
          </cell>
        </row>
        <row r="480">
          <cell r="A480">
            <v>467500</v>
          </cell>
          <cell r="B480" t="str">
            <v>주식매입선택권</v>
          </cell>
          <cell r="C480">
            <v>466401</v>
          </cell>
          <cell r="D480">
            <v>4664</v>
          </cell>
        </row>
        <row r="481">
          <cell r="A481">
            <v>467600</v>
          </cell>
          <cell r="B481" t="str">
            <v>자기주식처분손</v>
          </cell>
          <cell r="C481">
            <v>466601</v>
          </cell>
          <cell r="D481">
            <v>4666</v>
          </cell>
        </row>
        <row r="482">
          <cell r="A482">
            <v>467700</v>
          </cell>
          <cell r="B482" t="str">
            <v>주식할인발행차금</v>
          </cell>
          <cell r="C482">
            <v>466901</v>
          </cell>
          <cell r="D482">
            <v>4669</v>
          </cell>
        </row>
        <row r="483">
          <cell r="A483">
            <v>467710</v>
          </cell>
          <cell r="B483" t="str">
            <v>기타포괄손익-보험수리적손익-사외적립자산-종업원</v>
          </cell>
          <cell r="C483">
            <v>467902</v>
          </cell>
          <cell r="D483">
            <v>4679</v>
          </cell>
        </row>
        <row r="484">
          <cell r="A484">
            <v>467711</v>
          </cell>
          <cell r="B484" t="str">
            <v>기타포괄손익-보험수리적손익-사외적립자산-임원</v>
          </cell>
          <cell r="C484">
            <v>467902</v>
          </cell>
          <cell r="D484">
            <v>4679</v>
          </cell>
        </row>
        <row r="485">
          <cell r="A485">
            <v>467720</v>
          </cell>
          <cell r="B485" t="str">
            <v>기타포괄손익-보험수리적손익-확정급여채무-종업원</v>
          </cell>
          <cell r="C485">
            <v>467901</v>
          </cell>
          <cell r="D485">
            <v>4679</v>
          </cell>
        </row>
        <row r="486">
          <cell r="A486">
            <v>467721</v>
          </cell>
          <cell r="B486" t="str">
            <v>기타포괄손익-보험수리적손익-확정급여채무-임원</v>
          </cell>
          <cell r="C486">
            <v>467901</v>
          </cell>
          <cell r="D486">
            <v>4679</v>
          </cell>
        </row>
        <row r="487">
          <cell r="A487">
            <v>467800</v>
          </cell>
          <cell r="B487" t="str">
            <v>지분법자본변동_기타자본조정</v>
          </cell>
          <cell r="C487">
            <v>466903</v>
          </cell>
          <cell r="D487">
            <v>4669</v>
          </cell>
        </row>
        <row r="488">
          <cell r="A488">
            <v>467810</v>
          </cell>
          <cell r="B488" t="str">
            <v>통화스왑평가손실(BS)</v>
          </cell>
          <cell r="C488">
            <v>467801</v>
          </cell>
          <cell r="D488">
            <v>4678</v>
          </cell>
        </row>
        <row r="489">
          <cell r="A489">
            <v>467820</v>
          </cell>
          <cell r="B489" t="str">
            <v>통화스왑평가이익(BS)</v>
          </cell>
          <cell r="C489">
            <v>467701</v>
          </cell>
          <cell r="D489">
            <v>4677</v>
          </cell>
        </row>
        <row r="490">
          <cell r="A490">
            <v>467830</v>
          </cell>
          <cell r="B490" t="str">
            <v>이자율스왑평가손실(BS)</v>
          </cell>
          <cell r="C490">
            <v>467802</v>
          </cell>
          <cell r="D490">
            <v>4678</v>
          </cell>
        </row>
        <row r="491">
          <cell r="A491">
            <v>467840</v>
          </cell>
          <cell r="B491" t="str">
            <v>이자율스왑평가이익(BS)</v>
          </cell>
          <cell r="C491">
            <v>467702</v>
          </cell>
          <cell r="D491">
            <v>4677</v>
          </cell>
        </row>
        <row r="492">
          <cell r="A492">
            <v>467900</v>
          </cell>
          <cell r="B492" t="str">
            <v>자본조정_투자차액/관계사거래</v>
          </cell>
          <cell r="C492">
            <v>466902</v>
          </cell>
          <cell r="D492">
            <v>4669</v>
          </cell>
        </row>
        <row r="493">
          <cell r="A493">
            <v>469910</v>
          </cell>
          <cell r="B493" t="str">
            <v>사내배부자본금</v>
          </cell>
          <cell r="C493">
            <v>897711</v>
          </cell>
          <cell r="D493">
            <v>8977</v>
          </cell>
        </row>
        <row r="494">
          <cell r="A494">
            <v>469920</v>
          </cell>
          <cell r="B494" t="str">
            <v>사내배부자본잉여금</v>
          </cell>
          <cell r="C494">
            <v>897721</v>
          </cell>
          <cell r="D494">
            <v>8977</v>
          </cell>
        </row>
        <row r="495">
          <cell r="A495">
            <v>469930</v>
          </cell>
          <cell r="B495" t="str">
            <v>사내배부이익잉여금</v>
          </cell>
          <cell r="C495">
            <v>897731</v>
          </cell>
          <cell r="D495">
            <v>8977</v>
          </cell>
        </row>
        <row r="496">
          <cell r="A496">
            <v>469940</v>
          </cell>
          <cell r="B496" t="str">
            <v>사내배부자본조정</v>
          </cell>
          <cell r="C496">
            <v>897741</v>
          </cell>
          <cell r="D496">
            <v>8977</v>
          </cell>
        </row>
        <row r="497">
          <cell r="A497">
            <v>499900</v>
          </cell>
          <cell r="B497" t="str">
            <v>사내거래미지급금</v>
          </cell>
          <cell r="C497">
            <v>897411</v>
          </cell>
          <cell r="D497">
            <v>8974</v>
          </cell>
        </row>
        <row r="498">
          <cell r="A498">
            <v>499901</v>
          </cell>
          <cell r="B498" t="str">
            <v>CIC미지급법인세</v>
          </cell>
          <cell r="C498">
            <v>897611</v>
          </cell>
          <cell r="D498">
            <v>8976</v>
          </cell>
        </row>
        <row r="499">
          <cell r="A499">
            <v>502110</v>
          </cell>
          <cell r="B499" t="str">
            <v>nate정보이용수익</v>
          </cell>
          <cell r="C499">
            <v>524105</v>
          </cell>
          <cell r="D499">
            <v>5241</v>
          </cell>
        </row>
        <row r="500">
          <cell r="A500">
            <v>507000</v>
          </cell>
          <cell r="B500" t="str">
            <v>nate freezone B2B</v>
          </cell>
          <cell r="C500">
            <v>524113</v>
          </cell>
          <cell r="D500">
            <v>5241</v>
          </cell>
        </row>
        <row r="501">
          <cell r="A501">
            <v>508020</v>
          </cell>
          <cell r="B501" t="str">
            <v>Hardware판매수익</v>
          </cell>
          <cell r="C501">
            <v>524901</v>
          </cell>
          <cell r="D501">
            <v>5249</v>
          </cell>
        </row>
        <row r="502">
          <cell r="A502">
            <v>508030</v>
          </cell>
          <cell r="B502" t="str">
            <v>License수익</v>
          </cell>
          <cell r="C502">
            <v>524902</v>
          </cell>
          <cell r="D502">
            <v>5249</v>
          </cell>
        </row>
        <row r="503">
          <cell r="A503">
            <v>508040</v>
          </cell>
          <cell r="B503" t="str">
            <v>NATE ASP</v>
          </cell>
          <cell r="C503">
            <v>524903</v>
          </cell>
          <cell r="D503">
            <v>5249</v>
          </cell>
        </row>
        <row r="504">
          <cell r="A504">
            <v>508050</v>
          </cell>
          <cell r="B504" t="str">
            <v>솔루션임대수익</v>
          </cell>
          <cell r="C504">
            <v>524904</v>
          </cell>
          <cell r="D504">
            <v>5249</v>
          </cell>
        </row>
        <row r="505">
          <cell r="A505">
            <v>510100</v>
          </cell>
          <cell r="B505" t="str">
            <v>매출에누리</v>
          </cell>
          <cell r="C505">
            <v>524159</v>
          </cell>
          <cell r="D505">
            <v>5241</v>
          </cell>
        </row>
        <row r="506">
          <cell r="A506">
            <v>510200</v>
          </cell>
          <cell r="B506" t="str">
            <v>매출할인</v>
          </cell>
          <cell r="C506">
            <v>524158</v>
          </cell>
          <cell r="D506">
            <v>5241</v>
          </cell>
        </row>
        <row r="507">
          <cell r="A507">
            <v>520200</v>
          </cell>
          <cell r="B507" t="str">
            <v>광고수익</v>
          </cell>
          <cell r="C507">
            <v>524905</v>
          </cell>
          <cell r="D507">
            <v>5249</v>
          </cell>
        </row>
        <row r="508">
          <cell r="A508">
            <v>520500</v>
          </cell>
          <cell r="B508" t="str">
            <v>솔루션판매</v>
          </cell>
          <cell r="C508">
            <v>524906</v>
          </cell>
          <cell r="D508">
            <v>5249</v>
          </cell>
        </row>
        <row r="509">
          <cell r="A509">
            <v>521010</v>
          </cell>
          <cell r="B509" t="str">
            <v>Nate air정보이용수익</v>
          </cell>
          <cell r="C509">
            <v>524116</v>
          </cell>
          <cell r="D509">
            <v>5241</v>
          </cell>
        </row>
        <row r="510">
          <cell r="A510">
            <v>521020</v>
          </cell>
          <cell r="B510" t="str">
            <v>쇼핑몰부가수익</v>
          </cell>
          <cell r="C510">
            <v>524405</v>
          </cell>
          <cell r="D510">
            <v>5244</v>
          </cell>
        </row>
        <row r="511">
          <cell r="A511">
            <v>521900</v>
          </cell>
          <cell r="B511" t="str">
            <v>ISP기타수익</v>
          </cell>
          <cell r="C511">
            <v>524915</v>
          </cell>
          <cell r="D511">
            <v>5249</v>
          </cell>
        </row>
        <row r="512">
          <cell r="A512">
            <v>523100</v>
          </cell>
          <cell r="B512" t="str">
            <v>국내상품매출</v>
          </cell>
          <cell r="C512">
            <v>524401</v>
          </cell>
          <cell r="D512">
            <v>5244</v>
          </cell>
        </row>
        <row r="513">
          <cell r="A513">
            <v>523110</v>
          </cell>
          <cell r="B513" t="str">
            <v>쇼핑몰상품매출</v>
          </cell>
          <cell r="C513">
            <v>524403</v>
          </cell>
          <cell r="D513">
            <v>5244</v>
          </cell>
        </row>
        <row r="514">
          <cell r="A514">
            <v>523120</v>
          </cell>
          <cell r="B514" t="str">
            <v>기타매출-미래유통</v>
          </cell>
          <cell r="C514">
            <v>524401</v>
          </cell>
          <cell r="D514">
            <v>5244</v>
          </cell>
        </row>
        <row r="515">
          <cell r="A515">
            <v>528100</v>
          </cell>
          <cell r="B515" t="str">
            <v>쇼핑몰판매대행수익</v>
          </cell>
          <cell r="C515">
            <v>524404</v>
          </cell>
          <cell r="D515">
            <v>5244</v>
          </cell>
        </row>
        <row r="516">
          <cell r="A516">
            <v>530100</v>
          </cell>
          <cell r="B516" t="str">
            <v>IT제품판매수익</v>
          </cell>
          <cell r="C516">
            <v>524406</v>
          </cell>
          <cell r="D516">
            <v>5244</v>
          </cell>
        </row>
        <row r="517">
          <cell r="A517">
            <v>530200</v>
          </cell>
          <cell r="B517" t="str">
            <v>상품판매대행수익</v>
          </cell>
          <cell r="C517">
            <v>524407</v>
          </cell>
          <cell r="D517">
            <v>5244</v>
          </cell>
        </row>
        <row r="518">
          <cell r="A518">
            <v>531010</v>
          </cell>
          <cell r="B518" t="str">
            <v>HOPPIN</v>
          </cell>
          <cell r="C518">
            <v>524409</v>
          </cell>
          <cell r="D518">
            <v>5244</v>
          </cell>
        </row>
        <row r="519">
          <cell r="A519">
            <v>531020</v>
          </cell>
          <cell r="B519" t="str">
            <v>TV Portal</v>
          </cell>
          <cell r="C519">
            <v>524410</v>
          </cell>
          <cell r="D519">
            <v>5244</v>
          </cell>
        </row>
        <row r="520">
          <cell r="A520">
            <v>532010</v>
          </cell>
          <cell r="B520" t="str">
            <v>전략contents</v>
          </cell>
          <cell r="C520">
            <v>524411</v>
          </cell>
          <cell r="D520">
            <v>5244</v>
          </cell>
        </row>
        <row r="521">
          <cell r="A521">
            <v>532020</v>
          </cell>
          <cell r="B521" t="str">
            <v>T-Store B2B</v>
          </cell>
          <cell r="C521">
            <v>524412</v>
          </cell>
          <cell r="D521">
            <v>5244</v>
          </cell>
        </row>
        <row r="522">
          <cell r="A522">
            <v>533020</v>
          </cell>
          <cell r="B522" t="str">
            <v>App.판매수수료</v>
          </cell>
          <cell r="C522">
            <v>524418</v>
          </cell>
          <cell r="D522">
            <v>5244</v>
          </cell>
        </row>
        <row r="523">
          <cell r="A523">
            <v>534010</v>
          </cell>
          <cell r="B523" t="str">
            <v>온라인게임판매수익</v>
          </cell>
          <cell r="C523">
            <v>524413</v>
          </cell>
          <cell r="D523">
            <v>5244</v>
          </cell>
        </row>
        <row r="524">
          <cell r="A524">
            <v>535010</v>
          </cell>
          <cell r="B524" t="str">
            <v>상품판매대행수수료</v>
          </cell>
          <cell r="C524">
            <v>524402</v>
          </cell>
          <cell r="D524">
            <v>5244</v>
          </cell>
        </row>
        <row r="525">
          <cell r="A525">
            <v>536010</v>
          </cell>
          <cell r="B525" t="str">
            <v>포토인화서비스</v>
          </cell>
          <cell r="C525">
            <v>524414</v>
          </cell>
          <cell r="D525">
            <v>5244</v>
          </cell>
        </row>
        <row r="526">
          <cell r="A526">
            <v>537010</v>
          </cell>
          <cell r="B526" t="str">
            <v>회원가입비</v>
          </cell>
          <cell r="C526">
            <v>524415</v>
          </cell>
          <cell r="D526">
            <v>5244</v>
          </cell>
        </row>
        <row r="527">
          <cell r="A527">
            <v>551020</v>
          </cell>
          <cell r="B527" t="str">
            <v>모집수수료수익</v>
          </cell>
          <cell r="C527">
            <v>524502</v>
          </cell>
          <cell r="D527">
            <v>5245</v>
          </cell>
        </row>
        <row r="528">
          <cell r="A528">
            <v>551030</v>
          </cell>
          <cell r="B528" t="str">
            <v>사용수수료수익</v>
          </cell>
          <cell r="C528">
            <v>524503</v>
          </cell>
          <cell r="D528">
            <v>5245</v>
          </cell>
        </row>
        <row r="529">
          <cell r="A529">
            <v>551040</v>
          </cell>
          <cell r="B529" t="str">
            <v>입점수수료수익</v>
          </cell>
          <cell r="C529">
            <v>524504</v>
          </cell>
          <cell r="D529">
            <v>5245</v>
          </cell>
        </row>
        <row r="530">
          <cell r="A530">
            <v>551050</v>
          </cell>
          <cell r="B530" t="str">
            <v>VAN수수료수익</v>
          </cell>
          <cell r="C530">
            <v>524512</v>
          </cell>
          <cell r="D530">
            <v>5245</v>
          </cell>
        </row>
        <row r="531">
          <cell r="A531">
            <v>552010</v>
          </cell>
          <cell r="B531" t="str">
            <v>소액결제대행수익</v>
          </cell>
          <cell r="C531">
            <v>524505</v>
          </cell>
          <cell r="D531">
            <v>5245</v>
          </cell>
        </row>
        <row r="532">
          <cell r="A532">
            <v>553010</v>
          </cell>
          <cell r="B532" t="str">
            <v>인증수수료수익</v>
          </cell>
          <cell r="C532">
            <v>524506</v>
          </cell>
          <cell r="D532">
            <v>5245</v>
          </cell>
        </row>
        <row r="533">
          <cell r="A533">
            <v>553020</v>
          </cell>
          <cell r="B533" t="str">
            <v>T Cloud B2B</v>
          </cell>
          <cell r="C533">
            <v>524507</v>
          </cell>
          <cell r="D533">
            <v>5245</v>
          </cell>
        </row>
        <row r="534">
          <cell r="A534">
            <v>553030</v>
          </cell>
          <cell r="B534" t="str">
            <v>위치정보수수료</v>
          </cell>
          <cell r="C534">
            <v>524508</v>
          </cell>
          <cell r="D534">
            <v>5245</v>
          </cell>
        </row>
        <row r="535">
          <cell r="A535">
            <v>555010</v>
          </cell>
          <cell r="B535" t="str">
            <v>포탈정보이용수익</v>
          </cell>
          <cell r="C535">
            <v>524509</v>
          </cell>
          <cell r="D535">
            <v>5245</v>
          </cell>
        </row>
        <row r="536">
          <cell r="A536">
            <v>555020</v>
          </cell>
          <cell r="B536" t="str">
            <v>IBS판매대행수익</v>
          </cell>
          <cell r="C536">
            <v>524515</v>
          </cell>
          <cell r="D536">
            <v>5245</v>
          </cell>
        </row>
        <row r="537">
          <cell r="A537">
            <v>555030</v>
          </cell>
          <cell r="B537" t="str">
            <v>ASP사용수수료수익</v>
          </cell>
          <cell r="C537">
            <v>524510</v>
          </cell>
          <cell r="D537">
            <v>5245</v>
          </cell>
        </row>
        <row r="538">
          <cell r="A538">
            <v>556010</v>
          </cell>
          <cell r="B538" t="str">
            <v>송금수수료수익</v>
          </cell>
          <cell r="C538">
            <v>524511</v>
          </cell>
          <cell r="D538">
            <v>5245</v>
          </cell>
        </row>
        <row r="539">
          <cell r="A539">
            <v>557010</v>
          </cell>
          <cell r="B539" t="str">
            <v>PG결제대행수익</v>
          </cell>
          <cell r="C539">
            <v>524513</v>
          </cell>
          <cell r="D539">
            <v>5245</v>
          </cell>
        </row>
        <row r="540">
          <cell r="A540">
            <v>558110</v>
          </cell>
          <cell r="B540" t="str">
            <v>영화투자수익</v>
          </cell>
          <cell r="C540">
            <v>524909</v>
          </cell>
          <cell r="D540">
            <v>5249</v>
          </cell>
        </row>
        <row r="541">
          <cell r="A541">
            <v>558200</v>
          </cell>
          <cell r="B541" t="str">
            <v>배급대행수익</v>
          </cell>
          <cell r="C541">
            <v>524910</v>
          </cell>
          <cell r="D541">
            <v>5249</v>
          </cell>
        </row>
        <row r="542">
          <cell r="A542">
            <v>559000</v>
          </cell>
          <cell r="B542" t="str">
            <v>T-map</v>
          </cell>
          <cell r="C542">
            <v>524916</v>
          </cell>
          <cell r="D542">
            <v>5249</v>
          </cell>
        </row>
        <row r="543">
          <cell r="A543">
            <v>590100</v>
          </cell>
          <cell r="B543" t="str">
            <v>기술용역료</v>
          </cell>
          <cell r="C543">
            <v>524917</v>
          </cell>
          <cell r="D543">
            <v>5249</v>
          </cell>
        </row>
        <row r="544">
          <cell r="A544">
            <v>590200</v>
          </cell>
          <cell r="B544" t="str">
            <v>해외영업수익</v>
          </cell>
          <cell r="C544">
            <v>524918</v>
          </cell>
          <cell r="D544">
            <v>5249</v>
          </cell>
        </row>
        <row r="545">
          <cell r="A545">
            <v>593100</v>
          </cell>
          <cell r="B545" t="str">
            <v>T-map B2B</v>
          </cell>
          <cell r="C545">
            <v>524907</v>
          </cell>
          <cell r="D545">
            <v>5249</v>
          </cell>
        </row>
        <row r="546">
          <cell r="A546">
            <v>594100</v>
          </cell>
          <cell r="B546" t="str">
            <v>Payment수익</v>
          </cell>
          <cell r="C546">
            <v>524514</v>
          </cell>
          <cell r="D546">
            <v>5245</v>
          </cell>
        </row>
        <row r="547">
          <cell r="A547">
            <v>599100</v>
          </cell>
          <cell r="B547" t="str">
            <v>기타영업수익</v>
          </cell>
          <cell r="C547">
            <v>524120</v>
          </cell>
          <cell r="D547">
            <v>5241</v>
          </cell>
        </row>
        <row r="548">
          <cell r="A548">
            <v>599101</v>
          </cell>
          <cell r="B548" t="str">
            <v>복권매출</v>
          </cell>
          <cell r="C548">
            <v>524408</v>
          </cell>
          <cell r="D548">
            <v>5244</v>
          </cell>
        </row>
        <row r="549">
          <cell r="A549">
            <v>599900</v>
          </cell>
          <cell r="B549" t="str">
            <v>사내매출</v>
          </cell>
          <cell r="C549">
            <v>898111</v>
          </cell>
          <cell r="D549">
            <v>8981</v>
          </cell>
        </row>
        <row r="550">
          <cell r="A550">
            <v>599901</v>
          </cell>
          <cell r="B550" t="str">
            <v>사내거래수익</v>
          </cell>
          <cell r="C550">
            <v>898121</v>
          </cell>
          <cell r="D550">
            <v>8981</v>
          </cell>
        </row>
        <row r="551">
          <cell r="A551">
            <v>599903</v>
          </cell>
          <cell r="B551" t="str">
            <v>사내매출-N/W(MNO)</v>
          </cell>
          <cell r="C551">
            <v>898112</v>
          </cell>
          <cell r="D551">
            <v>8981</v>
          </cell>
        </row>
        <row r="552">
          <cell r="A552">
            <v>600100</v>
          </cell>
          <cell r="B552" t="str">
            <v>임원급여-급여</v>
          </cell>
          <cell r="C552">
            <v>701101</v>
          </cell>
          <cell r="D552">
            <v>7011</v>
          </cell>
        </row>
        <row r="553">
          <cell r="A553">
            <v>600102</v>
          </cell>
          <cell r="B553" t="str">
            <v>임원급여-상여</v>
          </cell>
          <cell r="C553">
            <v>701201</v>
          </cell>
          <cell r="D553">
            <v>7012</v>
          </cell>
        </row>
        <row r="554">
          <cell r="A554">
            <v>600200</v>
          </cell>
          <cell r="B554" t="str">
            <v>기본급</v>
          </cell>
          <cell r="C554">
            <v>702101</v>
          </cell>
          <cell r="D554">
            <v>7021</v>
          </cell>
        </row>
        <row r="555">
          <cell r="A555">
            <v>600300</v>
          </cell>
          <cell r="B555" t="str">
            <v>상여금-정기상여</v>
          </cell>
          <cell r="C555">
            <v>702201</v>
          </cell>
          <cell r="D555">
            <v>7022</v>
          </cell>
        </row>
        <row r="556">
          <cell r="A556">
            <v>600310</v>
          </cell>
          <cell r="B556" t="str">
            <v>상여금-특별상여</v>
          </cell>
          <cell r="C556">
            <v>702202</v>
          </cell>
          <cell r="D556">
            <v>7022</v>
          </cell>
        </row>
        <row r="557">
          <cell r="A557">
            <v>600311</v>
          </cell>
          <cell r="B557" t="str">
            <v>상여금-특별상여_조정</v>
          </cell>
          <cell r="C557">
            <v>702203</v>
          </cell>
          <cell r="D557">
            <v>7022</v>
          </cell>
        </row>
        <row r="558">
          <cell r="A558">
            <v>600400</v>
          </cell>
          <cell r="B558" t="str">
            <v>제수당-초과근무</v>
          </cell>
          <cell r="C558">
            <v>703101</v>
          </cell>
          <cell r="D558">
            <v>7031</v>
          </cell>
        </row>
        <row r="559">
          <cell r="A559">
            <v>600410</v>
          </cell>
          <cell r="B559" t="str">
            <v>제수당-야간근무</v>
          </cell>
          <cell r="C559">
            <v>703102</v>
          </cell>
          <cell r="D559">
            <v>7031</v>
          </cell>
        </row>
        <row r="560">
          <cell r="A560">
            <v>600420</v>
          </cell>
          <cell r="B560" t="str">
            <v>제수당-휴일근무</v>
          </cell>
          <cell r="C560">
            <v>703103</v>
          </cell>
          <cell r="D560">
            <v>7031</v>
          </cell>
        </row>
        <row r="561">
          <cell r="A561">
            <v>600430</v>
          </cell>
          <cell r="B561" t="str">
            <v>제수당-연월차</v>
          </cell>
          <cell r="C561">
            <v>703104</v>
          </cell>
          <cell r="D561">
            <v>7031</v>
          </cell>
        </row>
        <row r="562">
          <cell r="A562">
            <v>600431</v>
          </cell>
          <cell r="B562" t="str">
            <v>제수당-연월차_조정</v>
          </cell>
          <cell r="C562">
            <v>703105</v>
          </cell>
          <cell r="D562">
            <v>7031</v>
          </cell>
        </row>
        <row r="563">
          <cell r="A563">
            <v>600440</v>
          </cell>
          <cell r="B563" t="str">
            <v>제수당-업적급</v>
          </cell>
          <cell r="C563">
            <v>703105</v>
          </cell>
          <cell r="D563">
            <v>7031</v>
          </cell>
        </row>
        <row r="564">
          <cell r="A564">
            <v>600490</v>
          </cell>
          <cell r="B564" t="str">
            <v>제수당-기타</v>
          </cell>
          <cell r="C564">
            <v>703106</v>
          </cell>
          <cell r="D564">
            <v>7031</v>
          </cell>
        </row>
        <row r="565">
          <cell r="A565">
            <v>600500</v>
          </cell>
          <cell r="B565" t="str">
            <v>계약직급여</v>
          </cell>
          <cell r="C565">
            <v>702301</v>
          </cell>
          <cell r="D565">
            <v>7023</v>
          </cell>
        </row>
        <row r="566">
          <cell r="A566">
            <v>600600</v>
          </cell>
          <cell r="B566" t="str">
            <v>임시직급여</v>
          </cell>
          <cell r="C566">
            <v>702302</v>
          </cell>
          <cell r="D566">
            <v>7023</v>
          </cell>
        </row>
        <row r="567">
          <cell r="A567">
            <v>600700</v>
          </cell>
          <cell r="B567" t="str">
            <v>용역직인건비</v>
          </cell>
          <cell r="C567">
            <v>726301</v>
          </cell>
          <cell r="D567">
            <v>7263</v>
          </cell>
        </row>
        <row r="568">
          <cell r="A568">
            <v>600900</v>
          </cell>
          <cell r="B568" t="str">
            <v>주식보상비용</v>
          </cell>
          <cell r="C568">
            <v>742101</v>
          </cell>
          <cell r="D568">
            <v>7421</v>
          </cell>
        </row>
        <row r="569">
          <cell r="A569">
            <v>602100</v>
          </cell>
          <cell r="B569" t="str">
            <v>퇴직급여충당금전입</v>
          </cell>
          <cell r="C569">
            <v>704101</v>
          </cell>
          <cell r="D569">
            <v>7041</v>
          </cell>
        </row>
        <row r="570">
          <cell r="A570">
            <v>602110</v>
          </cell>
          <cell r="B570" t="str">
            <v>퇴직급여-당기근무원가-종업원</v>
          </cell>
          <cell r="C570">
            <v>704301</v>
          </cell>
          <cell r="D570">
            <v>7043</v>
          </cell>
        </row>
        <row r="571">
          <cell r="A571">
            <v>602112</v>
          </cell>
          <cell r="B571" t="str">
            <v>퇴직급여-당기근무원가-임원</v>
          </cell>
          <cell r="C571">
            <v>704301</v>
          </cell>
          <cell r="D571">
            <v>7043</v>
          </cell>
        </row>
        <row r="572">
          <cell r="A572">
            <v>602120</v>
          </cell>
          <cell r="B572" t="str">
            <v>퇴직급여_당기근무원가_확정급여</v>
          </cell>
          <cell r="C572">
            <v>704302</v>
          </cell>
          <cell r="D572">
            <v>7043</v>
          </cell>
        </row>
        <row r="573">
          <cell r="A573">
            <v>602130</v>
          </cell>
          <cell r="B573" t="str">
            <v>퇴직급여-이자비용-종업원</v>
          </cell>
          <cell r="C573">
            <v>704303</v>
          </cell>
          <cell r="D573">
            <v>7043</v>
          </cell>
        </row>
        <row r="574">
          <cell r="A574">
            <v>602131</v>
          </cell>
          <cell r="B574" t="str">
            <v>퇴직급여-이자비용-임원</v>
          </cell>
          <cell r="C574">
            <v>704303</v>
          </cell>
          <cell r="D574">
            <v>7043</v>
          </cell>
        </row>
        <row r="575">
          <cell r="A575">
            <v>602140</v>
          </cell>
          <cell r="B575" t="str">
            <v>퇴직급여-기대수익-종업원</v>
          </cell>
          <cell r="C575">
            <v>704304</v>
          </cell>
          <cell r="D575">
            <v>7043</v>
          </cell>
        </row>
        <row r="576">
          <cell r="A576">
            <v>602141</v>
          </cell>
          <cell r="B576" t="str">
            <v>퇴직급여-기대수익-임원</v>
          </cell>
          <cell r="C576">
            <v>704304</v>
          </cell>
          <cell r="D576">
            <v>7043</v>
          </cell>
        </row>
        <row r="577">
          <cell r="A577">
            <v>602150</v>
          </cell>
          <cell r="B577" t="str">
            <v>퇴직급여-과거근무원가-종업원</v>
          </cell>
          <cell r="C577">
            <v>704305</v>
          </cell>
          <cell r="D577">
            <v>7043</v>
          </cell>
        </row>
        <row r="578">
          <cell r="A578">
            <v>602151</v>
          </cell>
          <cell r="B578" t="str">
            <v>퇴직급여-과거근무원가-임원</v>
          </cell>
          <cell r="C578">
            <v>704305</v>
          </cell>
          <cell r="D578">
            <v>7043</v>
          </cell>
        </row>
        <row r="579">
          <cell r="A579">
            <v>602200</v>
          </cell>
          <cell r="B579" t="str">
            <v>단퇴급여충당금전입</v>
          </cell>
          <cell r="C579">
            <v>704201</v>
          </cell>
          <cell r="D579">
            <v>7042</v>
          </cell>
        </row>
        <row r="580">
          <cell r="A580">
            <v>602300</v>
          </cell>
          <cell r="B580" t="str">
            <v>퇴직급여</v>
          </cell>
          <cell r="C580">
            <v>704901</v>
          </cell>
          <cell r="D580">
            <v>7049</v>
          </cell>
        </row>
        <row r="581">
          <cell r="A581">
            <v>603100</v>
          </cell>
          <cell r="B581" t="str">
            <v>급여성복리비</v>
          </cell>
          <cell r="C581">
            <v>705901</v>
          </cell>
          <cell r="D581">
            <v>7059</v>
          </cell>
        </row>
        <row r="582">
          <cell r="A582">
            <v>603200</v>
          </cell>
          <cell r="B582" t="str">
            <v>법정복리비-의료보험</v>
          </cell>
          <cell r="C582">
            <v>705101</v>
          </cell>
          <cell r="D582">
            <v>7051</v>
          </cell>
        </row>
        <row r="583">
          <cell r="A583">
            <v>603210</v>
          </cell>
          <cell r="B583" t="str">
            <v>법정복리비-국민연금</v>
          </cell>
          <cell r="C583">
            <v>705601</v>
          </cell>
          <cell r="D583">
            <v>7056</v>
          </cell>
        </row>
        <row r="584">
          <cell r="A584">
            <v>603220</v>
          </cell>
          <cell r="B584" t="str">
            <v>법정복리비-산재보험</v>
          </cell>
          <cell r="C584">
            <v>705201</v>
          </cell>
          <cell r="D584">
            <v>7052</v>
          </cell>
        </row>
        <row r="585">
          <cell r="A585">
            <v>603230</v>
          </cell>
          <cell r="B585" t="str">
            <v>법정복리비-고용보험</v>
          </cell>
          <cell r="C585">
            <v>705602</v>
          </cell>
          <cell r="D585">
            <v>7056</v>
          </cell>
        </row>
        <row r="586">
          <cell r="A586">
            <v>603300</v>
          </cell>
          <cell r="B586" t="str">
            <v>일반복리비-의약품/건강지원</v>
          </cell>
          <cell r="C586">
            <v>705102</v>
          </cell>
          <cell r="D586">
            <v>7051</v>
          </cell>
        </row>
        <row r="587">
          <cell r="A587">
            <v>603310</v>
          </cell>
          <cell r="B587" t="str">
            <v>일반복리비-경조금/화환</v>
          </cell>
          <cell r="C587">
            <v>705301</v>
          </cell>
          <cell r="D587">
            <v>7053</v>
          </cell>
        </row>
        <row r="588">
          <cell r="A588">
            <v>603320</v>
          </cell>
          <cell r="B588" t="str">
            <v>일반복리비-생수</v>
          </cell>
          <cell r="C588">
            <v>705902</v>
          </cell>
          <cell r="D588">
            <v>7059</v>
          </cell>
        </row>
        <row r="589">
          <cell r="A589">
            <v>603390</v>
          </cell>
          <cell r="B589" t="str">
            <v>일반복리비-기타</v>
          </cell>
          <cell r="C589">
            <v>705908</v>
          </cell>
          <cell r="D589">
            <v>7059</v>
          </cell>
        </row>
        <row r="590">
          <cell r="A590">
            <v>603391</v>
          </cell>
          <cell r="B590" t="str">
            <v>복리후생비_주임종대여금이자</v>
          </cell>
          <cell r="C590">
            <v>705909</v>
          </cell>
          <cell r="D590">
            <v>7059</v>
          </cell>
        </row>
        <row r="591">
          <cell r="A591">
            <v>603392</v>
          </cell>
          <cell r="B591" t="str">
            <v>복리후생비-장기근속-당기근무원가-종업원</v>
          </cell>
          <cell r="C591">
            <v>705910</v>
          </cell>
          <cell r="D591">
            <v>7059</v>
          </cell>
        </row>
        <row r="592">
          <cell r="A592">
            <v>603393</v>
          </cell>
          <cell r="B592" t="str">
            <v>복리후생비-장기근속-이자원가-종업원</v>
          </cell>
          <cell r="C592">
            <v>705911</v>
          </cell>
          <cell r="D592">
            <v>7059</v>
          </cell>
        </row>
        <row r="593">
          <cell r="A593">
            <v>603394</v>
          </cell>
          <cell r="B593" t="str">
            <v>복리후생비-장기근속-보험수리적손익-종업원</v>
          </cell>
          <cell r="C593">
            <v>705912</v>
          </cell>
          <cell r="D593">
            <v>7059</v>
          </cell>
        </row>
        <row r="594">
          <cell r="A594">
            <v>603395</v>
          </cell>
          <cell r="B594" t="str">
            <v>복리후생비-장기근속-과거근무원가-종업원</v>
          </cell>
          <cell r="C594">
            <v>705913</v>
          </cell>
          <cell r="D594">
            <v>7059</v>
          </cell>
        </row>
        <row r="595">
          <cell r="A595">
            <v>603396</v>
          </cell>
          <cell r="B595" t="str">
            <v>복리후생비-장기근속-당기근무원가-임원</v>
          </cell>
          <cell r="C595">
            <v>705910</v>
          </cell>
          <cell r="D595">
            <v>7059</v>
          </cell>
        </row>
        <row r="596">
          <cell r="A596">
            <v>603397</v>
          </cell>
          <cell r="B596" t="str">
            <v>복리후생비-장기근속-이자원가-임원</v>
          </cell>
          <cell r="C596">
            <v>705911</v>
          </cell>
          <cell r="D596">
            <v>7059</v>
          </cell>
        </row>
        <row r="597">
          <cell r="A597">
            <v>603398</v>
          </cell>
          <cell r="B597" t="str">
            <v>복리후생비-장기근속-보험수리적손익-임원</v>
          </cell>
          <cell r="C597">
            <v>705912</v>
          </cell>
          <cell r="D597">
            <v>7059</v>
          </cell>
        </row>
        <row r="598">
          <cell r="A598">
            <v>603399</v>
          </cell>
          <cell r="B598" t="str">
            <v>복리후생비-장기근속-과거근무원가-임원</v>
          </cell>
          <cell r="C598">
            <v>705913</v>
          </cell>
          <cell r="D598">
            <v>7059</v>
          </cell>
        </row>
        <row r="599">
          <cell r="A599">
            <v>603400</v>
          </cell>
          <cell r="B599" t="str">
            <v>복지시설운영비</v>
          </cell>
          <cell r="C599">
            <v>705903</v>
          </cell>
          <cell r="D599">
            <v>7059</v>
          </cell>
        </row>
        <row r="600">
          <cell r="A600">
            <v>603500</v>
          </cell>
          <cell r="B600" t="str">
            <v>동적요소관리비</v>
          </cell>
          <cell r="C600">
            <v>705501</v>
          </cell>
          <cell r="D600">
            <v>7055</v>
          </cell>
        </row>
        <row r="601">
          <cell r="A601">
            <v>603600</v>
          </cell>
          <cell r="B601" t="str">
            <v>특근자석식비</v>
          </cell>
          <cell r="C601">
            <v>705904</v>
          </cell>
          <cell r="D601">
            <v>7059</v>
          </cell>
        </row>
        <row r="602">
          <cell r="A602">
            <v>603610</v>
          </cell>
          <cell r="B602" t="str">
            <v>FT석식비</v>
          </cell>
          <cell r="C602">
            <v>705908</v>
          </cell>
          <cell r="D602">
            <v>7059</v>
          </cell>
        </row>
        <row r="603">
          <cell r="A603">
            <v>603700</v>
          </cell>
          <cell r="B603" t="str">
            <v>후생복리비-중식</v>
          </cell>
          <cell r="C603">
            <v>705905</v>
          </cell>
          <cell r="D603">
            <v>7059</v>
          </cell>
        </row>
        <row r="604">
          <cell r="A604">
            <v>603710</v>
          </cell>
          <cell r="B604" t="str">
            <v>후생복리비-사내행사</v>
          </cell>
          <cell r="C604">
            <v>705401</v>
          </cell>
          <cell r="D604">
            <v>7054</v>
          </cell>
        </row>
        <row r="605">
          <cell r="A605">
            <v>603720</v>
          </cell>
          <cell r="B605" t="str">
            <v>후생복리비-기념품</v>
          </cell>
          <cell r="C605">
            <v>705402</v>
          </cell>
          <cell r="D605">
            <v>7054</v>
          </cell>
        </row>
        <row r="606">
          <cell r="A606">
            <v>603730</v>
          </cell>
          <cell r="B606" t="str">
            <v>후생복리비-피복비</v>
          </cell>
          <cell r="C606">
            <v>705907</v>
          </cell>
          <cell r="D606">
            <v>7059</v>
          </cell>
        </row>
        <row r="607">
          <cell r="A607">
            <v>603790</v>
          </cell>
          <cell r="B607" t="str">
            <v>후생복리비-기타</v>
          </cell>
          <cell r="C607">
            <v>705502</v>
          </cell>
          <cell r="D607">
            <v>7055</v>
          </cell>
        </row>
        <row r="608">
          <cell r="A608">
            <v>610900</v>
          </cell>
          <cell r="B608" t="str">
            <v>기타전용회선료</v>
          </cell>
          <cell r="C608">
            <v>730105</v>
          </cell>
          <cell r="D608">
            <v>7301</v>
          </cell>
        </row>
        <row r="609">
          <cell r="A609">
            <v>620300</v>
          </cell>
          <cell r="B609" t="str">
            <v>고객모집수수료</v>
          </cell>
          <cell r="C609">
            <v>726401</v>
          </cell>
          <cell r="D609">
            <v>7264</v>
          </cell>
        </row>
        <row r="610">
          <cell r="A610">
            <v>622300</v>
          </cell>
          <cell r="B610" t="str">
            <v>위탁부대비용</v>
          </cell>
          <cell r="C610">
            <v>726701</v>
          </cell>
          <cell r="D610">
            <v>7267</v>
          </cell>
        </row>
        <row r="611">
          <cell r="A611">
            <v>622400</v>
          </cell>
          <cell r="B611" t="str">
            <v>정보제공부대경비</v>
          </cell>
          <cell r="C611">
            <v>726403</v>
          </cell>
          <cell r="D611">
            <v>7264</v>
          </cell>
        </row>
        <row r="612">
          <cell r="A612">
            <v>622450</v>
          </cell>
          <cell r="B612" t="str">
            <v>정보제공수수료</v>
          </cell>
          <cell r="C612">
            <v>726404</v>
          </cell>
          <cell r="D612">
            <v>7264</v>
          </cell>
        </row>
        <row r="613">
          <cell r="A613">
            <v>623800</v>
          </cell>
          <cell r="B613" t="str">
            <v>기타Network비용</v>
          </cell>
          <cell r="C613">
            <v>726408</v>
          </cell>
          <cell r="D613">
            <v>7264</v>
          </cell>
        </row>
        <row r="614">
          <cell r="A614">
            <v>623900</v>
          </cell>
          <cell r="B614" t="str">
            <v>기타부대경비</v>
          </cell>
          <cell r="C614">
            <v>726408</v>
          </cell>
          <cell r="D614">
            <v>7264</v>
          </cell>
        </row>
        <row r="615">
          <cell r="A615">
            <v>624300</v>
          </cell>
          <cell r="B615" t="str">
            <v>고객유지수수료</v>
          </cell>
          <cell r="C615">
            <v>726412</v>
          </cell>
          <cell r="D615">
            <v>7264</v>
          </cell>
        </row>
        <row r="616">
          <cell r="A616">
            <v>625100</v>
          </cell>
          <cell r="B616" t="str">
            <v>경영연구용역비</v>
          </cell>
          <cell r="C616">
            <v>726801</v>
          </cell>
          <cell r="D616">
            <v>7268</v>
          </cell>
        </row>
        <row r="617">
          <cell r="A617">
            <v>625200</v>
          </cell>
          <cell r="B617" t="str">
            <v>일반조사용역비-시장정보수집</v>
          </cell>
          <cell r="C617">
            <v>726802</v>
          </cell>
          <cell r="D617">
            <v>7268</v>
          </cell>
        </row>
        <row r="618">
          <cell r="A618">
            <v>625210</v>
          </cell>
          <cell r="B618" t="str">
            <v>일반조사용역비-품질/시설검사</v>
          </cell>
          <cell r="C618">
            <v>724101</v>
          </cell>
          <cell r="D618">
            <v>7241</v>
          </cell>
        </row>
        <row r="619">
          <cell r="A619">
            <v>625300</v>
          </cell>
          <cell r="B619" t="str">
            <v>사옥관리용역비</v>
          </cell>
          <cell r="C619">
            <v>722101</v>
          </cell>
          <cell r="D619">
            <v>7221</v>
          </cell>
        </row>
        <row r="620">
          <cell r="A620">
            <v>625400</v>
          </cell>
          <cell r="B620" t="str">
            <v>IT O/S용역비</v>
          </cell>
          <cell r="C620">
            <v>725201</v>
          </cell>
          <cell r="D620">
            <v>7252</v>
          </cell>
        </row>
        <row r="621">
          <cell r="A621">
            <v>625405</v>
          </cell>
          <cell r="B621" t="str">
            <v>사내고객센터O/S용역비</v>
          </cell>
          <cell r="C621">
            <v>726803</v>
          </cell>
          <cell r="D621">
            <v>7268</v>
          </cell>
        </row>
        <row r="622">
          <cell r="A622">
            <v>625410</v>
          </cell>
          <cell r="B622" t="str">
            <v>고객센터 O/S용역비</v>
          </cell>
          <cell r="C622">
            <v>726804</v>
          </cell>
          <cell r="D622">
            <v>7268</v>
          </cell>
        </row>
        <row r="623">
          <cell r="A623">
            <v>625415</v>
          </cell>
          <cell r="B623" t="str">
            <v>CRM센터O/S용역비</v>
          </cell>
          <cell r="C623">
            <v>726805</v>
          </cell>
          <cell r="D623">
            <v>7268</v>
          </cell>
        </row>
        <row r="624">
          <cell r="A624">
            <v>625440</v>
          </cell>
          <cell r="B624" t="str">
            <v>미납관리 O/S용역비</v>
          </cell>
          <cell r="C624">
            <v>726810</v>
          </cell>
          <cell r="D624">
            <v>7268</v>
          </cell>
        </row>
        <row r="625">
          <cell r="A625">
            <v>625470</v>
          </cell>
          <cell r="B625" t="str">
            <v>해외지사용역비</v>
          </cell>
          <cell r="C625">
            <v>726815</v>
          </cell>
          <cell r="D625">
            <v>7268</v>
          </cell>
        </row>
        <row r="626">
          <cell r="A626">
            <v>625500</v>
          </cell>
          <cell r="B626" t="str">
            <v>솔루션판매용역비</v>
          </cell>
          <cell r="C626">
            <v>726813</v>
          </cell>
          <cell r="D626">
            <v>7268</v>
          </cell>
        </row>
        <row r="627">
          <cell r="A627">
            <v>625900</v>
          </cell>
          <cell r="B627" t="str">
            <v>기타외주용역비</v>
          </cell>
          <cell r="C627">
            <v>726850</v>
          </cell>
          <cell r="D627">
            <v>7268</v>
          </cell>
        </row>
        <row r="628">
          <cell r="A628">
            <v>626100</v>
          </cell>
          <cell r="B628" t="str">
            <v>일반수수료-자문</v>
          </cell>
          <cell r="C628">
            <v>727101</v>
          </cell>
          <cell r="D628">
            <v>7271</v>
          </cell>
        </row>
        <row r="629">
          <cell r="A629">
            <v>626190</v>
          </cell>
          <cell r="B629" t="str">
            <v>일반수수료-기타</v>
          </cell>
          <cell r="C629">
            <v>726304</v>
          </cell>
          <cell r="D629">
            <v>7263</v>
          </cell>
        </row>
        <row r="630">
          <cell r="A630">
            <v>627100</v>
          </cell>
          <cell r="B630" t="str">
            <v>금융수수료</v>
          </cell>
          <cell r="C630">
            <v>726501</v>
          </cell>
          <cell r="D630">
            <v>7265</v>
          </cell>
        </row>
        <row r="631">
          <cell r="A631">
            <v>630100</v>
          </cell>
          <cell r="B631" t="str">
            <v>일반광고비-TV</v>
          </cell>
          <cell r="C631">
            <v>720101</v>
          </cell>
          <cell r="D631">
            <v>7201</v>
          </cell>
        </row>
        <row r="632">
          <cell r="A632">
            <v>630110</v>
          </cell>
          <cell r="B632" t="str">
            <v>일반광고비-라디오</v>
          </cell>
          <cell r="C632">
            <v>720102</v>
          </cell>
          <cell r="D632">
            <v>7201</v>
          </cell>
        </row>
        <row r="633">
          <cell r="A633">
            <v>630120</v>
          </cell>
          <cell r="B633" t="str">
            <v>일반광고비-신문</v>
          </cell>
          <cell r="C633">
            <v>720103</v>
          </cell>
          <cell r="D633">
            <v>7201</v>
          </cell>
        </row>
        <row r="634">
          <cell r="A634">
            <v>630130</v>
          </cell>
          <cell r="B634" t="str">
            <v>일반광고비-잡지</v>
          </cell>
          <cell r="C634">
            <v>720104</v>
          </cell>
          <cell r="D634">
            <v>7201</v>
          </cell>
        </row>
        <row r="635">
          <cell r="A635">
            <v>630140</v>
          </cell>
          <cell r="B635" t="str">
            <v>일반광고비-협찬광고</v>
          </cell>
          <cell r="C635">
            <v>720105</v>
          </cell>
          <cell r="D635">
            <v>7201</v>
          </cell>
        </row>
        <row r="636">
          <cell r="A636">
            <v>630150</v>
          </cell>
          <cell r="B636" t="str">
            <v>일반광고비-광고제작</v>
          </cell>
          <cell r="C636">
            <v>720106</v>
          </cell>
          <cell r="D636">
            <v>7201</v>
          </cell>
        </row>
        <row r="637">
          <cell r="A637">
            <v>630190</v>
          </cell>
          <cell r="B637" t="str">
            <v>일반광고비-기타</v>
          </cell>
          <cell r="C637">
            <v>720107</v>
          </cell>
          <cell r="D637">
            <v>7201</v>
          </cell>
        </row>
        <row r="638">
          <cell r="A638">
            <v>630195</v>
          </cell>
          <cell r="B638" t="str">
            <v>일반광고비-기타매체</v>
          </cell>
          <cell r="C638">
            <v>720108</v>
          </cell>
          <cell r="D638">
            <v>7201</v>
          </cell>
        </row>
        <row r="639">
          <cell r="A639">
            <v>631100</v>
          </cell>
          <cell r="B639" t="str">
            <v>특수매체광고비</v>
          </cell>
          <cell r="C639">
            <v>720109</v>
          </cell>
          <cell r="D639">
            <v>7201</v>
          </cell>
        </row>
        <row r="640">
          <cell r="A640">
            <v>631900</v>
          </cell>
          <cell r="B640" t="str">
            <v>사내홍보비-사내방송제작비</v>
          </cell>
          <cell r="C640">
            <v>743905</v>
          </cell>
          <cell r="D640">
            <v>7439</v>
          </cell>
        </row>
        <row r="641">
          <cell r="A641">
            <v>631910</v>
          </cell>
          <cell r="B641" t="str">
            <v>사내홍보비-사보</v>
          </cell>
          <cell r="C641">
            <v>743905</v>
          </cell>
          <cell r="D641">
            <v>7439</v>
          </cell>
        </row>
        <row r="642">
          <cell r="A642">
            <v>631920</v>
          </cell>
          <cell r="B642" t="str">
            <v>사내홍보비-진행경비</v>
          </cell>
          <cell r="C642">
            <v>720112</v>
          </cell>
          <cell r="D642">
            <v>7201</v>
          </cell>
        </row>
        <row r="643">
          <cell r="A643">
            <v>631930</v>
          </cell>
          <cell r="B643" t="str">
            <v>사내홍보비-행사지원</v>
          </cell>
          <cell r="C643">
            <v>743905</v>
          </cell>
          <cell r="D643">
            <v>7439</v>
          </cell>
        </row>
        <row r="644">
          <cell r="A644">
            <v>632100</v>
          </cell>
          <cell r="B644" t="str">
            <v>판촉행사비용</v>
          </cell>
          <cell r="C644">
            <v>720114</v>
          </cell>
          <cell r="D644">
            <v>7201</v>
          </cell>
        </row>
        <row r="645">
          <cell r="A645">
            <v>632200</v>
          </cell>
          <cell r="B645" t="str">
            <v>판촉물</v>
          </cell>
          <cell r="C645">
            <v>720115</v>
          </cell>
          <cell r="D645">
            <v>7201</v>
          </cell>
        </row>
        <row r="646">
          <cell r="A646">
            <v>633900</v>
          </cell>
          <cell r="B646" t="str">
            <v>기타판촉비</v>
          </cell>
          <cell r="C646">
            <v>720116</v>
          </cell>
          <cell r="D646">
            <v>7201</v>
          </cell>
        </row>
        <row r="647">
          <cell r="A647">
            <v>634000</v>
          </cell>
          <cell r="B647" t="str">
            <v>기업PR비</v>
          </cell>
          <cell r="C647">
            <v>720107</v>
          </cell>
          <cell r="D647">
            <v>7201</v>
          </cell>
        </row>
        <row r="648">
          <cell r="A648">
            <v>634200</v>
          </cell>
          <cell r="B648" t="str">
            <v>전산장비수선비</v>
          </cell>
          <cell r="C648">
            <v>717106</v>
          </cell>
          <cell r="D648">
            <v>7171</v>
          </cell>
        </row>
        <row r="649">
          <cell r="A649">
            <v>634300</v>
          </cell>
          <cell r="B649" t="str">
            <v>사옥수리비</v>
          </cell>
          <cell r="C649">
            <v>717107</v>
          </cell>
          <cell r="D649">
            <v>7171</v>
          </cell>
        </row>
        <row r="650">
          <cell r="A650">
            <v>634400</v>
          </cell>
          <cell r="B650" t="str">
            <v>사무집기수선비</v>
          </cell>
          <cell r="C650">
            <v>717108</v>
          </cell>
          <cell r="D650">
            <v>7171</v>
          </cell>
        </row>
        <row r="651">
          <cell r="A651">
            <v>634500</v>
          </cell>
          <cell r="B651" t="str">
            <v>NATE Infra유지보수비</v>
          </cell>
          <cell r="C651">
            <v>717109</v>
          </cell>
          <cell r="D651">
            <v>7171</v>
          </cell>
        </row>
        <row r="652">
          <cell r="A652">
            <v>634600</v>
          </cell>
          <cell r="B652" t="str">
            <v>수선비_복구충당부채</v>
          </cell>
          <cell r="C652">
            <v>717176</v>
          </cell>
          <cell r="D652">
            <v>7171</v>
          </cell>
        </row>
        <row r="653">
          <cell r="A653">
            <v>635200</v>
          </cell>
          <cell r="B653" t="str">
            <v>사무실임차료</v>
          </cell>
          <cell r="C653">
            <v>711104</v>
          </cell>
          <cell r="D653">
            <v>7111</v>
          </cell>
        </row>
        <row r="654">
          <cell r="A654">
            <v>635300</v>
          </cell>
          <cell r="B654" t="str">
            <v>전산장비임차료</v>
          </cell>
          <cell r="C654">
            <v>711105</v>
          </cell>
          <cell r="D654">
            <v>7111</v>
          </cell>
        </row>
        <row r="655">
          <cell r="A655">
            <v>635310</v>
          </cell>
          <cell r="B655" t="str">
            <v>측정장비임차료</v>
          </cell>
          <cell r="C655">
            <v>711106</v>
          </cell>
          <cell r="D655">
            <v>7111</v>
          </cell>
        </row>
        <row r="656">
          <cell r="A656">
            <v>635400</v>
          </cell>
          <cell r="B656" t="str">
            <v>통신설비임차료</v>
          </cell>
          <cell r="C656">
            <v>711108</v>
          </cell>
          <cell r="D656">
            <v>7111</v>
          </cell>
        </row>
        <row r="657">
          <cell r="A657">
            <v>635600</v>
          </cell>
          <cell r="B657" t="str">
            <v>사무집기임차료</v>
          </cell>
          <cell r="C657">
            <v>711110</v>
          </cell>
          <cell r="D657">
            <v>7111</v>
          </cell>
        </row>
        <row r="658">
          <cell r="A658">
            <v>635700</v>
          </cell>
          <cell r="B658" t="str">
            <v>차량임차료</v>
          </cell>
          <cell r="C658">
            <v>711111</v>
          </cell>
          <cell r="D658">
            <v>7111</v>
          </cell>
        </row>
        <row r="659">
          <cell r="A659">
            <v>635800</v>
          </cell>
          <cell r="B659" t="str">
            <v>리스임차료</v>
          </cell>
          <cell r="C659">
            <v>711112</v>
          </cell>
          <cell r="D659">
            <v>7111</v>
          </cell>
        </row>
        <row r="660">
          <cell r="A660">
            <v>636900</v>
          </cell>
          <cell r="B660" t="str">
            <v>기타임차료</v>
          </cell>
          <cell r="C660">
            <v>711113</v>
          </cell>
          <cell r="D660">
            <v>7111</v>
          </cell>
        </row>
        <row r="661">
          <cell r="A661">
            <v>636910</v>
          </cell>
          <cell r="B661" t="str">
            <v>기타임차료_임차보증금현재가치평가</v>
          </cell>
          <cell r="C661">
            <v>711114</v>
          </cell>
          <cell r="D661">
            <v>7111</v>
          </cell>
        </row>
        <row r="662">
          <cell r="A662">
            <v>637300</v>
          </cell>
          <cell r="B662" t="str">
            <v>자가사용통신비-SAS</v>
          </cell>
          <cell r="C662">
            <v>707103</v>
          </cell>
          <cell r="D662">
            <v>7071</v>
          </cell>
        </row>
        <row r="663">
          <cell r="A663">
            <v>637310</v>
          </cell>
          <cell r="B663" t="str">
            <v>자가사용통신비</v>
          </cell>
          <cell r="C663">
            <v>707104</v>
          </cell>
          <cell r="D663">
            <v>7071</v>
          </cell>
        </row>
        <row r="664">
          <cell r="A664">
            <v>637400</v>
          </cell>
          <cell r="B664" t="str">
            <v>일반통신비</v>
          </cell>
          <cell r="C664">
            <v>707105</v>
          </cell>
          <cell r="D664">
            <v>7071</v>
          </cell>
        </row>
        <row r="665">
          <cell r="A665">
            <v>638200</v>
          </cell>
          <cell r="B665" t="str">
            <v>일반수도광열비</v>
          </cell>
          <cell r="C665">
            <v>708501</v>
          </cell>
          <cell r="D665">
            <v>7085</v>
          </cell>
        </row>
        <row r="666">
          <cell r="A666">
            <v>639100</v>
          </cell>
          <cell r="B666" t="str">
            <v>통신망소모품비</v>
          </cell>
          <cell r="C666">
            <v>710901</v>
          </cell>
          <cell r="D666">
            <v>7109</v>
          </cell>
        </row>
        <row r="667">
          <cell r="A667">
            <v>639200</v>
          </cell>
          <cell r="B667" t="str">
            <v>전산장비소모품비</v>
          </cell>
          <cell r="C667">
            <v>710902</v>
          </cell>
          <cell r="D667">
            <v>7109</v>
          </cell>
        </row>
        <row r="668">
          <cell r="A668">
            <v>639300</v>
          </cell>
          <cell r="B668" t="str">
            <v>일반사무용소모품비</v>
          </cell>
          <cell r="C668">
            <v>710301</v>
          </cell>
          <cell r="D668">
            <v>7103</v>
          </cell>
        </row>
        <row r="669">
          <cell r="A669">
            <v>640100</v>
          </cell>
          <cell r="B669" t="str">
            <v>건물분 재산세</v>
          </cell>
          <cell r="C669">
            <v>709201</v>
          </cell>
          <cell r="D669">
            <v>7092</v>
          </cell>
        </row>
        <row r="670">
          <cell r="A670">
            <v>640200</v>
          </cell>
          <cell r="B670" t="str">
            <v>토지분 재산세</v>
          </cell>
          <cell r="C670">
            <v>709202</v>
          </cell>
          <cell r="D670">
            <v>7092</v>
          </cell>
        </row>
        <row r="671">
          <cell r="A671">
            <v>640250</v>
          </cell>
          <cell r="B671" t="str">
            <v>종합부동산세</v>
          </cell>
          <cell r="C671">
            <v>709101</v>
          </cell>
          <cell r="D671">
            <v>7091</v>
          </cell>
        </row>
        <row r="672">
          <cell r="A672">
            <v>640300</v>
          </cell>
          <cell r="B672" t="str">
            <v>법인균등할주민세</v>
          </cell>
          <cell r="C672">
            <v>709301</v>
          </cell>
          <cell r="D672">
            <v>7093</v>
          </cell>
        </row>
        <row r="673">
          <cell r="A673">
            <v>640400</v>
          </cell>
          <cell r="B673" t="str">
            <v>사업소세-종업원할</v>
          </cell>
          <cell r="C673">
            <v>709401</v>
          </cell>
          <cell r="D673">
            <v>7094</v>
          </cell>
        </row>
        <row r="674">
          <cell r="A674">
            <v>640410</v>
          </cell>
          <cell r="B674" t="str">
            <v>사업소세-재산할</v>
          </cell>
          <cell r="C674">
            <v>709402</v>
          </cell>
          <cell r="D674">
            <v>7094</v>
          </cell>
        </row>
        <row r="675">
          <cell r="A675">
            <v>640500</v>
          </cell>
          <cell r="B675" t="str">
            <v>협회비</v>
          </cell>
          <cell r="C675">
            <v>709901</v>
          </cell>
          <cell r="D675">
            <v>7099</v>
          </cell>
        </row>
        <row r="676">
          <cell r="A676">
            <v>641900</v>
          </cell>
          <cell r="B676" t="str">
            <v>기타세금과공과</v>
          </cell>
          <cell r="C676">
            <v>709902</v>
          </cell>
          <cell r="D676">
            <v>7099</v>
          </cell>
        </row>
        <row r="677">
          <cell r="A677">
            <v>642100</v>
          </cell>
          <cell r="B677" t="str">
            <v>차량유지비</v>
          </cell>
          <cell r="C677">
            <v>718101</v>
          </cell>
          <cell r="D677">
            <v>7181</v>
          </cell>
        </row>
        <row r="678">
          <cell r="A678">
            <v>643100</v>
          </cell>
          <cell r="B678" t="str">
            <v>도서구입비</v>
          </cell>
          <cell r="C678">
            <v>710201</v>
          </cell>
          <cell r="D678">
            <v>7102</v>
          </cell>
        </row>
        <row r="679">
          <cell r="A679">
            <v>643300</v>
          </cell>
          <cell r="B679" t="str">
            <v>인쇄비</v>
          </cell>
          <cell r="C679">
            <v>710401</v>
          </cell>
          <cell r="D679">
            <v>7104</v>
          </cell>
        </row>
        <row r="680">
          <cell r="A680">
            <v>643400</v>
          </cell>
          <cell r="B680" t="str">
            <v>사무용인쇄비</v>
          </cell>
          <cell r="C680">
            <v>710402</v>
          </cell>
          <cell r="D680">
            <v>7104</v>
          </cell>
        </row>
        <row r="681">
          <cell r="A681">
            <v>644100</v>
          </cell>
          <cell r="B681" t="str">
            <v>화재보험료</v>
          </cell>
          <cell r="C681">
            <v>719102</v>
          </cell>
          <cell r="D681">
            <v>7191</v>
          </cell>
        </row>
        <row r="682">
          <cell r="A682">
            <v>644110</v>
          </cell>
          <cell r="B682" t="str">
            <v>배상책임보험료</v>
          </cell>
          <cell r="C682">
            <v>719103</v>
          </cell>
          <cell r="D682">
            <v>7191</v>
          </cell>
        </row>
        <row r="683">
          <cell r="A683">
            <v>644190</v>
          </cell>
          <cell r="B683" t="str">
            <v>기타보험료</v>
          </cell>
          <cell r="C683">
            <v>719104</v>
          </cell>
          <cell r="D683">
            <v>7191</v>
          </cell>
        </row>
        <row r="684">
          <cell r="A684">
            <v>645100</v>
          </cell>
          <cell r="B684" t="str">
            <v>피해보상비</v>
          </cell>
          <cell r="C684">
            <v>743902</v>
          </cell>
          <cell r="D684">
            <v>7439</v>
          </cell>
        </row>
        <row r="685">
          <cell r="A685">
            <v>645101</v>
          </cell>
          <cell r="B685" t="str">
            <v>피해보상비-SAS</v>
          </cell>
          <cell r="C685">
            <v>743903</v>
          </cell>
          <cell r="D685">
            <v>7439</v>
          </cell>
        </row>
        <row r="686">
          <cell r="A686">
            <v>646100</v>
          </cell>
          <cell r="B686" t="str">
            <v>국내교육훈련비-전사대상교육</v>
          </cell>
          <cell r="C686">
            <v>723101</v>
          </cell>
          <cell r="D686">
            <v>7231</v>
          </cell>
        </row>
        <row r="687">
          <cell r="A687">
            <v>646200</v>
          </cell>
          <cell r="B687" t="str">
            <v>해외교육훈련비-전사대상교육</v>
          </cell>
          <cell r="C687">
            <v>723301</v>
          </cell>
          <cell r="D687">
            <v>7233</v>
          </cell>
        </row>
        <row r="688">
          <cell r="A688">
            <v>646300</v>
          </cell>
          <cell r="B688" t="str">
            <v>신규채용교육비</v>
          </cell>
          <cell r="C688">
            <v>723201</v>
          </cell>
          <cell r="D688">
            <v>7232</v>
          </cell>
        </row>
        <row r="689">
          <cell r="A689">
            <v>646900</v>
          </cell>
          <cell r="B689" t="str">
            <v>기타교육훈련비</v>
          </cell>
          <cell r="C689">
            <v>723105</v>
          </cell>
          <cell r="D689">
            <v>7231</v>
          </cell>
        </row>
        <row r="690">
          <cell r="A690">
            <v>648100</v>
          </cell>
          <cell r="B690" t="str">
            <v>국내출장비</v>
          </cell>
          <cell r="C690">
            <v>706201</v>
          </cell>
          <cell r="D690">
            <v>7062</v>
          </cell>
        </row>
        <row r="691">
          <cell r="A691">
            <v>648300</v>
          </cell>
          <cell r="B691" t="str">
            <v>해외출장비</v>
          </cell>
          <cell r="C691">
            <v>706102</v>
          </cell>
          <cell r="D691">
            <v>7061</v>
          </cell>
        </row>
        <row r="692">
          <cell r="A692">
            <v>648400</v>
          </cell>
          <cell r="B692" t="str">
            <v>부임여비</v>
          </cell>
          <cell r="C692">
            <v>706901</v>
          </cell>
          <cell r="D692">
            <v>7069</v>
          </cell>
        </row>
        <row r="693">
          <cell r="A693">
            <v>649100</v>
          </cell>
          <cell r="B693" t="str">
            <v>정보이용료</v>
          </cell>
          <cell r="C693">
            <v>726306</v>
          </cell>
          <cell r="D693">
            <v>7263</v>
          </cell>
        </row>
        <row r="694">
          <cell r="A694">
            <v>649900</v>
          </cell>
          <cell r="B694" t="str">
            <v>기타조사분석비</v>
          </cell>
          <cell r="C694">
            <v>726307</v>
          </cell>
          <cell r="D694">
            <v>7263</v>
          </cell>
        </row>
        <row r="695">
          <cell r="A695">
            <v>651100</v>
          </cell>
          <cell r="B695" t="str">
            <v>부서회의비</v>
          </cell>
          <cell r="C695">
            <v>735901</v>
          </cell>
          <cell r="D695">
            <v>7359</v>
          </cell>
        </row>
        <row r="696">
          <cell r="A696">
            <v>651200</v>
          </cell>
          <cell r="B696" t="str">
            <v>업무회의비</v>
          </cell>
          <cell r="C696">
            <v>735902</v>
          </cell>
          <cell r="D696">
            <v>7359</v>
          </cell>
        </row>
        <row r="697">
          <cell r="A697">
            <v>651300</v>
          </cell>
          <cell r="B697" t="str">
            <v>노사협의비</v>
          </cell>
          <cell r="C697">
            <v>735101</v>
          </cell>
          <cell r="D697">
            <v>7351</v>
          </cell>
        </row>
        <row r="698">
          <cell r="A698">
            <v>651410</v>
          </cell>
          <cell r="B698" t="str">
            <v>사내경조사비</v>
          </cell>
          <cell r="C698">
            <v>705301</v>
          </cell>
          <cell r="D698">
            <v>7053</v>
          </cell>
        </row>
        <row r="699">
          <cell r="A699">
            <v>652100</v>
          </cell>
          <cell r="B699" t="str">
            <v>접대비</v>
          </cell>
          <cell r="C699">
            <v>734101</v>
          </cell>
          <cell r="D699">
            <v>7341</v>
          </cell>
        </row>
        <row r="700">
          <cell r="A700">
            <v>653100</v>
          </cell>
          <cell r="B700" t="str">
            <v>사내행사비</v>
          </cell>
          <cell r="C700">
            <v>705403</v>
          </cell>
          <cell r="D700">
            <v>7054</v>
          </cell>
        </row>
        <row r="701">
          <cell r="A701">
            <v>654100</v>
          </cell>
          <cell r="B701" t="str">
            <v>포상비</v>
          </cell>
          <cell r="C701">
            <v>743901</v>
          </cell>
          <cell r="D701">
            <v>7439</v>
          </cell>
        </row>
        <row r="702">
          <cell r="A702">
            <v>655100</v>
          </cell>
          <cell r="B702" t="str">
            <v>잡비</v>
          </cell>
          <cell r="C702">
            <v>743905</v>
          </cell>
          <cell r="D702">
            <v>7439</v>
          </cell>
        </row>
        <row r="703">
          <cell r="A703">
            <v>660100</v>
          </cell>
          <cell r="B703" t="str">
            <v>대손상각비</v>
          </cell>
          <cell r="C703">
            <v>729101</v>
          </cell>
          <cell r="D703">
            <v>7291</v>
          </cell>
        </row>
        <row r="704">
          <cell r="A704">
            <v>661100</v>
          </cell>
          <cell r="B704" t="str">
            <v>부가세미환급금</v>
          </cell>
          <cell r="C704">
            <v>743904</v>
          </cell>
          <cell r="D704">
            <v>7439</v>
          </cell>
        </row>
        <row r="705">
          <cell r="A705">
            <v>662100</v>
          </cell>
          <cell r="B705" t="str">
            <v>경상개발비</v>
          </cell>
          <cell r="C705">
            <v>721101</v>
          </cell>
          <cell r="D705">
            <v>7211</v>
          </cell>
        </row>
        <row r="706">
          <cell r="A706">
            <v>662200</v>
          </cell>
          <cell r="B706" t="str">
            <v>연구개발용역비</v>
          </cell>
          <cell r="C706">
            <v>721102</v>
          </cell>
          <cell r="D706">
            <v>7211</v>
          </cell>
        </row>
        <row r="707">
          <cell r="A707">
            <v>670100</v>
          </cell>
          <cell r="B707" t="str">
            <v>건물상각</v>
          </cell>
          <cell r="C707">
            <v>713101</v>
          </cell>
          <cell r="D707">
            <v>7131</v>
          </cell>
        </row>
        <row r="708">
          <cell r="A708">
            <v>671100</v>
          </cell>
          <cell r="B708" t="str">
            <v>구축물상각</v>
          </cell>
          <cell r="C708">
            <v>713201</v>
          </cell>
          <cell r="D708">
            <v>7132</v>
          </cell>
        </row>
        <row r="709">
          <cell r="A709">
            <v>672100</v>
          </cell>
          <cell r="B709" t="str">
            <v>기계장치상각</v>
          </cell>
          <cell r="C709">
            <v>713401</v>
          </cell>
          <cell r="D709">
            <v>7134</v>
          </cell>
        </row>
        <row r="710">
          <cell r="A710">
            <v>672101</v>
          </cell>
          <cell r="B710" t="str">
            <v>기계장치이월장부가조정-비용</v>
          </cell>
          <cell r="C710">
            <v>713401</v>
          </cell>
          <cell r="D710">
            <v>7134</v>
          </cell>
        </row>
        <row r="711">
          <cell r="A711">
            <v>672110</v>
          </cell>
          <cell r="B711" t="str">
            <v>기계장치상각_복구충당자산</v>
          </cell>
          <cell r="C711">
            <v>713402</v>
          </cell>
          <cell r="D711">
            <v>7134</v>
          </cell>
        </row>
        <row r="712">
          <cell r="A712">
            <v>673100</v>
          </cell>
          <cell r="B712" t="str">
            <v>차량운반구상각</v>
          </cell>
          <cell r="C712">
            <v>713601</v>
          </cell>
          <cell r="D712">
            <v>7136</v>
          </cell>
        </row>
        <row r="713">
          <cell r="A713">
            <v>673101</v>
          </cell>
          <cell r="B713" t="str">
            <v>차량운반구이월장부가조정-비용</v>
          </cell>
          <cell r="C713">
            <v>713601</v>
          </cell>
          <cell r="D713">
            <v>7136</v>
          </cell>
        </row>
        <row r="714">
          <cell r="A714">
            <v>674100</v>
          </cell>
          <cell r="B714" t="str">
            <v>공기구상각</v>
          </cell>
          <cell r="C714">
            <v>713801</v>
          </cell>
          <cell r="D714">
            <v>7138</v>
          </cell>
        </row>
        <row r="715">
          <cell r="A715">
            <v>674101</v>
          </cell>
          <cell r="B715" t="str">
            <v>공기구이월장부가조정-비용</v>
          </cell>
          <cell r="C715">
            <v>713801</v>
          </cell>
          <cell r="D715">
            <v>7138</v>
          </cell>
        </row>
        <row r="716">
          <cell r="A716">
            <v>675100</v>
          </cell>
          <cell r="B716" t="str">
            <v>비품상각</v>
          </cell>
          <cell r="C716">
            <v>713802</v>
          </cell>
          <cell r="D716">
            <v>7138</v>
          </cell>
        </row>
        <row r="717">
          <cell r="A717">
            <v>675101</v>
          </cell>
          <cell r="B717" t="str">
            <v>비품이월장부가조정-비용</v>
          </cell>
          <cell r="C717">
            <v>713802</v>
          </cell>
          <cell r="D717">
            <v>7138</v>
          </cell>
        </row>
        <row r="718">
          <cell r="A718">
            <v>675110</v>
          </cell>
          <cell r="B718" t="str">
            <v>비품상각_복구충당자산</v>
          </cell>
          <cell r="C718">
            <v>713803</v>
          </cell>
          <cell r="D718">
            <v>7138</v>
          </cell>
        </row>
        <row r="719">
          <cell r="A719">
            <v>676100</v>
          </cell>
          <cell r="B719" t="str">
            <v>기타유형고정상각</v>
          </cell>
          <cell r="C719">
            <v>714201</v>
          </cell>
          <cell r="D719">
            <v>7142</v>
          </cell>
        </row>
        <row r="720">
          <cell r="A720">
            <v>676101</v>
          </cell>
          <cell r="B720" t="str">
            <v>기타유형자산이월장부가조정-비용</v>
          </cell>
          <cell r="C720">
            <v>714201</v>
          </cell>
          <cell r="D720">
            <v>7142</v>
          </cell>
        </row>
        <row r="721">
          <cell r="A721">
            <v>677100</v>
          </cell>
          <cell r="B721" t="str">
            <v>영업권상각</v>
          </cell>
          <cell r="C721">
            <v>716101</v>
          </cell>
          <cell r="D721">
            <v>7161</v>
          </cell>
        </row>
        <row r="722">
          <cell r="A722">
            <v>677101</v>
          </cell>
          <cell r="B722" t="str">
            <v>영업권이월장부가조정-비용</v>
          </cell>
          <cell r="C722">
            <v>716101</v>
          </cell>
          <cell r="D722">
            <v>7161</v>
          </cell>
        </row>
        <row r="723">
          <cell r="A723">
            <v>677150</v>
          </cell>
          <cell r="B723" t="str">
            <v>임차권리금상각</v>
          </cell>
          <cell r="C723">
            <v>716102</v>
          </cell>
          <cell r="D723">
            <v>7161</v>
          </cell>
        </row>
        <row r="724">
          <cell r="A724">
            <v>677200</v>
          </cell>
          <cell r="B724" t="str">
            <v>산업재산권상각</v>
          </cell>
          <cell r="C724">
            <v>716103</v>
          </cell>
          <cell r="D724">
            <v>7161</v>
          </cell>
        </row>
        <row r="725">
          <cell r="A725">
            <v>677300</v>
          </cell>
          <cell r="B725" t="str">
            <v>상표권상각</v>
          </cell>
          <cell r="C725">
            <v>716116</v>
          </cell>
          <cell r="D725">
            <v>7161</v>
          </cell>
        </row>
        <row r="726">
          <cell r="A726">
            <v>677400</v>
          </cell>
          <cell r="B726" t="str">
            <v>차지권상각</v>
          </cell>
          <cell r="C726">
            <v>716104</v>
          </cell>
          <cell r="D726">
            <v>7161</v>
          </cell>
        </row>
        <row r="727">
          <cell r="A727">
            <v>677500</v>
          </cell>
          <cell r="B727" t="str">
            <v>고객관계자산상각</v>
          </cell>
          <cell r="C727">
            <v>716105</v>
          </cell>
          <cell r="D727">
            <v>7161</v>
          </cell>
        </row>
        <row r="728">
          <cell r="A728">
            <v>678000</v>
          </cell>
          <cell r="B728" t="str">
            <v>사용수익기부자산상각</v>
          </cell>
          <cell r="C728">
            <v>716110</v>
          </cell>
          <cell r="D728">
            <v>7161</v>
          </cell>
        </row>
        <row r="729">
          <cell r="A729">
            <v>678100</v>
          </cell>
          <cell r="B729" t="str">
            <v>개발비상각</v>
          </cell>
          <cell r="C729">
            <v>716111</v>
          </cell>
          <cell r="D729">
            <v>7161</v>
          </cell>
        </row>
        <row r="730">
          <cell r="A730">
            <v>679000</v>
          </cell>
          <cell r="B730" t="str">
            <v>기타영업권상각</v>
          </cell>
          <cell r="C730">
            <v>716112</v>
          </cell>
          <cell r="D730">
            <v>7161</v>
          </cell>
        </row>
        <row r="731">
          <cell r="A731">
            <v>679200</v>
          </cell>
          <cell r="B731" t="str">
            <v>영화판권상각비</v>
          </cell>
          <cell r="C731">
            <v>716114</v>
          </cell>
          <cell r="D731">
            <v>7161</v>
          </cell>
        </row>
        <row r="732">
          <cell r="A732">
            <v>679900</v>
          </cell>
          <cell r="B732" t="str">
            <v>컴퓨터소프트웨어상각</v>
          </cell>
          <cell r="C732">
            <v>716115</v>
          </cell>
          <cell r="D732">
            <v>7161</v>
          </cell>
        </row>
        <row r="733">
          <cell r="A733">
            <v>680100</v>
          </cell>
          <cell r="B733" t="str">
            <v>국내매출원가-단말기</v>
          </cell>
          <cell r="C733">
            <v>602101</v>
          </cell>
          <cell r="D733">
            <v>6021</v>
          </cell>
        </row>
        <row r="734">
          <cell r="A734">
            <v>680200</v>
          </cell>
          <cell r="B734" t="str">
            <v>국내매출원가-SIM카드</v>
          </cell>
          <cell r="C734">
            <v>602102</v>
          </cell>
          <cell r="D734">
            <v>6021</v>
          </cell>
        </row>
        <row r="735">
          <cell r="A735">
            <v>680300</v>
          </cell>
          <cell r="B735" t="str">
            <v>국내매출원가-상품</v>
          </cell>
          <cell r="C735">
            <v>602103</v>
          </cell>
          <cell r="D735">
            <v>6021</v>
          </cell>
        </row>
        <row r="736">
          <cell r="A736">
            <v>680400</v>
          </cell>
          <cell r="B736" t="str">
            <v>국내매출원가-쇼핑몰</v>
          </cell>
          <cell r="C736">
            <v>602104</v>
          </cell>
          <cell r="D736">
            <v>6021</v>
          </cell>
        </row>
        <row r="737">
          <cell r="A737">
            <v>680500</v>
          </cell>
          <cell r="B737" t="str">
            <v>영화매출원가</v>
          </cell>
          <cell r="C737">
            <v>602905</v>
          </cell>
          <cell r="D737">
            <v>6029</v>
          </cell>
        </row>
        <row r="738">
          <cell r="A738">
            <v>680510</v>
          </cell>
          <cell r="B738" t="str">
            <v>영화성과보수비용</v>
          </cell>
          <cell r="C738">
            <v>602906</v>
          </cell>
          <cell r="D738">
            <v>6029</v>
          </cell>
        </row>
        <row r="739">
          <cell r="A739">
            <v>680600</v>
          </cell>
          <cell r="B739" t="str">
            <v>영화P&amp;A비용</v>
          </cell>
          <cell r="C739">
            <v>602907</v>
          </cell>
          <cell r="D739">
            <v>6029</v>
          </cell>
        </row>
        <row r="740">
          <cell r="A740">
            <v>680700</v>
          </cell>
          <cell r="B740" t="str">
            <v>기타매출원가-미래유통</v>
          </cell>
          <cell r="C740">
            <v>602103</v>
          </cell>
          <cell r="D740">
            <v>6021</v>
          </cell>
        </row>
        <row r="741">
          <cell r="A741">
            <v>682100</v>
          </cell>
          <cell r="B741" t="str">
            <v>투자감액손실-영화</v>
          </cell>
          <cell r="C741">
            <v>602909</v>
          </cell>
          <cell r="D741">
            <v>6029</v>
          </cell>
        </row>
        <row r="742">
          <cell r="A742">
            <v>699900</v>
          </cell>
          <cell r="B742" t="str">
            <v>사내거래비용</v>
          </cell>
          <cell r="C742">
            <v>898211</v>
          </cell>
          <cell r="D742">
            <v>8982</v>
          </cell>
        </row>
        <row r="743">
          <cell r="A743">
            <v>699901</v>
          </cell>
          <cell r="B743" t="str">
            <v>CIC직접귀속비용</v>
          </cell>
          <cell r="C743">
            <v>898221</v>
          </cell>
          <cell r="D743">
            <v>8982</v>
          </cell>
        </row>
        <row r="744">
          <cell r="A744">
            <v>699902</v>
          </cell>
          <cell r="B744" t="str">
            <v>CMS공통비배부</v>
          </cell>
          <cell r="C744">
            <v>898231</v>
          </cell>
          <cell r="D744">
            <v>8982</v>
          </cell>
        </row>
        <row r="745">
          <cell r="A745">
            <v>699903</v>
          </cell>
          <cell r="B745" t="str">
            <v>서비스원가(MNO)</v>
          </cell>
          <cell r="C745">
            <v>898241</v>
          </cell>
          <cell r="D745">
            <v>8982</v>
          </cell>
        </row>
        <row r="746">
          <cell r="A746">
            <v>699904</v>
          </cell>
          <cell r="B746" t="str">
            <v>사내감가상각비배부</v>
          </cell>
          <cell r="C746">
            <v>898251</v>
          </cell>
          <cell r="D746">
            <v>8982</v>
          </cell>
        </row>
        <row r="747">
          <cell r="A747">
            <v>699905</v>
          </cell>
          <cell r="B747" t="str">
            <v>BizSupport거래배부</v>
          </cell>
          <cell r="C747">
            <v>898261</v>
          </cell>
          <cell r="D747">
            <v>8982</v>
          </cell>
        </row>
        <row r="748">
          <cell r="A748">
            <v>800100</v>
          </cell>
          <cell r="B748" t="str">
            <v>수입이자-제예금</v>
          </cell>
          <cell r="C748">
            <v>901201</v>
          </cell>
          <cell r="D748">
            <v>9012</v>
          </cell>
        </row>
        <row r="749">
          <cell r="A749">
            <v>800110</v>
          </cell>
          <cell r="B749" t="str">
            <v>수입이자-유가증권</v>
          </cell>
          <cell r="C749">
            <v>901301</v>
          </cell>
          <cell r="D749">
            <v>9013</v>
          </cell>
        </row>
        <row r="750">
          <cell r="A750">
            <v>800150</v>
          </cell>
          <cell r="B750" t="str">
            <v>수입이자_임차보증금현재가치평가</v>
          </cell>
          <cell r="C750">
            <v>901803</v>
          </cell>
          <cell r="D750">
            <v>9018</v>
          </cell>
        </row>
        <row r="751">
          <cell r="A751">
            <v>800160</v>
          </cell>
          <cell r="B751" t="str">
            <v>수입이자_주임종대여금현재가치평가</v>
          </cell>
          <cell r="C751">
            <v>901804</v>
          </cell>
          <cell r="D751">
            <v>9018</v>
          </cell>
        </row>
        <row r="752">
          <cell r="A752">
            <v>800190</v>
          </cell>
          <cell r="B752" t="str">
            <v>수입이자-기타</v>
          </cell>
          <cell r="C752">
            <v>901901</v>
          </cell>
          <cell r="D752">
            <v>9019</v>
          </cell>
        </row>
        <row r="753">
          <cell r="A753">
            <v>801100</v>
          </cell>
          <cell r="B753" t="str">
            <v>수입배당금</v>
          </cell>
          <cell r="C753">
            <v>902101</v>
          </cell>
          <cell r="D753">
            <v>9021</v>
          </cell>
        </row>
        <row r="754">
          <cell r="A754">
            <v>802120</v>
          </cell>
          <cell r="B754" t="str">
            <v>수입임대료-사옥</v>
          </cell>
          <cell r="C754">
            <v>904103</v>
          </cell>
          <cell r="D754">
            <v>9041</v>
          </cell>
        </row>
        <row r="755">
          <cell r="A755">
            <v>802150</v>
          </cell>
          <cell r="B755" t="str">
            <v>임대료수익_임대보증금현재가치평가</v>
          </cell>
          <cell r="C755">
            <v>904106</v>
          </cell>
          <cell r="D755">
            <v>9041</v>
          </cell>
        </row>
        <row r="756">
          <cell r="A756">
            <v>802190</v>
          </cell>
          <cell r="B756" t="str">
            <v>수입임대료-기타</v>
          </cell>
          <cell r="C756">
            <v>904190</v>
          </cell>
          <cell r="D756">
            <v>9041</v>
          </cell>
        </row>
        <row r="757">
          <cell r="A757">
            <v>803140</v>
          </cell>
          <cell r="B757" t="str">
            <v>수입수수료-장비임대료</v>
          </cell>
          <cell r="C757">
            <v>903904</v>
          </cell>
          <cell r="D757">
            <v>9039</v>
          </cell>
        </row>
        <row r="758">
          <cell r="A758">
            <v>803190</v>
          </cell>
          <cell r="B758" t="str">
            <v>수입수수료-기타</v>
          </cell>
          <cell r="C758">
            <v>903990</v>
          </cell>
          <cell r="D758">
            <v>9039</v>
          </cell>
        </row>
        <row r="759">
          <cell r="A759">
            <v>804100</v>
          </cell>
          <cell r="B759" t="str">
            <v>단기매매증권처분이익</v>
          </cell>
          <cell r="C759">
            <v>908101</v>
          </cell>
          <cell r="D759">
            <v>9081</v>
          </cell>
        </row>
        <row r="760">
          <cell r="A760">
            <v>805100</v>
          </cell>
          <cell r="B760" t="str">
            <v>단기매매증권평가이익</v>
          </cell>
          <cell r="C760">
            <v>907101</v>
          </cell>
          <cell r="D760">
            <v>9071</v>
          </cell>
        </row>
        <row r="761">
          <cell r="A761">
            <v>805200</v>
          </cell>
          <cell r="B761" t="str">
            <v>투자전환사채평가이익_FVTPL</v>
          </cell>
          <cell r="C761">
            <v>907101</v>
          </cell>
          <cell r="D761">
            <v>9071</v>
          </cell>
        </row>
        <row r="762">
          <cell r="A762">
            <v>807100</v>
          </cell>
          <cell r="B762" t="str">
            <v>외환차익-금융</v>
          </cell>
          <cell r="C762">
            <v>905901</v>
          </cell>
          <cell r="D762">
            <v>9059</v>
          </cell>
        </row>
        <row r="763">
          <cell r="A763">
            <v>807110</v>
          </cell>
          <cell r="B763" t="str">
            <v>외환차익-가격차</v>
          </cell>
          <cell r="C763">
            <v>905902</v>
          </cell>
          <cell r="D763">
            <v>9059</v>
          </cell>
        </row>
        <row r="764">
          <cell r="A764">
            <v>807120</v>
          </cell>
          <cell r="B764" t="str">
            <v>외환차익_금융비용자본화</v>
          </cell>
          <cell r="C764">
            <v>905903</v>
          </cell>
          <cell r="D764">
            <v>9059</v>
          </cell>
        </row>
        <row r="765">
          <cell r="A765">
            <v>807130</v>
          </cell>
          <cell r="B765" t="str">
            <v>외환차익-영업자산 및 부채</v>
          </cell>
          <cell r="C765">
            <v>905901</v>
          </cell>
          <cell r="D765">
            <v>9059</v>
          </cell>
        </row>
        <row r="766">
          <cell r="A766">
            <v>808100</v>
          </cell>
          <cell r="B766" t="str">
            <v>외화미지급금환산익</v>
          </cell>
          <cell r="C766">
            <v>906201</v>
          </cell>
          <cell r="D766">
            <v>9062</v>
          </cell>
        </row>
        <row r="767">
          <cell r="A767">
            <v>808110</v>
          </cell>
          <cell r="B767" t="str">
            <v>외화단기차입금환산익</v>
          </cell>
          <cell r="C767">
            <v>906401</v>
          </cell>
          <cell r="D767">
            <v>9064</v>
          </cell>
        </row>
        <row r="768">
          <cell r="A768">
            <v>808120</v>
          </cell>
          <cell r="B768" t="str">
            <v>외화장기차입금환산익</v>
          </cell>
          <cell r="C768">
            <v>906501</v>
          </cell>
          <cell r="D768">
            <v>9065</v>
          </cell>
        </row>
        <row r="769">
          <cell r="A769">
            <v>808130</v>
          </cell>
          <cell r="B769" t="str">
            <v>외화사채환산익</v>
          </cell>
          <cell r="C769">
            <v>906502</v>
          </cell>
          <cell r="D769">
            <v>9065</v>
          </cell>
        </row>
        <row r="770">
          <cell r="A770">
            <v>808140</v>
          </cell>
          <cell r="B770" t="str">
            <v>장기대여금_기타환산이익</v>
          </cell>
          <cell r="C770">
            <v>906202</v>
          </cell>
          <cell r="D770">
            <v>9062</v>
          </cell>
        </row>
        <row r="771">
          <cell r="A771">
            <v>808170</v>
          </cell>
          <cell r="B771" t="str">
            <v>외화환산이익_금융기타</v>
          </cell>
          <cell r="C771">
            <v>906901</v>
          </cell>
          <cell r="D771">
            <v>9069</v>
          </cell>
        </row>
        <row r="772">
          <cell r="A772">
            <v>808190</v>
          </cell>
          <cell r="B772" t="str">
            <v>외화환산이익-영업</v>
          </cell>
          <cell r="C772">
            <v>906901</v>
          </cell>
          <cell r="D772">
            <v>9069</v>
          </cell>
        </row>
        <row r="773">
          <cell r="A773">
            <v>809100</v>
          </cell>
          <cell r="B773" t="str">
            <v>지분법평가이익</v>
          </cell>
          <cell r="C773">
            <v>909101</v>
          </cell>
          <cell r="D773">
            <v>9091</v>
          </cell>
        </row>
        <row r="774">
          <cell r="A774">
            <v>810100</v>
          </cell>
          <cell r="B774" t="str">
            <v>매도가능증권손상차손환입</v>
          </cell>
          <cell r="C774">
            <v>911101</v>
          </cell>
          <cell r="D774">
            <v>9111</v>
          </cell>
        </row>
        <row r="775">
          <cell r="A775">
            <v>810110</v>
          </cell>
          <cell r="B775" t="str">
            <v>만기보유증권손상차손환입</v>
          </cell>
          <cell r="C775">
            <v>911201</v>
          </cell>
          <cell r="D775">
            <v>9112</v>
          </cell>
        </row>
        <row r="776">
          <cell r="A776">
            <v>810120</v>
          </cell>
          <cell r="B776" t="str">
            <v>지분법투자주식손상차손환입</v>
          </cell>
          <cell r="C776">
            <v>911301</v>
          </cell>
          <cell r="D776">
            <v>9113</v>
          </cell>
        </row>
        <row r="777">
          <cell r="A777">
            <v>811100</v>
          </cell>
          <cell r="B777" t="str">
            <v>투자유가증권처분이익</v>
          </cell>
          <cell r="C777">
            <v>908201</v>
          </cell>
          <cell r="D777">
            <v>9082</v>
          </cell>
        </row>
        <row r="778">
          <cell r="A778">
            <v>811200</v>
          </cell>
          <cell r="B778" t="str">
            <v>지분법적용투자주식처분이익</v>
          </cell>
          <cell r="C778">
            <v>910101</v>
          </cell>
          <cell r="D778">
            <v>9101</v>
          </cell>
        </row>
        <row r="779">
          <cell r="A779">
            <v>811300</v>
          </cell>
          <cell r="B779" t="str">
            <v>프로젝트투자이익</v>
          </cell>
          <cell r="C779">
            <v>939307</v>
          </cell>
          <cell r="D779">
            <v>9393</v>
          </cell>
        </row>
        <row r="780">
          <cell r="A780">
            <v>811900</v>
          </cell>
          <cell r="B780" t="str">
            <v>기타투자자산처분익</v>
          </cell>
          <cell r="C780">
            <v>912101</v>
          </cell>
          <cell r="D780">
            <v>9121</v>
          </cell>
        </row>
        <row r="781">
          <cell r="A781">
            <v>812100</v>
          </cell>
          <cell r="B781" t="str">
            <v>유형자산처분익</v>
          </cell>
          <cell r="C781">
            <v>913101</v>
          </cell>
          <cell r="D781">
            <v>9131</v>
          </cell>
        </row>
        <row r="782">
          <cell r="A782">
            <v>812200</v>
          </cell>
          <cell r="B782" t="str">
            <v>무형자산처분익</v>
          </cell>
          <cell r="C782">
            <v>913201</v>
          </cell>
          <cell r="D782">
            <v>9132</v>
          </cell>
        </row>
        <row r="783">
          <cell r="A783">
            <v>813100</v>
          </cell>
          <cell r="B783" t="str">
            <v>사채상환익</v>
          </cell>
          <cell r="C783">
            <v>917101</v>
          </cell>
          <cell r="D783">
            <v>9171</v>
          </cell>
        </row>
        <row r="784">
          <cell r="A784">
            <v>813500</v>
          </cell>
          <cell r="B784" t="str">
            <v>전환사채전환이익</v>
          </cell>
          <cell r="C784">
            <v>939306</v>
          </cell>
          <cell r="D784">
            <v>9393</v>
          </cell>
        </row>
        <row r="785">
          <cell r="A785">
            <v>814100</v>
          </cell>
          <cell r="B785" t="str">
            <v>대손충당금환입</v>
          </cell>
          <cell r="C785">
            <v>918101</v>
          </cell>
          <cell r="D785">
            <v>9181</v>
          </cell>
        </row>
        <row r="786">
          <cell r="A786">
            <v>814510</v>
          </cell>
          <cell r="B786" t="str">
            <v>통화선도평가이익</v>
          </cell>
          <cell r="C786">
            <v>914102</v>
          </cell>
          <cell r="D786">
            <v>9141</v>
          </cell>
        </row>
        <row r="787">
          <cell r="A787">
            <v>814520</v>
          </cell>
          <cell r="B787" t="str">
            <v>통화스왑평가이익</v>
          </cell>
          <cell r="C787">
            <v>914101</v>
          </cell>
          <cell r="D787">
            <v>9141</v>
          </cell>
        </row>
        <row r="788">
          <cell r="A788">
            <v>814530</v>
          </cell>
          <cell r="B788" t="str">
            <v>통화선도거래이익</v>
          </cell>
          <cell r="C788">
            <v>915102</v>
          </cell>
          <cell r="D788">
            <v>9151</v>
          </cell>
        </row>
        <row r="789">
          <cell r="A789">
            <v>814540</v>
          </cell>
          <cell r="B789" t="str">
            <v>통화스왑거래이익</v>
          </cell>
          <cell r="C789">
            <v>915101</v>
          </cell>
          <cell r="D789">
            <v>9151</v>
          </cell>
        </row>
        <row r="790">
          <cell r="A790">
            <v>814550</v>
          </cell>
          <cell r="B790" t="str">
            <v>이자율스왑평가이이익</v>
          </cell>
          <cell r="C790">
            <v>914103</v>
          </cell>
          <cell r="D790">
            <v>9141</v>
          </cell>
        </row>
        <row r="791">
          <cell r="A791">
            <v>814560</v>
          </cell>
          <cell r="B791" t="str">
            <v>이자율스왑거래이익</v>
          </cell>
          <cell r="C791">
            <v>915103</v>
          </cell>
          <cell r="D791">
            <v>9151</v>
          </cell>
        </row>
        <row r="792">
          <cell r="A792">
            <v>814570</v>
          </cell>
          <cell r="B792" t="str">
            <v>통화옵션평가이익</v>
          </cell>
          <cell r="C792">
            <v>914104</v>
          </cell>
          <cell r="D792">
            <v>9141</v>
          </cell>
        </row>
        <row r="793">
          <cell r="A793">
            <v>814580</v>
          </cell>
          <cell r="B793" t="str">
            <v>통화옵션거래이익</v>
          </cell>
          <cell r="C793">
            <v>915104</v>
          </cell>
          <cell r="D793">
            <v>9151</v>
          </cell>
        </row>
        <row r="794">
          <cell r="A794">
            <v>814600</v>
          </cell>
          <cell r="B794" t="str">
            <v>교환사채평가이익</v>
          </cell>
          <cell r="C794">
            <v>926101</v>
          </cell>
          <cell r="D794">
            <v>9261</v>
          </cell>
        </row>
        <row r="795">
          <cell r="A795">
            <v>815100</v>
          </cell>
          <cell r="B795" t="str">
            <v>잡이익-지체상금</v>
          </cell>
          <cell r="C795">
            <v>939301</v>
          </cell>
          <cell r="D795">
            <v>9393</v>
          </cell>
        </row>
        <row r="796">
          <cell r="A796">
            <v>815110</v>
          </cell>
          <cell r="B796" t="str">
            <v>잡이익-불용품매각</v>
          </cell>
          <cell r="C796">
            <v>939302</v>
          </cell>
          <cell r="D796">
            <v>9393</v>
          </cell>
        </row>
        <row r="797">
          <cell r="A797">
            <v>815120</v>
          </cell>
          <cell r="B797" t="str">
            <v>잡이익-위약금</v>
          </cell>
          <cell r="C797">
            <v>939303</v>
          </cell>
          <cell r="D797">
            <v>9393</v>
          </cell>
        </row>
        <row r="798">
          <cell r="A798">
            <v>815190</v>
          </cell>
          <cell r="B798" t="str">
            <v>잡이익-기타</v>
          </cell>
          <cell r="C798">
            <v>939304</v>
          </cell>
          <cell r="D798">
            <v>9393</v>
          </cell>
        </row>
        <row r="799">
          <cell r="A799">
            <v>815199</v>
          </cell>
          <cell r="B799" t="str">
            <v>잡이익조정</v>
          </cell>
          <cell r="C799">
            <v>939305</v>
          </cell>
          <cell r="D799">
            <v>9393</v>
          </cell>
        </row>
        <row r="800">
          <cell r="A800">
            <v>815200</v>
          </cell>
          <cell r="B800" t="str">
            <v>재고실사차익</v>
          </cell>
          <cell r="C800">
            <v>939308</v>
          </cell>
          <cell r="D800">
            <v>9393</v>
          </cell>
        </row>
        <row r="801">
          <cell r="A801">
            <v>817100</v>
          </cell>
          <cell r="B801" t="str">
            <v>기타자산손상차손환입</v>
          </cell>
          <cell r="C801">
            <v>912302</v>
          </cell>
          <cell r="D801">
            <v>9123</v>
          </cell>
        </row>
        <row r="802">
          <cell r="A802">
            <v>817110</v>
          </cell>
          <cell r="B802" t="str">
            <v>유형자산손상차손환입</v>
          </cell>
          <cell r="C802">
            <v>913301</v>
          </cell>
          <cell r="D802">
            <v>9133</v>
          </cell>
        </row>
        <row r="803">
          <cell r="A803">
            <v>817120</v>
          </cell>
          <cell r="B803" t="str">
            <v>무형자산손상차손환입</v>
          </cell>
          <cell r="C803">
            <v>913401</v>
          </cell>
          <cell r="D803">
            <v>9134</v>
          </cell>
        </row>
        <row r="804">
          <cell r="A804">
            <v>820100</v>
          </cell>
          <cell r="B804" t="str">
            <v>지급이자-단기차입</v>
          </cell>
          <cell r="C804">
            <v>951201</v>
          </cell>
          <cell r="D804">
            <v>9512</v>
          </cell>
        </row>
        <row r="805">
          <cell r="A805">
            <v>820110</v>
          </cell>
          <cell r="B805" t="str">
            <v>지급이자-사채</v>
          </cell>
          <cell r="C805">
            <v>953101</v>
          </cell>
          <cell r="D805">
            <v>9531</v>
          </cell>
        </row>
        <row r="806">
          <cell r="A806">
            <v>820120</v>
          </cell>
          <cell r="B806" t="str">
            <v>지급이자-장기차입</v>
          </cell>
          <cell r="C806">
            <v>953201</v>
          </cell>
          <cell r="D806">
            <v>9532</v>
          </cell>
        </row>
        <row r="807">
          <cell r="A807">
            <v>820130</v>
          </cell>
          <cell r="B807" t="str">
            <v>지급이자-사채할인발행차금상각</v>
          </cell>
          <cell r="C807">
            <v>953102</v>
          </cell>
          <cell r="D807">
            <v>9531</v>
          </cell>
        </row>
        <row r="808">
          <cell r="A808">
            <v>820190</v>
          </cell>
          <cell r="B808" t="str">
            <v>지급이자-기타</v>
          </cell>
          <cell r="C808">
            <v>953901</v>
          </cell>
          <cell r="D808">
            <v>9539</v>
          </cell>
        </row>
        <row r="809">
          <cell r="A809">
            <v>820191</v>
          </cell>
          <cell r="B809" t="str">
            <v>지급이자_임대보증금현재가치평가</v>
          </cell>
          <cell r="C809">
            <v>953902</v>
          </cell>
          <cell r="D809">
            <v>9539</v>
          </cell>
        </row>
        <row r="810">
          <cell r="A810">
            <v>820192</v>
          </cell>
          <cell r="B810" t="str">
            <v>지급이자_복구충당부채현재가치평가</v>
          </cell>
          <cell r="C810">
            <v>953903</v>
          </cell>
          <cell r="D810">
            <v>9539</v>
          </cell>
        </row>
        <row r="811">
          <cell r="A811">
            <v>820193</v>
          </cell>
          <cell r="B811" t="str">
            <v>지급이자_금융비용자본화</v>
          </cell>
          <cell r="C811">
            <v>953904</v>
          </cell>
          <cell r="D811">
            <v>9539</v>
          </cell>
        </row>
        <row r="812">
          <cell r="A812">
            <v>821100</v>
          </cell>
          <cell r="B812" t="str">
            <v>기타의 대손상각-미수금</v>
          </cell>
          <cell r="C812">
            <v>968101</v>
          </cell>
          <cell r="D812">
            <v>9681</v>
          </cell>
        </row>
        <row r="813">
          <cell r="A813">
            <v>821110</v>
          </cell>
          <cell r="B813" t="str">
            <v>기타의 대손상각-대여금</v>
          </cell>
          <cell r="C813">
            <v>968102</v>
          </cell>
          <cell r="D813">
            <v>9681</v>
          </cell>
        </row>
        <row r="814">
          <cell r="A814">
            <v>821120</v>
          </cell>
          <cell r="B814" t="str">
            <v>기타의 대손상각-임차보증금</v>
          </cell>
          <cell r="C814">
            <v>968103</v>
          </cell>
          <cell r="D814">
            <v>9681</v>
          </cell>
        </row>
        <row r="815">
          <cell r="A815">
            <v>821190</v>
          </cell>
          <cell r="B815" t="str">
            <v>기타의 대손상각-기타</v>
          </cell>
          <cell r="C815">
            <v>968190</v>
          </cell>
          <cell r="D815">
            <v>9681</v>
          </cell>
        </row>
        <row r="816">
          <cell r="A816">
            <v>822100</v>
          </cell>
          <cell r="B816" t="str">
            <v>단기매매증권처분손실</v>
          </cell>
          <cell r="C816">
            <v>957101</v>
          </cell>
          <cell r="D816">
            <v>9571</v>
          </cell>
        </row>
        <row r="817">
          <cell r="A817">
            <v>823100</v>
          </cell>
          <cell r="B817" t="str">
            <v>단기매매증권평가손실</v>
          </cell>
          <cell r="C817">
            <v>956101</v>
          </cell>
          <cell r="D817">
            <v>9561</v>
          </cell>
        </row>
        <row r="818">
          <cell r="A818">
            <v>823200</v>
          </cell>
          <cell r="B818" t="str">
            <v>투자전환사채평가손실_FVTPL</v>
          </cell>
          <cell r="C818">
            <v>956101</v>
          </cell>
          <cell r="D818">
            <v>9561</v>
          </cell>
        </row>
        <row r="819">
          <cell r="A819">
            <v>824100</v>
          </cell>
          <cell r="B819" t="str">
            <v>특별퇴직급여</v>
          </cell>
          <cell r="C819">
            <v>979902</v>
          </cell>
          <cell r="D819">
            <v>9799</v>
          </cell>
        </row>
        <row r="820">
          <cell r="A820">
            <v>825100</v>
          </cell>
          <cell r="B820" t="str">
            <v>재고자산처분손실</v>
          </cell>
          <cell r="C820">
            <v>979903</v>
          </cell>
          <cell r="D820">
            <v>9799</v>
          </cell>
        </row>
        <row r="821">
          <cell r="A821">
            <v>825200</v>
          </cell>
          <cell r="B821" t="str">
            <v>미수금매각손실</v>
          </cell>
          <cell r="C821">
            <v>979904</v>
          </cell>
          <cell r="D821">
            <v>9799</v>
          </cell>
        </row>
        <row r="822">
          <cell r="A822">
            <v>826100</v>
          </cell>
          <cell r="B822" t="str">
            <v>외환차손-금융</v>
          </cell>
          <cell r="C822">
            <v>954901</v>
          </cell>
          <cell r="D822">
            <v>9549</v>
          </cell>
        </row>
        <row r="823">
          <cell r="A823">
            <v>826110</v>
          </cell>
          <cell r="B823" t="str">
            <v>외환차손-가격차</v>
          </cell>
          <cell r="C823">
            <v>954902</v>
          </cell>
          <cell r="D823">
            <v>9549</v>
          </cell>
        </row>
        <row r="824">
          <cell r="A824">
            <v>826120</v>
          </cell>
          <cell r="B824" t="str">
            <v>외환차손_금융비용자본화</v>
          </cell>
          <cell r="C824">
            <v>954903</v>
          </cell>
          <cell r="D824">
            <v>9549</v>
          </cell>
        </row>
        <row r="825">
          <cell r="A825">
            <v>826130</v>
          </cell>
          <cell r="B825" t="str">
            <v>외환차손-영업자산 및 부채</v>
          </cell>
          <cell r="C825">
            <v>954901</v>
          </cell>
          <cell r="D825">
            <v>9549</v>
          </cell>
        </row>
        <row r="826">
          <cell r="A826">
            <v>827100</v>
          </cell>
          <cell r="B826" t="str">
            <v>외화미지급금환산손실</v>
          </cell>
          <cell r="C826">
            <v>955201</v>
          </cell>
          <cell r="D826">
            <v>9552</v>
          </cell>
        </row>
        <row r="827">
          <cell r="A827">
            <v>827110</v>
          </cell>
          <cell r="B827" t="str">
            <v>외화단기차입금환산손실</v>
          </cell>
          <cell r="C827">
            <v>955401</v>
          </cell>
          <cell r="D827">
            <v>9554</v>
          </cell>
        </row>
        <row r="828">
          <cell r="A828">
            <v>827120</v>
          </cell>
          <cell r="B828" t="str">
            <v>외화장기차입금환산손실</v>
          </cell>
          <cell r="C828">
            <v>955501</v>
          </cell>
          <cell r="D828">
            <v>9555</v>
          </cell>
        </row>
        <row r="829">
          <cell r="A829">
            <v>827130</v>
          </cell>
          <cell r="B829" t="str">
            <v>외화사채환산손실</v>
          </cell>
          <cell r="C829">
            <v>955502</v>
          </cell>
          <cell r="D829">
            <v>9555</v>
          </cell>
        </row>
        <row r="830">
          <cell r="A830">
            <v>827140</v>
          </cell>
          <cell r="B830" t="str">
            <v>장기대여금_기타환산손실</v>
          </cell>
          <cell r="C830">
            <v>955202</v>
          </cell>
          <cell r="D830">
            <v>9552</v>
          </cell>
        </row>
        <row r="831">
          <cell r="A831">
            <v>827160</v>
          </cell>
          <cell r="B831" t="str">
            <v>외화환산손_금융비용자본화</v>
          </cell>
          <cell r="C831">
            <v>955504</v>
          </cell>
          <cell r="D831">
            <v>9555</v>
          </cell>
        </row>
        <row r="832">
          <cell r="A832">
            <v>827170</v>
          </cell>
          <cell r="B832" t="str">
            <v>외화환산손실_금융기타</v>
          </cell>
          <cell r="C832">
            <v>955901</v>
          </cell>
          <cell r="D832">
            <v>9559</v>
          </cell>
        </row>
        <row r="833">
          <cell r="A833">
            <v>827190</v>
          </cell>
          <cell r="B833" t="str">
            <v>외화환산손실-영업</v>
          </cell>
          <cell r="C833">
            <v>955901</v>
          </cell>
          <cell r="D833">
            <v>9559</v>
          </cell>
        </row>
        <row r="834">
          <cell r="A834">
            <v>828100</v>
          </cell>
          <cell r="B834" t="str">
            <v>연구개발출연금</v>
          </cell>
          <cell r="C834">
            <v>966903</v>
          </cell>
          <cell r="D834">
            <v>9669</v>
          </cell>
        </row>
        <row r="835">
          <cell r="A835">
            <v>829100</v>
          </cell>
          <cell r="B835" t="str">
            <v>법정기부금</v>
          </cell>
          <cell r="C835">
            <v>966101</v>
          </cell>
          <cell r="D835">
            <v>9661</v>
          </cell>
        </row>
        <row r="836">
          <cell r="A836">
            <v>829110</v>
          </cell>
          <cell r="B836" t="str">
            <v>출연금</v>
          </cell>
          <cell r="C836">
            <v>966902</v>
          </cell>
          <cell r="D836">
            <v>9669</v>
          </cell>
        </row>
        <row r="837">
          <cell r="A837">
            <v>829200</v>
          </cell>
          <cell r="B837" t="str">
            <v>지정기부금</v>
          </cell>
          <cell r="C837">
            <v>966201</v>
          </cell>
          <cell r="D837">
            <v>9662</v>
          </cell>
        </row>
        <row r="838">
          <cell r="A838">
            <v>829300</v>
          </cell>
          <cell r="B838" t="str">
            <v>기타기부금</v>
          </cell>
          <cell r="C838">
            <v>966901</v>
          </cell>
          <cell r="D838">
            <v>9669</v>
          </cell>
        </row>
        <row r="839">
          <cell r="A839">
            <v>830100</v>
          </cell>
          <cell r="B839" t="str">
            <v>지분법평가손실</v>
          </cell>
          <cell r="C839">
            <v>958101</v>
          </cell>
          <cell r="D839">
            <v>9581</v>
          </cell>
        </row>
        <row r="840">
          <cell r="A840">
            <v>831100</v>
          </cell>
          <cell r="B840" t="str">
            <v>매도가능증권손상차손</v>
          </cell>
          <cell r="C840">
            <v>960101</v>
          </cell>
          <cell r="D840">
            <v>9601</v>
          </cell>
        </row>
        <row r="841">
          <cell r="A841">
            <v>831110</v>
          </cell>
          <cell r="B841" t="str">
            <v>만기보유증권손상차손</v>
          </cell>
          <cell r="C841">
            <v>960201</v>
          </cell>
          <cell r="D841">
            <v>9602</v>
          </cell>
        </row>
        <row r="842">
          <cell r="A842">
            <v>831120</v>
          </cell>
          <cell r="B842" t="str">
            <v>지분법주식손상차손</v>
          </cell>
          <cell r="C842">
            <v>960301</v>
          </cell>
          <cell r="D842">
            <v>9603</v>
          </cell>
        </row>
        <row r="843">
          <cell r="A843">
            <v>832100</v>
          </cell>
          <cell r="B843" t="str">
            <v>투자유가증권처분손실</v>
          </cell>
          <cell r="C843">
            <v>957201</v>
          </cell>
          <cell r="D843">
            <v>9572</v>
          </cell>
        </row>
        <row r="844">
          <cell r="A844">
            <v>832150</v>
          </cell>
          <cell r="B844" t="str">
            <v>지분법적용투자주식처분손실</v>
          </cell>
          <cell r="C844">
            <v>959101</v>
          </cell>
          <cell r="D844">
            <v>9591</v>
          </cell>
        </row>
        <row r="845">
          <cell r="A845">
            <v>832190</v>
          </cell>
          <cell r="B845" t="str">
            <v>프로젝트투자손실</v>
          </cell>
          <cell r="C845">
            <v>961101</v>
          </cell>
          <cell r="D845">
            <v>9611</v>
          </cell>
        </row>
        <row r="846">
          <cell r="A846">
            <v>832200</v>
          </cell>
          <cell r="B846" t="str">
            <v>기타투자자산처분손</v>
          </cell>
          <cell r="C846">
            <v>961101</v>
          </cell>
          <cell r="D846">
            <v>9611</v>
          </cell>
        </row>
        <row r="847">
          <cell r="A847">
            <v>833100</v>
          </cell>
          <cell r="B847" t="str">
            <v>유형자산처분손실</v>
          </cell>
          <cell r="C847">
            <v>962101</v>
          </cell>
          <cell r="D847">
            <v>9621</v>
          </cell>
        </row>
        <row r="848">
          <cell r="A848">
            <v>833200</v>
          </cell>
          <cell r="B848" t="str">
            <v>무형자산처분손실</v>
          </cell>
          <cell r="C848">
            <v>962201</v>
          </cell>
          <cell r="D848">
            <v>9622</v>
          </cell>
        </row>
        <row r="849">
          <cell r="A849">
            <v>834100</v>
          </cell>
          <cell r="B849" t="str">
            <v>사채상환손</v>
          </cell>
          <cell r="C849">
            <v>967401</v>
          </cell>
          <cell r="D849">
            <v>9674</v>
          </cell>
        </row>
        <row r="850">
          <cell r="A850">
            <v>834510</v>
          </cell>
          <cell r="B850" t="str">
            <v>통화선도평가손실</v>
          </cell>
          <cell r="C850">
            <v>963103</v>
          </cell>
          <cell r="D850">
            <v>9631</v>
          </cell>
        </row>
        <row r="851">
          <cell r="A851">
            <v>834520</v>
          </cell>
          <cell r="B851" t="str">
            <v>통화스왑평가손실</v>
          </cell>
          <cell r="C851">
            <v>963101</v>
          </cell>
          <cell r="D851">
            <v>9631</v>
          </cell>
        </row>
        <row r="852">
          <cell r="A852">
            <v>834530</v>
          </cell>
          <cell r="B852" t="str">
            <v>통화선도거래손실</v>
          </cell>
          <cell r="C852">
            <v>964103</v>
          </cell>
          <cell r="D852">
            <v>9641</v>
          </cell>
        </row>
        <row r="853">
          <cell r="A853">
            <v>834540</v>
          </cell>
          <cell r="B853" t="str">
            <v>통화스왑거래손실</v>
          </cell>
          <cell r="C853">
            <v>964101</v>
          </cell>
          <cell r="D853">
            <v>9641</v>
          </cell>
        </row>
        <row r="854">
          <cell r="A854">
            <v>834550</v>
          </cell>
          <cell r="B854" t="str">
            <v>이자율스왑평가손실</v>
          </cell>
          <cell r="C854">
            <v>963102</v>
          </cell>
          <cell r="D854">
            <v>9631</v>
          </cell>
        </row>
        <row r="855">
          <cell r="A855">
            <v>834560</v>
          </cell>
          <cell r="B855" t="str">
            <v>이자율스왑거래손실</v>
          </cell>
          <cell r="C855">
            <v>964102</v>
          </cell>
          <cell r="D855">
            <v>9641</v>
          </cell>
        </row>
        <row r="856">
          <cell r="A856">
            <v>834570</v>
          </cell>
          <cell r="B856" t="str">
            <v>통화옵션평가손실</v>
          </cell>
          <cell r="C856">
            <v>963104</v>
          </cell>
          <cell r="D856">
            <v>9631</v>
          </cell>
        </row>
        <row r="857">
          <cell r="A857">
            <v>834580</v>
          </cell>
          <cell r="B857" t="str">
            <v>통화옵션거래손실</v>
          </cell>
          <cell r="C857">
            <v>964104</v>
          </cell>
          <cell r="D857">
            <v>9641</v>
          </cell>
        </row>
        <row r="858">
          <cell r="A858">
            <v>834600</v>
          </cell>
          <cell r="B858" t="str">
            <v>교환사채평가손실</v>
          </cell>
          <cell r="C858">
            <v>975101</v>
          </cell>
          <cell r="D858">
            <v>9751</v>
          </cell>
        </row>
        <row r="859">
          <cell r="A859">
            <v>835100</v>
          </cell>
          <cell r="B859" t="str">
            <v>잡손실</v>
          </cell>
          <cell r="C859">
            <v>979908</v>
          </cell>
          <cell r="D859">
            <v>9799</v>
          </cell>
        </row>
        <row r="860">
          <cell r="A860">
            <v>835109</v>
          </cell>
          <cell r="B860" t="str">
            <v>잡손실조정</v>
          </cell>
          <cell r="C860">
            <v>979909</v>
          </cell>
          <cell r="D860">
            <v>9799</v>
          </cell>
        </row>
        <row r="861">
          <cell r="A861">
            <v>835200</v>
          </cell>
          <cell r="B861" t="str">
            <v>재고실사차손</v>
          </cell>
          <cell r="C861">
            <v>979906</v>
          </cell>
          <cell r="D861">
            <v>9799</v>
          </cell>
        </row>
        <row r="862">
          <cell r="A862">
            <v>837100</v>
          </cell>
          <cell r="B862" t="str">
            <v>기타자산손상차손</v>
          </cell>
          <cell r="C862">
            <v>961301</v>
          </cell>
          <cell r="D862">
            <v>9613</v>
          </cell>
        </row>
        <row r="863">
          <cell r="A863">
            <v>837110</v>
          </cell>
          <cell r="B863" t="str">
            <v>유형자산손상차손</v>
          </cell>
          <cell r="C863">
            <v>962301</v>
          </cell>
          <cell r="D863">
            <v>9623</v>
          </cell>
        </row>
        <row r="864">
          <cell r="A864">
            <v>837120</v>
          </cell>
          <cell r="B864" t="str">
            <v>유형자산폐기손실_복구충당부채</v>
          </cell>
          <cell r="C864">
            <v>962501</v>
          </cell>
          <cell r="D864">
            <v>9625</v>
          </cell>
        </row>
        <row r="865">
          <cell r="A865">
            <v>837130</v>
          </cell>
          <cell r="B865" t="str">
            <v>무형자산손상차손</v>
          </cell>
          <cell r="C865">
            <v>962401</v>
          </cell>
          <cell r="D865">
            <v>9624</v>
          </cell>
        </row>
        <row r="866">
          <cell r="A866">
            <v>840100</v>
          </cell>
          <cell r="B866" t="str">
            <v>자산수증이익</v>
          </cell>
          <cell r="C866">
            <v>923101</v>
          </cell>
          <cell r="D866">
            <v>9231</v>
          </cell>
        </row>
        <row r="867">
          <cell r="A867">
            <v>840200</v>
          </cell>
          <cell r="B867" t="str">
            <v>채무면제이익</v>
          </cell>
          <cell r="C867">
            <v>924101</v>
          </cell>
          <cell r="D867">
            <v>9241</v>
          </cell>
        </row>
        <row r="868">
          <cell r="A868">
            <v>840300</v>
          </cell>
          <cell r="B868" t="str">
            <v>보험차익</v>
          </cell>
          <cell r="C868">
            <v>925101</v>
          </cell>
          <cell r="D868">
            <v>9251</v>
          </cell>
        </row>
        <row r="869">
          <cell r="A869">
            <v>841100</v>
          </cell>
          <cell r="B869" t="str">
            <v>재해손실</v>
          </cell>
          <cell r="C869">
            <v>979907</v>
          </cell>
          <cell r="D869">
            <v>9799</v>
          </cell>
        </row>
        <row r="870">
          <cell r="A870">
            <v>849100</v>
          </cell>
          <cell r="B870" t="str">
            <v>법인세</v>
          </cell>
          <cell r="C870">
            <v>996101</v>
          </cell>
          <cell r="D870">
            <v>9961</v>
          </cell>
        </row>
        <row r="871">
          <cell r="A871">
            <v>849200</v>
          </cell>
          <cell r="B871" t="str">
            <v>주민세</v>
          </cell>
          <cell r="C871">
            <v>996102</v>
          </cell>
          <cell r="D871">
            <v>9961</v>
          </cell>
        </row>
        <row r="872">
          <cell r="A872">
            <v>849300</v>
          </cell>
          <cell r="B872" t="str">
            <v>농특세</v>
          </cell>
          <cell r="C872">
            <v>996103</v>
          </cell>
          <cell r="D872">
            <v>9961</v>
          </cell>
        </row>
        <row r="873">
          <cell r="A873">
            <v>849900</v>
          </cell>
          <cell r="B873" t="str">
            <v>CIC법인세</v>
          </cell>
          <cell r="C873">
            <v>898511</v>
          </cell>
          <cell r="D873">
            <v>8985</v>
          </cell>
        </row>
        <row r="874">
          <cell r="A874">
            <v>899900</v>
          </cell>
          <cell r="B874" t="str">
            <v>사내수입이자</v>
          </cell>
          <cell r="C874">
            <v>898311</v>
          </cell>
          <cell r="D874">
            <v>8983</v>
          </cell>
        </row>
        <row r="875">
          <cell r="A875">
            <v>899950</v>
          </cell>
          <cell r="B875" t="str">
            <v>사내지급이자</v>
          </cell>
          <cell r="C875">
            <v>898411</v>
          </cell>
          <cell r="D875">
            <v>8984</v>
          </cell>
        </row>
        <row r="876">
          <cell r="A876">
            <v>899960</v>
          </cell>
          <cell r="B876" t="str">
            <v>CIC직접비용_영업외</v>
          </cell>
          <cell r="C876">
            <v>898421</v>
          </cell>
          <cell r="D876">
            <v>8984</v>
          </cell>
        </row>
        <row r="877">
          <cell r="A877">
            <v>931000</v>
          </cell>
          <cell r="B877" t="str">
            <v>Svc Platform</v>
          </cell>
          <cell r="C877">
            <v>831400</v>
          </cell>
          <cell r="D877">
            <v>8314</v>
          </cell>
        </row>
        <row r="878">
          <cell r="A878">
            <v>932000</v>
          </cell>
          <cell r="B878" t="str">
            <v>New Media</v>
          </cell>
          <cell r="C878">
            <v>831400</v>
          </cell>
          <cell r="D878">
            <v>8314</v>
          </cell>
        </row>
        <row r="879">
          <cell r="A879">
            <v>933000</v>
          </cell>
          <cell r="B879" t="str">
            <v>플래폼 기술원</v>
          </cell>
          <cell r="C879">
            <v>831000</v>
          </cell>
          <cell r="D879">
            <v>8310</v>
          </cell>
        </row>
        <row r="880">
          <cell r="A880">
            <v>935000</v>
          </cell>
          <cell r="B880" t="str">
            <v>미래유통</v>
          </cell>
          <cell r="C880">
            <v>831400</v>
          </cell>
          <cell r="D880">
            <v>8314</v>
          </cell>
        </row>
        <row r="881">
          <cell r="A881">
            <v>937000</v>
          </cell>
          <cell r="B881" t="str">
            <v>CMS</v>
          </cell>
          <cell r="C881">
            <v>831000</v>
          </cell>
          <cell r="D881">
            <v>8310</v>
          </cell>
        </row>
        <row r="882">
          <cell r="A882">
            <v>970100</v>
          </cell>
          <cell r="B882" t="str">
            <v>자금이체조정-본사</v>
          </cell>
          <cell r="C882">
            <v>870100</v>
          </cell>
          <cell r="D882">
            <v>8701</v>
          </cell>
        </row>
        <row r="883">
          <cell r="A883">
            <v>970101</v>
          </cell>
          <cell r="B883" t="str">
            <v>자금이체조정-지사</v>
          </cell>
          <cell r="C883">
            <v>870101</v>
          </cell>
          <cell r="D883">
            <v>8701</v>
          </cell>
        </row>
        <row r="884">
          <cell r="A884">
            <v>970102</v>
          </cell>
          <cell r="B884" t="str">
            <v>자금이체조정-지점</v>
          </cell>
          <cell r="C884">
            <v>870102</v>
          </cell>
          <cell r="D884">
            <v>8701</v>
          </cell>
        </row>
        <row r="885">
          <cell r="A885">
            <v>970103</v>
          </cell>
          <cell r="B885" t="str">
            <v>자금이체조정-영업센타</v>
          </cell>
          <cell r="C885">
            <v>870103</v>
          </cell>
          <cell r="D885">
            <v>8701</v>
          </cell>
        </row>
        <row r="886">
          <cell r="A886">
            <v>970200</v>
          </cell>
          <cell r="B886" t="str">
            <v>자금이체조정</v>
          </cell>
          <cell r="C886">
            <v>870200</v>
          </cell>
          <cell r="D886">
            <v>8702</v>
          </cell>
        </row>
        <row r="887">
          <cell r="A887">
            <v>970300</v>
          </cell>
          <cell r="B887" t="str">
            <v>파생 조정계정</v>
          </cell>
          <cell r="C887">
            <v>870300</v>
          </cell>
          <cell r="D887">
            <v>8703</v>
          </cell>
        </row>
        <row r="888">
          <cell r="A888">
            <v>970400</v>
          </cell>
          <cell r="B888" t="str">
            <v>자금미지급금조정계정</v>
          </cell>
          <cell r="C888">
            <v>870400</v>
          </cell>
          <cell r="D888">
            <v>8704</v>
          </cell>
        </row>
        <row r="889">
          <cell r="A889">
            <v>970401</v>
          </cell>
          <cell r="B889" t="str">
            <v>자금미수금조정계정</v>
          </cell>
          <cell r="C889">
            <v>870401</v>
          </cell>
          <cell r="D889">
            <v>8704</v>
          </cell>
        </row>
        <row r="890">
          <cell r="A890">
            <v>971000</v>
          </cell>
          <cell r="B890" t="str">
            <v>자산매각액</v>
          </cell>
          <cell r="C890">
            <v>898901</v>
          </cell>
          <cell r="D890">
            <v>8989</v>
          </cell>
        </row>
        <row r="891">
          <cell r="A891">
            <v>971001</v>
          </cell>
          <cell r="B891" t="str">
            <v>자산매각액조정</v>
          </cell>
          <cell r="C891">
            <v>871001</v>
          </cell>
          <cell r="D891">
            <v>8710</v>
          </cell>
        </row>
        <row r="892">
          <cell r="A892">
            <v>971002</v>
          </cell>
          <cell r="B892" t="str">
            <v>자산처분조정</v>
          </cell>
          <cell r="C892">
            <v>871002</v>
          </cell>
          <cell r="D892">
            <v>8710</v>
          </cell>
        </row>
        <row r="893">
          <cell r="A893">
            <v>971003</v>
          </cell>
          <cell r="B893" t="str">
            <v>자산취득조정</v>
          </cell>
          <cell r="C893">
            <v>871003</v>
          </cell>
          <cell r="D893">
            <v>8710</v>
          </cell>
        </row>
        <row r="894">
          <cell r="A894">
            <v>971101</v>
          </cell>
          <cell r="B894" t="str">
            <v>세무용 감가상각충당금</v>
          </cell>
          <cell r="C894">
            <v>871101</v>
          </cell>
          <cell r="D894">
            <v>8711</v>
          </cell>
        </row>
        <row r="895">
          <cell r="A895">
            <v>971201</v>
          </cell>
          <cell r="B895" t="str">
            <v>세무용 감가상각비</v>
          </cell>
          <cell r="C895">
            <v>871201</v>
          </cell>
          <cell r="D895">
            <v>8712</v>
          </cell>
        </row>
        <row r="896">
          <cell r="A896">
            <v>971300</v>
          </cell>
          <cell r="B896" t="str">
            <v>토지(BA조정)</v>
          </cell>
          <cell r="C896">
            <v>261102</v>
          </cell>
          <cell r="D896">
            <v>2611</v>
          </cell>
        </row>
        <row r="897">
          <cell r="A897">
            <v>971310</v>
          </cell>
          <cell r="B897" t="str">
            <v>건물(BA조정)</v>
          </cell>
          <cell r="C897">
            <v>262102</v>
          </cell>
          <cell r="D897">
            <v>2621</v>
          </cell>
        </row>
        <row r="898">
          <cell r="A898">
            <v>971311</v>
          </cell>
          <cell r="B898" t="str">
            <v>건물누계(BA조정)</v>
          </cell>
          <cell r="C898">
            <v>262202</v>
          </cell>
          <cell r="D898">
            <v>2622</v>
          </cell>
        </row>
        <row r="899">
          <cell r="A899">
            <v>971320</v>
          </cell>
          <cell r="B899" t="str">
            <v>구축물(BA조정)</v>
          </cell>
          <cell r="C899">
            <v>263102</v>
          </cell>
          <cell r="D899">
            <v>2631</v>
          </cell>
        </row>
        <row r="900">
          <cell r="A900">
            <v>971321</v>
          </cell>
          <cell r="B900" t="str">
            <v>구축물누계(BA조정)</v>
          </cell>
          <cell r="C900">
            <v>263202</v>
          </cell>
          <cell r="D900">
            <v>2632</v>
          </cell>
        </row>
        <row r="901">
          <cell r="A901">
            <v>971330</v>
          </cell>
          <cell r="B901" t="str">
            <v>기계장치(BA조정)</v>
          </cell>
          <cell r="C901">
            <v>265102</v>
          </cell>
          <cell r="D901">
            <v>2651</v>
          </cell>
        </row>
        <row r="902">
          <cell r="A902">
            <v>971331</v>
          </cell>
          <cell r="B902" t="str">
            <v>기계장치누계(BA조정)</v>
          </cell>
          <cell r="C902">
            <v>265202</v>
          </cell>
          <cell r="D902">
            <v>2652</v>
          </cell>
        </row>
        <row r="903">
          <cell r="A903">
            <v>971340</v>
          </cell>
          <cell r="B903" t="str">
            <v>차량운반구(BA조정)</v>
          </cell>
          <cell r="C903">
            <v>267102</v>
          </cell>
          <cell r="D903">
            <v>2671</v>
          </cell>
        </row>
        <row r="904">
          <cell r="A904">
            <v>971341</v>
          </cell>
          <cell r="B904" t="str">
            <v>차량운반구누계(BA조정)</v>
          </cell>
          <cell r="C904">
            <v>267201</v>
          </cell>
          <cell r="D904">
            <v>2672</v>
          </cell>
        </row>
        <row r="905">
          <cell r="A905">
            <v>971350</v>
          </cell>
          <cell r="B905" t="str">
            <v>공기구(BA조정)</v>
          </cell>
          <cell r="C905">
            <v>269102</v>
          </cell>
          <cell r="D905">
            <v>2691</v>
          </cell>
        </row>
        <row r="906">
          <cell r="A906">
            <v>971351</v>
          </cell>
          <cell r="B906" t="str">
            <v>공기구누계(BA조정)</v>
          </cell>
          <cell r="C906">
            <v>269203</v>
          </cell>
          <cell r="D906">
            <v>2692</v>
          </cell>
        </row>
        <row r="907">
          <cell r="A907">
            <v>971360</v>
          </cell>
          <cell r="B907" t="str">
            <v>비품(BA조정)</v>
          </cell>
          <cell r="C907">
            <v>269113</v>
          </cell>
          <cell r="D907">
            <v>2691</v>
          </cell>
        </row>
        <row r="908">
          <cell r="A908">
            <v>971361</v>
          </cell>
          <cell r="B908" t="str">
            <v>비품누계(BA조정)</v>
          </cell>
          <cell r="C908">
            <v>269204</v>
          </cell>
          <cell r="D908">
            <v>2692</v>
          </cell>
        </row>
        <row r="909">
          <cell r="A909">
            <v>971370</v>
          </cell>
          <cell r="B909" t="str">
            <v>기타유형자산(BA조정)</v>
          </cell>
          <cell r="C909">
            <v>272111</v>
          </cell>
          <cell r="D909">
            <v>2721</v>
          </cell>
        </row>
        <row r="910">
          <cell r="A910">
            <v>971371</v>
          </cell>
          <cell r="B910" t="str">
            <v>기타유형누계(BA조정)</v>
          </cell>
          <cell r="C910">
            <v>272202</v>
          </cell>
          <cell r="D910">
            <v>2722</v>
          </cell>
        </row>
        <row r="911">
          <cell r="A911">
            <v>971410</v>
          </cell>
          <cell r="B911" t="str">
            <v>영업권(BA조정)</v>
          </cell>
          <cell r="C911">
            <v>278203</v>
          </cell>
          <cell r="D911">
            <v>2782</v>
          </cell>
        </row>
        <row r="912">
          <cell r="A912">
            <v>971411</v>
          </cell>
          <cell r="B912" t="str">
            <v>산업재산권(BA조정)</v>
          </cell>
          <cell r="C912">
            <v>278502</v>
          </cell>
          <cell r="D912">
            <v>2785</v>
          </cell>
        </row>
        <row r="913">
          <cell r="A913">
            <v>971412</v>
          </cell>
          <cell r="B913" t="str">
            <v>차지권(BA조정)</v>
          </cell>
          <cell r="C913">
            <v>278905</v>
          </cell>
          <cell r="D913">
            <v>2789</v>
          </cell>
        </row>
        <row r="914">
          <cell r="A914">
            <v>971413</v>
          </cell>
          <cell r="B914" t="str">
            <v>개발비(BA조정)</v>
          </cell>
          <cell r="C914">
            <v>278102</v>
          </cell>
          <cell r="D914">
            <v>2781</v>
          </cell>
        </row>
        <row r="915">
          <cell r="A915">
            <v>971419</v>
          </cell>
          <cell r="B915" t="str">
            <v>사용수익기부자산(BA조정)</v>
          </cell>
          <cell r="C915">
            <v>278906</v>
          </cell>
          <cell r="D915">
            <v>2789</v>
          </cell>
        </row>
        <row r="916">
          <cell r="A916">
            <v>971420</v>
          </cell>
          <cell r="B916" t="str">
            <v>컴퓨터소프트웨어(BA조정)</v>
          </cell>
          <cell r="C916">
            <v>278906</v>
          </cell>
          <cell r="D916">
            <v>2789</v>
          </cell>
        </row>
        <row r="917">
          <cell r="A917">
            <v>971421</v>
          </cell>
          <cell r="B917" t="str">
            <v>임차권리금(BA조정)</v>
          </cell>
          <cell r="C917">
            <v>278602</v>
          </cell>
          <cell r="D917">
            <v>2786</v>
          </cell>
        </row>
        <row r="918">
          <cell r="A918">
            <v>971422</v>
          </cell>
          <cell r="B918" t="str">
            <v>기타영업권(BA조정)</v>
          </cell>
          <cell r="C918">
            <v>278204</v>
          </cell>
          <cell r="D918">
            <v>2782</v>
          </cell>
        </row>
        <row r="919">
          <cell r="A919">
            <v>971430</v>
          </cell>
          <cell r="B919" t="str">
            <v>토지_투자부동산조정</v>
          </cell>
          <cell r="C919">
            <v>261103</v>
          </cell>
          <cell r="D919">
            <v>2611</v>
          </cell>
        </row>
        <row r="920">
          <cell r="A920">
            <v>971431</v>
          </cell>
          <cell r="B920" t="str">
            <v>건물_투자부동산조정</v>
          </cell>
          <cell r="C920">
            <v>262103</v>
          </cell>
          <cell r="D920">
            <v>2621</v>
          </cell>
        </row>
        <row r="921">
          <cell r="A921">
            <v>971432</v>
          </cell>
          <cell r="B921" t="str">
            <v>건물감가누계액_투자부동산조정</v>
          </cell>
          <cell r="C921">
            <v>262203</v>
          </cell>
          <cell r="D921">
            <v>2622</v>
          </cell>
        </row>
        <row r="922">
          <cell r="A922">
            <v>971510</v>
          </cell>
          <cell r="B922" t="str">
            <v>토지건자(BA조정)</v>
          </cell>
          <cell r="C922">
            <v>274109</v>
          </cell>
          <cell r="D922">
            <v>2741</v>
          </cell>
        </row>
        <row r="923">
          <cell r="A923">
            <v>971511</v>
          </cell>
          <cell r="B923" t="str">
            <v>건물건자(BA조정)</v>
          </cell>
          <cell r="C923">
            <v>274110</v>
          </cell>
          <cell r="D923">
            <v>2741</v>
          </cell>
        </row>
        <row r="924">
          <cell r="A924">
            <v>971512</v>
          </cell>
          <cell r="B924" t="str">
            <v>구축물건자(BA조정)</v>
          </cell>
          <cell r="C924">
            <v>274111</v>
          </cell>
          <cell r="D924">
            <v>2741</v>
          </cell>
        </row>
        <row r="925">
          <cell r="A925">
            <v>971513</v>
          </cell>
          <cell r="B925" t="str">
            <v>기계장치건자(BA조정)</v>
          </cell>
          <cell r="C925">
            <v>274112</v>
          </cell>
          <cell r="D925">
            <v>2741</v>
          </cell>
        </row>
        <row r="926">
          <cell r="A926">
            <v>971514</v>
          </cell>
          <cell r="B926" t="str">
            <v>차량운반구건자(BA조정)</v>
          </cell>
          <cell r="C926">
            <v>274113</v>
          </cell>
          <cell r="D926">
            <v>2741</v>
          </cell>
        </row>
        <row r="927">
          <cell r="A927">
            <v>971515</v>
          </cell>
          <cell r="B927" t="str">
            <v>공기구건자(BA조정)</v>
          </cell>
          <cell r="C927">
            <v>274114</v>
          </cell>
          <cell r="D927">
            <v>2741</v>
          </cell>
        </row>
        <row r="928">
          <cell r="A928">
            <v>971516</v>
          </cell>
          <cell r="B928" t="str">
            <v>비품건자(BA조정)</v>
          </cell>
          <cell r="C928">
            <v>274115</v>
          </cell>
          <cell r="D928">
            <v>2741</v>
          </cell>
        </row>
        <row r="929">
          <cell r="A929">
            <v>971517</v>
          </cell>
          <cell r="B929" t="str">
            <v>기타유형고정건자(BA조정)</v>
          </cell>
          <cell r="C929">
            <v>274116</v>
          </cell>
          <cell r="D929">
            <v>2741</v>
          </cell>
        </row>
        <row r="930">
          <cell r="A930">
            <v>972000</v>
          </cell>
          <cell r="B930" t="str">
            <v>수탁매출</v>
          </cell>
          <cell r="C930">
            <v>872000</v>
          </cell>
          <cell r="D930">
            <v>8720</v>
          </cell>
        </row>
        <row r="931">
          <cell r="A931">
            <v>972001</v>
          </cell>
          <cell r="B931" t="str">
            <v>수탁매출조정</v>
          </cell>
          <cell r="C931">
            <v>872001</v>
          </cell>
          <cell r="D931">
            <v>8720</v>
          </cell>
        </row>
        <row r="932">
          <cell r="A932">
            <v>972002</v>
          </cell>
          <cell r="B932" t="str">
            <v>부가세신고매출</v>
          </cell>
          <cell r="C932">
            <v>872002</v>
          </cell>
          <cell r="D932">
            <v>8720</v>
          </cell>
        </row>
        <row r="933">
          <cell r="A933">
            <v>972003</v>
          </cell>
          <cell r="B933" t="str">
            <v>부가세신고매출조정</v>
          </cell>
          <cell r="C933">
            <v>872003</v>
          </cell>
          <cell r="D933">
            <v>8720</v>
          </cell>
        </row>
        <row r="934">
          <cell r="A934">
            <v>973000</v>
          </cell>
          <cell r="B934" t="str">
            <v>급여조정</v>
          </cell>
          <cell r="C934">
            <v>873000</v>
          </cell>
          <cell r="D934">
            <v>8730</v>
          </cell>
        </row>
        <row r="935">
          <cell r="A935">
            <v>973100</v>
          </cell>
          <cell r="B935" t="str">
            <v>경상연구개발비대체</v>
          </cell>
          <cell r="C935">
            <v>721103</v>
          </cell>
          <cell r="D935">
            <v>7211</v>
          </cell>
        </row>
        <row r="936">
          <cell r="A936">
            <v>973110</v>
          </cell>
          <cell r="B936" t="str">
            <v>경상연구개발비조정</v>
          </cell>
          <cell r="C936">
            <v>721104</v>
          </cell>
          <cell r="D936">
            <v>7211</v>
          </cell>
        </row>
        <row r="937">
          <cell r="A937">
            <v>974000</v>
          </cell>
          <cell r="B937" t="str">
            <v>부가세납부조정</v>
          </cell>
          <cell r="C937">
            <v>874000</v>
          </cell>
          <cell r="D937">
            <v>8740</v>
          </cell>
        </row>
        <row r="938">
          <cell r="A938">
            <v>974110</v>
          </cell>
          <cell r="B938" t="str">
            <v>임차보증금투자예산</v>
          </cell>
          <cell r="C938">
            <v>874110</v>
          </cell>
          <cell r="D938">
            <v>8741</v>
          </cell>
        </row>
        <row r="939">
          <cell r="A939">
            <v>974120</v>
          </cell>
          <cell r="B939" t="str">
            <v>투자예산조정</v>
          </cell>
          <cell r="C939">
            <v>874120</v>
          </cell>
          <cell r="D939">
            <v>8741</v>
          </cell>
        </row>
        <row r="940">
          <cell r="A940">
            <v>979900</v>
          </cell>
          <cell r="B940" t="str">
            <v>관리이익잉여금조정</v>
          </cell>
          <cell r="C940">
            <v>879900</v>
          </cell>
          <cell r="D940">
            <v>8799</v>
          </cell>
        </row>
        <row r="941">
          <cell r="A941">
            <v>979910</v>
          </cell>
          <cell r="B941" t="str">
            <v>사내차입금(결산)</v>
          </cell>
          <cell r="C941">
            <v>436192</v>
          </cell>
          <cell r="D941">
            <v>4361</v>
          </cell>
        </row>
        <row r="942">
          <cell r="A942">
            <v>990001</v>
          </cell>
          <cell r="B942" t="str">
            <v>마이그레이션조정계정</v>
          </cell>
          <cell r="C942">
            <v>890001</v>
          </cell>
          <cell r="D942">
            <v>8900</v>
          </cell>
        </row>
        <row r="943">
          <cell r="A943">
            <v>999001</v>
          </cell>
          <cell r="B943" t="str">
            <v>당기순이익조정</v>
          </cell>
          <cell r="C943">
            <v>898611</v>
          </cell>
          <cell r="D943">
            <v>8986</v>
          </cell>
        </row>
        <row r="944">
          <cell r="A944">
            <v>999002</v>
          </cell>
          <cell r="B944" t="str">
            <v>사내매출조정</v>
          </cell>
          <cell r="C944">
            <v>898113</v>
          </cell>
          <cell r="D944">
            <v>8981</v>
          </cell>
        </row>
        <row r="945">
          <cell r="A945">
            <v>999901</v>
          </cell>
          <cell r="B945" t="str">
            <v>CO-CEL 생성 TEST용 테스트 계정</v>
          </cell>
          <cell r="C945">
            <v>705908</v>
          </cell>
          <cell r="D945">
            <v>7059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1FD8-5172-41EA-9A00-19ACB5DE8D92}">
  <dimension ref="A1:F5"/>
  <sheetViews>
    <sheetView workbookViewId="0">
      <selection activeCell="F5" sqref="F5"/>
    </sheetView>
  </sheetViews>
  <sheetFormatPr defaultRowHeight="16.5"/>
  <cols>
    <col min="1" max="1" width="9.125" style="721" bestFit="1" customWidth="1"/>
    <col min="2" max="2" width="9" style="721"/>
    <col min="3" max="3" width="11.25" style="721" bestFit="1" customWidth="1"/>
    <col min="4" max="4" width="27.125" customWidth="1"/>
    <col min="5" max="5" width="55.625" bestFit="1" customWidth="1"/>
    <col min="6" max="6" width="87.375" customWidth="1"/>
    <col min="7" max="8" width="13.125" customWidth="1"/>
    <col min="9" max="9" width="11.375" bestFit="1" customWidth="1"/>
  </cols>
  <sheetData>
    <row r="1" spans="1:6" s="721" customFormat="1">
      <c r="A1" s="749" t="s">
        <v>1564</v>
      </c>
      <c r="B1" s="749" t="s">
        <v>1565</v>
      </c>
      <c r="C1" s="749" t="s">
        <v>1566</v>
      </c>
      <c r="D1" s="749" t="s">
        <v>274</v>
      </c>
      <c r="E1" s="749" t="s">
        <v>1567</v>
      </c>
      <c r="F1" s="749" t="s">
        <v>1574</v>
      </c>
    </row>
    <row r="2" spans="1:6">
      <c r="A2" s="721" t="s">
        <v>1563</v>
      </c>
      <c r="C2" s="746">
        <v>44845</v>
      </c>
      <c r="D2" t="s">
        <v>1598</v>
      </c>
      <c r="E2" t="s">
        <v>1593</v>
      </c>
      <c r="F2" t="s">
        <v>1599</v>
      </c>
    </row>
    <row r="3" spans="1:6">
      <c r="A3" s="748" t="s">
        <v>1563</v>
      </c>
      <c r="B3" s="748" t="s">
        <v>1600</v>
      </c>
      <c r="C3" s="746">
        <v>44846</v>
      </c>
      <c r="D3" s="748" t="s">
        <v>1601</v>
      </c>
      <c r="E3" t="s">
        <v>1626</v>
      </c>
      <c r="F3" s="748" t="s">
        <v>1605</v>
      </c>
    </row>
    <row r="4" spans="1:6">
      <c r="A4" s="754" t="s">
        <v>1600</v>
      </c>
      <c r="B4" s="721" t="s">
        <v>1627</v>
      </c>
      <c r="C4" s="746">
        <v>44846</v>
      </c>
      <c r="D4" t="s">
        <v>1628</v>
      </c>
      <c r="E4" t="s">
        <v>1629</v>
      </c>
    </row>
    <row r="5" spans="1:6">
      <c r="A5" s="754" t="s">
        <v>1627</v>
      </c>
      <c r="C5" s="746">
        <v>44847</v>
      </c>
      <c r="D5" s="754" t="s">
        <v>1598</v>
      </c>
      <c r="E5" t="s">
        <v>1630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43A9-C895-48BF-BFE8-C8822D4FA497}">
  <dimension ref="A1:N106"/>
  <sheetViews>
    <sheetView showGridLines="0" topLeftCell="E94" workbookViewId="0">
      <selection activeCell="I27" sqref="I27"/>
    </sheetView>
  </sheetViews>
  <sheetFormatPr defaultRowHeight="16.5"/>
  <cols>
    <col min="1" max="1" width="30.25" hidden="1" customWidth="1"/>
    <col min="2" max="2" width="16.5" hidden="1" customWidth="1"/>
    <col min="3" max="3" width="15.125" hidden="1" customWidth="1"/>
    <col min="4" max="4" width="13.75" hidden="1" customWidth="1"/>
    <col min="5" max="5" width="33.625" bestFit="1" customWidth="1"/>
    <col min="6" max="6" width="16.375" customWidth="1"/>
    <col min="7" max="7" width="15.625" customWidth="1"/>
    <col min="8" max="8" width="1.75" customWidth="1"/>
    <col min="9" max="9" width="33.625" customWidth="1"/>
    <col min="10" max="11" width="15.625" customWidth="1"/>
  </cols>
  <sheetData>
    <row r="1" spans="1:11">
      <c r="A1" s="823" t="s">
        <v>1014</v>
      </c>
      <c r="B1" s="823"/>
      <c r="C1" s="823"/>
      <c r="D1" s="268"/>
      <c r="F1" s="445"/>
      <c r="G1" s="445"/>
    </row>
    <row r="2" spans="1:11">
      <c r="A2" s="824" t="s">
        <v>1182</v>
      </c>
      <c r="B2" s="824"/>
      <c r="C2" s="824"/>
      <c r="D2" s="268"/>
      <c r="F2" s="446"/>
      <c r="G2" s="829"/>
      <c r="H2" s="829"/>
      <c r="I2" s="829"/>
    </row>
    <row r="3" spans="1:11" ht="16.5" customHeight="1">
      <c r="A3" s="268"/>
      <c r="B3" s="268"/>
      <c r="C3" s="268"/>
      <c r="D3" s="268"/>
      <c r="E3" s="446"/>
      <c r="F3" s="446"/>
      <c r="G3" s="830"/>
      <c r="H3" s="830"/>
      <c r="I3" s="830"/>
    </row>
    <row r="4" spans="1:11" ht="16.5" customHeight="1">
      <c r="A4" s="269"/>
      <c r="B4" s="270"/>
      <c r="C4" s="270"/>
      <c r="D4" s="270"/>
      <c r="E4" s="269"/>
      <c r="F4" s="271"/>
      <c r="G4" s="454"/>
      <c r="H4" s="454"/>
      <c r="I4" s="454"/>
    </row>
    <row r="5" spans="1:11">
      <c r="A5" s="269"/>
      <c r="B5" s="270"/>
      <c r="C5" s="270"/>
      <c r="D5" s="270"/>
      <c r="E5" s="269"/>
      <c r="F5" s="271"/>
      <c r="G5" s="447"/>
      <c r="H5" s="447"/>
      <c r="I5" s="447"/>
    </row>
    <row r="6" spans="1:11">
      <c r="A6" s="269"/>
      <c r="B6" s="270"/>
      <c r="C6" s="270"/>
      <c r="D6" s="270"/>
      <c r="E6" s="269"/>
      <c r="F6" s="271"/>
      <c r="G6" s="447"/>
      <c r="H6" s="447"/>
      <c r="I6" s="447"/>
    </row>
    <row r="7" spans="1:11">
      <c r="A7" s="272" t="s">
        <v>1015</v>
      </c>
      <c r="B7" s="270"/>
      <c r="C7" s="273" t="s">
        <v>1016</v>
      </c>
      <c r="D7" s="270"/>
      <c r="F7" s="271"/>
      <c r="K7" s="448" t="s">
        <v>1197</v>
      </c>
    </row>
    <row r="8" spans="1:11">
      <c r="A8" s="269"/>
      <c r="B8" s="274"/>
      <c r="C8" s="274"/>
      <c r="D8" s="270"/>
      <c r="E8" s="831" t="s">
        <v>1018</v>
      </c>
      <c r="F8" s="838" t="s">
        <v>1220</v>
      </c>
      <c r="G8" s="826"/>
      <c r="H8" s="256"/>
      <c r="I8" s="831" t="s">
        <v>1018</v>
      </c>
      <c r="J8" s="825" t="s">
        <v>1220</v>
      </c>
      <c r="K8" s="826"/>
    </row>
    <row r="9" spans="1:11" ht="17.45" customHeight="1">
      <c r="A9" s="276" t="s">
        <v>1018</v>
      </c>
      <c r="B9" s="821" t="s">
        <v>1019</v>
      </c>
      <c r="C9" s="822"/>
      <c r="D9" s="270"/>
      <c r="E9" s="832"/>
      <c r="F9" s="827" t="s">
        <v>1196</v>
      </c>
      <c r="G9" s="828"/>
      <c r="H9" s="256"/>
      <c r="I9" s="832"/>
      <c r="J9" s="827" t="s">
        <v>1196</v>
      </c>
      <c r="K9" s="828"/>
    </row>
    <row r="10" spans="1:11">
      <c r="A10" s="278" t="s">
        <v>1020</v>
      </c>
      <c r="B10" s="279"/>
      <c r="C10" s="279"/>
      <c r="D10" s="270"/>
      <c r="E10" s="452" t="s">
        <v>1020</v>
      </c>
      <c r="F10" s="460"/>
      <c r="G10" s="460"/>
      <c r="H10" s="256"/>
      <c r="I10" s="452" t="str">
        <f t="shared" ref="I10:I17" si="0">A36</f>
        <v>부채</v>
      </c>
      <c r="J10" s="460"/>
      <c r="K10" s="449"/>
    </row>
    <row r="11" spans="1:11" ht="16.899999999999999" customHeight="1">
      <c r="A11" s="278" t="s">
        <v>1021</v>
      </c>
      <c r="B11" s="279"/>
      <c r="C11" s="279">
        <f>SUM(B12:B23)</f>
        <v>735603770741</v>
      </c>
      <c r="D11" s="274" t="b">
        <f>공시용!D6='전달용(2)'!C11</f>
        <v>0</v>
      </c>
      <c r="E11" s="452" t="s">
        <v>1021</v>
      </c>
      <c r="F11" s="461"/>
      <c r="G11" s="461">
        <f>SUM(F12:F23)</f>
        <v>735603770.74100006</v>
      </c>
      <c r="H11" s="256"/>
      <c r="I11" s="452" t="str">
        <f t="shared" si="0"/>
        <v>I. 유동부채</v>
      </c>
      <c r="J11" s="461"/>
      <c r="K11" s="449">
        <f>SUM(J12:J17)</f>
        <v>552703276.67200005</v>
      </c>
    </row>
    <row r="12" spans="1:11">
      <c r="A12" s="282" t="s">
        <v>283</v>
      </c>
      <c r="B12" s="279">
        <f>VLOOKUP(A12,공시용!$B$7:$D$58,2,0)</f>
        <v>53003487568</v>
      </c>
      <c r="C12" s="279"/>
      <c r="D12" s="270"/>
      <c r="E12" s="453" t="str">
        <f>A12</f>
        <v>현금및현금성자산</v>
      </c>
      <c r="F12" s="462">
        <f t="shared" ref="F12:F23" si="1">ROUND(B12/1000,5)</f>
        <v>53003487.568000004</v>
      </c>
      <c r="G12" s="462"/>
      <c r="H12" s="256"/>
      <c r="I12" s="453" t="str">
        <f t="shared" si="0"/>
        <v>미지급금</v>
      </c>
      <c r="J12" s="462">
        <f t="shared" ref="J12:J17" si="2">ROUND(B38/1000,5)</f>
        <v>100978997.065</v>
      </c>
      <c r="K12" s="450"/>
    </row>
    <row r="13" spans="1:11">
      <c r="A13" s="282" t="s">
        <v>239</v>
      </c>
      <c r="B13" s="279">
        <f>VLOOKUP(A13,공시용!$B$7:$D$58,2,0)</f>
        <v>103520760872</v>
      </c>
      <c r="C13" s="279"/>
      <c r="D13" s="270"/>
      <c r="E13" s="453" t="str">
        <f t="shared" ref="E13:E35" si="3">A13</f>
        <v>단기금융상품</v>
      </c>
      <c r="F13" s="462">
        <f t="shared" si="1"/>
        <v>103520760.87199999</v>
      </c>
      <c r="G13" s="462"/>
      <c r="H13" s="256"/>
      <c r="I13" s="453" t="str">
        <f t="shared" si="0"/>
        <v>계약부채</v>
      </c>
      <c r="J13" s="462">
        <f t="shared" si="2"/>
        <v>146493.076</v>
      </c>
      <c r="K13" s="450"/>
    </row>
    <row r="14" spans="1:11">
      <c r="A14" s="282" t="s">
        <v>857</v>
      </c>
      <c r="B14" s="279">
        <f>VLOOKUP(A14,공시용!$B$7:$D$58,2,0)</f>
        <v>31165111996</v>
      </c>
      <c r="C14" s="279"/>
      <c r="D14" s="270"/>
      <c r="E14" s="453" t="str">
        <f t="shared" si="3"/>
        <v>당기손익-공정가치 측정 금융자산</v>
      </c>
      <c r="F14" s="462">
        <f t="shared" si="1"/>
        <v>31165111.995999999</v>
      </c>
      <c r="G14" s="462"/>
      <c r="H14" s="256"/>
      <c r="I14" s="453" t="str">
        <f t="shared" si="0"/>
        <v>예수금</v>
      </c>
      <c r="J14" s="462">
        <f t="shared" si="2"/>
        <v>403630174.91000003</v>
      </c>
      <c r="K14" s="450"/>
    </row>
    <row r="15" spans="1:11">
      <c r="A15" s="282" t="s">
        <v>1171</v>
      </c>
      <c r="B15" s="279">
        <f>VLOOKUP(A15,공시용!$B$7:$D$58,2,0)</f>
        <v>0</v>
      </c>
      <c r="C15" s="279"/>
      <c r="D15" s="270"/>
      <c r="E15" s="453" t="str">
        <f t="shared" si="3"/>
        <v>파생금융상품</v>
      </c>
      <c r="F15" s="462">
        <f t="shared" si="1"/>
        <v>0</v>
      </c>
      <c r="G15" s="462"/>
      <c r="H15" s="256"/>
      <c r="I15" s="453" t="str">
        <f t="shared" si="0"/>
        <v>미지급비용</v>
      </c>
      <c r="J15" s="462">
        <f t="shared" si="2"/>
        <v>33765791.394000001</v>
      </c>
      <c r="K15" s="450"/>
    </row>
    <row r="16" spans="1:11">
      <c r="A16" s="282" t="s">
        <v>236</v>
      </c>
      <c r="B16" s="279">
        <f>VLOOKUP(A16,공시용!$B$7:$D$58,2,0)</f>
        <v>21547734038</v>
      </c>
      <c r="C16" s="279"/>
      <c r="D16" s="270"/>
      <c r="E16" s="453" t="str">
        <f t="shared" si="3"/>
        <v>매출채권</v>
      </c>
      <c r="F16" s="462">
        <f t="shared" si="1"/>
        <v>21547734.037999999</v>
      </c>
      <c r="G16" s="462"/>
      <c r="H16" s="256"/>
      <c r="I16" s="457" t="str">
        <f t="shared" si="0"/>
        <v>리스부채</v>
      </c>
      <c r="J16" s="462">
        <f t="shared" si="2"/>
        <v>13250424.846000001</v>
      </c>
      <c r="K16" s="450"/>
    </row>
    <row r="17" spans="1:11">
      <c r="A17" s="282" t="s">
        <v>1227</v>
      </c>
      <c r="B17" s="279">
        <f>VLOOKUP(A17,공시용!$B$7:$D$58,2,0)</f>
        <v>2532050000</v>
      </c>
      <c r="C17" s="279"/>
      <c r="D17" s="270"/>
      <c r="E17" s="453" t="s">
        <v>1227</v>
      </c>
      <c r="F17" s="462">
        <f t="shared" si="1"/>
        <v>2532050</v>
      </c>
      <c r="G17" s="462"/>
      <c r="H17" s="256"/>
      <c r="I17" s="457" t="str">
        <f t="shared" si="0"/>
        <v>유동성임대보증금</v>
      </c>
      <c r="J17" s="462">
        <f t="shared" si="2"/>
        <v>931395.38100000005</v>
      </c>
      <c r="K17" s="450"/>
    </row>
    <row r="18" spans="1:11">
      <c r="A18" s="282" t="s">
        <v>888</v>
      </c>
      <c r="B18" s="279">
        <f>VLOOKUP(A18,공시용!$B$7:$D$58,2,0)</f>
        <v>428591732281</v>
      </c>
      <c r="C18" s="279"/>
      <c r="D18" s="270"/>
      <c r="E18" s="453" t="str">
        <f t="shared" si="3"/>
        <v>미수금</v>
      </c>
      <c r="F18" s="462">
        <f t="shared" si="1"/>
        <v>428591732.28100002</v>
      </c>
      <c r="G18" s="462"/>
      <c r="H18" s="256"/>
      <c r="I18" s="458"/>
      <c r="J18" s="458"/>
      <c r="K18" s="456"/>
    </row>
    <row r="19" spans="1:11">
      <c r="A19" s="282" t="s">
        <v>1300</v>
      </c>
      <c r="B19" s="279">
        <f>VLOOKUP(A19,공시용!$B$7:$D$58,2,0)</f>
        <v>711453400</v>
      </c>
      <c r="C19" s="279"/>
      <c r="D19" s="270"/>
      <c r="E19" s="453" t="s">
        <v>1300</v>
      </c>
      <c r="F19" s="462">
        <f t="shared" si="1"/>
        <v>711453.4</v>
      </c>
      <c r="G19" s="462"/>
      <c r="H19" s="256"/>
      <c r="I19" s="452" t="str">
        <f t="shared" ref="I19:I24" si="4">A44</f>
        <v>II. 비유동부채</v>
      </c>
      <c r="J19" s="461"/>
      <c r="K19" s="449">
        <f>SUM(J20:J25)</f>
        <v>31714627.791000001</v>
      </c>
    </row>
    <row r="20" spans="1:11">
      <c r="A20" s="282" t="s">
        <v>1023</v>
      </c>
      <c r="B20" s="279">
        <f>VLOOKUP(A20,공시용!$B$7:$D$58,2,0)</f>
        <v>692328766</v>
      </c>
      <c r="C20" s="279"/>
      <c r="D20" s="270"/>
      <c r="E20" s="453" t="str">
        <f t="shared" si="3"/>
        <v>미수수익</v>
      </c>
      <c r="F20" s="462">
        <f t="shared" si="1"/>
        <v>692328.76599999995</v>
      </c>
      <c r="G20" s="462"/>
      <c r="H20" s="256"/>
      <c r="I20" s="453" t="str">
        <f t="shared" si="4"/>
        <v>임대보증금</v>
      </c>
      <c r="J20" s="462">
        <f t="shared" ref="J20:J25" si="5">ROUND(B45/1000,5)</f>
        <v>0</v>
      </c>
      <c r="K20" s="450"/>
    </row>
    <row r="21" spans="1:11">
      <c r="A21" s="282" t="s">
        <v>218</v>
      </c>
      <c r="B21" s="279">
        <f>VLOOKUP(A21,공시용!$B$7:$D$58,2,0)</f>
        <v>44640410090</v>
      </c>
      <c r="C21" s="279"/>
      <c r="D21" s="270"/>
      <c r="E21" s="453" t="str">
        <f t="shared" si="3"/>
        <v>선급금</v>
      </c>
      <c r="F21" s="462">
        <f t="shared" si="1"/>
        <v>44640410.090000004</v>
      </c>
      <c r="G21" s="462"/>
      <c r="H21" s="256"/>
      <c r="I21" s="453" t="str">
        <f t="shared" si="4"/>
        <v>확정급여부채</v>
      </c>
      <c r="J21" s="462">
        <f t="shared" si="5"/>
        <v>4352759.4960000003</v>
      </c>
      <c r="K21" s="450"/>
    </row>
    <row r="22" spans="1:11">
      <c r="A22" s="282" t="s">
        <v>215</v>
      </c>
      <c r="B22" s="279">
        <f>VLOOKUP(A22,공시용!$B$7:$D$58,2,0)</f>
        <v>5204857738</v>
      </c>
      <c r="C22" s="279"/>
      <c r="D22" s="270"/>
      <c r="E22" s="453" t="str">
        <f t="shared" si="3"/>
        <v>선급비용</v>
      </c>
      <c r="F22" s="462">
        <f t="shared" si="1"/>
        <v>5204857.7379999999</v>
      </c>
      <c r="G22" s="462"/>
      <c r="H22" s="256"/>
      <c r="I22" s="457" t="str">
        <f t="shared" si="4"/>
        <v>장기미지급비용</v>
      </c>
      <c r="J22" s="462">
        <f t="shared" si="5"/>
        <v>2590942.602</v>
      </c>
      <c r="K22" s="450"/>
    </row>
    <row r="23" spans="1:11">
      <c r="A23" s="282" t="s">
        <v>1024</v>
      </c>
      <c r="B23" s="279">
        <f>VLOOKUP(A23,공시용!$B$7:$D$58,2,0)</f>
        <v>43993843992</v>
      </c>
      <c r="C23" s="279"/>
      <c r="D23" s="270"/>
      <c r="E23" s="453" t="str">
        <f t="shared" si="3"/>
        <v>재고자산</v>
      </c>
      <c r="F23" s="462">
        <f t="shared" si="1"/>
        <v>43993843.991999999</v>
      </c>
      <c r="G23" s="462"/>
      <c r="H23" s="256"/>
      <c r="I23" s="453" t="str">
        <f t="shared" si="4"/>
        <v>비유동충당부채</v>
      </c>
      <c r="J23" s="462">
        <f t="shared" si="5"/>
        <v>1969149.72</v>
      </c>
      <c r="K23" s="450"/>
    </row>
    <row r="24" spans="1:11">
      <c r="A24" s="278" t="s">
        <v>1025</v>
      </c>
      <c r="B24" s="279"/>
      <c r="C24" s="279">
        <f>SUM(B25:B34)</f>
        <v>140115013464</v>
      </c>
      <c r="D24" s="270" t="b">
        <f>C24=공시용!D20</f>
        <v>0</v>
      </c>
      <c r="E24" s="452" t="s">
        <v>1025</v>
      </c>
      <c r="F24" s="461"/>
      <c r="G24" s="461">
        <f>SUM(F25:F34)</f>
        <v>140115013.46399999</v>
      </c>
      <c r="H24" s="256"/>
      <c r="I24" s="453" t="str">
        <f t="shared" si="4"/>
        <v>장기리스부채</v>
      </c>
      <c r="J24" s="462">
        <f t="shared" si="5"/>
        <v>11877025.199999999</v>
      </c>
      <c r="K24" s="450"/>
    </row>
    <row r="25" spans="1:11">
      <c r="A25" s="282" t="s">
        <v>674</v>
      </c>
      <c r="B25" s="279">
        <f>VLOOKUP(A25,공시용!$B$7:$D$58,2,0)</f>
        <v>2000000</v>
      </c>
      <c r="C25" s="279"/>
      <c r="D25" s="270"/>
      <c r="E25" s="453" t="str">
        <f t="shared" si="3"/>
        <v>장기금융상품</v>
      </c>
      <c r="F25" s="462">
        <f t="shared" ref="F25:F34" si="6">ROUND(B25/1000,5)</f>
        <v>2000</v>
      </c>
      <c r="G25" s="462"/>
      <c r="H25" s="256"/>
      <c r="I25" s="453" t="s">
        <v>1213</v>
      </c>
      <c r="J25" s="462">
        <f t="shared" si="5"/>
        <v>10924750.773</v>
      </c>
      <c r="K25" s="450"/>
    </row>
    <row r="26" spans="1:11" ht="16.5" customHeight="1">
      <c r="A26" s="282" t="s">
        <v>1026</v>
      </c>
      <c r="B26" s="279">
        <f>VLOOKUP(A26,공시용!$B$7:$D$58,2,0)</f>
        <v>0</v>
      </c>
      <c r="C26" s="279"/>
      <c r="D26" s="274"/>
      <c r="E26" s="453" t="str">
        <f t="shared" si="3"/>
        <v>관계기업투자주식</v>
      </c>
      <c r="F26" s="462">
        <f t="shared" si="6"/>
        <v>0</v>
      </c>
      <c r="G26" s="462"/>
      <c r="H26" s="256"/>
      <c r="I26" s="452" t="str">
        <f>A51</f>
        <v>부채총계</v>
      </c>
      <c r="J26" s="461"/>
      <c r="K26" s="451">
        <f>+K11+K19</f>
        <v>584417904.46300006</v>
      </c>
    </row>
    <row r="27" spans="1:11">
      <c r="A27" s="282" t="s">
        <v>858</v>
      </c>
      <c r="B27" s="279">
        <f>VLOOKUP(A27,공시용!$B$7:$D$58,2,0)</f>
        <v>0</v>
      </c>
      <c r="C27" s="279"/>
      <c r="D27" s="274"/>
      <c r="E27" s="453" t="str">
        <f t="shared" si="3"/>
        <v>기타포괄손익-공정가치 측정 금융자산</v>
      </c>
      <c r="F27" s="462">
        <f t="shared" si="6"/>
        <v>0</v>
      </c>
      <c r="G27" s="462"/>
      <c r="H27" s="256"/>
      <c r="I27" s="458"/>
      <c r="J27" s="458"/>
      <c r="K27" s="456"/>
    </row>
    <row r="28" spans="1:11">
      <c r="A28" s="282" t="s">
        <v>1027</v>
      </c>
      <c r="B28" s="279">
        <f>VLOOKUP(A28,공시용!$B$7:$D$58,2,0)</f>
        <v>26219657142</v>
      </c>
      <c r="C28" s="279"/>
      <c r="D28" s="274"/>
      <c r="E28" s="453" t="str">
        <f t="shared" si="3"/>
        <v>유형자산</v>
      </c>
      <c r="F28" s="462">
        <f t="shared" si="6"/>
        <v>26219657.142000001</v>
      </c>
      <c r="G28" s="462"/>
      <c r="H28" s="256"/>
      <c r="I28" s="458"/>
      <c r="J28" s="458"/>
      <c r="K28" s="456"/>
    </row>
    <row r="29" spans="1:11">
      <c r="A29" s="282" t="s">
        <v>1028</v>
      </c>
      <c r="B29" s="279">
        <f>VLOOKUP(A29,공시용!$B$7:$D$58,2,0)</f>
        <v>18112194086</v>
      </c>
      <c r="C29" s="279"/>
      <c r="D29" s="270"/>
      <c r="E29" s="453" t="str">
        <f t="shared" si="3"/>
        <v>무형자산</v>
      </c>
      <c r="F29" s="462">
        <f t="shared" si="6"/>
        <v>18112194.085999999</v>
      </c>
      <c r="G29" s="462"/>
      <c r="H29" s="256"/>
      <c r="I29" s="452" t="str">
        <f t="shared" ref="I29:I35" si="7">A52</f>
        <v>자본</v>
      </c>
      <c r="J29" s="461"/>
      <c r="K29" s="449"/>
    </row>
    <row r="30" spans="1:11">
      <c r="A30" s="282" t="s">
        <v>1095</v>
      </c>
      <c r="B30" s="279">
        <f>VLOOKUP(A30,공시용!$B$7:$D$58,2,0)</f>
        <v>23870917791</v>
      </c>
      <c r="C30" s="279"/>
      <c r="D30" s="270"/>
      <c r="E30" s="453" t="str">
        <f t="shared" si="3"/>
        <v>사용권자산</v>
      </c>
      <c r="F30" s="462">
        <f t="shared" si="6"/>
        <v>23870917.791000001</v>
      </c>
      <c r="G30" s="462"/>
      <c r="H30" s="256"/>
      <c r="I30" s="453" t="str">
        <f t="shared" si="7"/>
        <v>자본금</v>
      </c>
      <c r="J30" s="462">
        <f>ROUND(B53/1000,5)</f>
        <v>5123512</v>
      </c>
      <c r="K30" s="450"/>
    </row>
    <row r="31" spans="1:11">
      <c r="A31" s="282" t="s">
        <v>1132</v>
      </c>
      <c r="B31" s="279">
        <f>VLOOKUP(A31,공시용!$B$7:$D$58,2,0)</f>
        <v>0</v>
      </c>
      <c r="C31" s="279"/>
      <c r="D31" s="270"/>
      <c r="E31" s="453" t="str">
        <f t="shared" si="3"/>
        <v>장기미수금</v>
      </c>
      <c r="F31" s="462">
        <f t="shared" si="6"/>
        <v>0</v>
      </c>
      <c r="G31" s="462"/>
      <c r="H31" s="256"/>
      <c r="I31" s="453" t="str">
        <f t="shared" si="7"/>
        <v>기타불입자본</v>
      </c>
      <c r="J31" s="462">
        <f>ROUND(B54/1000,5)</f>
        <v>251079343.63600001</v>
      </c>
      <c r="K31" s="450"/>
    </row>
    <row r="32" spans="1:11">
      <c r="A32" s="282" t="s">
        <v>1029</v>
      </c>
      <c r="B32" s="279">
        <f>VLOOKUP(A32,공시용!$B$7:$D$58,2,0)</f>
        <v>8049918438</v>
      </c>
      <c r="C32" s="279"/>
      <c r="D32" s="270"/>
      <c r="E32" s="453" t="str">
        <f t="shared" si="3"/>
        <v>보증금</v>
      </c>
      <c r="F32" s="462">
        <f t="shared" si="6"/>
        <v>8049918.4380000001</v>
      </c>
      <c r="G32" s="462"/>
      <c r="H32" s="256"/>
      <c r="I32" s="453" t="str">
        <f t="shared" si="7"/>
        <v>이익잉여금</v>
      </c>
      <c r="J32" s="462">
        <f>ROUND(B55/1000,5)</f>
        <v>28694401.357999999</v>
      </c>
      <c r="K32" s="450"/>
    </row>
    <row r="33" spans="1:14">
      <c r="A33" s="282" t="s">
        <v>1030</v>
      </c>
      <c r="B33" s="279">
        <f>VLOOKUP(A33,공시용!$B$7:$D$58,2,0)</f>
        <v>0</v>
      </c>
      <c r="C33" s="279"/>
      <c r="D33" s="270"/>
      <c r="E33" s="453" t="str">
        <f t="shared" si="3"/>
        <v>기타비유동자산</v>
      </c>
      <c r="F33" s="462">
        <f t="shared" si="6"/>
        <v>0</v>
      </c>
      <c r="G33" s="462"/>
      <c r="H33" s="256"/>
      <c r="I33" s="453" t="str">
        <f t="shared" si="7"/>
        <v>기타포괄손익누계액</v>
      </c>
      <c r="J33" s="462">
        <f>ROUND(B56/1000,5)</f>
        <v>0</v>
      </c>
      <c r="K33" s="450"/>
    </row>
    <row r="34" spans="1:14">
      <c r="A34" s="282" t="s">
        <v>540</v>
      </c>
      <c r="B34" s="279">
        <f>VLOOKUP(A34,공시용!$B$7:$D$58,2,0)</f>
        <v>63860326007</v>
      </c>
      <c r="C34" s="279"/>
      <c r="D34" s="270" t="b">
        <f>공시용!D33='전달용(2)'!C35</f>
        <v>0</v>
      </c>
      <c r="E34" s="453" t="str">
        <f t="shared" si="3"/>
        <v>이연법인세자산</v>
      </c>
      <c r="F34" s="462">
        <f t="shared" si="6"/>
        <v>63860326.006999999</v>
      </c>
      <c r="G34" s="462"/>
      <c r="H34" s="256"/>
      <c r="I34" s="452" t="str">
        <f t="shared" si="7"/>
        <v>자본총계</v>
      </c>
      <c r="J34" s="461"/>
      <c r="K34" s="461">
        <f>SUM(J30:J33)</f>
        <v>284897256.99400002</v>
      </c>
    </row>
    <row r="35" spans="1:14" ht="16.5" customHeight="1" thickBot="1">
      <c r="A35" s="278" t="s">
        <v>854</v>
      </c>
      <c r="B35" s="279"/>
      <c r="C35" s="279">
        <f>+C11+C24</f>
        <v>875718784205</v>
      </c>
      <c r="D35" s="270"/>
      <c r="E35" s="452" t="str">
        <f t="shared" si="3"/>
        <v>자산총계</v>
      </c>
      <c r="F35" s="461"/>
      <c r="G35" s="463">
        <f>+G11+G24</f>
        <v>875718784.20500004</v>
      </c>
      <c r="H35" s="256"/>
      <c r="I35" s="452" t="str">
        <f t="shared" si="7"/>
        <v>부채 및 자본총계</v>
      </c>
      <c r="J35" s="461"/>
      <c r="K35" s="463">
        <f>+K34+K26</f>
        <v>869315161.45700002</v>
      </c>
    </row>
    <row r="36" spans="1:14" ht="17.25" thickTop="1">
      <c r="A36" s="278" t="s">
        <v>1032</v>
      </c>
      <c r="B36" s="279"/>
      <c r="C36" s="279"/>
      <c r="D36" s="274" t="b">
        <f>공시용!D35='전달용(2)'!C37</f>
        <v>0</v>
      </c>
      <c r="E36" s="458"/>
      <c r="F36" s="458"/>
      <c r="G36" s="458"/>
      <c r="I36" s="458"/>
      <c r="J36" s="458"/>
      <c r="K36" s="458"/>
    </row>
    <row r="37" spans="1:14">
      <c r="A37" s="278" t="s">
        <v>1033</v>
      </c>
      <c r="B37" s="279"/>
      <c r="C37" s="279">
        <f>SUM(B38:B43)</f>
        <v>552703276672</v>
      </c>
      <c r="D37" s="274"/>
      <c r="E37" s="459"/>
      <c r="F37" s="459"/>
      <c r="G37" s="459"/>
      <c r="I37" s="459"/>
      <c r="J37" s="459"/>
      <c r="K37" s="459"/>
      <c r="N37" s="256"/>
    </row>
    <row r="38" spans="1:14">
      <c r="A38" s="282" t="s">
        <v>590</v>
      </c>
      <c r="B38" s="279">
        <f>VLOOKUP(A38,공시용!$B$7:$D$58,2,0)</f>
        <v>100978997065</v>
      </c>
      <c r="C38" s="279"/>
      <c r="D38" s="274"/>
    </row>
    <row r="39" spans="1:14">
      <c r="A39" s="282" t="s">
        <v>1035</v>
      </c>
      <c r="B39" s="279">
        <f>VLOOKUP(A39,공시용!$B$7:$D$58,2,0)</f>
        <v>146493076</v>
      </c>
      <c r="C39" s="279"/>
      <c r="D39" s="274"/>
    </row>
    <row r="40" spans="1:14">
      <c r="A40" s="282" t="s">
        <v>157</v>
      </c>
      <c r="B40" s="279">
        <f>VLOOKUP(A40,공시용!$B$7:$D$58,2,0)</f>
        <v>403630174910</v>
      </c>
      <c r="C40" s="279"/>
      <c r="D40" s="274"/>
    </row>
    <row r="41" spans="1:14" ht="16.5" customHeight="1">
      <c r="A41" s="282" t="s">
        <v>1036</v>
      </c>
      <c r="B41" s="279">
        <f>VLOOKUP(A41,공시용!$B$7:$D$58,2,0)</f>
        <v>33765791394</v>
      </c>
      <c r="C41" s="285"/>
      <c r="D41" s="270"/>
    </row>
    <row r="42" spans="1:14">
      <c r="A42" s="282" t="s">
        <v>1097</v>
      </c>
      <c r="B42" s="279">
        <f>VLOOKUP(A42,공시용!$B$7:$D$58,2,0)</f>
        <v>13250424846</v>
      </c>
      <c r="C42" s="285"/>
      <c r="D42" s="270"/>
    </row>
    <row r="43" spans="1:14">
      <c r="A43" s="282" t="s">
        <v>1123</v>
      </c>
      <c r="B43" s="279">
        <f>VLOOKUP(A43,공시용!$B$7:$D$58,2,0)</f>
        <v>931395381</v>
      </c>
      <c r="C43" s="285"/>
      <c r="D43" s="270" t="b">
        <f>C44=공시용!D43</f>
        <v>1</v>
      </c>
    </row>
    <row r="44" spans="1:14">
      <c r="A44" s="278" t="s">
        <v>1037</v>
      </c>
      <c r="B44" s="279"/>
      <c r="C44" s="279">
        <f>SUM(B45:B50)</f>
        <v>31714627791</v>
      </c>
      <c r="D44" s="274"/>
    </row>
    <row r="45" spans="1:14">
      <c r="A45" s="282" t="s">
        <v>1121</v>
      </c>
      <c r="B45" s="279">
        <f>VLOOKUP(A45,공시용!$B$7:$D$58,2,0)</f>
        <v>0</v>
      </c>
      <c r="C45" s="279"/>
      <c r="D45" s="274"/>
    </row>
    <row r="46" spans="1:14">
      <c r="A46" s="282" t="s">
        <v>1038</v>
      </c>
      <c r="B46" s="279">
        <f>VLOOKUP(A46,공시용!$B$7:$D$58,2,0)</f>
        <v>4352759496</v>
      </c>
      <c r="C46" s="279"/>
      <c r="D46" s="274"/>
    </row>
    <row r="47" spans="1:14">
      <c r="A47" s="282" t="s">
        <v>735</v>
      </c>
      <c r="B47" s="279">
        <f>VLOOKUP(A47,공시용!$B$7:$D$58,2,0)</f>
        <v>2590942602</v>
      </c>
      <c r="C47" s="279"/>
      <c r="D47" s="274"/>
    </row>
    <row r="48" spans="1:14">
      <c r="A48" s="282" t="s">
        <v>1039</v>
      </c>
      <c r="B48" s="279">
        <f>VLOOKUP(A48,공시용!$B$7:$D$58,2,0)</f>
        <v>1969149720</v>
      </c>
      <c r="C48" s="279"/>
      <c r="D48" s="274"/>
    </row>
    <row r="49" spans="1:7">
      <c r="A49" s="282" t="s">
        <v>1100</v>
      </c>
      <c r="B49" s="279">
        <f>VLOOKUP(A49,공시용!$B$7:$D$58,2,0)</f>
        <v>11877025200</v>
      </c>
      <c r="C49" s="279"/>
      <c r="D49" s="270"/>
    </row>
    <row r="50" spans="1:7">
      <c r="A50" s="282" t="s">
        <v>1213</v>
      </c>
      <c r="B50" s="279">
        <f>VLOOKUP(A50,공시용!$B$7:$D$58,2,0)</f>
        <v>10924750773</v>
      </c>
      <c r="C50" s="285"/>
      <c r="D50" s="270" t="b">
        <f>C51=공시용!D50</f>
        <v>0</v>
      </c>
    </row>
    <row r="51" spans="1:7">
      <c r="A51" s="278" t="s">
        <v>855</v>
      </c>
      <c r="B51" s="279"/>
      <c r="C51" s="279">
        <f>+C37+C44</f>
        <v>584417904463</v>
      </c>
      <c r="D51" s="274"/>
    </row>
    <row r="52" spans="1:7">
      <c r="A52" s="278" t="s">
        <v>1041</v>
      </c>
      <c r="B52" s="279"/>
      <c r="C52" s="279"/>
      <c r="D52" s="274"/>
    </row>
    <row r="53" spans="1:7">
      <c r="A53" s="282" t="s">
        <v>1042</v>
      </c>
      <c r="B53" s="279">
        <f>VLOOKUP(A53,공시용!$B$7:$D$58,2,0)</f>
        <v>5123512000</v>
      </c>
      <c r="C53" s="279"/>
      <c r="D53" s="274"/>
    </row>
    <row r="54" spans="1:7">
      <c r="A54" s="282" t="s">
        <v>1043</v>
      </c>
      <c r="B54" s="279">
        <f>VLOOKUP(A54,공시용!$B$7:$D$58,2,0)</f>
        <v>251079343636</v>
      </c>
      <c r="C54" s="279"/>
      <c r="D54" s="274"/>
    </row>
    <row r="55" spans="1:7">
      <c r="A55" s="282" t="s">
        <v>1044</v>
      </c>
      <c r="B55" s="279">
        <f>VLOOKUP(A55,공시용!$B$7:$D$58,2,0)</f>
        <v>28694401358</v>
      </c>
      <c r="C55" s="279"/>
      <c r="D55" s="274"/>
    </row>
    <row r="56" spans="1:7">
      <c r="A56" s="282" t="s">
        <v>852</v>
      </c>
      <c r="B56" s="279">
        <f>VLOOKUP(A56,공시용!$B$7:$D$58,2,0)</f>
        <v>0</v>
      </c>
      <c r="C56" s="279"/>
      <c r="D56" s="270" t="b">
        <f>공시용!D57='전달용(2)'!C57</f>
        <v>0</v>
      </c>
    </row>
    <row r="57" spans="1:7">
      <c r="A57" s="278" t="s">
        <v>856</v>
      </c>
      <c r="B57" s="279"/>
      <c r="C57" s="279">
        <f>SUM(B53:B56)</f>
        <v>284897256994</v>
      </c>
      <c r="D57" s="270" t="b">
        <f>C58=공시용!D58</f>
        <v>0</v>
      </c>
    </row>
    <row r="58" spans="1:7">
      <c r="A58" s="278" t="s">
        <v>1046</v>
      </c>
      <c r="B58" s="279"/>
      <c r="C58" s="279">
        <f>+C51+C57</f>
        <v>869315161457</v>
      </c>
      <c r="D58" s="270"/>
    </row>
    <row r="59" spans="1:7">
      <c r="A59" s="270"/>
      <c r="B59" s="286"/>
      <c r="C59" s="286"/>
      <c r="D59" s="270"/>
      <c r="E59" s="275"/>
      <c r="F59" s="275"/>
      <c r="G59" s="287"/>
    </row>
    <row r="60" spans="1:7" ht="17.45" customHeight="1">
      <c r="A60" s="270"/>
      <c r="B60" s="270"/>
      <c r="C60" s="270"/>
      <c r="D60" s="268"/>
    </row>
    <row r="61" spans="1:7">
      <c r="A61" s="823" t="s">
        <v>1047</v>
      </c>
      <c r="B61" s="823"/>
      <c r="C61" s="823"/>
      <c r="D61" s="268"/>
      <c r="E61" s="829" t="s">
        <v>1047</v>
      </c>
      <c r="F61" s="829"/>
      <c r="G61" s="829"/>
    </row>
    <row r="62" spans="1:7">
      <c r="A62" s="824" t="s">
        <v>1195</v>
      </c>
      <c r="B62" s="824"/>
      <c r="C62" s="824"/>
      <c r="D62" s="268"/>
      <c r="E62" s="830" t="s">
        <v>1221</v>
      </c>
      <c r="F62" s="830"/>
      <c r="G62" s="830"/>
    </row>
    <row r="63" spans="1:7">
      <c r="A63" s="443"/>
      <c r="B63" s="443"/>
      <c r="C63" s="443"/>
      <c r="D63" s="268"/>
      <c r="E63" s="830" t="s">
        <v>1200</v>
      </c>
      <c r="F63" s="830"/>
      <c r="G63" s="455"/>
    </row>
    <row r="64" spans="1:7">
      <c r="A64" s="268"/>
      <c r="B64" s="268"/>
      <c r="C64" s="268"/>
      <c r="D64" s="270"/>
      <c r="E64" s="269"/>
      <c r="F64" s="271"/>
      <c r="G64" s="271"/>
    </row>
    <row r="65" spans="1:7">
      <c r="A65" s="269"/>
      <c r="B65" s="270"/>
      <c r="C65" s="270"/>
      <c r="D65" s="270"/>
      <c r="E65" s="272"/>
      <c r="F65" s="271"/>
      <c r="G65" s="483" t="s">
        <v>1017</v>
      </c>
    </row>
    <row r="66" spans="1:7">
      <c r="A66" s="269"/>
      <c r="B66" s="270"/>
      <c r="C66" s="270"/>
      <c r="D66" s="270"/>
      <c r="E66" s="833" t="s">
        <v>1051</v>
      </c>
      <c r="F66" s="839" t="s">
        <v>1198</v>
      </c>
      <c r="G66" s="840"/>
    </row>
    <row r="67" spans="1:7">
      <c r="A67" s="276" t="s">
        <v>1051</v>
      </c>
      <c r="B67" s="821" t="s">
        <v>1019</v>
      </c>
      <c r="C67" s="822"/>
      <c r="D67" s="270" t="b">
        <f>C68=공시용!D64</f>
        <v>1</v>
      </c>
      <c r="E67" s="834"/>
      <c r="F67" s="835" t="s">
        <v>1199</v>
      </c>
      <c r="G67" s="836"/>
    </row>
    <row r="68" spans="1:7">
      <c r="A68" s="278" t="s">
        <v>1052</v>
      </c>
      <c r="B68" s="279"/>
      <c r="C68" s="279">
        <f>공시용!D64</f>
        <v>471643378426</v>
      </c>
      <c r="D68" s="270" t="e">
        <f>C69=공시용!D65</f>
        <v>#VALUE!</v>
      </c>
      <c r="E68" s="464" t="s">
        <v>1052</v>
      </c>
      <c r="F68" s="465"/>
      <c r="G68" s="465">
        <f>ROUND(C68/1000,0)</f>
        <v>471643378</v>
      </c>
    </row>
    <row r="69" spans="1:7">
      <c r="A69" s="278" t="s">
        <v>1053</v>
      </c>
      <c r="B69" s="279"/>
      <c r="C69" s="279" t="e">
        <f>SUM(B70:B79)</f>
        <v>#VALUE!</v>
      </c>
      <c r="D69" s="274"/>
      <c r="E69" s="466" t="s">
        <v>1053</v>
      </c>
      <c r="F69" s="467"/>
      <c r="G69" s="467" t="e">
        <f>ROUND(C69/1000,0)</f>
        <v>#VALUE!</v>
      </c>
    </row>
    <row r="70" spans="1:7">
      <c r="A70" s="288" t="s">
        <v>984</v>
      </c>
      <c r="B70" s="279">
        <f>VLOOKUP(A70,공시용!$B$66:$D$115,2,0)</f>
        <v>82051581368</v>
      </c>
      <c r="C70" s="279"/>
      <c r="D70" s="274"/>
      <c r="E70" s="468" t="s">
        <v>1054</v>
      </c>
      <c r="F70" s="469">
        <f t="shared" ref="F70:F79" si="8">ROUND(B70/1000,5)</f>
        <v>82051581.368000001</v>
      </c>
      <c r="G70" s="469"/>
    </row>
    <row r="71" spans="1:7">
      <c r="A71" s="288" t="s">
        <v>985</v>
      </c>
      <c r="B71" s="279" t="e">
        <f>VLOOKUP(A71,공시용!$B$66:$D$115,2,0)</f>
        <v>#VALUE!</v>
      </c>
      <c r="C71" s="279"/>
      <c r="D71" s="274"/>
      <c r="E71" s="468" t="s">
        <v>1055</v>
      </c>
      <c r="F71" s="469" t="e">
        <f t="shared" si="8"/>
        <v>#VALUE!</v>
      </c>
      <c r="G71" s="469"/>
    </row>
    <row r="72" spans="1:7">
      <c r="A72" s="288" t="s">
        <v>560</v>
      </c>
      <c r="B72" s="279">
        <f>VLOOKUP(A72,공시용!$B$66:$D$115,2,0)</f>
        <v>15805826684</v>
      </c>
      <c r="C72" s="279"/>
      <c r="D72" s="274"/>
      <c r="E72" s="468" t="s">
        <v>1057</v>
      </c>
      <c r="F72" s="469">
        <f t="shared" si="8"/>
        <v>15805826.684</v>
      </c>
      <c r="G72" s="469"/>
    </row>
    <row r="73" spans="1:7">
      <c r="A73" s="288" t="s">
        <v>561</v>
      </c>
      <c r="B73" s="279">
        <f>VLOOKUP(A73,공시용!$B$66:$D$115,2,0)</f>
        <v>3824495169</v>
      </c>
      <c r="C73" s="279"/>
      <c r="D73" s="274"/>
      <c r="E73" s="468" t="s">
        <v>1059</v>
      </c>
      <c r="F73" s="469">
        <f t="shared" si="8"/>
        <v>3824495.1690000002</v>
      </c>
      <c r="G73" s="469"/>
    </row>
    <row r="74" spans="1:7">
      <c r="A74" s="288" t="s">
        <v>1060</v>
      </c>
      <c r="B74" s="279">
        <f>VLOOKUP(A74,공시용!$B$66:$D$115,2,0)</f>
        <v>91611616672</v>
      </c>
      <c r="C74" s="279"/>
      <c r="D74" s="274"/>
      <c r="E74" s="468" t="s">
        <v>1061</v>
      </c>
      <c r="F74" s="469">
        <f t="shared" si="8"/>
        <v>91611616.672000006</v>
      </c>
      <c r="G74" s="469"/>
    </row>
    <row r="75" spans="1:7">
      <c r="A75" s="288" t="s">
        <v>987</v>
      </c>
      <c r="B75" s="279">
        <f>VLOOKUP(A75,공시용!$B$66:$D$115,2,0)</f>
        <v>162537337</v>
      </c>
      <c r="C75" s="279"/>
      <c r="D75" s="274"/>
      <c r="E75" s="468" t="s">
        <v>1063</v>
      </c>
      <c r="F75" s="469">
        <f t="shared" si="8"/>
        <v>162537.337</v>
      </c>
      <c r="G75" s="469"/>
    </row>
    <row r="76" spans="1:7">
      <c r="A76" s="290" t="s">
        <v>1064</v>
      </c>
      <c r="B76" s="279">
        <f>VLOOKUP(A76,공시용!$B$66:$D$115,2,0)</f>
        <v>106617962403</v>
      </c>
      <c r="C76" s="279"/>
      <c r="D76" s="274"/>
      <c r="E76" s="470" t="s">
        <v>1065</v>
      </c>
      <c r="F76" s="469">
        <f t="shared" si="8"/>
        <v>106617962.403</v>
      </c>
      <c r="G76" s="469"/>
    </row>
    <row r="77" spans="1:7">
      <c r="A77" s="293" t="s">
        <v>1066</v>
      </c>
      <c r="B77" s="279">
        <f>VLOOKUP(A77,공시용!$B$66:$D$115,2,0)</f>
        <v>434624472</v>
      </c>
      <c r="C77" s="279"/>
      <c r="D77" s="274"/>
      <c r="E77" s="470" t="s">
        <v>1067</v>
      </c>
      <c r="F77" s="469">
        <f t="shared" si="8"/>
        <v>434624.47200000001</v>
      </c>
      <c r="G77" s="469"/>
    </row>
    <row r="78" spans="1:7">
      <c r="A78" s="294" t="s">
        <v>989</v>
      </c>
      <c r="B78" s="279">
        <f>VLOOKUP(A78,공시용!$B$66:$D$115,2,0)</f>
        <v>27535316662</v>
      </c>
      <c r="C78" s="279"/>
      <c r="D78" s="274"/>
      <c r="E78" s="468" t="s">
        <v>1068</v>
      </c>
      <c r="F78" s="469">
        <f t="shared" si="8"/>
        <v>27535316.662</v>
      </c>
      <c r="G78" s="469"/>
    </row>
    <row r="79" spans="1:7">
      <c r="A79" s="294" t="s">
        <v>452</v>
      </c>
      <c r="B79" s="279" t="e">
        <f>공시용!D65-SUM('전달용(2)'!B70:B78)</f>
        <v>#VALUE!</v>
      </c>
      <c r="C79" s="279"/>
      <c r="D79" s="270" t="e">
        <f>공시용!D88='전달용(2)'!C80</f>
        <v>#VALUE!</v>
      </c>
      <c r="E79" s="471" t="s">
        <v>1069</v>
      </c>
      <c r="F79" s="472" t="e">
        <f t="shared" si="8"/>
        <v>#VALUE!</v>
      </c>
      <c r="G79" s="469"/>
    </row>
    <row r="80" spans="1:7">
      <c r="A80" s="297" t="s">
        <v>1070</v>
      </c>
      <c r="B80" s="291"/>
      <c r="C80" s="279" t="e">
        <f>+C68-C69</f>
        <v>#VALUE!</v>
      </c>
      <c r="D80" s="301"/>
      <c r="E80" s="473" t="s">
        <v>1070</v>
      </c>
      <c r="F80" s="474"/>
      <c r="G80" s="467" t="e">
        <f>ROUND(C80/1000,0)</f>
        <v>#VALUE!</v>
      </c>
    </row>
    <row r="81" spans="1:7">
      <c r="A81" s="294" t="s">
        <v>410</v>
      </c>
      <c r="B81" s="291">
        <f>공시용!D99</f>
        <v>8742914150</v>
      </c>
      <c r="C81" s="300"/>
      <c r="D81" s="270"/>
      <c r="E81" s="471" t="s">
        <v>1071</v>
      </c>
      <c r="F81" s="472">
        <f>ROUND(B81/1000,5)</f>
        <v>8742914.1500000004</v>
      </c>
      <c r="G81" s="475"/>
    </row>
    <row r="82" spans="1:7">
      <c r="A82" s="294" t="s">
        <v>423</v>
      </c>
      <c r="B82" s="291">
        <f>공시용!D105</f>
        <v>8543696127</v>
      </c>
      <c r="C82" s="279"/>
      <c r="D82" s="270"/>
      <c r="E82" s="471" t="s">
        <v>1072</v>
      </c>
      <c r="F82" s="472">
        <f>ROUND(B82/1000,5)</f>
        <v>8543696.1270000003</v>
      </c>
      <c r="G82" s="469"/>
    </row>
    <row r="83" spans="1:7">
      <c r="A83" s="294" t="s">
        <v>454</v>
      </c>
      <c r="B83" s="291">
        <f>공시용!D89</f>
        <v>157874055</v>
      </c>
      <c r="C83" s="279"/>
      <c r="D83" s="270"/>
      <c r="E83" s="471" t="s">
        <v>1073</v>
      </c>
      <c r="F83" s="472">
        <f>ROUND(B83/1000,5)</f>
        <v>157874.05499999999</v>
      </c>
      <c r="G83" s="469"/>
    </row>
    <row r="84" spans="1:7">
      <c r="A84" s="294" t="s">
        <v>455</v>
      </c>
      <c r="B84" s="291">
        <f>공시용!D93</f>
        <v>546926511</v>
      </c>
      <c r="C84" s="279"/>
      <c r="D84" s="270"/>
      <c r="E84" s="471" t="s">
        <v>1075</v>
      </c>
      <c r="F84" s="472">
        <f>ROUND(B84/1000,5)</f>
        <v>546926.51100000006</v>
      </c>
      <c r="G84" s="469"/>
    </row>
    <row r="85" spans="1:7">
      <c r="A85" s="294" t="s">
        <v>760</v>
      </c>
      <c r="B85" s="291">
        <f>공시용!D112</f>
        <v>6107971029</v>
      </c>
      <c r="C85" s="279"/>
      <c r="D85" s="270" t="e">
        <f>C86=공시용!D113</f>
        <v>#VALUE!</v>
      </c>
      <c r="E85" s="476" t="s">
        <v>760</v>
      </c>
      <c r="F85" s="472">
        <f>ROUND(B85/1000,5)</f>
        <v>6107971.0290000001</v>
      </c>
      <c r="G85" s="469"/>
    </row>
    <row r="86" spans="1:7">
      <c r="A86" s="303" t="s">
        <v>1078</v>
      </c>
      <c r="B86" s="304"/>
      <c r="C86" s="279" t="e">
        <f>C80+B81-B82+B83-B84-B85</f>
        <v>#VALUE!</v>
      </c>
      <c r="D86" s="270" t="b">
        <f>C87=공시용!D114</f>
        <v>1</v>
      </c>
      <c r="E86" s="477" t="s">
        <v>1078</v>
      </c>
      <c r="F86" s="474"/>
      <c r="G86" s="467" t="e">
        <f>ROUND(C86/1000,0)</f>
        <v>#VALUE!</v>
      </c>
    </row>
    <row r="87" spans="1:7" ht="17.25" thickBot="1">
      <c r="A87" s="298" t="s">
        <v>1079</v>
      </c>
      <c r="B87" s="304"/>
      <c r="C87" s="279">
        <f>공시용!D114</f>
        <v>-36830173936</v>
      </c>
      <c r="D87" s="270" t="e">
        <f>C88=공시용!D115</f>
        <v>#VALUE!</v>
      </c>
      <c r="E87" s="473" t="s">
        <v>1079</v>
      </c>
      <c r="F87" s="474"/>
      <c r="G87" s="478">
        <f>ROUND(C87/1000,0)</f>
        <v>-36830174</v>
      </c>
    </row>
    <row r="88" spans="1:7" ht="17.25" thickBot="1">
      <c r="A88" s="278" t="s">
        <v>1080</v>
      </c>
      <c r="B88" s="285"/>
      <c r="C88" s="279" t="e">
        <f>+C86-C87</f>
        <v>#VALUE!</v>
      </c>
      <c r="E88" s="479" t="s">
        <v>1080</v>
      </c>
      <c r="F88" s="474"/>
      <c r="G88" s="480" t="e">
        <f>ROUND(C88/1000,0)</f>
        <v>#VALUE!</v>
      </c>
    </row>
    <row r="89" spans="1:7" ht="17.25" thickTop="1">
      <c r="E89" s="481"/>
      <c r="F89" s="481"/>
      <c r="G89" s="481"/>
    </row>
    <row r="90" spans="1:7">
      <c r="C90" s="305"/>
      <c r="E90" s="482"/>
      <c r="F90" s="482"/>
      <c r="G90" s="482"/>
    </row>
    <row r="94" spans="1:7">
      <c r="D94" s="820"/>
      <c r="E94" s="820"/>
    </row>
    <row r="95" spans="1:7">
      <c r="A95" s="342"/>
      <c r="B95" s="793"/>
      <c r="C95" s="837"/>
      <c r="D95" s="359"/>
      <c r="E95" s="360"/>
    </row>
    <row r="96" spans="1:7">
      <c r="A96" s="343"/>
      <c r="B96" s="344"/>
      <c r="C96" s="355"/>
      <c r="D96" s="359"/>
      <c r="E96" s="360"/>
    </row>
    <row r="97" spans="1:5">
      <c r="A97" s="343"/>
      <c r="B97" s="344"/>
      <c r="C97" s="346"/>
      <c r="D97" s="359"/>
      <c r="E97" s="359"/>
    </row>
    <row r="98" spans="1:5">
      <c r="A98" s="343"/>
      <c r="B98" s="344"/>
      <c r="C98" s="356"/>
      <c r="D98" s="360"/>
      <c r="E98" s="359"/>
    </row>
    <row r="99" spans="1:5">
      <c r="A99" s="343"/>
      <c r="B99" s="347"/>
      <c r="C99" s="356"/>
      <c r="D99" s="360"/>
      <c r="E99" s="359"/>
    </row>
    <row r="100" spans="1:5">
      <c r="A100" s="348"/>
      <c r="B100" s="345"/>
      <c r="C100" s="357"/>
      <c r="D100" s="360"/>
      <c r="E100" s="359"/>
    </row>
    <row r="101" spans="1:5">
      <c r="A101" s="348"/>
      <c r="B101" s="345"/>
      <c r="C101" s="357"/>
      <c r="D101" s="359"/>
      <c r="E101" s="360"/>
    </row>
    <row r="102" spans="1:5">
      <c r="A102" s="349"/>
      <c r="B102" s="350"/>
      <c r="C102" s="358"/>
    </row>
    <row r="103" spans="1:5">
      <c r="C103" s="351"/>
      <c r="D103" s="352"/>
    </row>
    <row r="104" spans="1:5">
      <c r="B104" s="352"/>
      <c r="C104" s="353"/>
      <c r="D104" s="352"/>
    </row>
    <row r="105" spans="1:5">
      <c r="B105" s="352"/>
      <c r="C105" s="354"/>
      <c r="D105" s="352"/>
    </row>
    <row r="106" spans="1:5">
      <c r="B106" s="352"/>
      <c r="C106" s="354"/>
    </row>
  </sheetData>
  <mergeCells count="22">
    <mergeCell ref="A1:C1"/>
    <mergeCell ref="A2:C2"/>
    <mergeCell ref="B9:C9"/>
    <mergeCell ref="F9:G9"/>
    <mergeCell ref="B95:C95"/>
    <mergeCell ref="E8:E9"/>
    <mergeCell ref="F8:G8"/>
    <mergeCell ref="A61:C61"/>
    <mergeCell ref="E61:G61"/>
    <mergeCell ref="A62:C62"/>
    <mergeCell ref="E62:G62"/>
    <mergeCell ref="B67:C67"/>
    <mergeCell ref="F66:G66"/>
    <mergeCell ref="E63:F63"/>
    <mergeCell ref="J8:K8"/>
    <mergeCell ref="J9:K9"/>
    <mergeCell ref="G2:I2"/>
    <mergeCell ref="G3:I3"/>
    <mergeCell ref="D94:E94"/>
    <mergeCell ref="I8:I9"/>
    <mergeCell ref="E66:E67"/>
    <mergeCell ref="F67:G6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10EF-4F69-4BBC-872A-779ED346E1CC}">
  <dimension ref="A1:T37"/>
  <sheetViews>
    <sheetView showGridLines="0" workbookViewId="0">
      <pane xSplit="2" ySplit="7" topLeftCell="C20" activePane="bottomRight" state="frozen"/>
      <selection activeCell="J34" sqref="J34"/>
      <selection pane="topRight" activeCell="J34" sqref="J34"/>
      <selection pane="bottomLeft" activeCell="J34" sqref="J34"/>
      <selection pane="bottomRight" activeCell="J34" sqref="J34"/>
    </sheetView>
  </sheetViews>
  <sheetFormatPr defaultColWidth="9" defaultRowHeight="16.5"/>
  <cols>
    <col min="1" max="1" width="3.125" style="361" customWidth="1"/>
    <col min="2" max="2" width="26.875" style="488" bestFit="1" customWidth="1"/>
    <col min="3" max="10" width="18.75" style="488" customWidth="1"/>
    <col min="11" max="11" width="16" style="488" bestFit="1" customWidth="1"/>
    <col min="12" max="12" width="9.625" style="488" bestFit="1" customWidth="1"/>
    <col min="13" max="16384" width="9" style="488"/>
  </cols>
  <sheetData>
    <row r="1" spans="1:12" ht="5.25" customHeight="1"/>
    <row r="2" spans="1:12" ht="19.5">
      <c r="A2" s="488"/>
      <c r="B2" s="362" t="s">
        <v>1101</v>
      </c>
    </row>
    <row r="3" spans="1:12" ht="19.5">
      <c r="A3" s="488"/>
      <c r="B3" s="362" t="s">
        <v>1102</v>
      </c>
    </row>
    <row r="4" spans="1:12" ht="19.5">
      <c r="A4" s="488"/>
      <c r="B4" s="363">
        <v>44196</v>
      </c>
    </row>
    <row r="5" spans="1:12" ht="17.25" thickBot="1"/>
    <row r="6" spans="1:12" ht="21.75" customHeight="1">
      <c r="B6" s="803" t="s">
        <v>274</v>
      </c>
      <c r="C6" s="805" t="s">
        <v>1042</v>
      </c>
      <c r="D6" s="807" t="s">
        <v>740</v>
      </c>
      <c r="E6" s="808"/>
      <c r="F6" s="808"/>
      <c r="G6" s="809"/>
      <c r="H6" s="805" t="s">
        <v>1044</v>
      </c>
      <c r="I6" s="805" t="s">
        <v>1103</v>
      </c>
      <c r="J6" s="798" t="s">
        <v>1104</v>
      </c>
    </row>
    <row r="7" spans="1:12" ht="21.75" customHeight="1">
      <c r="B7" s="804"/>
      <c r="C7" s="806"/>
      <c r="D7" s="516" t="s">
        <v>1105</v>
      </c>
      <c r="E7" s="516" t="s">
        <v>326</v>
      </c>
      <c r="F7" s="516" t="s">
        <v>1106</v>
      </c>
      <c r="G7" s="516" t="s">
        <v>1107</v>
      </c>
      <c r="H7" s="806"/>
      <c r="I7" s="806"/>
      <c r="J7" s="799"/>
    </row>
    <row r="8" spans="1:12" ht="21.75" customHeight="1">
      <c r="B8" s="489" t="s">
        <v>1108</v>
      </c>
      <c r="C8" s="490">
        <f>ROUND(자본변동표!C8/1000,5)</f>
        <v>5123512</v>
      </c>
      <c r="D8" s="490">
        <f>ROUND(자본변동표!D8/1000,5)</f>
        <v>463655072.713</v>
      </c>
      <c r="E8" s="490">
        <f>ROUND(자본변동표!E8/1000,5)</f>
        <v>-42575729.077</v>
      </c>
      <c r="F8" s="490" t="e">
        <f>ROUND(자본변동표!#REF!/1000,5)</f>
        <v>#REF!</v>
      </c>
      <c r="G8" s="490">
        <f>ROUND(자본변동표!F8/1000,5)</f>
        <v>421079343.63599998</v>
      </c>
      <c r="H8" s="490">
        <f>ROUND(자본변동표!G8/1000,5)</f>
        <v>30582917.456</v>
      </c>
      <c r="I8" s="491">
        <f>ROUND(자본변동표!H8/1000,5)</f>
        <v>-95281.464999999997</v>
      </c>
      <c r="J8" s="492">
        <f>ROUND(자본변동표!I8/1000,5)</f>
        <v>456690491.62699997</v>
      </c>
    </row>
    <row r="9" spans="1:12" ht="21.75" customHeight="1">
      <c r="B9" s="800" t="s">
        <v>1109</v>
      </c>
      <c r="C9" s="801"/>
      <c r="D9" s="801"/>
      <c r="E9" s="801"/>
      <c r="F9" s="801"/>
      <c r="G9" s="801"/>
      <c r="H9" s="801"/>
      <c r="I9" s="801"/>
      <c r="J9" s="802"/>
    </row>
    <row r="10" spans="1:12" ht="21.75" customHeight="1">
      <c r="B10" s="493" t="s">
        <v>1110</v>
      </c>
      <c r="C10" s="494">
        <f>ROUND(자본변동표!C10/1000,5)</f>
        <v>0</v>
      </c>
      <c r="D10" s="494">
        <f>ROUND(자본변동표!D10/1000,5)</f>
        <v>0</v>
      </c>
      <c r="E10" s="494">
        <f>ROUND(자본변동표!E10/1000,5)</f>
        <v>0</v>
      </c>
      <c r="F10" s="494" t="e">
        <f>ROUND(자본변동표!#REF!/1000,5)</f>
        <v>#REF!</v>
      </c>
      <c r="G10" s="494">
        <f>ROUND(자본변동표!F10/1000,5)</f>
        <v>0</v>
      </c>
      <c r="H10" s="494">
        <f>ROUND(자본변동표!G10/1000,5)</f>
        <v>-75590345.281000003</v>
      </c>
      <c r="I10" s="495">
        <f>ROUND(자본변동표!H10/1000,5)</f>
        <v>0</v>
      </c>
      <c r="J10" s="496">
        <f>ROUND(자본변동표!I10/1000,5)</f>
        <v>-75590345.281000003</v>
      </c>
    </row>
    <row r="11" spans="1:12" ht="21.75" customHeight="1">
      <c r="B11" s="493" t="s">
        <v>1111</v>
      </c>
      <c r="C11" s="494">
        <f>ROUND(자본변동표!C11/1000,5)</f>
        <v>0</v>
      </c>
      <c r="D11" s="494">
        <f>ROUND(자본변동표!D11/1000,5)</f>
        <v>0</v>
      </c>
      <c r="E11" s="494">
        <f>ROUND(자본변동표!E11/1000,5)</f>
        <v>0</v>
      </c>
      <c r="F11" s="494" t="e">
        <f>ROUND(자본변동표!#REF!/1000,5)</f>
        <v>#REF!</v>
      </c>
      <c r="G11" s="494">
        <f>ROUND(자본변동표!F11/1000,5)</f>
        <v>0</v>
      </c>
      <c r="H11" s="494">
        <f>ROUND(자본변동표!G11/1000,5)</f>
        <v>1748129.2660000001</v>
      </c>
      <c r="I11" s="488">
        <f>ROUND(자본변동표!H11/1000,5)</f>
        <v>0</v>
      </c>
      <c r="J11" s="496">
        <f>ROUND(자본변동표!I11/1000,5)</f>
        <v>1748129.2660000001</v>
      </c>
    </row>
    <row r="12" spans="1:12" ht="21.75" customHeight="1">
      <c r="B12" s="800" t="s">
        <v>1112</v>
      </c>
      <c r="C12" s="801"/>
      <c r="D12" s="801"/>
      <c r="E12" s="801"/>
      <c r="F12" s="801"/>
      <c r="G12" s="801"/>
      <c r="H12" s="801"/>
      <c r="I12" s="801"/>
      <c r="J12" s="802"/>
    </row>
    <row r="13" spans="1:12" ht="21.75" customHeight="1">
      <c r="B13" s="493" t="s">
        <v>1113</v>
      </c>
      <c r="C13" s="494" t="e">
        <f>ROUND(자본변동표!#REF!/1000,5)</f>
        <v>#REF!</v>
      </c>
      <c r="D13" s="494" t="e">
        <f>ROUND(자본변동표!#REF!/1000,5)</f>
        <v>#REF!</v>
      </c>
      <c r="E13" s="494" t="e">
        <f>ROUND(자본변동표!#REF!/1000,5)</f>
        <v>#REF!</v>
      </c>
      <c r="F13" s="494" t="e">
        <f>ROUND(자본변동표!#REF!/1000,5)</f>
        <v>#REF!</v>
      </c>
      <c r="G13" s="494" t="e">
        <f>ROUND(자본변동표!#REF!/1000,5)</f>
        <v>#REF!</v>
      </c>
      <c r="H13" s="494" t="e">
        <f>ROUND(자본변동표!#REF!/1000,5)</f>
        <v>#REF!</v>
      </c>
      <c r="I13" s="495" t="e">
        <f>ROUND(자본변동표!#REF!/1000,5)</f>
        <v>#REF!</v>
      </c>
      <c r="J13" s="496" t="e">
        <f>ROUND(자본변동표!#REF!/1000,5)</f>
        <v>#REF!</v>
      </c>
    </row>
    <row r="14" spans="1:12" ht="21.75" customHeight="1">
      <c r="B14" s="364" t="s">
        <v>1114</v>
      </c>
      <c r="C14" s="494" t="e">
        <f>ROUND(자본변동표!#REF!/1000,5)</f>
        <v>#REF!</v>
      </c>
      <c r="D14" s="494" t="e">
        <f>ROUND(자본변동표!#REF!/1000,5)</f>
        <v>#REF!</v>
      </c>
      <c r="E14" s="494" t="e">
        <f>ROUND(자본변동표!#REF!/1000,5)</f>
        <v>#REF!</v>
      </c>
      <c r="F14" s="494" t="e">
        <f>ROUND(자본변동표!#REF!/1000,5)</f>
        <v>#REF!</v>
      </c>
      <c r="G14" s="494" t="e">
        <f>ROUND(자본변동표!#REF!/1000,5)</f>
        <v>#REF!</v>
      </c>
      <c r="H14" s="494" t="e">
        <f>ROUND(자본변동표!#REF!/1000,5)</f>
        <v>#REF!</v>
      </c>
      <c r="I14" s="495" t="e">
        <f>ROUND(자본변동표!#REF!/1000,5)</f>
        <v>#REF!</v>
      </c>
      <c r="J14" s="496" t="e">
        <f>ROUND(자본변동표!#REF!/1000,5)</f>
        <v>#REF!</v>
      </c>
    </row>
    <row r="15" spans="1:12" ht="21.75" customHeight="1">
      <c r="B15" s="365" t="s">
        <v>1115</v>
      </c>
      <c r="C15" s="497">
        <f>ROUND(자본변동표!C16/1000,5)</f>
        <v>0</v>
      </c>
      <c r="D15" s="497">
        <f>ROUND(자본변동표!D16/1000,5)</f>
        <v>-170000000</v>
      </c>
      <c r="E15" s="497">
        <f>ROUND(자본변동표!E16/1000,5)</f>
        <v>0</v>
      </c>
      <c r="F15" s="497" t="e">
        <f>ROUND(자본변동표!#REF!/1000,5)</f>
        <v>#REF!</v>
      </c>
      <c r="G15" s="494">
        <f>ROUND(자본변동표!F16/1000,5)</f>
        <v>-170000000</v>
      </c>
      <c r="H15" s="497">
        <f>ROUND(자본변동표!G16/1000,5)</f>
        <v>170000000</v>
      </c>
      <c r="I15" s="498">
        <f>ROUND(자본변동표!H16/1000,5)</f>
        <v>0</v>
      </c>
      <c r="J15" s="496">
        <f>ROUND(자본변동표!I16/1000,5)</f>
        <v>0</v>
      </c>
    </row>
    <row r="16" spans="1:12" ht="21.75" customHeight="1" thickBot="1">
      <c r="B16" s="499" t="s">
        <v>1116</v>
      </c>
      <c r="C16" s="500">
        <f>ROUND(자본변동표!C17/1000,5)</f>
        <v>5123512</v>
      </c>
      <c r="D16" s="500">
        <f>ROUND(자본변동표!D17/1000,5)</f>
        <v>293655072.713</v>
      </c>
      <c r="E16" s="500">
        <f>ROUND(자본변동표!E17/1000,5)</f>
        <v>-42575729.077</v>
      </c>
      <c r="F16" s="500" t="e">
        <f>ROUND(자본변동표!#REF!/1000,5)</f>
        <v>#REF!</v>
      </c>
      <c r="G16" s="500">
        <f>ROUND(자본변동표!F17/1000,5)</f>
        <v>251079343.63600001</v>
      </c>
      <c r="H16" s="500">
        <f>ROUND(자본변동표!G17/1000,5)</f>
        <v>121740701.441</v>
      </c>
      <c r="I16" s="501">
        <f>ROUND(자본변동표!H17/1000,5)</f>
        <v>1595134.4240000001</v>
      </c>
      <c r="J16" s="502">
        <f>ROUND(자본변동표!I17/1000,5)</f>
        <v>379538691.50099999</v>
      </c>
      <c r="K16" s="503">
        <v>550039338670</v>
      </c>
      <c r="L16" s="504">
        <v>0</v>
      </c>
    </row>
    <row r="17" spans="2:20" ht="21.75" customHeight="1">
      <c r="B17" s="800" t="s">
        <v>1109</v>
      </c>
      <c r="C17" s="801"/>
      <c r="D17" s="801"/>
      <c r="E17" s="801"/>
      <c r="F17" s="801"/>
      <c r="G17" s="801"/>
      <c r="H17" s="801"/>
      <c r="I17" s="801"/>
      <c r="J17" s="802"/>
    </row>
    <row r="18" spans="2:20" ht="21.75" customHeight="1">
      <c r="B18" s="493" t="s">
        <v>1110</v>
      </c>
      <c r="C18" s="494" t="e">
        <f>ROUND(자본변동표!#REF!/1000,5)</f>
        <v>#REF!</v>
      </c>
      <c r="D18" s="494" t="e">
        <f>ROUND(자본변동표!#REF!/1000,5)</f>
        <v>#REF!</v>
      </c>
      <c r="E18" s="494" t="e">
        <f>ROUND(자본변동표!#REF!/1000,5)</f>
        <v>#REF!</v>
      </c>
      <c r="F18" s="494" t="e">
        <f>ROUND(자본변동표!#REF!/1000,5)</f>
        <v>#REF!</v>
      </c>
      <c r="G18" s="494" t="e">
        <f>ROUND(자본변동표!#REF!/1000,5)</f>
        <v>#REF!</v>
      </c>
      <c r="H18" s="494" t="e">
        <f>ROUND(자본변동표!#REF!/1000,5)</f>
        <v>#REF!</v>
      </c>
      <c r="I18" s="495" t="e">
        <f>ROUND(자본변동표!#REF!/1000,5)</f>
        <v>#REF!</v>
      </c>
      <c r="J18" s="496" t="e">
        <f>ROUND(자본변동표!#REF!/1000,5)</f>
        <v>#REF!</v>
      </c>
    </row>
    <row r="19" spans="2:20" ht="21.75" customHeight="1">
      <c r="B19" s="493" t="s">
        <v>1111</v>
      </c>
      <c r="C19" s="494" t="e">
        <f>ROUND(자본변동표!#REF!/1000,5)</f>
        <v>#REF!</v>
      </c>
      <c r="D19" s="494" t="e">
        <f>ROUND(자본변동표!#REF!/1000,5)</f>
        <v>#REF!</v>
      </c>
      <c r="E19" s="494" t="e">
        <f>ROUND(자본변동표!#REF!/1000,5)</f>
        <v>#REF!</v>
      </c>
      <c r="F19" s="494" t="e">
        <f>ROUND(자본변동표!#REF!/1000,5)</f>
        <v>#REF!</v>
      </c>
      <c r="G19" s="494" t="e">
        <f>ROUND(자본변동표!#REF!/1000,5)</f>
        <v>#REF!</v>
      </c>
      <c r="H19" s="505" t="e">
        <f>ROUND(자본변동표!#REF!/1000,5)</f>
        <v>#REF!</v>
      </c>
      <c r="I19" s="488" t="e">
        <f>ROUND(자본변동표!#REF!/1000,5)</f>
        <v>#REF!</v>
      </c>
      <c r="J19" s="496" t="e">
        <f>ROUND(자본변동표!#REF!/1000,5)</f>
        <v>#REF!</v>
      </c>
    </row>
    <row r="20" spans="2:20" ht="21.75" customHeight="1">
      <c r="B20" s="493" t="s">
        <v>1117</v>
      </c>
      <c r="C20" s="494" t="e">
        <f>ROUND(자본변동표!#REF!/1000,5)</f>
        <v>#REF!</v>
      </c>
      <c r="D20" s="494" t="e">
        <f>ROUND(자본변동표!#REF!/1000,5)</f>
        <v>#REF!</v>
      </c>
      <c r="E20" s="494" t="e">
        <f>ROUND(자본변동표!#REF!/1000,5)</f>
        <v>#REF!</v>
      </c>
      <c r="F20" s="494" t="e">
        <f>ROUND(자본변동표!#REF!/1000,5)</f>
        <v>#REF!</v>
      </c>
      <c r="G20" s="494" t="e">
        <f>ROUND(자본변동표!#REF!/1000,5)</f>
        <v>#REF!</v>
      </c>
      <c r="H20" s="494" t="e">
        <f>ROUND(자본변동표!#REF!/1000,5)</f>
        <v>#REF!</v>
      </c>
      <c r="I20" s="495" t="e">
        <f>ROUND(자본변동표!#REF!/1000,5)</f>
        <v>#REF!</v>
      </c>
      <c r="J20" s="496" t="e">
        <f>ROUND(자본변동표!#REF!/1000,5)</f>
        <v>#REF!</v>
      </c>
    </row>
    <row r="21" spans="2:20" ht="21.75" customHeight="1">
      <c r="B21" s="800" t="s">
        <v>1112</v>
      </c>
      <c r="C21" s="801"/>
      <c r="D21" s="801"/>
      <c r="E21" s="801"/>
      <c r="F21" s="801"/>
      <c r="G21" s="801"/>
      <c r="H21" s="801"/>
      <c r="I21" s="801"/>
      <c r="J21" s="802"/>
    </row>
    <row r="22" spans="2:20" ht="21.75" customHeight="1">
      <c r="B22" s="493" t="s">
        <v>1113</v>
      </c>
      <c r="C22" s="494" t="e">
        <f>ROUND(자본변동표!#REF!/1000,5)</f>
        <v>#REF!</v>
      </c>
      <c r="D22" s="494" t="e">
        <f>ROUND(자본변동표!#REF!/1000,5)</f>
        <v>#REF!</v>
      </c>
      <c r="E22" s="494" t="e">
        <f>ROUND(자본변동표!#REF!/1000,5)</f>
        <v>#REF!</v>
      </c>
      <c r="F22" s="494" t="e">
        <f>ROUND(자본변동표!#REF!/1000,5)</f>
        <v>#REF!</v>
      </c>
      <c r="G22" s="494" t="e">
        <f>ROUND(자본변동표!#REF!/1000,5)</f>
        <v>#REF!</v>
      </c>
      <c r="H22" s="494" t="e">
        <f>ROUND(자본변동표!#REF!/1000,5)</f>
        <v>#REF!</v>
      </c>
      <c r="I22" s="495" t="e">
        <f>ROUND(자본변동표!#REF!/1000,5)</f>
        <v>#REF!</v>
      </c>
      <c r="J22" s="496" t="e">
        <f>ROUND(자본변동표!#REF!/1000,5)</f>
        <v>#REF!</v>
      </c>
    </row>
    <row r="23" spans="2:20" ht="21.75" customHeight="1">
      <c r="B23" s="506" t="s">
        <v>1118</v>
      </c>
      <c r="C23" s="494" t="e">
        <f>ROUND(자본변동표!#REF!/1000,5)</f>
        <v>#REF!</v>
      </c>
      <c r="D23" s="494" t="e">
        <f>ROUND(자본변동표!#REF!/1000,5)</f>
        <v>#REF!</v>
      </c>
      <c r="E23" s="494" t="e">
        <f>ROUND(자본변동표!#REF!/1000,5)</f>
        <v>#REF!</v>
      </c>
      <c r="F23" s="494" t="e">
        <f>ROUND(자본변동표!#REF!/1000,5)</f>
        <v>#REF!</v>
      </c>
      <c r="G23" s="494" t="e">
        <f>ROUND(자본변동표!#REF!/1000,5)</f>
        <v>#REF!</v>
      </c>
      <c r="H23" s="494" t="e">
        <f>ROUND(자본변동표!#REF!/1000,5)</f>
        <v>#REF!</v>
      </c>
      <c r="I23" s="495" t="e">
        <f>ROUND(자본변동표!#REF!/1000,5)</f>
        <v>#REF!</v>
      </c>
      <c r="J23" s="496" t="e">
        <f>ROUND(자본변동표!#REF!/1000,5)</f>
        <v>#REF!</v>
      </c>
    </row>
    <row r="24" spans="2:20" ht="21.75" customHeight="1">
      <c r="B24" s="365" t="s">
        <v>1119</v>
      </c>
      <c r="C24" s="494" t="e">
        <f>ROUND(자본변동표!#REF!/1000,5)</f>
        <v>#REF!</v>
      </c>
      <c r="D24" s="494" t="e">
        <f>ROUND(자본변동표!#REF!/1000,5)</f>
        <v>#REF!</v>
      </c>
      <c r="E24" s="494" t="e">
        <f>ROUND(자본변동표!#REF!/1000,5)</f>
        <v>#REF!</v>
      </c>
      <c r="F24" s="494" t="e">
        <f>ROUND(자본변동표!#REF!/1000,5)</f>
        <v>#REF!</v>
      </c>
      <c r="G24" s="494" t="e">
        <f>ROUND(자본변동표!#REF!/1000,5)</f>
        <v>#REF!</v>
      </c>
      <c r="H24" s="494" t="e">
        <f>ROUND(자본변동표!#REF!/1000,5)</f>
        <v>#REF!</v>
      </c>
      <c r="I24" s="495" t="e">
        <f>ROUND(자본변동표!#REF!/1000,5)</f>
        <v>#REF!</v>
      </c>
      <c r="J24" s="496" t="e">
        <f>ROUND(자본변동표!#REF!/1000,5)</f>
        <v>#REF!</v>
      </c>
      <c r="L24" s="366"/>
      <c r="M24" s="507"/>
      <c r="N24" s="507"/>
      <c r="O24" s="507"/>
      <c r="P24" s="507"/>
      <c r="Q24" s="507"/>
      <c r="R24" s="507"/>
      <c r="S24" s="507"/>
      <c r="T24" s="507"/>
    </row>
    <row r="25" spans="2:20" ht="21.75" customHeight="1" thickBot="1">
      <c r="B25" s="499" t="s">
        <v>1120</v>
      </c>
      <c r="C25" s="500" t="e">
        <f>ROUND(자본변동표!#REF!/1000,5)</f>
        <v>#REF!</v>
      </c>
      <c r="D25" s="500" t="e">
        <f>ROUND(자본변동표!#REF!/1000,5)</f>
        <v>#REF!</v>
      </c>
      <c r="E25" s="500" t="e">
        <f>ROUND(자본변동표!#REF!/1000,5)</f>
        <v>#REF!</v>
      </c>
      <c r="F25" s="500" t="e">
        <f>ROUND(자본변동표!#REF!/1000,5)</f>
        <v>#REF!</v>
      </c>
      <c r="G25" s="500" t="e">
        <f>ROUND(자본변동표!#REF!/1000,5)</f>
        <v>#REF!</v>
      </c>
      <c r="H25" s="500" t="e">
        <f>ROUND(자본변동표!#REF!/1000,5)</f>
        <v>#REF!</v>
      </c>
      <c r="I25" s="500" t="e">
        <f>ROUND(자본변동표!#REF!/1000,5)</f>
        <v>#REF!</v>
      </c>
      <c r="J25" s="502" t="e">
        <f>ROUND(자본변동표!#REF!/1000,5)</f>
        <v>#REF!</v>
      </c>
      <c r="L25" s="366"/>
      <c r="M25" s="504"/>
      <c r="N25" s="504"/>
      <c r="O25" s="504"/>
      <c r="P25" s="504"/>
      <c r="Q25" s="504"/>
      <c r="R25" s="504"/>
      <c r="S25" s="504"/>
      <c r="T25" s="504"/>
    </row>
    <row r="26" spans="2:20" ht="21.75" customHeight="1">
      <c r="B26" s="800" t="s">
        <v>1109</v>
      </c>
      <c r="C26" s="801"/>
      <c r="D26" s="801"/>
      <c r="E26" s="801"/>
      <c r="F26" s="801"/>
      <c r="G26" s="801"/>
      <c r="H26" s="801"/>
      <c r="I26" s="801"/>
      <c r="J26" s="802"/>
    </row>
    <row r="27" spans="2:20" ht="21.75" customHeight="1">
      <c r="B27" s="493" t="s">
        <v>1110</v>
      </c>
      <c r="C27" s="494" t="e">
        <f>ROUND(자본변동표!#REF!/1000,5)</f>
        <v>#REF!</v>
      </c>
      <c r="D27" s="494" t="e">
        <f>ROUND(자본변동표!#REF!/1000,5)</f>
        <v>#REF!</v>
      </c>
      <c r="E27" s="494" t="e">
        <f>ROUND(자본변동표!#REF!/1000,5)</f>
        <v>#REF!</v>
      </c>
      <c r="F27" s="494" t="e">
        <f>ROUND(자본변동표!#REF!/1000,5)</f>
        <v>#REF!</v>
      </c>
      <c r="G27" s="494" t="e">
        <f>ROUND(자본변동표!#REF!/1000,5)</f>
        <v>#REF!</v>
      </c>
      <c r="H27" s="494" t="e">
        <f>ROUND(자본변동표!#REF!/1000,5)</f>
        <v>#REF!</v>
      </c>
      <c r="I27" s="495" t="e">
        <f>ROUND(자본변동표!#REF!/1000,5)</f>
        <v>#REF!</v>
      </c>
      <c r="J27" s="496" t="e">
        <f>ROUND(자본변동표!#REF!/1000,5)</f>
        <v>#REF!</v>
      </c>
    </row>
    <row r="28" spans="2:20" ht="21.75" customHeight="1">
      <c r="B28" s="493" t="s">
        <v>1111</v>
      </c>
      <c r="C28" s="494" t="e">
        <f>ROUND(자본변동표!#REF!/1000,5)</f>
        <v>#REF!</v>
      </c>
      <c r="D28" s="494" t="e">
        <f>ROUND(자본변동표!#REF!/1000,5)</f>
        <v>#REF!</v>
      </c>
      <c r="E28" s="494" t="e">
        <f>ROUND(자본변동표!#REF!/1000,5)</f>
        <v>#REF!</v>
      </c>
      <c r="F28" s="494" t="e">
        <f>ROUND(자본변동표!#REF!/1000,5)</f>
        <v>#REF!</v>
      </c>
      <c r="G28" s="494" t="e">
        <f>ROUND(자본변동표!#REF!/1000,5)</f>
        <v>#REF!</v>
      </c>
      <c r="H28" s="505" t="e">
        <f>ROUND(자본변동표!#REF!/1000,5)</f>
        <v>#REF!</v>
      </c>
      <c r="I28" s="488" t="e">
        <f>ROUND(자본변동표!#REF!/1000,5)</f>
        <v>#REF!</v>
      </c>
      <c r="J28" s="496" t="e">
        <f>ROUND(자본변동표!#REF!/1000,5)</f>
        <v>#REF!</v>
      </c>
    </row>
    <row r="29" spans="2:20" ht="21.75" customHeight="1">
      <c r="B29" s="493" t="s">
        <v>1117</v>
      </c>
      <c r="C29" s="494" t="e">
        <f>ROUND(자본변동표!#REF!/1000,5)</f>
        <v>#REF!</v>
      </c>
      <c r="D29" s="494" t="e">
        <f>ROUND(자본변동표!#REF!/1000,5)</f>
        <v>#REF!</v>
      </c>
      <c r="E29" s="494" t="e">
        <f>ROUND(자본변동표!#REF!/1000,5)</f>
        <v>#REF!</v>
      </c>
      <c r="F29" s="494" t="e">
        <f>ROUND(자본변동표!#REF!/1000,5)</f>
        <v>#REF!</v>
      </c>
      <c r="G29" s="494" t="e">
        <f>ROUND(자본변동표!#REF!/1000,5)</f>
        <v>#REF!</v>
      </c>
      <c r="H29" s="494" t="e">
        <f>ROUND(자본변동표!#REF!/1000,5)</f>
        <v>#REF!</v>
      </c>
      <c r="I29" s="495" t="e">
        <f>ROUND(자본변동표!#REF!/1000,5)</f>
        <v>#REF!</v>
      </c>
      <c r="J29" s="496" t="e">
        <f>ROUND(자본변동표!#REF!/1000,5)</f>
        <v>#REF!</v>
      </c>
    </row>
    <row r="30" spans="2:20" ht="21.75" customHeight="1">
      <c r="B30" s="800" t="s">
        <v>1112</v>
      </c>
      <c r="C30" s="801"/>
      <c r="D30" s="801"/>
      <c r="E30" s="801"/>
      <c r="F30" s="801"/>
      <c r="G30" s="801"/>
      <c r="H30" s="801"/>
      <c r="I30" s="801"/>
      <c r="J30" s="802"/>
    </row>
    <row r="31" spans="2:20" ht="21.75" customHeight="1">
      <c r="B31" s="493" t="s">
        <v>1113</v>
      </c>
      <c r="C31" s="494">
        <v>0</v>
      </c>
      <c r="D31" s="494">
        <v>0</v>
      </c>
      <c r="E31" s="494">
        <v>0</v>
      </c>
      <c r="F31" s="494"/>
      <c r="G31" s="494">
        <f>SUM(D31:F31)</f>
        <v>0</v>
      </c>
      <c r="H31" s="494">
        <v>0</v>
      </c>
      <c r="I31" s="495">
        <v>0</v>
      </c>
      <c r="J31" s="496">
        <f>SUM(C31,G31,H31,I31)</f>
        <v>0</v>
      </c>
    </row>
    <row r="32" spans="2:20" ht="21.75" customHeight="1">
      <c r="B32" s="506" t="s">
        <v>1118</v>
      </c>
      <c r="C32" s="494"/>
      <c r="D32" s="494"/>
      <c r="E32" s="494"/>
      <c r="F32" s="494" t="e">
        <f>ROUND(자본변동표!#REF!/1000,5)</f>
        <v>#REF!</v>
      </c>
      <c r="G32" s="494" t="e">
        <f>ROUND(자본변동표!#REF!/1000,5)</f>
        <v>#REF!</v>
      </c>
      <c r="H32" s="494" t="e">
        <f>ROUND(자본변동표!#REF!/1000,5)</f>
        <v>#REF!</v>
      </c>
      <c r="I32" s="495" t="e">
        <f>ROUND(자본변동표!#REF!/1000,5)</f>
        <v>#REF!</v>
      </c>
      <c r="J32" s="496" t="e">
        <f>ROUND(자본변동표!#REF!/1000,5)</f>
        <v>#REF!</v>
      </c>
    </row>
    <row r="33" spans="2:10" ht="21.75" customHeight="1">
      <c r="B33" s="365" t="s">
        <v>1119</v>
      </c>
      <c r="C33" s="494">
        <v>0</v>
      </c>
      <c r="D33" s="494">
        <v>0</v>
      </c>
      <c r="E33" s="494">
        <v>0</v>
      </c>
      <c r="F33" s="494" t="e">
        <f>ROUND(자본변동표!#REF!/1000,5)</f>
        <v>#REF!</v>
      </c>
      <c r="G33" s="494" t="e">
        <f>ROUND(자본변동표!#REF!/1000,5)</f>
        <v>#REF!</v>
      </c>
      <c r="H33" s="494" t="e">
        <f>ROUND(자본변동표!#REF!/1000,5)</f>
        <v>#REF!</v>
      </c>
      <c r="I33" s="495" t="e">
        <f>ROUND(자본변동표!#REF!/1000,5)</f>
        <v>#REF!</v>
      </c>
      <c r="J33" s="496" t="e">
        <f>ROUND(자본변동표!#REF!/1000,5)</f>
        <v>#REF!</v>
      </c>
    </row>
    <row r="34" spans="2:10" ht="21.75" customHeight="1" thickBot="1">
      <c r="B34" s="499" t="s">
        <v>1222</v>
      </c>
      <c r="C34" s="500" t="e">
        <f>ROUND(자본변동표!#REF!/1000,5)</f>
        <v>#REF!</v>
      </c>
      <c r="D34" s="500" t="e">
        <f>ROUND(자본변동표!#REF!/1000,5)</f>
        <v>#REF!</v>
      </c>
      <c r="E34" s="500" t="e">
        <f>ROUND(자본변동표!#REF!/1000,5)</f>
        <v>#REF!</v>
      </c>
      <c r="F34" s="500" t="e">
        <f>ROUND(자본변동표!#REF!/1000,5)</f>
        <v>#REF!</v>
      </c>
      <c r="G34" s="500" t="e">
        <f>ROUND(자본변동표!#REF!/1000,5)</f>
        <v>#REF!</v>
      </c>
      <c r="H34" s="500" t="e">
        <f>ROUND(자본변동표!#REF!/1000,5)</f>
        <v>#REF!</v>
      </c>
      <c r="I34" s="500" t="e">
        <f>ROUND(자본변동표!#REF!/1000,5)</f>
        <v>#REF!</v>
      </c>
      <c r="J34" s="502" t="e">
        <f>ROUND(자본변동표!#REF!/1000,5)</f>
        <v>#REF!</v>
      </c>
    </row>
    <row r="35" spans="2:10">
      <c r="C35" s="508">
        <f>(BS_WTB!AD269+BS_WTB!AD271)/1000</f>
        <v>5123512</v>
      </c>
      <c r="D35" s="508">
        <f>BS_WTB!AD272/1000</f>
        <v>293655072.713</v>
      </c>
      <c r="E35" s="508">
        <f>BS_WTB!AD278/1000</f>
        <v>-42575729.077</v>
      </c>
      <c r="F35" s="508">
        <f>BS_WTB!AD274/1000</f>
        <v>4861756</v>
      </c>
      <c r="H35" s="508">
        <f>BS_WTB!AD286/1000</f>
        <v>23832645.357999999</v>
      </c>
      <c r="I35" s="508">
        <f>BS_WTB!AD282/1000</f>
        <v>0</v>
      </c>
      <c r="J35" s="508">
        <f>BS_WTB!AD267/1000</f>
        <v>287676630.51499999</v>
      </c>
    </row>
    <row r="36" spans="2:10">
      <c r="C36" s="509" t="e">
        <f>C34-C35</f>
        <v>#REF!</v>
      </c>
      <c r="D36" s="509" t="e">
        <f t="shared" ref="D36:J36" si="0">D34-D35</f>
        <v>#REF!</v>
      </c>
      <c r="E36" s="509" t="e">
        <f t="shared" si="0"/>
        <v>#REF!</v>
      </c>
      <c r="F36" s="509" t="e">
        <f t="shared" si="0"/>
        <v>#REF!</v>
      </c>
      <c r="G36" s="509"/>
      <c r="H36" s="509" t="e">
        <f t="shared" si="0"/>
        <v>#REF!</v>
      </c>
      <c r="I36" s="509" t="e">
        <f t="shared" si="0"/>
        <v>#REF!</v>
      </c>
      <c r="J36" s="509" t="e">
        <f t="shared" si="0"/>
        <v>#REF!</v>
      </c>
    </row>
    <row r="37" spans="2:10">
      <c r="G37" s="509"/>
    </row>
  </sheetData>
  <mergeCells count="12">
    <mergeCell ref="B30:J30"/>
    <mergeCell ref="B6:B7"/>
    <mergeCell ref="C6:C7"/>
    <mergeCell ref="D6:G6"/>
    <mergeCell ref="H6:H7"/>
    <mergeCell ref="I6:I7"/>
    <mergeCell ref="J6:J7"/>
    <mergeCell ref="B9:J9"/>
    <mergeCell ref="B12:J12"/>
    <mergeCell ref="B17:J17"/>
    <mergeCell ref="B21:J21"/>
    <mergeCell ref="B26:J26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theme="4" tint="0.79998168889431442"/>
  </sheetPr>
  <dimension ref="A1:O473"/>
  <sheetViews>
    <sheetView showGridLines="0" zoomScale="85" zoomScaleNormal="85" workbookViewId="0">
      <pane ySplit="1" topLeftCell="A449" activePane="bottomLeft" state="frozen"/>
      <selection activeCell="E155" sqref="E155"/>
      <selection pane="bottomLeft" sqref="A1:L473"/>
    </sheetView>
  </sheetViews>
  <sheetFormatPr defaultRowHeight="16.5"/>
  <cols>
    <col min="1" max="1" width="9.25" bestFit="1" customWidth="1"/>
    <col min="2" max="3" width="9.375" bestFit="1" customWidth="1"/>
    <col min="4" max="4" width="26.375" bestFit="1" customWidth="1"/>
    <col min="5" max="6" width="16.75" bestFit="1" customWidth="1"/>
    <col min="7" max="8" width="18.375" bestFit="1" customWidth="1"/>
    <col min="9" max="9" width="16.75" bestFit="1" customWidth="1"/>
    <col min="10" max="10" width="19.375" bestFit="1" customWidth="1"/>
    <col min="11" max="11" width="18.625" bestFit="1" customWidth="1"/>
    <col min="12" max="12" width="16.75" bestFit="1" customWidth="1"/>
    <col min="13" max="13" width="9" style="510"/>
    <col min="15" max="15" width="10" bestFit="1" customWidth="1"/>
  </cols>
  <sheetData>
    <row r="1" spans="1:15">
      <c r="A1" s="759" t="s">
        <v>273</v>
      </c>
      <c r="B1" s="759" t="s">
        <v>272</v>
      </c>
      <c r="C1" s="759" t="s">
        <v>271</v>
      </c>
      <c r="D1" s="759" t="s">
        <v>270</v>
      </c>
      <c r="E1" s="759" t="s">
        <v>269</v>
      </c>
      <c r="F1" s="759" t="s">
        <v>268</v>
      </c>
      <c r="G1" s="759" t="s">
        <v>267</v>
      </c>
      <c r="H1" s="759" t="s">
        <v>266</v>
      </c>
      <c r="I1" s="759" t="s">
        <v>265</v>
      </c>
      <c r="J1" s="759" t="s">
        <v>264</v>
      </c>
      <c r="K1" s="759" t="s">
        <v>263</v>
      </c>
      <c r="L1" s="759" t="s">
        <v>262</v>
      </c>
      <c r="M1" s="510" t="s">
        <v>274</v>
      </c>
    </row>
    <row r="2" spans="1:15">
      <c r="A2" s="755">
        <v>100</v>
      </c>
      <c r="B2" s="755"/>
      <c r="C2" s="755"/>
      <c r="D2" s="755" t="s">
        <v>242</v>
      </c>
      <c r="E2" s="756">
        <v>815206318670</v>
      </c>
      <c r="F2" s="756">
        <v>712287626211</v>
      </c>
      <c r="G2" s="756">
        <v>4627766009228</v>
      </c>
      <c r="H2" s="756">
        <v>-4635414976694</v>
      </c>
      <c r="I2" s="756">
        <v>-7648967466</v>
      </c>
      <c r="J2" s="756">
        <v>38955152403186</v>
      </c>
      <c r="K2" s="756">
        <v>-39065720063111</v>
      </c>
      <c r="L2" s="756">
        <v>704638658745</v>
      </c>
      <c r="M2" s="570" t="e">
        <f>VLOOKUP(C2,BS_WTB!$C:$E,3,0)</f>
        <v>#N/A</v>
      </c>
    </row>
    <row r="3" spans="1:15">
      <c r="A3" s="755"/>
      <c r="B3" s="755">
        <v>1000</v>
      </c>
      <c r="C3" s="755"/>
      <c r="D3" s="755" t="s">
        <v>283</v>
      </c>
      <c r="E3" s="756">
        <v>44572518747</v>
      </c>
      <c r="F3" s="756">
        <v>39163386502</v>
      </c>
      <c r="G3" s="756">
        <v>3928705759763</v>
      </c>
      <c r="H3" s="756">
        <v>-3914865658697</v>
      </c>
      <c r="I3" s="756">
        <v>13840101066</v>
      </c>
      <c r="J3" s="756">
        <v>33543991519761</v>
      </c>
      <c r="K3" s="756">
        <v>-33535560550940</v>
      </c>
      <c r="L3" s="756">
        <v>53003487568</v>
      </c>
      <c r="M3" s="570" t="e">
        <f>VLOOKUP(C3,BS_WTB!$C:$E,3,0)</f>
        <v>#N/A</v>
      </c>
    </row>
    <row r="4" spans="1:15">
      <c r="A4" s="755"/>
      <c r="B4" s="755"/>
      <c r="C4" s="755">
        <v>100000</v>
      </c>
      <c r="D4" s="755" t="s">
        <v>241</v>
      </c>
      <c r="E4" s="756">
        <v>7281000172</v>
      </c>
      <c r="F4" s="756">
        <v>5667063674</v>
      </c>
      <c r="G4" s="756">
        <v>3059827548953</v>
      </c>
      <c r="H4" s="756">
        <v>-3060595278040</v>
      </c>
      <c r="I4" s="756">
        <v>-767729087</v>
      </c>
      <c r="J4" s="756">
        <v>26963154388029</v>
      </c>
      <c r="K4" s="756">
        <v>-26965536053614</v>
      </c>
      <c r="L4" s="756">
        <v>4899334587</v>
      </c>
      <c r="M4" s="570" t="str">
        <f>VLOOKUP(C4,BS_WTB!$C:$E,3,0)</f>
        <v>현금예금</v>
      </c>
    </row>
    <row r="5" spans="1:15">
      <c r="A5" s="755"/>
      <c r="B5" s="755"/>
      <c r="C5" s="755">
        <v>128000</v>
      </c>
      <c r="D5" s="755" t="s">
        <v>240</v>
      </c>
      <c r="E5" s="756">
        <v>36601316133</v>
      </c>
      <c r="F5" s="756">
        <v>30182520302</v>
      </c>
      <c r="G5" s="756">
        <v>863781443392</v>
      </c>
      <c r="H5" s="756">
        <v>-849240800000</v>
      </c>
      <c r="I5" s="756">
        <v>14540643392</v>
      </c>
      <c r="J5" s="756">
        <v>6520042647561</v>
      </c>
      <c r="K5" s="756">
        <v>-6511920800000</v>
      </c>
      <c r="L5" s="756">
        <v>44723163694</v>
      </c>
      <c r="M5" s="570" t="str">
        <f>VLOOKUP(C5,BS_WTB!$C:$E,3,0)</f>
        <v>예금-금전신탁</v>
      </c>
    </row>
    <row r="6" spans="1:15">
      <c r="A6" s="755"/>
      <c r="B6" s="755"/>
      <c r="C6" s="755">
        <v>154261</v>
      </c>
      <c r="D6" s="755" t="s">
        <v>287</v>
      </c>
      <c r="E6" s="756">
        <v>580071565</v>
      </c>
      <c r="F6" s="756">
        <v>785360204</v>
      </c>
      <c r="G6" s="756">
        <v>4806820873</v>
      </c>
      <c r="H6" s="756">
        <v>-4973227655</v>
      </c>
      <c r="I6" s="756">
        <v>-166406782</v>
      </c>
      <c r="J6" s="756">
        <v>56002963877</v>
      </c>
      <c r="K6" s="756">
        <v>-55964082020</v>
      </c>
      <c r="L6" s="756">
        <v>618953422</v>
      </c>
      <c r="M6" s="570" t="str">
        <f>VLOOKUP(C6,BS_WTB!$C:$E,3,0)</f>
        <v>신한 11번가 해외판매자 정산 계좌</v>
      </c>
    </row>
    <row r="7" spans="1:15">
      <c r="A7" s="755"/>
      <c r="B7" s="755"/>
      <c r="C7" s="755">
        <v>154282</v>
      </c>
      <c r="D7" s="755" t="s">
        <v>288</v>
      </c>
      <c r="E7" s="756">
        <v>110130877</v>
      </c>
      <c r="F7" s="756">
        <v>2528442322</v>
      </c>
      <c r="G7" s="756">
        <v>289946545</v>
      </c>
      <c r="H7" s="756">
        <v>-56353002</v>
      </c>
      <c r="I7" s="756">
        <v>233593543</v>
      </c>
      <c r="J7" s="756">
        <v>4791520294</v>
      </c>
      <c r="K7" s="756">
        <v>-2139615306</v>
      </c>
      <c r="L7" s="756">
        <v>2762035865</v>
      </c>
      <c r="M7" s="570" t="str">
        <f>VLOOKUP(C7,BS_WTB!$C:$E,3,0)</f>
        <v>외환 외화 Multi Currencies 계좌</v>
      </c>
      <c r="N7" s="638"/>
      <c r="O7" s="638"/>
    </row>
    <row r="8" spans="1:15">
      <c r="A8" s="755"/>
      <c r="B8" s="755">
        <v>1050</v>
      </c>
      <c r="C8" s="755"/>
      <c r="D8" s="755" t="s">
        <v>239</v>
      </c>
      <c r="E8" s="756">
        <v>243622409706</v>
      </c>
      <c r="F8" s="756">
        <v>167789664224</v>
      </c>
      <c r="G8" s="756">
        <v>5928608884</v>
      </c>
      <c r="H8" s="756">
        <v>-70197512236</v>
      </c>
      <c r="I8" s="756">
        <v>-64268903352</v>
      </c>
      <c r="J8" s="756">
        <v>7488515700</v>
      </c>
      <c r="K8" s="756">
        <v>-147590164534</v>
      </c>
      <c r="L8" s="756">
        <v>103520760872</v>
      </c>
      <c r="M8" s="570" t="e">
        <f>VLOOKUP(C8,BS_WTB!$C:$E,3,0)</f>
        <v>#N/A</v>
      </c>
    </row>
    <row r="9" spans="1:15">
      <c r="A9" s="755"/>
      <c r="B9" s="755"/>
      <c r="C9" s="755">
        <v>146000</v>
      </c>
      <c r="D9" s="755" t="s">
        <v>237</v>
      </c>
      <c r="E9" s="756">
        <v>37500000000</v>
      </c>
      <c r="F9" s="756">
        <v>35000000000</v>
      </c>
      <c r="G9" s="755">
        <v>0</v>
      </c>
      <c r="H9" s="755">
        <v>0</v>
      </c>
      <c r="I9" s="755">
        <v>0</v>
      </c>
      <c r="J9" s="755">
        <v>0</v>
      </c>
      <c r="K9" s="756">
        <v>-2500000000</v>
      </c>
      <c r="L9" s="756">
        <v>35000000000</v>
      </c>
      <c r="M9" s="570" t="str">
        <f>VLOOKUP(C9,BS_WTB!$C:$E,3,0)</f>
        <v>정기예금</v>
      </c>
    </row>
    <row r="10" spans="1:15">
      <c r="A10" s="755"/>
      <c r="B10" s="755"/>
      <c r="C10" s="755">
        <v>153000</v>
      </c>
      <c r="D10" s="755" t="s">
        <v>670</v>
      </c>
      <c r="E10" s="756">
        <v>206122422862</v>
      </c>
      <c r="F10" s="756">
        <v>132789670814</v>
      </c>
      <c r="G10" s="756">
        <v>5928608884</v>
      </c>
      <c r="H10" s="756">
        <v>-70197512236</v>
      </c>
      <c r="I10" s="756">
        <v>-64268903352</v>
      </c>
      <c r="J10" s="756">
        <v>7488509134</v>
      </c>
      <c r="K10" s="756">
        <v>-145090164534</v>
      </c>
      <c r="L10" s="756">
        <v>68520767462</v>
      </c>
      <c r="M10" s="570" t="str">
        <f>VLOOKUP(C10,BS_WTB!$C:$E,3,0)</f>
        <v>특정금전신탁</v>
      </c>
    </row>
    <row r="11" spans="1:15">
      <c r="A11" s="755"/>
      <c r="B11" s="755"/>
      <c r="C11" s="755">
        <v>154290</v>
      </c>
      <c r="D11" s="755" t="s">
        <v>1301</v>
      </c>
      <c r="E11" s="756">
        <v>-13156</v>
      </c>
      <c r="F11" s="756">
        <v>-6590</v>
      </c>
      <c r="G11" s="755">
        <v>0</v>
      </c>
      <c r="H11" s="755">
        <v>0</v>
      </c>
      <c r="I11" s="755">
        <v>0</v>
      </c>
      <c r="J11" s="756">
        <v>6566</v>
      </c>
      <c r="K11" s="755">
        <v>0</v>
      </c>
      <c r="L11" s="756">
        <v>-6590</v>
      </c>
      <c r="M11" s="570" t="str">
        <f>VLOOKUP(C11,BS_WTB!$C:$E,3,0)</f>
        <v>외화정기예금환산조정</v>
      </c>
    </row>
    <row r="12" spans="1:15">
      <c r="A12" s="755"/>
      <c r="B12" s="755">
        <v>1300</v>
      </c>
      <c r="C12" s="755"/>
      <c r="D12" s="755" t="s">
        <v>218</v>
      </c>
      <c r="E12" s="756">
        <v>1252219293</v>
      </c>
      <c r="F12" s="756">
        <v>4254246944</v>
      </c>
      <c r="G12" s="756">
        <v>47305821226</v>
      </c>
      <c r="H12" s="756">
        <v>-6919658080</v>
      </c>
      <c r="I12" s="756">
        <v>40386163146</v>
      </c>
      <c r="J12" s="756">
        <v>90706793899</v>
      </c>
      <c r="K12" s="756">
        <v>-47318603102</v>
      </c>
      <c r="L12" s="756">
        <v>44640410090</v>
      </c>
      <c r="M12" s="570" t="e">
        <f>VLOOKUP(C12,BS_WTB!$C:$E,3,0)</f>
        <v>#N/A</v>
      </c>
    </row>
    <row r="13" spans="1:15">
      <c r="A13" s="755"/>
      <c r="B13" s="755"/>
      <c r="C13" s="755">
        <v>220100</v>
      </c>
      <c r="D13" s="755" t="s">
        <v>217</v>
      </c>
      <c r="E13" s="755">
        <v>0</v>
      </c>
      <c r="F13" s="755">
        <v>0</v>
      </c>
      <c r="G13" s="756">
        <v>7221717</v>
      </c>
      <c r="H13" s="756">
        <v>-7221717</v>
      </c>
      <c r="I13" s="755">
        <v>0</v>
      </c>
      <c r="J13" s="756">
        <v>171765678</v>
      </c>
      <c r="K13" s="756">
        <v>-171765678</v>
      </c>
      <c r="L13" s="755">
        <v>0</v>
      </c>
      <c r="M13" s="570" t="str">
        <f>VLOOKUP(C13,BS_WTB!$C:$E,3,0)</f>
        <v>선급금-자산대체</v>
      </c>
    </row>
    <row r="14" spans="1:15">
      <c r="A14" s="755"/>
      <c r="B14" s="755"/>
      <c r="C14" s="755">
        <v>220105</v>
      </c>
      <c r="D14" s="755" t="s">
        <v>216</v>
      </c>
      <c r="E14" s="756">
        <v>2154166066</v>
      </c>
      <c r="F14" s="756">
        <v>5156193717</v>
      </c>
      <c r="G14" s="756">
        <v>46683486483</v>
      </c>
      <c r="H14" s="756">
        <v>-6297323337</v>
      </c>
      <c r="I14" s="756">
        <v>40386163146</v>
      </c>
      <c r="J14" s="756">
        <v>85285207201</v>
      </c>
      <c r="K14" s="756">
        <v>-41897016404</v>
      </c>
      <c r="L14" s="756">
        <v>45542356863</v>
      </c>
      <c r="M14" s="570" t="str">
        <f>VLOOKUP(C14,BS_WTB!$C:$E,3,0)</f>
        <v>선급금-비용대체</v>
      </c>
    </row>
    <row r="15" spans="1:15">
      <c r="A15" s="755"/>
      <c r="B15" s="755"/>
      <c r="C15" s="755">
        <v>220190</v>
      </c>
      <c r="D15" s="755" t="s">
        <v>646</v>
      </c>
      <c r="E15" s="756">
        <v>-901946773</v>
      </c>
      <c r="F15" s="756">
        <v>-901946773</v>
      </c>
      <c r="G15" s="755">
        <v>0</v>
      </c>
      <c r="H15" s="755">
        <v>0</v>
      </c>
      <c r="I15" s="755">
        <v>0</v>
      </c>
      <c r="J15" s="755">
        <v>0</v>
      </c>
      <c r="K15" s="755">
        <v>0</v>
      </c>
      <c r="L15" s="756">
        <v>-901946773</v>
      </c>
      <c r="M15" s="570" t="str">
        <f>VLOOKUP(C15,BS_WTB!$C:$E,3,0)</f>
        <v>선급금대충</v>
      </c>
    </row>
    <row r="16" spans="1:15">
      <c r="A16" s="755"/>
      <c r="B16" s="755"/>
      <c r="C16" s="755">
        <v>970409</v>
      </c>
      <c r="D16" s="755" t="s">
        <v>661</v>
      </c>
      <c r="E16" s="755">
        <v>0</v>
      </c>
      <c r="F16" s="755">
        <v>0</v>
      </c>
      <c r="G16" s="756">
        <v>615113026</v>
      </c>
      <c r="H16" s="756">
        <v>-615113026</v>
      </c>
      <c r="I16" s="755">
        <v>0</v>
      </c>
      <c r="J16" s="756">
        <v>5249821020</v>
      </c>
      <c r="K16" s="756">
        <v>-5249821020</v>
      </c>
      <c r="L16" s="755">
        <v>0</v>
      </c>
      <c r="M16" s="570" t="str">
        <f>VLOOKUP(C16,BS_WTB!$C:$E,3,0)</f>
        <v>기프티콘 CMS 환불</v>
      </c>
    </row>
    <row r="17" spans="1:13">
      <c r="A17" s="755"/>
      <c r="B17" s="755">
        <v>1350</v>
      </c>
      <c r="C17" s="755"/>
      <c r="D17" s="755" t="s">
        <v>215</v>
      </c>
      <c r="E17" s="756">
        <v>1829322541</v>
      </c>
      <c r="F17" s="756">
        <v>2630066958</v>
      </c>
      <c r="G17" s="756">
        <v>3229788960</v>
      </c>
      <c r="H17" s="756">
        <v>-654998180</v>
      </c>
      <c r="I17" s="756">
        <v>2574790780</v>
      </c>
      <c r="J17" s="756">
        <v>6828809344</v>
      </c>
      <c r="K17" s="756">
        <v>-3453274147</v>
      </c>
      <c r="L17" s="756">
        <v>5204857738</v>
      </c>
      <c r="M17" s="570" t="e">
        <f>VLOOKUP(C17,BS_WTB!$C:$E,3,0)</f>
        <v>#N/A</v>
      </c>
    </row>
    <row r="18" spans="1:13">
      <c r="A18" s="755"/>
      <c r="B18" s="755"/>
      <c r="C18" s="755">
        <v>221100</v>
      </c>
      <c r="D18" s="755" t="s">
        <v>214</v>
      </c>
      <c r="E18" s="756">
        <v>63865</v>
      </c>
      <c r="F18" s="756">
        <v>63865</v>
      </c>
      <c r="G18" s="755">
        <v>0</v>
      </c>
      <c r="H18" s="755">
        <v>0</v>
      </c>
      <c r="I18" s="755">
        <v>0</v>
      </c>
      <c r="J18" s="755">
        <v>0</v>
      </c>
      <c r="K18" s="755">
        <v>0</v>
      </c>
      <c r="L18" s="756">
        <v>63865</v>
      </c>
      <c r="M18" s="570" t="str">
        <f>VLOOKUP(C18,BS_WTB!$C:$E,3,0)</f>
        <v>선급화재보험료</v>
      </c>
    </row>
    <row r="19" spans="1:13">
      <c r="A19" s="755"/>
      <c r="B19" s="755"/>
      <c r="C19" s="755">
        <v>221110</v>
      </c>
      <c r="D19" s="755" t="s">
        <v>213</v>
      </c>
      <c r="E19" s="756">
        <v>42497416</v>
      </c>
      <c r="F19" s="756">
        <v>179555404</v>
      </c>
      <c r="G19" s="756">
        <v>27141700</v>
      </c>
      <c r="H19" s="756">
        <v>-24655032</v>
      </c>
      <c r="I19" s="756">
        <v>2486668</v>
      </c>
      <c r="J19" s="756">
        <v>290072587</v>
      </c>
      <c r="K19" s="756">
        <v>-150527931</v>
      </c>
      <c r="L19" s="756">
        <v>182042072</v>
      </c>
      <c r="M19" s="570" t="str">
        <f>VLOOKUP(C19,BS_WTB!$C:$E,3,0)</f>
        <v>선급배상책임보험료</v>
      </c>
    </row>
    <row r="20" spans="1:13">
      <c r="A20" s="755"/>
      <c r="B20" s="755"/>
      <c r="C20" s="755">
        <v>221330</v>
      </c>
      <c r="D20" s="755" t="s">
        <v>212</v>
      </c>
      <c r="E20" s="756">
        <v>1258575160</v>
      </c>
      <c r="F20" s="756">
        <v>963429226</v>
      </c>
      <c r="G20" s="756">
        <v>62004000</v>
      </c>
      <c r="H20" s="756">
        <v>-203806750</v>
      </c>
      <c r="I20" s="756">
        <v>-141802750</v>
      </c>
      <c r="J20" s="756">
        <v>1273334888</v>
      </c>
      <c r="K20" s="756">
        <v>-1710283572</v>
      </c>
      <c r="L20" s="756">
        <v>821626476</v>
      </c>
      <c r="M20" s="570" t="str">
        <f>VLOOKUP(C20,BS_WTB!$C:$E,3,0)</f>
        <v>선급일반수수료</v>
      </c>
    </row>
    <row r="21" spans="1:13">
      <c r="A21" s="755"/>
      <c r="B21" s="755"/>
      <c r="C21" s="755">
        <v>221350</v>
      </c>
      <c r="D21" s="755" t="s">
        <v>1595</v>
      </c>
      <c r="E21" s="755">
        <v>0</v>
      </c>
      <c r="F21" s="755">
        <v>0</v>
      </c>
      <c r="G21" s="756">
        <v>3027875260</v>
      </c>
      <c r="H21" s="756">
        <v>-252322938</v>
      </c>
      <c r="I21" s="756">
        <v>2775552322</v>
      </c>
      <c r="J21" s="756">
        <v>3027875260</v>
      </c>
      <c r="K21" s="756">
        <v>-252322938</v>
      </c>
      <c r="L21" s="756">
        <v>2775552322</v>
      </c>
      <c r="M21" s="570" t="str">
        <f>VLOOKUP(C21,BS_WTB!$C:$E,3,0)</f>
        <v>기타선급비용-우주</v>
      </c>
    </row>
    <row r="22" spans="1:13">
      <c r="A22" s="755"/>
      <c r="B22" s="755"/>
      <c r="C22" s="755">
        <v>221900</v>
      </c>
      <c r="D22" s="755" t="s">
        <v>211</v>
      </c>
      <c r="E22" s="756">
        <v>277776686</v>
      </c>
      <c r="F22" s="756">
        <v>170784313</v>
      </c>
      <c r="G22" s="756">
        <v>70000000</v>
      </c>
      <c r="H22" s="756">
        <v>-83818654</v>
      </c>
      <c r="I22" s="756">
        <v>-13818654</v>
      </c>
      <c r="J22" s="756">
        <v>460000000</v>
      </c>
      <c r="K22" s="756">
        <v>-580811027</v>
      </c>
      <c r="L22" s="756">
        <v>156965659</v>
      </c>
      <c r="M22" s="570" t="str">
        <f>VLOOKUP(C22,BS_WTB!$C:$E,3,0)</f>
        <v>기타광고선급비용</v>
      </c>
    </row>
    <row r="23" spans="1:13">
      <c r="A23" s="755"/>
      <c r="B23" s="755"/>
      <c r="C23" s="755">
        <v>221980</v>
      </c>
      <c r="D23" s="755" t="s">
        <v>210</v>
      </c>
      <c r="E23" s="756">
        <v>243287343</v>
      </c>
      <c r="F23" s="756">
        <v>1276527530</v>
      </c>
      <c r="G23" s="756">
        <v>42768000</v>
      </c>
      <c r="H23" s="756">
        <v>-82241475</v>
      </c>
      <c r="I23" s="756">
        <v>-39473475</v>
      </c>
      <c r="J23" s="756">
        <v>1678374807</v>
      </c>
      <c r="K23" s="756">
        <v>-684608095</v>
      </c>
      <c r="L23" s="756">
        <v>1237054055</v>
      </c>
      <c r="M23" s="570" t="str">
        <f>VLOOKUP(C23,BS_WTB!$C:$E,3,0)</f>
        <v>선급외주용역비</v>
      </c>
    </row>
    <row r="24" spans="1:13">
      <c r="A24" s="755"/>
      <c r="B24" s="755"/>
      <c r="C24" s="755">
        <v>221990</v>
      </c>
      <c r="D24" s="755" t="s">
        <v>209</v>
      </c>
      <c r="E24" s="756">
        <v>7122071</v>
      </c>
      <c r="F24" s="756">
        <v>39706620</v>
      </c>
      <c r="G24" s="755">
        <v>0</v>
      </c>
      <c r="H24" s="756">
        <v>-8153331</v>
      </c>
      <c r="I24" s="756">
        <v>-8153331</v>
      </c>
      <c r="J24" s="756">
        <v>99151802</v>
      </c>
      <c r="K24" s="756">
        <v>-74720584</v>
      </c>
      <c r="L24" s="756">
        <v>31553289</v>
      </c>
      <c r="M24" s="570" t="str">
        <f>VLOOKUP(C24,BS_WTB!$C:$E,3,0)</f>
        <v>기타선급비용</v>
      </c>
    </row>
    <row r="25" spans="1:13">
      <c r="A25" s="755"/>
      <c r="B25" s="755">
        <v>20100</v>
      </c>
      <c r="C25" s="755"/>
      <c r="D25" s="755" t="s">
        <v>236</v>
      </c>
      <c r="E25" s="756">
        <v>27193879588</v>
      </c>
      <c r="F25" s="756">
        <v>23666899835</v>
      </c>
      <c r="G25" s="756">
        <v>22427887580</v>
      </c>
      <c r="H25" s="756">
        <v>-24323581758</v>
      </c>
      <c r="I25" s="756">
        <v>-1895694178</v>
      </c>
      <c r="J25" s="756">
        <v>170666985986</v>
      </c>
      <c r="K25" s="756">
        <v>-176089659917</v>
      </c>
      <c r="L25" s="756">
        <v>21771205657</v>
      </c>
      <c r="M25" s="570" t="e">
        <f>VLOOKUP(C25,BS_WTB!$C:$E,3,0)</f>
        <v>#N/A</v>
      </c>
    </row>
    <row r="26" spans="1:13">
      <c r="A26" s="755"/>
      <c r="B26" s="755"/>
      <c r="C26" s="755">
        <v>200400</v>
      </c>
      <c r="D26" s="755" t="s">
        <v>235</v>
      </c>
      <c r="E26" s="756">
        <v>27163945334</v>
      </c>
      <c r="F26" s="756">
        <v>23636171060</v>
      </c>
      <c r="G26" s="756">
        <v>22424622507</v>
      </c>
      <c r="H26" s="756">
        <v>-24322786965</v>
      </c>
      <c r="I26" s="756">
        <v>-1898164458</v>
      </c>
      <c r="J26" s="756">
        <v>170657289701</v>
      </c>
      <c r="K26" s="756">
        <v>-176083228433</v>
      </c>
      <c r="L26" s="756">
        <v>21738006602</v>
      </c>
      <c r="M26" s="570" t="str">
        <f>VLOOKUP(C26,BS_WTB!$C:$E,3,0)</f>
        <v>외상매출금-기타</v>
      </c>
    </row>
    <row r="27" spans="1:13">
      <c r="A27" s="755"/>
      <c r="B27" s="755"/>
      <c r="C27" s="755">
        <v>200490</v>
      </c>
      <c r="D27" s="755" t="s">
        <v>671</v>
      </c>
      <c r="E27" s="755">
        <v>0</v>
      </c>
      <c r="F27" s="756">
        <v>794521</v>
      </c>
      <c r="G27" s="756">
        <v>3265073</v>
      </c>
      <c r="H27" s="756">
        <v>-794793</v>
      </c>
      <c r="I27" s="756">
        <v>2470280</v>
      </c>
      <c r="J27" s="756">
        <v>9696285</v>
      </c>
      <c r="K27" s="756">
        <v>-6431484</v>
      </c>
      <c r="L27" s="756">
        <v>3264801</v>
      </c>
      <c r="M27" s="570" t="str">
        <f>VLOOKUP(C27,BS_WTB!$C:$E,3,0)</f>
        <v>외상매출금환산조정</v>
      </c>
    </row>
    <row r="28" spans="1:13">
      <c r="A28" s="755"/>
      <c r="B28" s="755"/>
      <c r="C28" s="755">
        <v>200800</v>
      </c>
      <c r="D28" s="755" t="s">
        <v>667</v>
      </c>
      <c r="E28" s="756">
        <v>29934254</v>
      </c>
      <c r="F28" s="756">
        <v>29934254</v>
      </c>
      <c r="G28" s="755">
        <v>0</v>
      </c>
      <c r="H28" s="755">
        <v>0</v>
      </c>
      <c r="I28" s="755">
        <v>0</v>
      </c>
      <c r="J28" s="755">
        <v>0</v>
      </c>
      <c r="K28" s="755">
        <v>0</v>
      </c>
      <c r="L28" s="756">
        <v>29934254</v>
      </c>
      <c r="M28" s="570" t="str">
        <f>VLOOKUP(C28,BS_WTB!$C:$E,3,0)</f>
        <v>외상매출금-부도채권</v>
      </c>
    </row>
    <row r="29" spans="1:13">
      <c r="A29" s="755"/>
      <c r="B29" s="755">
        <v>20110</v>
      </c>
      <c r="C29" s="755"/>
      <c r="D29" s="755" t="s">
        <v>234</v>
      </c>
      <c r="E29" s="756">
        <v>-200519888</v>
      </c>
      <c r="F29" s="756">
        <v>-230495459</v>
      </c>
      <c r="G29" s="756">
        <v>8168300</v>
      </c>
      <c r="H29" s="756">
        <v>-1144460</v>
      </c>
      <c r="I29" s="756">
        <v>7023840</v>
      </c>
      <c r="J29" s="756">
        <v>23864406</v>
      </c>
      <c r="K29" s="756">
        <v>-46816137</v>
      </c>
      <c r="L29" s="756">
        <v>-223471619</v>
      </c>
      <c r="M29" s="570" t="e">
        <f>VLOOKUP(C29,BS_WTB!$C:$E,3,0)</f>
        <v>#N/A</v>
      </c>
    </row>
    <row r="30" spans="1:13">
      <c r="A30" s="755"/>
      <c r="B30" s="755"/>
      <c r="C30" s="755">
        <v>204900</v>
      </c>
      <c r="D30" s="755" t="s">
        <v>233</v>
      </c>
      <c r="E30" s="756">
        <v>-200519888</v>
      </c>
      <c r="F30" s="756">
        <v>-230495459</v>
      </c>
      <c r="G30" s="756">
        <v>8168300</v>
      </c>
      <c r="H30" s="756">
        <v>-1144460</v>
      </c>
      <c r="I30" s="756">
        <v>7023840</v>
      </c>
      <c r="J30" s="756">
        <v>23864406</v>
      </c>
      <c r="K30" s="756">
        <v>-46816137</v>
      </c>
      <c r="L30" s="756">
        <v>-223471619</v>
      </c>
      <c r="M30" s="570" t="str">
        <f>VLOOKUP(C30,BS_WTB!$C:$E,3,0)</f>
        <v>외상매출금대충</v>
      </c>
    </row>
    <row r="31" spans="1:13">
      <c r="A31" s="755"/>
      <c r="B31" s="755">
        <v>20600</v>
      </c>
      <c r="C31" s="755"/>
      <c r="D31" s="755" t="s">
        <v>1331</v>
      </c>
      <c r="E31" s="756">
        <v>200000000</v>
      </c>
      <c r="F31" s="756">
        <v>200000000</v>
      </c>
      <c r="G31" s="755">
        <v>0</v>
      </c>
      <c r="H31" s="755">
        <v>0</v>
      </c>
      <c r="I31" s="755">
        <v>0</v>
      </c>
      <c r="J31" s="755">
        <v>0</v>
      </c>
      <c r="K31" s="755">
        <v>0</v>
      </c>
      <c r="L31" s="756">
        <v>200000000</v>
      </c>
      <c r="M31" s="570" t="e">
        <f>VLOOKUP(C31,BS_WTB!$C:$E,3,0)</f>
        <v>#N/A</v>
      </c>
    </row>
    <row r="32" spans="1:13">
      <c r="A32" s="755"/>
      <c r="B32" s="755"/>
      <c r="C32" s="755">
        <v>206190</v>
      </c>
      <c r="D32" s="755" t="s">
        <v>1332</v>
      </c>
      <c r="E32" s="756">
        <v>200000000</v>
      </c>
      <c r="F32" s="756">
        <v>200000000</v>
      </c>
      <c r="G32" s="755">
        <v>0</v>
      </c>
      <c r="H32" s="755">
        <v>0</v>
      </c>
      <c r="I32" s="755">
        <v>0</v>
      </c>
      <c r="J32" s="755">
        <v>0</v>
      </c>
      <c r="K32" s="755">
        <v>0</v>
      </c>
      <c r="L32" s="756">
        <v>200000000</v>
      </c>
      <c r="M32" s="570" t="str">
        <f>VLOOKUP(C32,BS_WTB!$C:$E,3,0)</f>
        <v>단기대여금-기타</v>
      </c>
    </row>
    <row r="33" spans="1:13">
      <c r="A33" s="755"/>
      <c r="B33" s="755">
        <v>20700</v>
      </c>
      <c r="C33" s="755"/>
      <c r="D33" s="755" t="s">
        <v>232</v>
      </c>
      <c r="E33" s="756">
        <v>488889010417</v>
      </c>
      <c r="F33" s="756">
        <v>429286536220</v>
      </c>
      <c r="G33" s="756">
        <v>537230527788</v>
      </c>
      <c r="H33" s="756">
        <v>-535424495208</v>
      </c>
      <c r="I33" s="756">
        <v>1806032580</v>
      </c>
      <c r="J33" s="756">
        <v>4864091546015</v>
      </c>
      <c r="K33" s="756">
        <v>-4921887987632</v>
      </c>
      <c r="L33" s="756">
        <v>431092568800</v>
      </c>
      <c r="M33" s="570" t="e">
        <f>VLOOKUP(C33,BS_WTB!$C:$E,3,0)</f>
        <v>#N/A</v>
      </c>
    </row>
    <row r="34" spans="1:13">
      <c r="A34" s="755"/>
      <c r="B34" s="755"/>
      <c r="C34" s="755">
        <v>207401</v>
      </c>
      <c r="D34" s="755" t="s">
        <v>231</v>
      </c>
      <c r="E34" s="756">
        <v>53627634953</v>
      </c>
      <c r="F34" s="756">
        <v>46757593910</v>
      </c>
      <c r="G34" s="756">
        <v>347469672360</v>
      </c>
      <c r="H34" s="756">
        <v>-330699095937</v>
      </c>
      <c r="I34" s="756">
        <v>16770576423</v>
      </c>
      <c r="J34" s="756">
        <v>3345698846937</v>
      </c>
      <c r="K34" s="756">
        <v>-3335798311557</v>
      </c>
      <c r="L34" s="756">
        <v>63528170333</v>
      </c>
      <c r="M34" s="570" t="str">
        <f>VLOOKUP(C34,BS_WTB!$C:$E,3,0)</f>
        <v>미수금11번가-카드(거래처)</v>
      </c>
    </row>
    <row r="35" spans="1:13">
      <c r="A35" s="755"/>
      <c r="B35" s="755"/>
      <c r="C35" s="755">
        <v>207402</v>
      </c>
      <c r="D35" s="755" t="s">
        <v>230</v>
      </c>
      <c r="E35" s="756">
        <v>301044162825</v>
      </c>
      <c r="F35" s="756">
        <v>240167245463</v>
      </c>
      <c r="G35" s="756">
        <v>55776379796</v>
      </c>
      <c r="H35" s="756">
        <v>-44321844636</v>
      </c>
      <c r="I35" s="756">
        <v>11454535160</v>
      </c>
      <c r="J35" s="756">
        <v>396308530678</v>
      </c>
      <c r="K35" s="756">
        <v>-445730912880</v>
      </c>
      <c r="L35" s="756">
        <v>251621780623</v>
      </c>
      <c r="M35" s="570" t="str">
        <f>VLOOKUP(C35,BS_WTB!$C:$E,3,0)</f>
        <v>미수금11번가-지급유예(거래처)</v>
      </c>
    </row>
    <row r="36" spans="1:13">
      <c r="A36" s="755"/>
      <c r="B36" s="755"/>
      <c r="C36" s="755">
        <v>207403</v>
      </c>
      <c r="D36" s="755" t="s">
        <v>229</v>
      </c>
      <c r="E36" s="756">
        <v>3476587282</v>
      </c>
      <c r="F36" s="756">
        <v>3688204507</v>
      </c>
      <c r="G36" s="756">
        <v>4406087092</v>
      </c>
      <c r="H36" s="756">
        <v>-4433346294</v>
      </c>
      <c r="I36" s="756">
        <v>-27259202</v>
      </c>
      <c r="J36" s="756">
        <v>42985276864</v>
      </c>
      <c r="K36" s="756">
        <v>-42800918841</v>
      </c>
      <c r="L36" s="756">
        <v>3660945305</v>
      </c>
      <c r="M36" s="570" t="str">
        <f>VLOOKUP(C36,BS_WTB!$C:$E,3,0)</f>
        <v>미수금11번가-셀러</v>
      </c>
    </row>
    <row r="37" spans="1:13">
      <c r="A37" s="755"/>
      <c r="B37" s="755"/>
      <c r="C37" s="755">
        <v>207404</v>
      </c>
      <c r="D37" s="755" t="s">
        <v>773</v>
      </c>
      <c r="E37" s="756">
        <v>10749549</v>
      </c>
      <c r="F37" s="756">
        <v>13971406</v>
      </c>
      <c r="G37" s="756">
        <v>2162986</v>
      </c>
      <c r="H37" s="756">
        <v>-1340527</v>
      </c>
      <c r="I37" s="756">
        <v>822459</v>
      </c>
      <c r="J37" s="756">
        <v>21534612</v>
      </c>
      <c r="K37" s="756">
        <v>-17490296</v>
      </c>
      <c r="L37" s="756">
        <v>14793865</v>
      </c>
      <c r="M37" s="570" t="str">
        <f>VLOOKUP(C37,BS_WTB!$C:$E,3,0)</f>
        <v>미수금11번가-수수료</v>
      </c>
    </row>
    <row r="38" spans="1:13">
      <c r="A38" s="755"/>
      <c r="B38" s="755"/>
      <c r="C38" s="755">
        <v>207405</v>
      </c>
      <c r="D38" s="755" t="s">
        <v>774</v>
      </c>
      <c r="E38" s="755">
        <v>0</v>
      </c>
      <c r="F38" s="755">
        <v>0</v>
      </c>
      <c r="G38" s="756">
        <v>915764845</v>
      </c>
      <c r="H38" s="756">
        <v>-915764845</v>
      </c>
      <c r="I38" s="755">
        <v>0</v>
      </c>
      <c r="J38" s="756">
        <v>8852510356</v>
      </c>
      <c r="K38" s="756">
        <v>-8852510356</v>
      </c>
      <c r="L38" s="755">
        <v>0</v>
      </c>
      <c r="M38" s="570" t="str">
        <f>VLOOKUP(C38,BS_WTB!$C:$E,3,0)</f>
        <v>미수금11번가-카(수수</v>
      </c>
    </row>
    <row r="39" spans="1:13">
      <c r="A39" s="755"/>
      <c r="B39" s="755"/>
      <c r="C39" s="755">
        <v>207500</v>
      </c>
      <c r="D39" s="755" t="s">
        <v>1138</v>
      </c>
      <c r="E39" s="756">
        <v>3000</v>
      </c>
      <c r="F39" s="756">
        <v>875180</v>
      </c>
      <c r="G39" s="756">
        <v>375230</v>
      </c>
      <c r="H39" s="756">
        <v>-1250410</v>
      </c>
      <c r="I39" s="756">
        <v>-875180</v>
      </c>
      <c r="J39" s="756">
        <v>3878600</v>
      </c>
      <c r="K39" s="756">
        <v>-3881600</v>
      </c>
      <c r="L39" s="755">
        <v>0</v>
      </c>
      <c r="M39" s="570" t="str">
        <f>VLOOKUP(C39,BS_WTB!$C:$E,3,0)</f>
        <v>미수금-제로페이</v>
      </c>
    </row>
    <row r="40" spans="1:13">
      <c r="A40" s="755"/>
      <c r="B40" s="755"/>
      <c r="C40" s="755">
        <v>207600</v>
      </c>
      <c r="D40" s="755" t="s">
        <v>1165</v>
      </c>
      <c r="E40" s="756">
        <v>3750375</v>
      </c>
      <c r="F40" s="756">
        <v>370206953</v>
      </c>
      <c r="G40" s="756">
        <v>152889371</v>
      </c>
      <c r="H40" s="756">
        <v>-513267874</v>
      </c>
      <c r="I40" s="756">
        <v>-360378503</v>
      </c>
      <c r="J40" s="756">
        <v>1669687834</v>
      </c>
      <c r="K40" s="756">
        <v>-1663609759</v>
      </c>
      <c r="L40" s="756">
        <v>9828450</v>
      </c>
      <c r="M40" s="570" t="str">
        <f>VLOOKUP(C40,BS_WTB!$C:$E,3,0)</f>
        <v>미수금-SK pay money</v>
      </c>
    </row>
    <row r="41" spans="1:13">
      <c r="A41" s="755"/>
      <c r="B41" s="755"/>
      <c r="C41" s="755">
        <v>208900</v>
      </c>
      <c r="D41" s="755" t="s">
        <v>228</v>
      </c>
      <c r="E41" s="756">
        <v>128021310909</v>
      </c>
      <c r="F41" s="756">
        <v>136998600000</v>
      </c>
      <c r="G41" s="756">
        <v>127427216175</v>
      </c>
      <c r="H41" s="756">
        <v>-154051997152</v>
      </c>
      <c r="I41" s="756">
        <v>-26624780977</v>
      </c>
      <c r="J41" s="756">
        <v>1064964031478</v>
      </c>
      <c r="K41" s="756">
        <v>-1082611523364</v>
      </c>
      <c r="L41" s="756">
        <v>110373819023</v>
      </c>
      <c r="M41" s="570" t="str">
        <f>VLOOKUP(C41,BS_WTB!$C:$E,3,0)</f>
        <v>미수금-거래처(recon)</v>
      </c>
    </row>
    <row r="42" spans="1:13">
      <c r="A42" s="755"/>
      <c r="B42" s="755"/>
      <c r="C42" s="755">
        <v>208901</v>
      </c>
      <c r="D42" s="755" t="s">
        <v>227</v>
      </c>
      <c r="E42" s="756">
        <v>383572917</v>
      </c>
      <c r="F42" s="756">
        <v>383572917</v>
      </c>
      <c r="G42" s="755">
        <v>0</v>
      </c>
      <c r="H42" s="755">
        <v>0</v>
      </c>
      <c r="I42" s="755">
        <v>0</v>
      </c>
      <c r="J42" s="755">
        <v>0</v>
      </c>
      <c r="K42" s="755">
        <v>0</v>
      </c>
      <c r="L42" s="756">
        <v>383572917</v>
      </c>
      <c r="M42" s="570" t="str">
        <f>VLOOKUP(C42,BS_WTB!$C:$E,3,0)</f>
        <v>미수금-부도채권</v>
      </c>
    </row>
    <row r="43" spans="1:13">
      <c r="A43" s="755"/>
      <c r="B43" s="755"/>
      <c r="C43" s="755">
        <v>209000</v>
      </c>
      <c r="D43" s="755" t="s">
        <v>226</v>
      </c>
      <c r="E43" s="756">
        <v>951683948</v>
      </c>
      <c r="F43" s="756">
        <v>899086264</v>
      </c>
      <c r="G43" s="756">
        <v>312854233</v>
      </c>
      <c r="H43" s="756">
        <v>-425922903</v>
      </c>
      <c r="I43" s="756">
        <v>-113068670</v>
      </c>
      <c r="J43" s="756">
        <v>1875977866</v>
      </c>
      <c r="K43" s="756">
        <v>-2041644220</v>
      </c>
      <c r="L43" s="756">
        <v>786017594</v>
      </c>
      <c r="M43" s="570" t="str">
        <f>VLOOKUP(C43,BS_WTB!$C:$E,3,0)</f>
        <v>미수금-기타(non-recon)</v>
      </c>
    </row>
    <row r="44" spans="1:13">
      <c r="A44" s="755"/>
      <c r="B44" s="755"/>
      <c r="C44" s="755">
        <v>209010</v>
      </c>
      <c r="D44" s="755" t="s">
        <v>225</v>
      </c>
      <c r="E44" s="756">
        <v>471600</v>
      </c>
      <c r="F44" s="755">
        <v>0</v>
      </c>
      <c r="G44" s="755">
        <v>0</v>
      </c>
      <c r="H44" s="755">
        <v>0</v>
      </c>
      <c r="I44" s="755">
        <v>0</v>
      </c>
      <c r="J44" s="756">
        <v>471600</v>
      </c>
      <c r="K44" s="756">
        <v>-943200</v>
      </c>
      <c r="L44" s="755">
        <v>0</v>
      </c>
      <c r="M44" s="570" t="str">
        <f>VLOOKUP(C44,BS_WTB!$C:$E,3,0)</f>
        <v>미수금-국민연금</v>
      </c>
    </row>
    <row r="45" spans="1:13">
      <c r="A45" s="755"/>
      <c r="B45" s="755"/>
      <c r="C45" s="755">
        <v>209020</v>
      </c>
      <c r="D45" s="755" t="s">
        <v>224</v>
      </c>
      <c r="E45" s="756">
        <v>3798580</v>
      </c>
      <c r="F45" s="755">
        <v>0</v>
      </c>
      <c r="G45" s="755">
        <v>0</v>
      </c>
      <c r="H45" s="755">
        <v>0</v>
      </c>
      <c r="I45" s="755">
        <v>0</v>
      </c>
      <c r="J45" s="756">
        <v>377690580</v>
      </c>
      <c r="K45" s="756">
        <v>-381489160</v>
      </c>
      <c r="L45" s="755">
        <v>0</v>
      </c>
      <c r="M45" s="570" t="str">
        <f>VLOOKUP(C45,BS_WTB!$C:$E,3,0)</f>
        <v>미수금-건강보험</v>
      </c>
    </row>
    <row r="46" spans="1:13">
      <c r="A46" s="755"/>
      <c r="B46" s="755"/>
      <c r="C46" s="755">
        <v>209030</v>
      </c>
      <c r="D46" s="755" t="s">
        <v>223</v>
      </c>
      <c r="E46" s="756">
        <v>4446460</v>
      </c>
      <c r="F46" s="756">
        <v>5243620</v>
      </c>
      <c r="G46" s="756">
        <v>47407350</v>
      </c>
      <c r="H46" s="756">
        <v>-50463680</v>
      </c>
      <c r="I46" s="756">
        <v>-3056330</v>
      </c>
      <c r="J46" s="756">
        <v>602933950</v>
      </c>
      <c r="K46" s="756">
        <v>-605193120</v>
      </c>
      <c r="L46" s="756">
        <v>2187290</v>
      </c>
      <c r="M46" s="570" t="str">
        <f>VLOOKUP(C46,BS_WTB!$C:$E,3,0)</f>
        <v>미수금-급여기타</v>
      </c>
    </row>
    <row r="47" spans="1:13">
      <c r="A47" s="755"/>
      <c r="B47" s="755"/>
      <c r="C47" s="755">
        <v>209040</v>
      </c>
      <c r="D47" s="755" t="s">
        <v>662</v>
      </c>
      <c r="E47" s="756">
        <v>2461020</v>
      </c>
      <c r="F47" s="756">
        <v>1936000</v>
      </c>
      <c r="G47" s="756">
        <v>8264950</v>
      </c>
      <c r="H47" s="756">
        <v>-10200950</v>
      </c>
      <c r="I47" s="756">
        <v>-1936000</v>
      </c>
      <c r="J47" s="756">
        <v>18721260</v>
      </c>
      <c r="K47" s="756">
        <v>-21182280</v>
      </c>
      <c r="L47" s="755">
        <v>0</v>
      </c>
      <c r="M47" s="570" t="str">
        <f>VLOOKUP(C47,BS_WTB!$C:$E,3,0)</f>
        <v>미수금-다량기타</v>
      </c>
    </row>
    <row r="48" spans="1:13">
      <c r="A48" s="755"/>
      <c r="B48" s="755"/>
      <c r="C48" s="755">
        <v>209300</v>
      </c>
      <c r="D48" s="755" t="s">
        <v>673</v>
      </c>
      <c r="E48" s="756">
        <v>1358376999</v>
      </c>
      <c r="F48" s="755">
        <v>0</v>
      </c>
      <c r="G48" s="756">
        <v>711453400</v>
      </c>
      <c r="H48" s="755">
        <v>0</v>
      </c>
      <c r="I48" s="756">
        <v>711453400</v>
      </c>
      <c r="J48" s="756">
        <v>711453400</v>
      </c>
      <c r="K48" s="756">
        <v>-1358376999</v>
      </c>
      <c r="L48" s="756">
        <v>711453400</v>
      </c>
      <c r="M48" s="570" t="str">
        <f>VLOOKUP(C48,BS_WTB!$C:$E,3,0)</f>
        <v>미수금-법인세</v>
      </c>
    </row>
    <row r="49" spans="1:13">
      <c r="A49" s="755"/>
      <c r="B49" s="755">
        <v>20710</v>
      </c>
      <c r="C49" s="755"/>
      <c r="D49" s="755" t="s">
        <v>222</v>
      </c>
      <c r="E49" s="756">
        <v>-1856467196</v>
      </c>
      <c r="F49" s="756">
        <v>-1856490792</v>
      </c>
      <c r="G49" s="756">
        <v>29742</v>
      </c>
      <c r="H49" s="755">
        <v>0</v>
      </c>
      <c r="I49" s="756">
        <v>29742</v>
      </c>
      <c r="J49" s="756">
        <v>63132</v>
      </c>
      <c r="K49" s="756">
        <v>-56986</v>
      </c>
      <c r="L49" s="756">
        <v>-1856461050</v>
      </c>
      <c r="M49" s="570" t="e">
        <f>VLOOKUP(C49,BS_WTB!$C:$E,3,0)</f>
        <v>#N/A</v>
      </c>
    </row>
    <row r="50" spans="1:13">
      <c r="A50" s="755"/>
      <c r="B50" s="755"/>
      <c r="C50" s="755">
        <v>209900</v>
      </c>
      <c r="D50" s="755" t="s">
        <v>222</v>
      </c>
      <c r="E50" s="756">
        <v>-1856467196</v>
      </c>
      <c r="F50" s="756">
        <v>-1856490792</v>
      </c>
      <c r="G50" s="756">
        <v>29742</v>
      </c>
      <c r="H50" s="755">
        <v>0</v>
      </c>
      <c r="I50" s="756">
        <v>29742</v>
      </c>
      <c r="J50" s="756">
        <v>63132</v>
      </c>
      <c r="K50" s="756">
        <v>-56986</v>
      </c>
      <c r="L50" s="756">
        <v>-1856461050</v>
      </c>
      <c r="M50" s="570" t="str">
        <f>VLOOKUP(C50,BS_WTB!$C:$E,3,0)</f>
        <v>미수금대충</v>
      </c>
    </row>
    <row r="51" spans="1:13">
      <c r="A51" s="755"/>
      <c r="B51" s="755">
        <v>21000</v>
      </c>
      <c r="C51" s="755"/>
      <c r="D51" s="755" t="s">
        <v>221</v>
      </c>
      <c r="E51" s="756">
        <v>182042767</v>
      </c>
      <c r="F51" s="756">
        <v>722339384</v>
      </c>
      <c r="G51" s="756">
        <v>1163694848</v>
      </c>
      <c r="H51" s="756">
        <v>-1193705466</v>
      </c>
      <c r="I51" s="756">
        <v>-30010618</v>
      </c>
      <c r="J51" s="756">
        <v>7524001365</v>
      </c>
      <c r="K51" s="756">
        <v>-7013715366</v>
      </c>
      <c r="L51" s="756">
        <v>692328766</v>
      </c>
      <c r="M51" s="570" t="e">
        <f>VLOOKUP(C51,BS_WTB!$C:$E,3,0)</f>
        <v>#N/A</v>
      </c>
    </row>
    <row r="52" spans="1:13">
      <c r="A52" s="755"/>
      <c r="B52" s="755"/>
      <c r="C52" s="755">
        <v>210100</v>
      </c>
      <c r="D52" s="755" t="s">
        <v>220</v>
      </c>
      <c r="E52" s="756">
        <v>182042767</v>
      </c>
      <c r="F52" s="756">
        <v>722339384</v>
      </c>
      <c r="G52" s="756">
        <v>1163694848</v>
      </c>
      <c r="H52" s="756">
        <v>-1193705466</v>
      </c>
      <c r="I52" s="756">
        <v>-30010618</v>
      </c>
      <c r="J52" s="756">
        <v>7524001365</v>
      </c>
      <c r="K52" s="756">
        <v>-7013715366</v>
      </c>
      <c r="L52" s="756">
        <v>692328766</v>
      </c>
      <c r="M52" s="570" t="str">
        <f>VLOOKUP(C52,BS_WTB!$C:$E,3,0)</f>
        <v>미수이자-제예금</v>
      </c>
    </row>
    <row r="53" spans="1:13">
      <c r="A53" s="755"/>
      <c r="B53" s="755">
        <v>22310</v>
      </c>
      <c r="C53" s="755"/>
      <c r="D53" s="755" t="s">
        <v>1166</v>
      </c>
      <c r="E53" s="756">
        <v>1145879900</v>
      </c>
      <c r="F53" s="756">
        <v>390000000</v>
      </c>
      <c r="G53" s="756">
        <v>2532050000</v>
      </c>
      <c r="H53" s="756">
        <v>-390000000</v>
      </c>
      <c r="I53" s="756">
        <v>2142050000</v>
      </c>
      <c r="J53" s="756">
        <v>2532050000</v>
      </c>
      <c r="K53" s="756">
        <v>-1145879900</v>
      </c>
      <c r="L53" s="756">
        <v>2532050000</v>
      </c>
      <c r="M53" s="570" t="e">
        <f>VLOOKUP(C53,BS_WTB!$C:$E,3,0)</f>
        <v>#N/A</v>
      </c>
    </row>
    <row r="54" spans="1:13">
      <c r="A54" s="755"/>
      <c r="B54" s="755"/>
      <c r="C54" s="755">
        <v>223100</v>
      </c>
      <c r="D54" s="755" t="s">
        <v>1166</v>
      </c>
      <c r="E54" s="755">
        <v>0</v>
      </c>
      <c r="F54" s="755">
        <v>0</v>
      </c>
      <c r="G54" s="756">
        <v>2532050000</v>
      </c>
      <c r="H54" s="755">
        <v>0</v>
      </c>
      <c r="I54" s="756">
        <v>2532050000</v>
      </c>
      <c r="J54" s="756">
        <v>2532050000</v>
      </c>
      <c r="K54" s="755">
        <v>0</v>
      </c>
      <c r="L54" s="756">
        <v>2532050000</v>
      </c>
      <c r="M54" s="570" t="str">
        <f>VLOOKUP(C54,BS_WTB!$C:$E,3,0)</f>
        <v>단기예치금</v>
      </c>
    </row>
    <row r="55" spans="1:13">
      <c r="A55" s="755"/>
      <c r="B55" s="755"/>
      <c r="C55" s="755">
        <v>223201</v>
      </c>
      <c r="D55" s="755" t="s">
        <v>1167</v>
      </c>
      <c r="E55" s="756">
        <v>1145879900</v>
      </c>
      <c r="F55" s="756">
        <v>390000000</v>
      </c>
      <c r="G55" s="755">
        <v>0</v>
      </c>
      <c r="H55" s="756">
        <v>-390000000</v>
      </c>
      <c r="I55" s="756">
        <v>-390000000</v>
      </c>
      <c r="J55" s="755">
        <v>0</v>
      </c>
      <c r="K55" s="756">
        <v>-1145879900</v>
      </c>
      <c r="L55" s="755">
        <v>0</v>
      </c>
      <c r="M55" s="570" t="str">
        <f>VLOOKUP(C55,BS_WTB!$C:$E,3,0)</f>
        <v>보증금-임차보증금</v>
      </c>
    </row>
    <row r="56" spans="1:13">
      <c r="A56" s="755"/>
      <c r="B56" s="755">
        <v>22610</v>
      </c>
      <c r="C56" s="755"/>
      <c r="D56" s="755" t="s">
        <v>208</v>
      </c>
      <c r="E56" s="755">
        <v>0</v>
      </c>
      <c r="F56" s="755">
        <v>0</v>
      </c>
      <c r="G56" s="756">
        <v>14911878747</v>
      </c>
      <c r="H56" s="756">
        <v>-14911878747</v>
      </c>
      <c r="I56" s="755">
        <v>0</v>
      </c>
      <c r="J56" s="756">
        <v>69065450378</v>
      </c>
      <c r="K56" s="756">
        <v>-69065450378</v>
      </c>
      <c r="L56" s="755">
        <v>0</v>
      </c>
      <c r="M56" s="570" t="e">
        <f>VLOOKUP(C56,BS_WTB!$C:$E,3,0)</f>
        <v>#N/A</v>
      </c>
    </row>
    <row r="57" spans="1:13">
      <c r="A57" s="755"/>
      <c r="B57" s="755"/>
      <c r="C57" s="755">
        <v>226100</v>
      </c>
      <c r="D57" s="755" t="s">
        <v>207</v>
      </c>
      <c r="E57" s="755">
        <v>0</v>
      </c>
      <c r="F57" s="755">
        <v>0</v>
      </c>
      <c r="G57" s="756">
        <v>14911878747</v>
      </c>
      <c r="H57" s="756">
        <v>-14911878747</v>
      </c>
      <c r="I57" s="755">
        <v>0</v>
      </c>
      <c r="J57" s="756">
        <v>69065450378</v>
      </c>
      <c r="K57" s="756">
        <v>-69065450378</v>
      </c>
      <c r="L57" s="755">
        <v>0</v>
      </c>
      <c r="M57" s="570" t="str">
        <f>VLOOKUP(C57,BS_WTB!$C:$E,3,0)</f>
        <v>과세매입부가세</v>
      </c>
    </row>
    <row r="58" spans="1:13">
      <c r="A58" s="755"/>
      <c r="B58" s="755">
        <v>22710</v>
      </c>
      <c r="C58" s="755"/>
      <c r="D58" s="755" t="s">
        <v>206</v>
      </c>
      <c r="E58" s="755">
        <v>0</v>
      </c>
      <c r="F58" s="756">
        <v>668493370</v>
      </c>
      <c r="G58" s="756">
        <v>42960030</v>
      </c>
      <c r="H58" s="756">
        <v>-711453400</v>
      </c>
      <c r="I58" s="756">
        <v>-668493370</v>
      </c>
      <c r="J58" s="756">
        <v>730342510</v>
      </c>
      <c r="K58" s="756">
        <v>-730342510</v>
      </c>
      <c r="L58" s="755">
        <v>0</v>
      </c>
      <c r="M58" s="570" t="e">
        <f>VLOOKUP(C58,BS_WTB!$C:$E,3,0)</f>
        <v>#N/A</v>
      </c>
    </row>
    <row r="59" spans="1:13">
      <c r="A59" s="755"/>
      <c r="B59" s="755"/>
      <c r="C59" s="755">
        <v>227100</v>
      </c>
      <c r="D59" s="755" t="s">
        <v>206</v>
      </c>
      <c r="E59" s="755">
        <v>0</v>
      </c>
      <c r="F59" s="756">
        <v>607758990</v>
      </c>
      <c r="G59" s="756">
        <v>39056410</v>
      </c>
      <c r="H59" s="756">
        <v>-646815400</v>
      </c>
      <c r="I59" s="756">
        <v>-607758990</v>
      </c>
      <c r="J59" s="756">
        <v>663987720</v>
      </c>
      <c r="K59" s="756">
        <v>-663987720</v>
      </c>
      <c r="L59" s="755">
        <v>0</v>
      </c>
      <c r="M59" s="570" t="str">
        <f>VLOOKUP(C59,BS_WTB!$C:$E,3,0)</f>
        <v>선납법인세</v>
      </c>
    </row>
    <row r="60" spans="1:13">
      <c r="A60" s="755"/>
      <c r="B60" s="755"/>
      <c r="C60" s="755">
        <v>227200</v>
      </c>
      <c r="D60" s="755" t="s">
        <v>261</v>
      </c>
      <c r="E60" s="755">
        <v>0</v>
      </c>
      <c r="F60" s="756">
        <v>60734380</v>
      </c>
      <c r="G60" s="756">
        <v>3903620</v>
      </c>
      <c r="H60" s="756">
        <v>-64638000</v>
      </c>
      <c r="I60" s="756">
        <v>-60734380</v>
      </c>
      <c r="J60" s="756">
        <v>66354790</v>
      </c>
      <c r="K60" s="756">
        <v>-66354790</v>
      </c>
      <c r="L60" s="755">
        <v>0</v>
      </c>
      <c r="M60" s="570" t="str">
        <f>VLOOKUP(C60,BS_WTB!$C:$E,3,0)</f>
        <v>선납지방세</v>
      </c>
    </row>
    <row r="61" spans="1:13">
      <c r="A61" s="755"/>
      <c r="B61" s="755">
        <v>24300</v>
      </c>
      <c r="C61" s="755"/>
      <c r="D61" s="755" t="s">
        <v>205</v>
      </c>
      <c r="E61" s="755">
        <v>0</v>
      </c>
      <c r="F61" s="755">
        <v>0</v>
      </c>
      <c r="G61" s="755">
        <v>0</v>
      </c>
      <c r="H61" s="755">
        <v>0</v>
      </c>
      <c r="I61" s="755">
        <v>0</v>
      </c>
      <c r="J61" s="756">
        <v>958847327</v>
      </c>
      <c r="K61" s="756">
        <v>-958847327</v>
      </c>
      <c r="L61" s="755">
        <v>0</v>
      </c>
      <c r="M61" s="570" t="e">
        <f>VLOOKUP(C61,BS_WTB!$C:$E,3,0)</f>
        <v>#N/A</v>
      </c>
    </row>
    <row r="62" spans="1:13">
      <c r="A62" s="755"/>
      <c r="B62" s="755"/>
      <c r="C62" s="755">
        <v>230100</v>
      </c>
      <c r="D62" s="755" t="s">
        <v>204</v>
      </c>
      <c r="E62" s="755">
        <v>0</v>
      </c>
      <c r="F62" s="755">
        <v>0</v>
      </c>
      <c r="G62" s="755">
        <v>0</v>
      </c>
      <c r="H62" s="755">
        <v>0</v>
      </c>
      <c r="I62" s="755">
        <v>0</v>
      </c>
      <c r="J62" s="756">
        <v>958847327</v>
      </c>
      <c r="K62" s="756">
        <v>-958847327</v>
      </c>
      <c r="L62" s="755">
        <v>0</v>
      </c>
      <c r="M62" s="570" t="str">
        <f>VLOOKUP(C62,BS_WTB!$C:$E,3,0)</f>
        <v>가지급금</v>
      </c>
    </row>
    <row r="63" spans="1:13">
      <c r="A63" s="755"/>
      <c r="B63" s="755">
        <v>25100</v>
      </c>
      <c r="C63" s="755"/>
      <c r="D63" s="755" t="s">
        <v>203</v>
      </c>
      <c r="E63" s="756">
        <v>6964001153</v>
      </c>
      <c r="F63" s="756">
        <v>45469007122</v>
      </c>
      <c r="G63" s="756">
        <v>64278464937</v>
      </c>
      <c r="H63" s="756">
        <v>-65753628067</v>
      </c>
      <c r="I63" s="756">
        <v>-1475163130</v>
      </c>
      <c r="J63" s="756">
        <v>190062691865</v>
      </c>
      <c r="K63" s="756">
        <v>-153032849026</v>
      </c>
      <c r="L63" s="756">
        <v>43993843992</v>
      </c>
      <c r="M63" s="570" t="e">
        <f>VLOOKUP(C63,BS_WTB!$C:$E,3,0)</f>
        <v>#N/A</v>
      </c>
    </row>
    <row r="64" spans="1:13">
      <c r="A64" s="755"/>
      <c r="B64" s="755"/>
      <c r="C64" s="755">
        <v>240200</v>
      </c>
      <c r="D64" s="755" t="s">
        <v>202</v>
      </c>
      <c r="E64" s="756">
        <v>5179954811</v>
      </c>
      <c r="F64" s="756">
        <v>43293313284</v>
      </c>
      <c r="G64" s="756">
        <v>63827500662</v>
      </c>
      <c r="H64" s="756">
        <v>-64392894302</v>
      </c>
      <c r="I64" s="756">
        <v>-565393640</v>
      </c>
      <c r="J64" s="756">
        <v>183836301062</v>
      </c>
      <c r="K64" s="756">
        <v>-146288336229</v>
      </c>
      <c r="L64" s="756">
        <v>42727919644</v>
      </c>
      <c r="M64" s="570" t="str">
        <f>VLOOKUP(C64,BS_WTB!$C:$E,3,0)</f>
        <v>국내상품-쇼핑몰</v>
      </c>
    </row>
    <row r="65" spans="1:13">
      <c r="A65" s="755"/>
      <c r="B65" s="755"/>
      <c r="C65" s="755">
        <v>240400</v>
      </c>
      <c r="D65" s="755" t="s">
        <v>201</v>
      </c>
      <c r="E65" s="755">
        <v>0</v>
      </c>
      <c r="F65" s="755">
        <v>0</v>
      </c>
      <c r="G65" s="755">
        <v>0</v>
      </c>
      <c r="H65" s="755">
        <v>0</v>
      </c>
      <c r="I65" s="755">
        <v>0</v>
      </c>
      <c r="J65" s="755">
        <v>0</v>
      </c>
      <c r="K65" s="755">
        <v>0</v>
      </c>
      <c r="L65" s="755">
        <v>0</v>
      </c>
      <c r="M65" s="570" t="str">
        <f>VLOOKUP(C65,BS_WTB!$C:$E,3,0)</f>
        <v>재고자산-기타</v>
      </c>
    </row>
    <row r="66" spans="1:13">
      <c r="A66" s="755"/>
      <c r="B66" s="755"/>
      <c r="C66" s="755">
        <v>262001</v>
      </c>
      <c r="D66" s="755" t="s">
        <v>260</v>
      </c>
      <c r="E66" s="756">
        <v>11975314583</v>
      </c>
      <c r="F66" s="756">
        <v>12959662425</v>
      </c>
      <c r="G66" s="756">
        <v>338166301</v>
      </c>
      <c r="H66" s="756">
        <v>-539749454</v>
      </c>
      <c r="I66" s="756">
        <v>-201583153</v>
      </c>
      <c r="J66" s="756">
        <v>5856144669</v>
      </c>
      <c r="K66" s="756">
        <v>-5073379980</v>
      </c>
      <c r="L66" s="756">
        <v>12758079272</v>
      </c>
      <c r="M66" s="570" t="str">
        <f>VLOOKUP(C66,BS_WTB!$C:$E,3,0)</f>
        <v>제품</v>
      </c>
    </row>
    <row r="67" spans="1:13">
      <c r="A67" s="755"/>
      <c r="B67" s="755"/>
      <c r="C67" s="755">
        <v>262003</v>
      </c>
      <c r="D67" s="755" t="s">
        <v>259</v>
      </c>
      <c r="E67" s="756">
        <v>-9637189783</v>
      </c>
      <c r="F67" s="756">
        <v>-10216348956</v>
      </c>
      <c r="G67" s="756">
        <v>6155700</v>
      </c>
      <c r="H67" s="756">
        <v>-43656818</v>
      </c>
      <c r="I67" s="756">
        <v>-37501118</v>
      </c>
      <c r="J67" s="756">
        <v>6155700</v>
      </c>
      <c r="K67" s="756">
        <v>-622815991</v>
      </c>
      <c r="L67" s="756">
        <v>-10253850074</v>
      </c>
      <c r="M67" s="570" t="str">
        <f>VLOOKUP(C67,BS_WTB!$C:$E,3,0)</f>
        <v>제품-타계정출</v>
      </c>
    </row>
    <row r="68" spans="1:13">
      <c r="A68" s="755"/>
      <c r="B68" s="755"/>
      <c r="C68" s="755">
        <v>262400</v>
      </c>
      <c r="D68" s="755" t="s">
        <v>258</v>
      </c>
      <c r="E68" s="756">
        <v>-363129047</v>
      </c>
      <c r="F68" s="756">
        <v>-215241172</v>
      </c>
      <c r="G68" s="756">
        <v>106642274</v>
      </c>
      <c r="H68" s="756">
        <v>-10268506</v>
      </c>
      <c r="I68" s="756">
        <v>96373768</v>
      </c>
      <c r="J68" s="756">
        <v>364090434</v>
      </c>
      <c r="K68" s="756">
        <v>-119828791</v>
      </c>
      <c r="L68" s="756">
        <v>-118867404</v>
      </c>
      <c r="M68" s="570" t="str">
        <f>VLOOKUP(C68,BS_WTB!$C:$E,3,0)</f>
        <v>제품-평가충당금</v>
      </c>
    </row>
    <row r="69" spans="1:13">
      <c r="A69" s="755"/>
      <c r="B69" s="755"/>
      <c r="C69" s="755">
        <v>262500</v>
      </c>
      <c r="D69" s="755" t="s">
        <v>257</v>
      </c>
      <c r="E69" s="756">
        <v>-190949411</v>
      </c>
      <c r="F69" s="756">
        <v>-352378459</v>
      </c>
      <c r="G69" s="755">
        <v>0</v>
      </c>
      <c r="H69" s="756">
        <v>-767058987</v>
      </c>
      <c r="I69" s="756">
        <v>-767058987</v>
      </c>
      <c r="J69" s="755">
        <v>0</v>
      </c>
      <c r="K69" s="756">
        <v>-928488035</v>
      </c>
      <c r="L69" s="756">
        <v>-1119437446</v>
      </c>
      <c r="M69" s="570" t="str">
        <f>VLOOKUP(C69,BS_WTB!$C:$E,3,0)</f>
        <v>국내상품-평가충당금</v>
      </c>
    </row>
    <row r="70" spans="1:13">
      <c r="A70" s="755"/>
      <c r="B70" s="755">
        <v>28000</v>
      </c>
      <c r="C70" s="755"/>
      <c r="D70" s="755" t="s">
        <v>775</v>
      </c>
      <c r="E70" s="756">
        <v>1412021642</v>
      </c>
      <c r="F70" s="756">
        <v>133971903</v>
      </c>
      <c r="G70" s="756">
        <v>368423</v>
      </c>
      <c r="H70" s="756">
        <v>-67262395</v>
      </c>
      <c r="I70" s="756">
        <v>-66893972</v>
      </c>
      <c r="J70" s="756">
        <v>480921498</v>
      </c>
      <c r="K70" s="756">
        <v>-1825865209</v>
      </c>
      <c r="L70" s="756">
        <v>67077931</v>
      </c>
      <c r="M70" s="570" t="e">
        <f>VLOOKUP(C70,BS_WTB!$C:$E,3,0)</f>
        <v>#N/A</v>
      </c>
    </row>
    <row r="71" spans="1:13">
      <c r="A71" s="755"/>
      <c r="B71" s="755"/>
      <c r="C71" s="755">
        <v>286100</v>
      </c>
      <c r="D71" s="755" t="s">
        <v>776</v>
      </c>
      <c r="E71" s="756">
        <v>1412021642</v>
      </c>
      <c r="F71" s="756">
        <v>133971903</v>
      </c>
      <c r="G71" s="756">
        <v>368423</v>
      </c>
      <c r="H71" s="756">
        <v>-67262395</v>
      </c>
      <c r="I71" s="756">
        <v>-66893972</v>
      </c>
      <c r="J71" s="756">
        <v>480921498</v>
      </c>
      <c r="K71" s="756">
        <v>-1825865209</v>
      </c>
      <c r="L71" s="756">
        <v>67077931</v>
      </c>
      <c r="M71" s="570" t="str">
        <f>VLOOKUP(C71,BS_WTB!$C:$E,3,0)</f>
        <v>유동미수금-리스순투자</v>
      </c>
    </row>
    <row r="72" spans="1:13">
      <c r="A72" s="755">
        <v>200</v>
      </c>
      <c r="B72" s="755"/>
      <c r="C72" s="755"/>
      <c r="D72" s="755" t="s">
        <v>200</v>
      </c>
      <c r="E72" s="756">
        <v>128871198897</v>
      </c>
      <c r="F72" s="756">
        <v>133186161106</v>
      </c>
      <c r="G72" s="756">
        <v>46799879134</v>
      </c>
      <c r="H72" s="756">
        <v>-8705914780</v>
      </c>
      <c r="I72" s="756">
        <v>38093964354</v>
      </c>
      <c r="J72" s="756">
        <v>102962635188</v>
      </c>
      <c r="K72" s="756">
        <v>-60553708625</v>
      </c>
      <c r="L72" s="756">
        <v>171280125460</v>
      </c>
      <c r="M72" s="570" t="e">
        <f>VLOOKUP(C72,BS_WTB!$C:$E,3,0)</f>
        <v>#N/A</v>
      </c>
    </row>
    <row r="73" spans="1:13">
      <c r="A73" s="755"/>
      <c r="B73" s="755">
        <v>2150</v>
      </c>
      <c r="C73" s="755"/>
      <c r="D73" s="755" t="s">
        <v>674</v>
      </c>
      <c r="E73" s="756">
        <v>2000000</v>
      </c>
      <c r="F73" s="756">
        <v>2000000</v>
      </c>
      <c r="G73" s="755">
        <v>0</v>
      </c>
      <c r="H73" s="755">
        <v>0</v>
      </c>
      <c r="I73" s="755">
        <v>0</v>
      </c>
      <c r="J73" s="755">
        <v>0</v>
      </c>
      <c r="K73" s="755">
        <v>0</v>
      </c>
      <c r="L73" s="756">
        <v>2000000</v>
      </c>
      <c r="M73" s="570" t="e">
        <f>VLOOKUP(C73,BS_WTB!$C:$E,3,0)</f>
        <v>#N/A</v>
      </c>
    </row>
    <row r="74" spans="1:13">
      <c r="A74" s="755"/>
      <c r="B74" s="755"/>
      <c r="C74" s="755">
        <v>261100</v>
      </c>
      <c r="D74" s="755" t="s">
        <v>675</v>
      </c>
      <c r="E74" s="756">
        <v>2000000</v>
      </c>
      <c r="F74" s="756">
        <v>2000000</v>
      </c>
      <c r="G74" s="755">
        <v>0</v>
      </c>
      <c r="H74" s="755">
        <v>0</v>
      </c>
      <c r="I74" s="755">
        <v>0</v>
      </c>
      <c r="J74" s="755">
        <v>0</v>
      </c>
      <c r="K74" s="755">
        <v>0</v>
      </c>
      <c r="L74" s="756">
        <v>2000000</v>
      </c>
      <c r="M74" s="570" t="str">
        <f>VLOOKUP(C74,BS_WTB!$C:$E,3,0)</f>
        <v>특정예금</v>
      </c>
    </row>
    <row r="75" spans="1:13">
      <c r="A75" s="755"/>
      <c r="B75" s="755">
        <v>2200</v>
      </c>
      <c r="C75" s="755"/>
      <c r="D75" s="755" t="s">
        <v>777</v>
      </c>
      <c r="E75" s="756">
        <v>28149401906</v>
      </c>
      <c r="F75" s="756">
        <v>28149401906</v>
      </c>
      <c r="G75" s="756">
        <v>3015710090</v>
      </c>
      <c r="H75" s="755">
        <v>0</v>
      </c>
      <c r="I75" s="756">
        <v>3015710090</v>
      </c>
      <c r="J75" s="756">
        <v>3015710090</v>
      </c>
      <c r="K75" s="755">
        <v>0</v>
      </c>
      <c r="L75" s="756">
        <v>31165111996</v>
      </c>
      <c r="M75" s="570" t="e">
        <f>VLOOKUP(C75,BS_WTB!$C:$E,3,0)</f>
        <v>#N/A</v>
      </c>
    </row>
    <row r="76" spans="1:13">
      <c r="A76" s="755"/>
      <c r="B76" s="755"/>
      <c r="C76" s="755">
        <v>272400</v>
      </c>
      <c r="D76" s="755" t="s">
        <v>1318</v>
      </c>
      <c r="E76" s="756">
        <v>28149401906</v>
      </c>
      <c r="F76" s="756">
        <v>28149401906</v>
      </c>
      <c r="G76" s="756">
        <v>3015710090</v>
      </c>
      <c r="H76" s="755">
        <v>0</v>
      </c>
      <c r="I76" s="756">
        <v>3015710090</v>
      </c>
      <c r="J76" s="756">
        <v>3015710090</v>
      </c>
      <c r="K76" s="755">
        <v>0</v>
      </c>
      <c r="L76" s="756">
        <v>31165111996</v>
      </c>
      <c r="M76" s="570" t="str">
        <f>VLOOKUP(C76,BS_WTB!$C:$E,3,0)</f>
        <v>당기손익금융-주식</v>
      </c>
    </row>
    <row r="77" spans="1:13">
      <c r="A77" s="755"/>
      <c r="B77" s="755">
        <v>2300</v>
      </c>
      <c r="C77" s="755"/>
      <c r="D77" s="755" t="s">
        <v>487</v>
      </c>
      <c r="E77" s="756">
        <v>6302129755</v>
      </c>
      <c r="F77" s="755">
        <v>0</v>
      </c>
      <c r="G77" s="755">
        <v>0</v>
      </c>
      <c r="H77" s="755">
        <v>0</v>
      </c>
      <c r="I77" s="755">
        <v>0</v>
      </c>
      <c r="J77" s="755">
        <v>0</v>
      </c>
      <c r="K77" s="756">
        <v>-6302129755</v>
      </c>
      <c r="L77" s="755">
        <v>0</v>
      </c>
      <c r="M77" s="570" t="e">
        <f>VLOOKUP(C77,BS_WTB!$C:$E,3,0)</f>
        <v>#N/A</v>
      </c>
    </row>
    <row r="78" spans="1:13">
      <c r="A78" s="755"/>
      <c r="B78" s="755"/>
      <c r="C78" s="755">
        <v>271100</v>
      </c>
      <c r="D78" s="755" t="s">
        <v>199</v>
      </c>
      <c r="E78" s="756">
        <v>6302129755</v>
      </c>
      <c r="F78" s="755">
        <v>0</v>
      </c>
      <c r="G78" s="755">
        <v>0</v>
      </c>
      <c r="H78" s="755">
        <v>0</v>
      </c>
      <c r="I78" s="755">
        <v>0</v>
      </c>
      <c r="J78" s="755">
        <v>0</v>
      </c>
      <c r="K78" s="756">
        <v>-6302129755</v>
      </c>
      <c r="L78" s="755">
        <v>0</v>
      </c>
      <c r="M78" s="570" t="str">
        <f>VLOOKUP(C78,BS_WTB!$C:$E,3,0)</f>
        <v>지분법적용투자주식</v>
      </c>
    </row>
    <row r="79" spans="1:13">
      <c r="A79" s="755"/>
      <c r="B79" s="755">
        <v>2350</v>
      </c>
      <c r="C79" s="755"/>
      <c r="D79" s="755" t="s">
        <v>540</v>
      </c>
      <c r="E79" s="756">
        <v>26663057113</v>
      </c>
      <c r="F79" s="756">
        <v>26663057113</v>
      </c>
      <c r="G79" s="756">
        <v>38452870412</v>
      </c>
      <c r="H79" s="756">
        <v>-1255601518</v>
      </c>
      <c r="I79" s="756">
        <v>37197268894</v>
      </c>
      <c r="J79" s="756">
        <v>38452870412</v>
      </c>
      <c r="K79" s="756">
        <v>-1255601518</v>
      </c>
      <c r="L79" s="756">
        <v>63860326007</v>
      </c>
      <c r="M79" s="570" t="e">
        <f>VLOOKUP(C79,BS_WTB!$C:$E,3,0)</f>
        <v>#N/A</v>
      </c>
    </row>
    <row r="80" spans="1:13">
      <c r="A80" s="755"/>
      <c r="B80" s="755"/>
      <c r="C80" s="755">
        <v>292100</v>
      </c>
      <c r="D80" s="755" t="s">
        <v>516</v>
      </c>
      <c r="E80" s="756">
        <v>26663057113</v>
      </c>
      <c r="F80" s="756">
        <v>26663057113</v>
      </c>
      <c r="G80" s="756">
        <v>38452870412</v>
      </c>
      <c r="H80" s="756">
        <v>-1255601518</v>
      </c>
      <c r="I80" s="756">
        <v>37197268894</v>
      </c>
      <c r="J80" s="756">
        <v>38452870412</v>
      </c>
      <c r="K80" s="756">
        <v>-1255601518</v>
      </c>
      <c r="L80" s="756">
        <v>63860326007</v>
      </c>
      <c r="M80" s="570" t="str">
        <f>VLOOKUP(C80,BS_WTB!$C:$E,3,0)</f>
        <v>이연법인세자산-고정</v>
      </c>
    </row>
    <row r="81" spans="1:13">
      <c r="A81" s="755"/>
      <c r="B81" s="755">
        <v>2450</v>
      </c>
      <c r="C81" s="755"/>
      <c r="D81" s="755" t="s">
        <v>1333</v>
      </c>
      <c r="E81" s="755">
        <v>0</v>
      </c>
      <c r="F81" s="755">
        <v>0</v>
      </c>
      <c r="G81" s="755">
        <v>0</v>
      </c>
      <c r="H81" s="755">
        <v>0</v>
      </c>
      <c r="I81" s="755">
        <v>0</v>
      </c>
      <c r="J81" s="755">
        <v>0</v>
      </c>
      <c r="K81" s="755">
        <v>0</v>
      </c>
      <c r="L81" s="755">
        <v>0</v>
      </c>
      <c r="M81" s="570" t="e">
        <f>VLOOKUP(C81,BS_WTB!$C:$E,3,0)</f>
        <v>#N/A</v>
      </c>
    </row>
    <row r="82" spans="1:13">
      <c r="A82" s="755"/>
      <c r="B82" s="755"/>
      <c r="C82" s="755">
        <v>281190</v>
      </c>
      <c r="D82" s="755" t="s">
        <v>1334</v>
      </c>
      <c r="E82" s="755">
        <v>0</v>
      </c>
      <c r="F82" s="755">
        <v>0</v>
      </c>
      <c r="G82" s="755">
        <v>0</v>
      </c>
      <c r="H82" s="755">
        <v>0</v>
      </c>
      <c r="I82" s="755">
        <v>0</v>
      </c>
      <c r="J82" s="755">
        <v>0</v>
      </c>
      <c r="K82" s="755">
        <v>0</v>
      </c>
      <c r="L82" s="755">
        <v>0</v>
      </c>
      <c r="M82" s="570" t="str">
        <f>VLOOKUP(C82,BS_WTB!$C:$E,3,0)</f>
        <v>장기대여금-기타</v>
      </c>
    </row>
    <row r="83" spans="1:13">
      <c r="A83" s="755"/>
      <c r="B83" s="755">
        <v>27400</v>
      </c>
      <c r="C83" s="755"/>
      <c r="D83" s="755" t="s">
        <v>779</v>
      </c>
      <c r="E83" s="755">
        <v>0</v>
      </c>
      <c r="F83" s="755">
        <v>0</v>
      </c>
      <c r="G83" s="755">
        <v>0</v>
      </c>
      <c r="H83" s="755">
        <v>0</v>
      </c>
      <c r="I83" s="755">
        <v>0</v>
      </c>
      <c r="J83" s="755">
        <v>0</v>
      </c>
      <c r="K83" s="755">
        <v>0</v>
      </c>
      <c r="L83" s="755">
        <v>0</v>
      </c>
      <c r="M83" s="570" t="e">
        <f>VLOOKUP(C83,BS_WTB!$C:$E,3,0)</f>
        <v>#N/A</v>
      </c>
    </row>
    <row r="84" spans="1:13">
      <c r="A84" s="755"/>
      <c r="B84" s="755"/>
      <c r="C84" s="755">
        <v>286200</v>
      </c>
      <c r="D84" s="755" t="s">
        <v>780</v>
      </c>
      <c r="E84" s="755">
        <v>0</v>
      </c>
      <c r="F84" s="755">
        <v>0</v>
      </c>
      <c r="G84" s="755">
        <v>0</v>
      </c>
      <c r="H84" s="755">
        <v>0</v>
      </c>
      <c r="I84" s="755">
        <v>0</v>
      </c>
      <c r="J84" s="755">
        <v>0</v>
      </c>
      <c r="K84" s="755">
        <v>0</v>
      </c>
      <c r="L84" s="755">
        <v>0</v>
      </c>
      <c r="M84" s="570" t="str">
        <f>VLOOKUP(C84,BS_WTB!$C:$E,3,0)</f>
        <v>장기미수금-리스순투</v>
      </c>
    </row>
    <row r="85" spans="1:13">
      <c r="A85" s="755"/>
      <c r="B85" s="755">
        <v>28200</v>
      </c>
      <c r="C85" s="755"/>
      <c r="D85" s="755" t="s">
        <v>124</v>
      </c>
      <c r="E85" s="756">
        <v>5128223089</v>
      </c>
      <c r="F85" s="756">
        <v>7521783001</v>
      </c>
      <c r="G85" s="756">
        <v>573637</v>
      </c>
      <c r="H85" s="755">
        <v>0</v>
      </c>
      <c r="I85" s="756">
        <v>573637</v>
      </c>
      <c r="J85" s="756">
        <v>2394133549</v>
      </c>
      <c r="K85" s="755">
        <v>0</v>
      </c>
      <c r="L85" s="756">
        <v>7522356638</v>
      </c>
      <c r="M85" s="570" t="e">
        <f>VLOOKUP(C85,BS_WTB!$C:$E,3,0)</f>
        <v>#N/A</v>
      </c>
    </row>
    <row r="86" spans="1:13">
      <c r="A86" s="755"/>
      <c r="B86" s="755"/>
      <c r="C86" s="755">
        <v>282100</v>
      </c>
      <c r="D86" s="755" t="s">
        <v>198</v>
      </c>
      <c r="E86" s="756">
        <v>5138563300</v>
      </c>
      <c r="F86" s="756">
        <v>7527588700</v>
      </c>
      <c r="G86" s="755">
        <v>0</v>
      </c>
      <c r="H86" s="755">
        <v>0</v>
      </c>
      <c r="I86" s="755">
        <v>0</v>
      </c>
      <c r="J86" s="756">
        <v>2389025400</v>
      </c>
      <c r="K86" s="755">
        <v>0</v>
      </c>
      <c r="L86" s="756">
        <v>7527588700</v>
      </c>
      <c r="M86" s="570" t="str">
        <f>VLOOKUP(C86,BS_WTB!$C:$E,3,0)</f>
        <v>임차보증금</v>
      </c>
    </row>
    <row r="87" spans="1:13">
      <c r="A87" s="755"/>
      <c r="B87" s="755"/>
      <c r="C87" s="755">
        <v>282110</v>
      </c>
      <c r="D87" s="755" t="s">
        <v>298</v>
      </c>
      <c r="E87" s="756">
        <v>-10340211</v>
      </c>
      <c r="F87" s="756">
        <v>-5805699</v>
      </c>
      <c r="G87" s="756">
        <v>573637</v>
      </c>
      <c r="H87" s="755">
        <v>0</v>
      </c>
      <c r="I87" s="756">
        <v>573637</v>
      </c>
      <c r="J87" s="756">
        <v>5108149</v>
      </c>
      <c r="K87" s="755">
        <v>0</v>
      </c>
      <c r="L87" s="756">
        <v>-5232062</v>
      </c>
      <c r="M87" s="570" t="str">
        <f>VLOOKUP(C87,BS_WTB!$C:$E,3,0)</f>
        <v>임차보증금_현할차</v>
      </c>
    </row>
    <row r="88" spans="1:13">
      <c r="A88" s="755"/>
      <c r="B88" s="755">
        <v>28400</v>
      </c>
      <c r="C88" s="755"/>
      <c r="D88" s="755" t="s">
        <v>197</v>
      </c>
      <c r="E88" s="756">
        <v>3059611800</v>
      </c>
      <c r="F88" s="756">
        <v>3059611800</v>
      </c>
      <c r="G88" s="755">
        <v>0</v>
      </c>
      <c r="H88" s="756">
        <v>-2532050000</v>
      </c>
      <c r="I88" s="756">
        <v>-2532050000</v>
      </c>
      <c r="J88" s="755">
        <v>0</v>
      </c>
      <c r="K88" s="756">
        <v>-2532050000</v>
      </c>
      <c r="L88" s="756">
        <v>527561800</v>
      </c>
      <c r="M88" s="570" t="e">
        <f>VLOOKUP(C88,BS_WTB!$C:$E,3,0)</f>
        <v>#N/A</v>
      </c>
    </row>
    <row r="89" spans="1:13">
      <c r="A89" s="755"/>
      <c r="B89" s="755"/>
      <c r="C89" s="755">
        <v>284200</v>
      </c>
      <c r="D89" s="755" t="s">
        <v>196</v>
      </c>
      <c r="E89" s="756">
        <v>56548000</v>
      </c>
      <c r="F89" s="756">
        <v>56548000</v>
      </c>
      <c r="G89" s="755">
        <v>0</v>
      </c>
      <c r="H89" s="755">
        <v>0</v>
      </c>
      <c r="I89" s="755">
        <v>0</v>
      </c>
      <c r="J89" s="755">
        <v>0</v>
      </c>
      <c r="K89" s="755">
        <v>0</v>
      </c>
      <c r="L89" s="756">
        <v>56548000</v>
      </c>
      <c r="M89" s="570" t="str">
        <f>VLOOKUP(C89,BS_WTB!$C:$E,3,0)</f>
        <v>예치보증금-회원가입</v>
      </c>
    </row>
    <row r="90" spans="1:13">
      <c r="A90" s="755"/>
      <c r="B90" s="755"/>
      <c r="C90" s="755">
        <v>284290</v>
      </c>
      <c r="D90" s="755" t="s">
        <v>195</v>
      </c>
      <c r="E90" s="756">
        <v>3003063800</v>
      </c>
      <c r="F90" s="756">
        <v>3003063800</v>
      </c>
      <c r="G90" s="755">
        <v>0</v>
      </c>
      <c r="H90" s="756">
        <v>-2532050000</v>
      </c>
      <c r="I90" s="756">
        <v>-2532050000</v>
      </c>
      <c r="J90" s="755">
        <v>0</v>
      </c>
      <c r="K90" s="756">
        <v>-2532050000</v>
      </c>
      <c r="L90" s="756">
        <v>471013800</v>
      </c>
      <c r="M90" s="570" t="str">
        <f>VLOOKUP(C90,BS_WTB!$C:$E,3,0)</f>
        <v>예치보증금-기타</v>
      </c>
    </row>
    <row r="91" spans="1:13">
      <c r="A91" s="755"/>
      <c r="B91" s="755">
        <v>30000</v>
      </c>
      <c r="C91" s="755"/>
      <c r="D91" s="755" t="s">
        <v>194</v>
      </c>
      <c r="E91" s="756">
        <v>109341994</v>
      </c>
      <c r="F91" s="756">
        <v>109341994</v>
      </c>
      <c r="G91" s="755">
        <v>0</v>
      </c>
      <c r="H91" s="755">
        <v>0</v>
      </c>
      <c r="I91" s="755">
        <v>0</v>
      </c>
      <c r="J91" s="755">
        <v>0</v>
      </c>
      <c r="K91" s="755">
        <v>0</v>
      </c>
      <c r="L91" s="756">
        <v>109341994</v>
      </c>
      <c r="M91" s="570" t="e">
        <f>VLOOKUP(C91,BS_WTB!$C:$E,3,0)</f>
        <v>#N/A</v>
      </c>
    </row>
    <row r="92" spans="1:13">
      <c r="A92" s="755"/>
      <c r="B92" s="755"/>
      <c r="C92" s="755">
        <v>300100</v>
      </c>
      <c r="D92" s="755" t="s">
        <v>194</v>
      </c>
      <c r="E92" s="756">
        <v>109341994</v>
      </c>
      <c r="F92" s="756">
        <v>109341994</v>
      </c>
      <c r="G92" s="755">
        <v>0</v>
      </c>
      <c r="H92" s="755">
        <v>0</v>
      </c>
      <c r="I92" s="755">
        <v>0</v>
      </c>
      <c r="J92" s="755">
        <v>0</v>
      </c>
      <c r="K92" s="755">
        <v>0</v>
      </c>
      <c r="L92" s="756">
        <v>109341994</v>
      </c>
      <c r="M92" s="570" t="str">
        <f>VLOOKUP(C92,BS_WTB!$C:$E,3,0)</f>
        <v>토지</v>
      </c>
    </row>
    <row r="93" spans="1:13">
      <c r="A93" s="755"/>
      <c r="B93" s="755">
        <v>30100</v>
      </c>
      <c r="C93" s="755"/>
      <c r="D93" s="755" t="s">
        <v>193</v>
      </c>
      <c r="E93" s="756">
        <v>1034099859</v>
      </c>
      <c r="F93" s="756">
        <v>1034099859</v>
      </c>
      <c r="G93" s="755">
        <v>0</v>
      </c>
      <c r="H93" s="755">
        <v>0</v>
      </c>
      <c r="I93" s="755">
        <v>0</v>
      </c>
      <c r="J93" s="755">
        <v>0</v>
      </c>
      <c r="K93" s="755">
        <v>0</v>
      </c>
      <c r="L93" s="756">
        <v>1034099859</v>
      </c>
      <c r="M93" s="570" t="e">
        <f>VLOOKUP(C93,BS_WTB!$C:$E,3,0)</f>
        <v>#N/A</v>
      </c>
    </row>
    <row r="94" spans="1:13">
      <c r="A94" s="755"/>
      <c r="B94" s="755"/>
      <c r="C94" s="755">
        <v>301100</v>
      </c>
      <c r="D94" s="755" t="s">
        <v>193</v>
      </c>
      <c r="E94" s="756">
        <v>1034099859</v>
      </c>
      <c r="F94" s="756">
        <v>1034099859</v>
      </c>
      <c r="G94" s="755">
        <v>0</v>
      </c>
      <c r="H94" s="755">
        <v>0</v>
      </c>
      <c r="I94" s="755">
        <v>0</v>
      </c>
      <c r="J94" s="755">
        <v>0</v>
      </c>
      <c r="K94" s="755">
        <v>0</v>
      </c>
      <c r="L94" s="756">
        <v>1034099859</v>
      </c>
      <c r="M94" s="570" t="str">
        <f>VLOOKUP(C94,BS_WTB!$C:$E,3,0)</f>
        <v>건물</v>
      </c>
    </row>
    <row r="95" spans="1:13">
      <c r="A95" s="755"/>
      <c r="B95" s="755">
        <v>30110</v>
      </c>
      <c r="C95" s="755"/>
      <c r="D95" s="755" t="s">
        <v>192</v>
      </c>
      <c r="E95" s="756">
        <v>-376235247</v>
      </c>
      <c r="F95" s="756">
        <v>-399625989</v>
      </c>
      <c r="G95" s="755">
        <v>0</v>
      </c>
      <c r="H95" s="756">
        <v>-2923842</v>
      </c>
      <c r="I95" s="756">
        <v>-2923842</v>
      </c>
      <c r="J95" s="755">
        <v>0</v>
      </c>
      <c r="K95" s="756">
        <v>-26314584</v>
      </c>
      <c r="L95" s="756">
        <v>-402549831</v>
      </c>
      <c r="M95" s="570" t="e">
        <f>VLOOKUP(C95,BS_WTB!$C:$E,3,0)</f>
        <v>#N/A</v>
      </c>
    </row>
    <row r="96" spans="1:13">
      <c r="A96" s="755"/>
      <c r="B96" s="755"/>
      <c r="C96" s="755">
        <v>302100</v>
      </c>
      <c r="D96" s="755" t="s">
        <v>191</v>
      </c>
      <c r="E96" s="756">
        <v>-376235247</v>
      </c>
      <c r="F96" s="756">
        <v>-399625989</v>
      </c>
      <c r="G96" s="755">
        <v>0</v>
      </c>
      <c r="H96" s="756">
        <v>-2923842</v>
      </c>
      <c r="I96" s="756">
        <v>-2923842</v>
      </c>
      <c r="J96" s="755">
        <v>0</v>
      </c>
      <c r="K96" s="756">
        <v>-26314584</v>
      </c>
      <c r="L96" s="756">
        <v>-402549831</v>
      </c>
      <c r="M96" s="570" t="str">
        <f>VLOOKUP(C96,BS_WTB!$C:$E,3,0)</f>
        <v>건물감가상각누계액</v>
      </c>
    </row>
    <row r="97" spans="1:13">
      <c r="A97" s="755"/>
      <c r="B97" s="755">
        <v>30300</v>
      </c>
      <c r="C97" s="755"/>
      <c r="D97" s="755" t="s">
        <v>190</v>
      </c>
      <c r="E97" s="755">
        <v>0</v>
      </c>
      <c r="F97" s="755">
        <v>0</v>
      </c>
      <c r="G97" s="755">
        <v>0</v>
      </c>
      <c r="H97" s="755">
        <v>0</v>
      </c>
      <c r="I97" s="755">
        <v>0</v>
      </c>
      <c r="J97" s="755">
        <v>0</v>
      </c>
      <c r="K97" s="755">
        <v>0</v>
      </c>
      <c r="L97" s="755">
        <v>0</v>
      </c>
      <c r="M97" s="570" t="e">
        <f>VLOOKUP(C97,BS_WTB!$C:$E,3,0)</f>
        <v>#N/A</v>
      </c>
    </row>
    <row r="98" spans="1:13">
      <c r="A98" s="755"/>
      <c r="B98" s="755"/>
      <c r="C98" s="755">
        <v>303100</v>
      </c>
      <c r="D98" s="755" t="s">
        <v>190</v>
      </c>
      <c r="E98" s="755">
        <v>0</v>
      </c>
      <c r="F98" s="755">
        <v>0</v>
      </c>
      <c r="G98" s="755">
        <v>0</v>
      </c>
      <c r="H98" s="755">
        <v>0</v>
      </c>
      <c r="I98" s="755">
        <v>0</v>
      </c>
      <c r="J98" s="755">
        <v>0</v>
      </c>
      <c r="K98" s="755">
        <v>0</v>
      </c>
      <c r="L98" s="755">
        <v>0</v>
      </c>
      <c r="M98" s="570" t="str">
        <f>VLOOKUP(C98,BS_WTB!$C:$E,3,0)</f>
        <v>구축물</v>
      </c>
    </row>
    <row r="99" spans="1:13">
      <c r="A99" s="755"/>
      <c r="B99" s="755">
        <v>30310</v>
      </c>
      <c r="C99" s="755"/>
      <c r="D99" s="755" t="s">
        <v>189</v>
      </c>
      <c r="E99" s="755">
        <v>0</v>
      </c>
      <c r="F99" s="755">
        <v>0</v>
      </c>
      <c r="G99" s="755">
        <v>0</v>
      </c>
      <c r="H99" s="755">
        <v>0</v>
      </c>
      <c r="I99" s="755">
        <v>0</v>
      </c>
      <c r="J99" s="755">
        <v>0</v>
      </c>
      <c r="K99" s="755">
        <v>0</v>
      </c>
      <c r="L99" s="755">
        <v>0</v>
      </c>
      <c r="M99" s="570" t="e">
        <f>VLOOKUP(C99,BS_WTB!$C:$E,3,0)</f>
        <v>#N/A</v>
      </c>
    </row>
    <row r="100" spans="1:13">
      <c r="A100" s="755"/>
      <c r="B100" s="755"/>
      <c r="C100" s="755">
        <v>304100</v>
      </c>
      <c r="D100" s="755" t="s">
        <v>188</v>
      </c>
      <c r="E100" s="755">
        <v>0</v>
      </c>
      <c r="F100" s="755">
        <v>0</v>
      </c>
      <c r="G100" s="755">
        <v>0</v>
      </c>
      <c r="H100" s="755">
        <v>0</v>
      </c>
      <c r="I100" s="755">
        <v>0</v>
      </c>
      <c r="J100" s="755">
        <v>0</v>
      </c>
      <c r="K100" s="755">
        <v>0</v>
      </c>
      <c r="L100" s="755">
        <v>0</v>
      </c>
      <c r="M100" s="570" t="str">
        <f>VLOOKUP(C100,BS_WTB!$C:$E,3,0)</f>
        <v>구축물감가상각누계액</v>
      </c>
    </row>
    <row r="101" spans="1:13">
      <c r="A101" s="755"/>
      <c r="B101" s="755">
        <v>30500</v>
      </c>
      <c r="C101" s="755"/>
      <c r="D101" s="755" t="s">
        <v>187</v>
      </c>
      <c r="E101" s="756">
        <v>92390281213</v>
      </c>
      <c r="F101" s="756">
        <v>95417033213</v>
      </c>
      <c r="G101" s="756">
        <v>2825954000</v>
      </c>
      <c r="H101" s="756">
        <v>-289400000</v>
      </c>
      <c r="I101" s="756">
        <v>2536554000</v>
      </c>
      <c r="J101" s="756">
        <v>5874437000</v>
      </c>
      <c r="K101" s="756">
        <v>-311131000</v>
      </c>
      <c r="L101" s="756">
        <v>97953587213</v>
      </c>
      <c r="M101" s="570" t="e">
        <f>VLOOKUP(C101,BS_WTB!$C:$E,3,0)</f>
        <v>#N/A</v>
      </c>
    </row>
    <row r="102" spans="1:13">
      <c r="A102" s="755"/>
      <c r="B102" s="755"/>
      <c r="C102" s="755">
        <v>305100</v>
      </c>
      <c r="D102" s="755" t="s">
        <v>187</v>
      </c>
      <c r="E102" s="756">
        <v>92390281213</v>
      </c>
      <c r="F102" s="756">
        <v>95417033213</v>
      </c>
      <c r="G102" s="756">
        <v>2825954000</v>
      </c>
      <c r="H102" s="756">
        <v>-289400000</v>
      </c>
      <c r="I102" s="756">
        <v>2536554000</v>
      </c>
      <c r="J102" s="756">
        <v>5874437000</v>
      </c>
      <c r="K102" s="756">
        <v>-311131000</v>
      </c>
      <c r="L102" s="756">
        <v>97953587213</v>
      </c>
      <c r="M102" s="570" t="str">
        <f>VLOOKUP(C102,BS_WTB!$C:$E,3,0)</f>
        <v>기계장치</v>
      </c>
    </row>
    <row r="103" spans="1:13">
      <c r="A103" s="755"/>
      <c r="B103" s="755"/>
      <c r="C103" s="755">
        <v>971330</v>
      </c>
      <c r="D103" s="755" t="s">
        <v>781</v>
      </c>
      <c r="E103" s="755">
        <v>0</v>
      </c>
      <c r="F103" s="755">
        <v>0</v>
      </c>
      <c r="G103" s="755">
        <v>0</v>
      </c>
      <c r="H103" s="755">
        <v>0</v>
      </c>
      <c r="I103" s="755">
        <v>0</v>
      </c>
      <c r="J103" s="755">
        <v>0</v>
      </c>
      <c r="K103" s="755">
        <v>0</v>
      </c>
      <c r="L103" s="755">
        <v>0</v>
      </c>
      <c r="M103" s="570" t="e">
        <f>VLOOKUP(C103,BS_WTB!$C:$E,3,0)</f>
        <v>#N/A</v>
      </c>
    </row>
    <row r="104" spans="1:13">
      <c r="A104" s="755"/>
      <c r="B104" s="755">
        <v>30510</v>
      </c>
      <c r="C104" s="755"/>
      <c r="D104" s="755" t="s">
        <v>186</v>
      </c>
      <c r="E104" s="756">
        <v>-73073164120</v>
      </c>
      <c r="F104" s="756">
        <v>-78400484522</v>
      </c>
      <c r="G104" s="756">
        <v>72656691</v>
      </c>
      <c r="H104" s="756">
        <v>-764087814</v>
      </c>
      <c r="I104" s="756">
        <v>-691431123</v>
      </c>
      <c r="J104" s="756">
        <v>94386691</v>
      </c>
      <c r="K104" s="756">
        <v>-6113138216</v>
      </c>
      <c r="L104" s="756">
        <v>-79091915645</v>
      </c>
      <c r="M104" s="570" t="e">
        <f>VLOOKUP(C104,BS_WTB!$C:$E,3,0)</f>
        <v>#N/A</v>
      </c>
    </row>
    <row r="105" spans="1:13">
      <c r="A105" s="755"/>
      <c r="B105" s="755"/>
      <c r="C105" s="755">
        <v>306100</v>
      </c>
      <c r="D105" s="755" t="s">
        <v>185</v>
      </c>
      <c r="E105" s="756">
        <v>-73073164120</v>
      </c>
      <c r="F105" s="756">
        <v>-78400484522</v>
      </c>
      <c r="G105" s="756">
        <v>72656691</v>
      </c>
      <c r="H105" s="756">
        <v>-764087814</v>
      </c>
      <c r="I105" s="756">
        <v>-691431123</v>
      </c>
      <c r="J105" s="756">
        <v>94386691</v>
      </c>
      <c r="K105" s="756">
        <v>-6113138216</v>
      </c>
      <c r="L105" s="756">
        <v>-79091915645</v>
      </c>
      <c r="M105" s="570" t="str">
        <f>VLOOKUP(C105,BS_WTB!$C:$E,3,0)</f>
        <v>기계장치감가상각누계액</v>
      </c>
    </row>
    <row r="106" spans="1:13">
      <c r="A106" s="755"/>
      <c r="B106" s="755"/>
      <c r="C106" s="755">
        <v>971331</v>
      </c>
      <c r="D106" s="755" t="s">
        <v>782</v>
      </c>
      <c r="E106" s="755">
        <v>0</v>
      </c>
      <c r="F106" s="755">
        <v>0</v>
      </c>
      <c r="G106" s="755">
        <v>0</v>
      </c>
      <c r="H106" s="755">
        <v>0</v>
      </c>
      <c r="I106" s="755">
        <v>0</v>
      </c>
      <c r="J106" s="755">
        <v>0</v>
      </c>
      <c r="K106" s="755">
        <v>0</v>
      </c>
      <c r="L106" s="755">
        <v>0</v>
      </c>
      <c r="M106" s="570" t="e">
        <f>VLOOKUP(C106,BS_WTB!$C:$E,3,0)</f>
        <v>#N/A</v>
      </c>
    </row>
    <row r="107" spans="1:13">
      <c r="A107" s="755"/>
      <c r="B107" s="755">
        <v>30800</v>
      </c>
      <c r="C107" s="755"/>
      <c r="D107" s="755" t="s">
        <v>184</v>
      </c>
      <c r="E107" s="756">
        <v>1503842955</v>
      </c>
      <c r="F107" s="756">
        <v>1503842955</v>
      </c>
      <c r="G107" s="755">
        <v>0</v>
      </c>
      <c r="H107" s="755">
        <v>0</v>
      </c>
      <c r="I107" s="755">
        <v>0</v>
      </c>
      <c r="J107" s="755">
        <v>0</v>
      </c>
      <c r="K107" s="755">
        <v>0</v>
      </c>
      <c r="L107" s="756">
        <v>1503842955</v>
      </c>
      <c r="M107" s="570" t="e">
        <f>VLOOKUP(C107,BS_WTB!$C:$E,3,0)</f>
        <v>#N/A</v>
      </c>
    </row>
    <row r="108" spans="1:13">
      <c r="A108" s="755"/>
      <c r="B108" s="755"/>
      <c r="C108" s="755">
        <v>308200</v>
      </c>
      <c r="D108" s="755" t="s">
        <v>183</v>
      </c>
      <c r="E108" s="756">
        <v>1503842955</v>
      </c>
      <c r="F108" s="756">
        <v>1503842955</v>
      </c>
      <c r="G108" s="755">
        <v>0</v>
      </c>
      <c r="H108" s="755">
        <v>0</v>
      </c>
      <c r="I108" s="755">
        <v>0</v>
      </c>
      <c r="J108" s="755">
        <v>0</v>
      </c>
      <c r="K108" s="755">
        <v>0</v>
      </c>
      <c r="L108" s="756">
        <v>1503842955</v>
      </c>
      <c r="M108" s="570" t="str">
        <f>VLOOKUP(C108,BS_WTB!$C:$E,3,0)</f>
        <v>복구충당자산_비품</v>
      </c>
    </row>
    <row r="109" spans="1:13">
      <c r="A109" s="755"/>
      <c r="B109" s="755">
        <v>30810</v>
      </c>
      <c r="C109" s="755"/>
      <c r="D109" s="755" t="s">
        <v>182</v>
      </c>
      <c r="E109" s="756">
        <v>-1058826649</v>
      </c>
      <c r="F109" s="756">
        <v>-1244333109</v>
      </c>
      <c r="G109" s="755">
        <v>0</v>
      </c>
      <c r="H109" s="756">
        <v>-20712562</v>
      </c>
      <c r="I109" s="756">
        <v>-20712562</v>
      </c>
      <c r="J109" s="755">
        <v>0</v>
      </c>
      <c r="K109" s="756">
        <v>-206219022</v>
      </c>
      <c r="L109" s="756">
        <v>-1265045671</v>
      </c>
      <c r="M109" s="570" t="e">
        <f>VLOOKUP(C109,BS_WTB!$C:$E,3,0)</f>
        <v>#N/A</v>
      </c>
    </row>
    <row r="110" spans="1:13">
      <c r="A110" s="755"/>
      <c r="B110" s="755"/>
      <c r="C110" s="755">
        <v>308210</v>
      </c>
      <c r="D110" s="755" t="s">
        <v>181</v>
      </c>
      <c r="E110" s="756">
        <v>-1058826649</v>
      </c>
      <c r="F110" s="756">
        <v>-1244333109</v>
      </c>
      <c r="G110" s="755">
        <v>0</v>
      </c>
      <c r="H110" s="756">
        <v>-20712562</v>
      </c>
      <c r="I110" s="756">
        <v>-20712562</v>
      </c>
      <c r="J110" s="755">
        <v>0</v>
      </c>
      <c r="K110" s="756">
        <v>-206219022</v>
      </c>
      <c r="L110" s="756">
        <v>-1265045671</v>
      </c>
      <c r="M110" s="570" t="str">
        <f>VLOOKUP(C110,BS_WTB!$C:$E,3,0)</f>
        <v>복구자산_비품_감누</v>
      </c>
    </row>
    <row r="111" spans="1:13">
      <c r="A111" s="755"/>
      <c r="B111" s="755">
        <v>30830</v>
      </c>
      <c r="C111" s="755"/>
      <c r="D111" s="755" t="s">
        <v>783</v>
      </c>
      <c r="E111" s="756">
        <v>38047997657</v>
      </c>
      <c r="F111" s="756">
        <v>51992839615</v>
      </c>
      <c r="G111" s="756">
        <v>1896078254</v>
      </c>
      <c r="H111" s="755">
        <v>0</v>
      </c>
      <c r="I111" s="756">
        <v>1896078254</v>
      </c>
      <c r="J111" s="756">
        <v>30107475745</v>
      </c>
      <c r="K111" s="756">
        <v>-14266555533</v>
      </c>
      <c r="L111" s="756">
        <v>53888917869</v>
      </c>
      <c r="M111" s="570" t="e">
        <f>VLOOKUP(C111,BS_WTB!$C:$E,3,0)</f>
        <v>#N/A</v>
      </c>
    </row>
    <row r="112" spans="1:13">
      <c r="A112" s="755"/>
      <c r="B112" s="755"/>
      <c r="C112" s="755">
        <v>308300</v>
      </c>
      <c r="D112" s="755" t="s">
        <v>784</v>
      </c>
      <c r="E112" s="756">
        <v>37196334598</v>
      </c>
      <c r="F112" s="756">
        <v>51001457376</v>
      </c>
      <c r="G112" s="756">
        <v>1890812647</v>
      </c>
      <c r="H112" s="755">
        <v>0</v>
      </c>
      <c r="I112" s="756">
        <v>1890812647</v>
      </c>
      <c r="J112" s="756">
        <v>29784662803</v>
      </c>
      <c r="K112" s="756">
        <v>-14088727378</v>
      </c>
      <c r="L112" s="756">
        <v>52892270023</v>
      </c>
      <c r="M112" s="570" t="str">
        <f>VLOOKUP(C112,BS_WTB!$C:$E,3,0)</f>
        <v>사용권자산-건물</v>
      </c>
    </row>
    <row r="113" spans="1:13">
      <c r="A113" s="755"/>
      <c r="B113" s="755"/>
      <c r="C113" s="755">
        <v>308400</v>
      </c>
      <c r="D113" s="755" t="s">
        <v>785</v>
      </c>
      <c r="E113" s="756">
        <v>690397828</v>
      </c>
      <c r="F113" s="756">
        <v>788525740</v>
      </c>
      <c r="G113" s="756">
        <v>5265607</v>
      </c>
      <c r="H113" s="755">
        <v>0</v>
      </c>
      <c r="I113" s="756">
        <v>5265607</v>
      </c>
      <c r="J113" s="756">
        <v>281221674</v>
      </c>
      <c r="K113" s="756">
        <v>-177828155</v>
      </c>
      <c r="L113" s="756">
        <v>793791347</v>
      </c>
      <c r="M113" s="570" t="str">
        <f>VLOOKUP(C113,BS_WTB!$C:$E,3,0)</f>
        <v>사용권자산-차량운반</v>
      </c>
    </row>
    <row r="114" spans="1:13">
      <c r="A114" s="755"/>
      <c r="B114" s="755"/>
      <c r="C114" s="755">
        <v>308600</v>
      </c>
      <c r="D114" s="755" t="s">
        <v>786</v>
      </c>
      <c r="E114" s="756">
        <v>161265231</v>
      </c>
      <c r="F114" s="756">
        <v>202856499</v>
      </c>
      <c r="G114" s="755">
        <v>0</v>
      </c>
      <c r="H114" s="755">
        <v>0</v>
      </c>
      <c r="I114" s="755">
        <v>0</v>
      </c>
      <c r="J114" s="756">
        <v>41591268</v>
      </c>
      <c r="K114" s="755">
        <v>0</v>
      </c>
      <c r="L114" s="756">
        <v>202856499</v>
      </c>
      <c r="M114" s="570" t="str">
        <f>VLOOKUP(C114,BS_WTB!$C:$E,3,0)</f>
        <v>사용권자산-비품</v>
      </c>
    </row>
    <row r="115" spans="1:13">
      <c r="A115" s="755"/>
      <c r="B115" s="755">
        <v>30831</v>
      </c>
      <c r="C115" s="755"/>
      <c r="D115" s="755" t="s">
        <v>787</v>
      </c>
      <c r="E115" s="756">
        <v>-23443839026</v>
      </c>
      <c r="F115" s="756">
        <v>-27072378289</v>
      </c>
      <c r="G115" s="756">
        <v>70411833</v>
      </c>
      <c r="H115" s="756">
        <v>-3016033622</v>
      </c>
      <c r="I115" s="756">
        <v>-2945621789</v>
      </c>
      <c r="J115" s="756">
        <v>13534043800</v>
      </c>
      <c r="K115" s="756">
        <v>-20108204852</v>
      </c>
      <c r="L115" s="756">
        <v>-30018000078</v>
      </c>
      <c r="M115" s="570" t="e">
        <f>VLOOKUP(C115,BS_WTB!$C:$E,3,0)</f>
        <v>#N/A</v>
      </c>
    </row>
    <row r="116" spans="1:13">
      <c r="A116" s="755"/>
      <c r="B116" s="755"/>
      <c r="C116" s="755">
        <v>308310</v>
      </c>
      <c r="D116" s="755" t="s">
        <v>788</v>
      </c>
      <c r="E116" s="756">
        <v>-23106337825</v>
      </c>
      <c r="F116" s="756">
        <v>-26627125388</v>
      </c>
      <c r="G116" s="756">
        <v>66528571</v>
      </c>
      <c r="H116" s="756">
        <v>-2989737230</v>
      </c>
      <c r="I116" s="756">
        <v>-2923208659</v>
      </c>
      <c r="J116" s="756">
        <v>13413882198</v>
      </c>
      <c r="K116" s="756">
        <v>-19857878420</v>
      </c>
      <c r="L116" s="756">
        <v>-29550334047</v>
      </c>
      <c r="M116" s="570" t="str">
        <f>VLOOKUP(C116,BS_WTB!$C:$E,3,0)</f>
        <v>사용권자산-건물감누</v>
      </c>
    </row>
    <row r="117" spans="1:13">
      <c r="A117" s="755"/>
      <c r="B117" s="755"/>
      <c r="C117" s="755">
        <v>308410</v>
      </c>
      <c r="D117" s="755" t="s">
        <v>789</v>
      </c>
      <c r="E117" s="756">
        <v>-309800893</v>
      </c>
      <c r="F117" s="756">
        <v>-391445333</v>
      </c>
      <c r="G117" s="756">
        <v>3883262</v>
      </c>
      <c r="H117" s="756">
        <v>-22908691</v>
      </c>
      <c r="I117" s="756">
        <v>-19025429</v>
      </c>
      <c r="J117" s="756">
        <v>120161602</v>
      </c>
      <c r="K117" s="756">
        <v>-220831471</v>
      </c>
      <c r="L117" s="756">
        <v>-410470762</v>
      </c>
      <c r="M117" s="570" t="str">
        <f>VLOOKUP(C117,BS_WTB!$C:$E,3,0)</f>
        <v>사용권자산-차량감누</v>
      </c>
    </row>
    <row r="118" spans="1:13">
      <c r="A118" s="755"/>
      <c r="B118" s="755"/>
      <c r="C118" s="755">
        <v>308610</v>
      </c>
      <c r="D118" s="755" t="s">
        <v>790</v>
      </c>
      <c r="E118" s="756">
        <v>-27700308</v>
      </c>
      <c r="F118" s="756">
        <v>-53807568</v>
      </c>
      <c r="G118" s="755">
        <v>0</v>
      </c>
      <c r="H118" s="756">
        <v>-3387701</v>
      </c>
      <c r="I118" s="756">
        <v>-3387701</v>
      </c>
      <c r="J118" s="755">
        <v>0</v>
      </c>
      <c r="K118" s="756">
        <v>-29494961</v>
      </c>
      <c r="L118" s="756">
        <v>-57195269</v>
      </c>
      <c r="M118" s="570" t="str">
        <f>VLOOKUP(C118,BS_WTB!$C:$E,3,0)</f>
        <v>사용권자산-비품감누</v>
      </c>
    </row>
    <row r="119" spans="1:13">
      <c r="A119" s="755"/>
      <c r="B119" s="755">
        <v>30900</v>
      </c>
      <c r="C119" s="755"/>
      <c r="D119" s="755" t="s">
        <v>180</v>
      </c>
      <c r="E119" s="756">
        <v>14424789313</v>
      </c>
      <c r="F119" s="756">
        <v>16626010551</v>
      </c>
      <c r="G119" s="756">
        <v>110000000</v>
      </c>
      <c r="H119" s="755">
        <v>0</v>
      </c>
      <c r="I119" s="756">
        <v>110000000</v>
      </c>
      <c r="J119" s="756">
        <v>2392052838</v>
      </c>
      <c r="K119" s="756">
        <v>-80831600</v>
      </c>
      <c r="L119" s="756">
        <v>16736010551</v>
      </c>
      <c r="M119" s="570" t="e">
        <f>VLOOKUP(C119,BS_WTB!$C:$E,3,0)</f>
        <v>#N/A</v>
      </c>
    </row>
    <row r="120" spans="1:13">
      <c r="A120" s="755"/>
      <c r="B120" s="755"/>
      <c r="C120" s="755">
        <v>311100</v>
      </c>
      <c r="D120" s="755" t="s">
        <v>179</v>
      </c>
      <c r="E120" s="756">
        <v>14653601313</v>
      </c>
      <c r="F120" s="756">
        <v>16854822551</v>
      </c>
      <c r="G120" s="756">
        <v>110000000</v>
      </c>
      <c r="H120" s="755">
        <v>0</v>
      </c>
      <c r="I120" s="756">
        <v>110000000</v>
      </c>
      <c r="J120" s="756">
        <v>2392052838</v>
      </c>
      <c r="K120" s="756">
        <v>-80831600</v>
      </c>
      <c r="L120" s="756">
        <v>16964822551</v>
      </c>
      <c r="M120" s="570" t="str">
        <f>VLOOKUP(C120,BS_WTB!$C:$E,3,0)</f>
        <v>비품</v>
      </c>
    </row>
    <row r="121" spans="1:13">
      <c r="A121" s="755"/>
      <c r="B121" s="755"/>
      <c r="C121" s="755">
        <v>311102</v>
      </c>
      <c r="D121" s="755" t="s">
        <v>1139</v>
      </c>
      <c r="E121" s="756">
        <v>-300000000</v>
      </c>
      <c r="F121" s="756">
        <v>-300000000</v>
      </c>
      <c r="G121" s="755">
        <v>0</v>
      </c>
      <c r="H121" s="755">
        <v>0</v>
      </c>
      <c r="I121" s="755">
        <v>0</v>
      </c>
      <c r="J121" s="755">
        <v>0</v>
      </c>
      <c r="K121" s="755">
        <v>0</v>
      </c>
      <c r="L121" s="756">
        <v>-300000000</v>
      </c>
      <c r="M121" s="570" t="str">
        <f>VLOOKUP(C121,BS_WTB!$C:$E,3,0)</f>
        <v>비품 정부보조금</v>
      </c>
    </row>
    <row r="122" spans="1:13">
      <c r="A122" s="755"/>
      <c r="B122" s="755"/>
      <c r="C122" s="755">
        <v>313100</v>
      </c>
      <c r="D122" s="755" t="s">
        <v>178</v>
      </c>
      <c r="E122" s="756">
        <v>71188000</v>
      </c>
      <c r="F122" s="756">
        <v>71188000</v>
      </c>
      <c r="G122" s="755">
        <v>0</v>
      </c>
      <c r="H122" s="755">
        <v>0</v>
      </c>
      <c r="I122" s="755">
        <v>0</v>
      </c>
      <c r="J122" s="755">
        <v>0</v>
      </c>
      <c r="K122" s="755">
        <v>0</v>
      </c>
      <c r="L122" s="756">
        <v>71188000</v>
      </c>
      <c r="M122" s="570" t="str">
        <f>VLOOKUP(C122,BS_WTB!$C:$E,3,0)</f>
        <v>기타유형자산</v>
      </c>
    </row>
    <row r="123" spans="1:13">
      <c r="A123" s="755"/>
      <c r="B123" s="755"/>
      <c r="C123" s="755">
        <v>971360</v>
      </c>
      <c r="D123" s="755" t="s">
        <v>791</v>
      </c>
      <c r="E123" s="755">
        <v>0</v>
      </c>
      <c r="F123" s="755">
        <v>0</v>
      </c>
      <c r="G123" s="755">
        <v>0</v>
      </c>
      <c r="H123" s="755">
        <v>0</v>
      </c>
      <c r="I123" s="755">
        <v>0</v>
      </c>
      <c r="J123" s="755">
        <v>0</v>
      </c>
      <c r="K123" s="755">
        <v>0</v>
      </c>
      <c r="L123" s="755">
        <v>0</v>
      </c>
      <c r="M123" s="570" t="e">
        <f>VLOOKUP(C123,BS_WTB!$C:$E,3,0)</f>
        <v>#N/A</v>
      </c>
    </row>
    <row r="124" spans="1:13">
      <c r="A124" s="755"/>
      <c r="B124" s="755">
        <v>30910</v>
      </c>
      <c r="C124" s="755"/>
      <c r="D124" s="755" t="s">
        <v>177</v>
      </c>
      <c r="E124" s="756">
        <v>-11054123880</v>
      </c>
      <c r="F124" s="756">
        <v>-12320894352</v>
      </c>
      <c r="G124" s="756">
        <v>6250000</v>
      </c>
      <c r="H124" s="756">
        <v>-165134386</v>
      </c>
      <c r="I124" s="756">
        <v>-158884386</v>
      </c>
      <c r="J124" s="756">
        <v>66198983</v>
      </c>
      <c r="K124" s="756">
        <v>-1491853841</v>
      </c>
      <c r="L124" s="756">
        <v>-12479778738</v>
      </c>
      <c r="M124" s="570" t="e">
        <f>VLOOKUP(C124,BS_WTB!$C:$E,3,0)</f>
        <v>#N/A</v>
      </c>
    </row>
    <row r="125" spans="1:13">
      <c r="A125" s="755"/>
      <c r="B125" s="755"/>
      <c r="C125" s="755">
        <v>312100</v>
      </c>
      <c r="D125" s="755" t="s">
        <v>176</v>
      </c>
      <c r="E125" s="756">
        <v>-11120447880</v>
      </c>
      <c r="F125" s="756">
        <v>-12437218352</v>
      </c>
      <c r="G125" s="755">
        <v>0</v>
      </c>
      <c r="H125" s="756">
        <v>-165134386</v>
      </c>
      <c r="I125" s="756">
        <v>-165134386</v>
      </c>
      <c r="J125" s="756">
        <v>9948983</v>
      </c>
      <c r="K125" s="756">
        <v>-1491853841</v>
      </c>
      <c r="L125" s="756">
        <v>-12602352738</v>
      </c>
      <c r="M125" s="570" t="str">
        <f>VLOOKUP(C125,BS_WTB!$C:$E,3,0)</f>
        <v>비품감가상각누계액</v>
      </c>
    </row>
    <row r="126" spans="1:13">
      <c r="A126" s="755"/>
      <c r="B126" s="755"/>
      <c r="C126" s="755">
        <v>312101</v>
      </c>
      <c r="D126" s="755" t="s">
        <v>1140</v>
      </c>
      <c r="E126" s="756">
        <v>137500000</v>
      </c>
      <c r="F126" s="756">
        <v>187500000</v>
      </c>
      <c r="G126" s="756">
        <v>6250000</v>
      </c>
      <c r="H126" s="755">
        <v>0</v>
      </c>
      <c r="I126" s="756">
        <v>6250000</v>
      </c>
      <c r="J126" s="756">
        <v>56250000</v>
      </c>
      <c r="K126" s="755">
        <v>0</v>
      </c>
      <c r="L126" s="756">
        <v>193750000</v>
      </c>
      <c r="M126" s="570" t="str">
        <f>VLOOKUP(C126,BS_WTB!$C:$E,3,0)</f>
        <v>비품 정부보조금 감누</v>
      </c>
    </row>
    <row r="127" spans="1:13">
      <c r="A127" s="755"/>
      <c r="B127" s="755"/>
      <c r="C127" s="755">
        <v>314100</v>
      </c>
      <c r="D127" s="755" t="s">
        <v>175</v>
      </c>
      <c r="E127" s="756">
        <v>-71176000</v>
      </c>
      <c r="F127" s="756">
        <v>-71176000</v>
      </c>
      <c r="G127" s="755">
        <v>0</v>
      </c>
      <c r="H127" s="755">
        <v>0</v>
      </c>
      <c r="I127" s="755">
        <v>0</v>
      </c>
      <c r="J127" s="755">
        <v>0</v>
      </c>
      <c r="K127" s="755">
        <v>0</v>
      </c>
      <c r="L127" s="756">
        <v>-71176000</v>
      </c>
      <c r="M127" s="570" t="str">
        <f>VLOOKUP(C127,BS_WTB!$C:$E,3,0)</f>
        <v>기타유형자산감가상각</v>
      </c>
    </row>
    <row r="128" spans="1:13">
      <c r="A128" s="755"/>
      <c r="B128" s="755"/>
      <c r="C128" s="755">
        <v>971361</v>
      </c>
      <c r="D128" s="755" t="s">
        <v>792</v>
      </c>
      <c r="E128" s="755">
        <v>0</v>
      </c>
      <c r="F128" s="755">
        <v>0</v>
      </c>
      <c r="G128" s="755">
        <v>0</v>
      </c>
      <c r="H128" s="755">
        <v>0</v>
      </c>
      <c r="I128" s="755">
        <v>0</v>
      </c>
      <c r="J128" s="755">
        <v>0</v>
      </c>
      <c r="K128" s="755">
        <v>0</v>
      </c>
      <c r="L128" s="755">
        <v>0</v>
      </c>
      <c r="M128" s="570" t="e">
        <f>VLOOKUP(C128,BS_WTB!$C:$E,3,0)</f>
        <v>#N/A</v>
      </c>
    </row>
    <row r="129" spans="1:13">
      <c r="A129" s="755"/>
      <c r="B129" s="755">
        <v>32020</v>
      </c>
      <c r="C129" s="755"/>
      <c r="D129" s="755" t="s">
        <v>174</v>
      </c>
      <c r="E129" s="756">
        <v>734464376</v>
      </c>
      <c r="F129" s="756">
        <v>627032468</v>
      </c>
      <c r="G129" s="755">
        <v>0</v>
      </c>
      <c r="H129" s="756">
        <v>-14782899</v>
      </c>
      <c r="I129" s="756">
        <v>-14782899</v>
      </c>
      <c r="J129" s="756">
        <v>15361750</v>
      </c>
      <c r="K129" s="756">
        <v>-137576557</v>
      </c>
      <c r="L129" s="756">
        <v>612249569</v>
      </c>
      <c r="M129" s="570" t="e">
        <f>VLOOKUP(C129,BS_WTB!$C:$E,3,0)</f>
        <v>#N/A</v>
      </c>
    </row>
    <row r="130" spans="1:13">
      <c r="A130" s="755"/>
      <c r="B130" s="755"/>
      <c r="C130" s="755">
        <v>320200</v>
      </c>
      <c r="D130" s="755" t="s">
        <v>174</v>
      </c>
      <c r="E130" s="756">
        <v>734464376</v>
      </c>
      <c r="F130" s="756">
        <v>627032468</v>
      </c>
      <c r="G130" s="755">
        <v>0</v>
      </c>
      <c r="H130" s="756">
        <v>-14782899</v>
      </c>
      <c r="I130" s="756">
        <v>-14782899</v>
      </c>
      <c r="J130" s="756">
        <v>15361750</v>
      </c>
      <c r="K130" s="756">
        <v>-137576557</v>
      </c>
      <c r="L130" s="756">
        <v>612249569</v>
      </c>
      <c r="M130" s="570" t="str">
        <f>VLOOKUP(C130,BS_WTB!$C:$E,3,0)</f>
        <v>산업재산권</v>
      </c>
    </row>
    <row r="131" spans="1:13">
      <c r="A131" s="755"/>
      <c r="B131" s="755">
        <v>32030</v>
      </c>
      <c r="C131" s="755"/>
      <c r="D131" s="755" t="s">
        <v>173</v>
      </c>
      <c r="E131" s="756">
        <v>1000</v>
      </c>
      <c r="F131" s="756">
        <v>1000</v>
      </c>
      <c r="G131" s="755">
        <v>0</v>
      </c>
      <c r="H131" s="755">
        <v>0</v>
      </c>
      <c r="I131" s="755">
        <v>0</v>
      </c>
      <c r="J131" s="755">
        <v>0</v>
      </c>
      <c r="K131" s="755">
        <v>0</v>
      </c>
      <c r="L131" s="756">
        <v>1000</v>
      </c>
      <c r="M131" s="570" t="e">
        <f>VLOOKUP(C131,BS_WTB!$C:$E,3,0)</f>
        <v>#N/A</v>
      </c>
    </row>
    <row r="132" spans="1:13">
      <c r="A132" s="755"/>
      <c r="B132" s="755"/>
      <c r="C132" s="755">
        <v>320300</v>
      </c>
      <c r="D132" s="755" t="s">
        <v>173</v>
      </c>
      <c r="E132" s="756">
        <v>1000</v>
      </c>
      <c r="F132" s="756">
        <v>1000</v>
      </c>
      <c r="G132" s="755">
        <v>0</v>
      </c>
      <c r="H132" s="755">
        <v>0</v>
      </c>
      <c r="I132" s="755">
        <v>0</v>
      </c>
      <c r="J132" s="755">
        <v>0</v>
      </c>
      <c r="K132" s="755">
        <v>0</v>
      </c>
      <c r="L132" s="756">
        <v>1000</v>
      </c>
      <c r="M132" s="570" t="str">
        <f>VLOOKUP(C132,BS_WTB!$C:$E,3,0)</f>
        <v>고객관계무형자산</v>
      </c>
    </row>
    <row r="133" spans="1:13">
      <c r="A133" s="755"/>
      <c r="B133" s="755">
        <v>32050</v>
      </c>
      <c r="C133" s="755"/>
      <c r="D133" s="755" t="s">
        <v>172</v>
      </c>
      <c r="E133" s="756">
        <v>1772136324</v>
      </c>
      <c r="F133" s="756">
        <v>3461341324</v>
      </c>
      <c r="G133" s="755">
        <v>0</v>
      </c>
      <c r="H133" s="755">
        <v>0</v>
      </c>
      <c r="I133" s="755">
        <v>0</v>
      </c>
      <c r="J133" s="756">
        <v>1689205000</v>
      </c>
      <c r="K133" s="755">
        <v>0</v>
      </c>
      <c r="L133" s="756">
        <v>3461341324</v>
      </c>
      <c r="M133" s="570" t="e">
        <f>VLOOKUP(C133,BS_WTB!$C:$E,3,0)</f>
        <v>#N/A</v>
      </c>
    </row>
    <row r="134" spans="1:13">
      <c r="A134" s="755"/>
      <c r="B134" s="755"/>
      <c r="C134" s="755">
        <v>320310</v>
      </c>
      <c r="D134" s="755" t="s">
        <v>256</v>
      </c>
      <c r="E134" s="755">
        <v>0</v>
      </c>
      <c r="F134" s="755">
        <v>0</v>
      </c>
      <c r="G134" s="755">
        <v>0</v>
      </c>
      <c r="H134" s="755">
        <v>0</v>
      </c>
      <c r="I134" s="755">
        <v>0</v>
      </c>
      <c r="J134" s="755">
        <v>0</v>
      </c>
      <c r="K134" s="755">
        <v>0</v>
      </c>
      <c r="L134" s="755">
        <v>0</v>
      </c>
      <c r="M134" s="570" t="str">
        <f>VLOOKUP(C134,BS_WTB!$C:$E,3,0)</f>
        <v>고객관계상각누계액</v>
      </c>
    </row>
    <row r="135" spans="1:13">
      <c r="A135" s="755"/>
      <c r="B135" s="755"/>
      <c r="C135" s="755">
        <v>320810</v>
      </c>
      <c r="D135" s="755" t="s">
        <v>171</v>
      </c>
      <c r="E135" s="756">
        <v>1772117324</v>
      </c>
      <c r="F135" s="756">
        <v>3461322324</v>
      </c>
      <c r="G135" s="755">
        <v>0</v>
      </c>
      <c r="H135" s="755">
        <v>0</v>
      </c>
      <c r="I135" s="755">
        <v>0</v>
      </c>
      <c r="J135" s="756">
        <v>1689205000</v>
      </c>
      <c r="K135" s="755">
        <v>0</v>
      </c>
      <c r="L135" s="756">
        <v>3461322324</v>
      </c>
      <c r="M135" s="570" t="str">
        <f>VLOOKUP(C135,BS_WTB!$C:$E,3,0)</f>
        <v>무형자산_회원권</v>
      </c>
    </row>
    <row r="136" spans="1:13">
      <c r="A136" s="755"/>
      <c r="B136" s="755"/>
      <c r="C136" s="755">
        <v>321100</v>
      </c>
      <c r="D136" s="755" t="s">
        <v>170</v>
      </c>
      <c r="E136" s="756">
        <v>19000</v>
      </c>
      <c r="F136" s="756">
        <v>19000</v>
      </c>
      <c r="G136" s="755">
        <v>0</v>
      </c>
      <c r="H136" s="755">
        <v>0</v>
      </c>
      <c r="I136" s="755">
        <v>0</v>
      </c>
      <c r="J136" s="755">
        <v>0</v>
      </c>
      <c r="K136" s="755">
        <v>0</v>
      </c>
      <c r="L136" s="756">
        <v>19000</v>
      </c>
      <c r="M136" s="570" t="str">
        <f>VLOOKUP(C136,BS_WTB!$C:$E,3,0)</f>
        <v>기타영업권</v>
      </c>
    </row>
    <row r="137" spans="1:13">
      <c r="A137" s="755"/>
      <c r="B137" s="755">
        <v>32060</v>
      </c>
      <c r="C137" s="755"/>
      <c r="D137" s="755" t="s">
        <v>169</v>
      </c>
      <c r="E137" s="756">
        <v>17817543049</v>
      </c>
      <c r="F137" s="756">
        <v>14650445383</v>
      </c>
      <c r="G137" s="756">
        <v>31500000</v>
      </c>
      <c r="H137" s="756">
        <v>-643343190</v>
      </c>
      <c r="I137" s="756">
        <v>-611843190</v>
      </c>
      <c r="J137" s="756">
        <v>1968520000</v>
      </c>
      <c r="K137" s="756">
        <v>-5747460856</v>
      </c>
      <c r="L137" s="756">
        <v>14038602193</v>
      </c>
      <c r="M137" s="570" t="e">
        <f>VLOOKUP(C137,BS_WTB!$C:$E,3,0)</f>
        <v>#N/A</v>
      </c>
    </row>
    <row r="138" spans="1:13">
      <c r="A138" s="755"/>
      <c r="B138" s="755"/>
      <c r="C138" s="755">
        <v>321900</v>
      </c>
      <c r="D138" s="755" t="s">
        <v>169</v>
      </c>
      <c r="E138" s="756">
        <v>17817543049</v>
      </c>
      <c r="F138" s="756">
        <v>14650445383</v>
      </c>
      <c r="G138" s="756">
        <v>31500000</v>
      </c>
      <c r="H138" s="756">
        <v>-643343190</v>
      </c>
      <c r="I138" s="756">
        <v>-611843190</v>
      </c>
      <c r="J138" s="756">
        <v>1968520000</v>
      </c>
      <c r="K138" s="756">
        <v>-5747460856</v>
      </c>
      <c r="L138" s="756">
        <v>14038602193</v>
      </c>
      <c r="M138" s="570" t="str">
        <f>VLOOKUP(C138,BS_WTB!$C:$E,3,0)</f>
        <v>컴퓨터소프트웨어</v>
      </c>
    </row>
    <row r="139" spans="1:13">
      <c r="A139" s="755"/>
      <c r="B139" s="755"/>
      <c r="C139" s="755">
        <v>971420</v>
      </c>
      <c r="D139" s="755" t="s">
        <v>793</v>
      </c>
      <c r="E139" s="755">
        <v>0</v>
      </c>
      <c r="F139" s="755">
        <v>0</v>
      </c>
      <c r="G139" s="755">
        <v>0</v>
      </c>
      <c r="H139" s="755">
        <v>0</v>
      </c>
      <c r="I139" s="755">
        <v>0</v>
      </c>
      <c r="J139" s="755">
        <v>0</v>
      </c>
      <c r="K139" s="755">
        <v>0</v>
      </c>
      <c r="L139" s="755">
        <v>0</v>
      </c>
      <c r="M139" s="570" t="e">
        <f>VLOOKUP(C139,BS_WTB!$C:$E,3,0)</f>
        <v>#N/A</v>
      </c>
    </row>
    <row r="140" spans="1:13">
      <c r="A140" s="755"/>
      <c r="B140" s="755">
        <v>32110</v>
      </c>
      <c r="C140" s="755"/>
      <c r="D140" s="755" t="s">
        <v>1569</v>
      </c>
      <c r="E140" s="755">
        <v>0</v>
      </c>
      <c r="F140" s="755">
        <v>0</v>
      </c>
      <c r="G140" s="755">
        <v>0</v>
      </c>
      <c r="H140" s="755">
        <v>0</v>
      </c>
      <c r="I140" s="755">
        <v>0</v>
      </c>
      <c r="J140" s="756">
        <v>153516667</v>
      </c>
      <c r="K140" s="756">
        <v>-153516667</v>
      </c>
      <c r="L140" s="755">
        <v>0</v>
      </c>
      <c r="M140" s="570" t="e">
        <f>VLOOKUP(C140,BS_WTB!$C:$E,3,0)</f>
        <v>#N/A</v>
      </c>
    </row>
    <row r="141" spans="1:13">
      <c r="A141" s="755"/>
      <c r="B141" s="755"/>
      <c r="C141" s="755">
        <v>320400</v>
      </c>
      <c r="D141" s="755" t="s">
        <v>1569</v>
      </c>
      <c r="E141" s="755">
        <v>0</v>
      </c>
      <c r="F141" s="755">
        <v>0</v>
      </c>
      <c r="G141" s="755">
        <v>0</v>
      </c>
      <c r="H141" s="755">
        <v>0</v>
      </c>
      <c r="I141" s="755">
        <v>0</v>
      </c>
      <c r="J141" s="756">
        <v>153516667</v>
      </c>
      <c r="K141" s="756">
        <v>-153516667</v>
      </c>
      <c r="L141" s="755">
        <v>0</v>
      </c>
      <c r="M141" s="570" t="e">
        <f>VLOOKUP(C141,BS_WTB!$C:$E,3,0)</f>
        <v>#N/A</v>
      </c>
    </row>
    <row r="142" spans="1:13">
      <c r="A142" s="755"/>
      <c r="B142" s="755">
        <v>33010</v>
      </c>
      <c r="C142" s="755"/>
      <c r="D142" s="755" t="s">
        <v>168</v>
      </c>
      <c r="E142" s="756">
        <v>738466416</v>
      </c>
      <c r="F142" s="756">
        <v>1806035185</v>
      </c>
      <c r="G142" s="756">
        <v>317874217</v>
      </c>
      <c r="H142" s="756">
        <v>-1844947</v>
      </c>
      <c r="I142" s="756">
        <v>316029270</v>
      </c>
      <c r="J142" s="756">
        <v>3204722663</v>
      </c>
      <c r="K142" s="756">
        <v>-1821124624</v>
      </c>
      <c r="L142" s="756">
        <v>2122064455</v>
      </c>
      <c r="M142" s="570" t="e">
        <f>VLOOKUP(C142,BS_WTB!$C:$E,3,0)</f>
        <v>#N/A</v>
      </c>
    </row>
    <row r="143" spans="1:13">
      <c r="A143" s="755"/>
      <c r="B143" s="755"/>
      <c r="C143" s="755">
        <v>336100</v>
      </c>
      <c r="D143" s="755" t="s">
        <v>167</v>
      </c>
      <c r="E143" s="756">
        <v>738466416</v>
      </c>
      <c r="F143" s="756">
        <v>1806035185</v>
      </c>
      <c r="G143" s="756">
        <v>317874217</v>
      </c>
      <c r="H143" s="756">
        <v>-1844947</v>
      </c>
      <c r="I143" s="756">
        <v>316029270</v>
      </c>
      <c r="J143" s="756">
        <v>3204722663</v>
      </c>
      <c r="K143" s="756">
        <v>-1821124624</v>
      </c>
      <c r="L143" s="756">
        <v>2122064455</v>
      </c>
      <c r="M143" s="570" t="str">
        <f>VLOOKUP(C143,BS_WTB!$C:$E,3,0)</f>
        <v>비품건자</v>
      </c>
    </row>
    <row r="144" spans="1:13">
      <c r="A144" s="755">
        <v>400</v>
      </c>
      <c r="B144" s="755"/>
      <c r="C144" s="755"/>
      <c r="D144" s="755" t="s">
        <v>166</v>
      </c>
      <c r="E144" s="756">
        <v>-579249086926</v>
      </c>
      <c r="F144" s="756">
        <v>-585137640093</v>
      </c>
      <c r="G144" s="756">
        <v>2810491740229</v>
      </c>
      <c r="H144" s="756">
        <v>-2813596253826</v>
      </c>
      <c r="I144" s="756">
        <v>-3104513597</v>
      </c>
      <c r="J144" s="756">
        <v>24687358683138</v>
      </c>
      <c r="K144" s="756">
        <v>-24696351749902</v>
      </c>
      <c r="L144" s="756">
        <v>-588242153690</v>
      </c>
      <c r="M144" s="570" t="e">
        <f>VLOOKUP(C144,BS_WTB!$C:$E,3,0)</f>
        <v>#N/A</v>
      </c>
    </row>
    <row r="145" spans="1:13">
      <c r="A145" s="755"/>
      <c r="B145" s="755">
        <v>40400</v>
      </c>
      <c r="C145" s="755"/>
      <c r="D145" s="755" t="s">
        <v>165</v>
      </c>
      <c r="E145" s="756">
        <v>-104977868839</v>
      </c>
      <c r="F145" s="756">
        <v>-100606928797</v>
      </c>
      <c r="G145" s="756">
        <v>1487474691151</v>
      </c>
      <c r="H145" s="756">
        <v>-1487846759419</v>
      </c>
      <c r="I145" s="756">
        <v>-372068268</v>
      </c>
      <c r="J145" s="756">
        <v>12588950809937</v>
      </c>
      <c r="K145" s="756">
        <v>-12584951938163</v>
      </c>
      <c r="L145" s="756">
        <v>-100978997065</v>
      </c>
      <c r="M145" s="570" t="e">
        <f>VLOOKUP(C145,BS_WTB!$C:$E,3,0)</f>
        <v>#N/A</v>
      </c>
    </row>
    <row r="146" spans="1:13">
      <c r="A146" s="755"/>
      <c r="B146" s="755"/>
      <c r="C146" s="755">
        <v>404100</v>
      </c>
      <c r="D146" s="755" t="s">
        <v>165</v>
      </c>
      <c r="E146" s="756">
        <v>-71964303345</v>
      </c>
      <c r="F146" s="756">
        <v>-39724328848</v>
      </c>
      <c r="G146" s="756">
        <v>1274349359474</v>
      </c>
      <c r="H146" s="756">
        <v>-1291232888744</v>
      </c>
      <c r="I146" s="756">
        <v>-16883529270</v>
      </c>
      <c r="J146" s="756">
        <v>10795578773146</v>
      </c>
      <c r="K146" s="756">
        <v>-10780222327919</v>
      </c>
      <c r="L146" s="756">
        <v>-56607858118</v>
      </c>
      <c r="M146" s="570" t="str">
        <f>VLOOKUP(C146,BS_WTB!$C:$E,3,0)</f>
        <v>미지급금</v>
      </c>
    </row>
    <row r="147" spans="1:13">
      <c r="A147" s="755"/>
      <c r="B147" s="755"/>
      <c r="C147" s="755">
        <v>404103</v>
      </c>
      <c r="D147" s="755" t="s">
        <v>164</v>
      </c>
      <c r="E147" s="756">
        <v>-17718111112</v>
      </c>
      <c r="F147" s="756">
        <v>-45183433283</v>
      </c>
      <c r="G147" s="756">
        <v>210410994994</v>
      </c>
      <c r="H147" s="756">
        <v>-194471309750</v>
      </c>
      <c r="I147" s="756">
        <v>15939685244</v>
      </c>
      <c r="J147" s="756">
        <v>1769713125865</v>
      </c>
      <c r="K147" s="756">
        <v>-1781238762792</v>
      </c>
      <c r="L147" s="756">
        <v>-29243748039</v>
      </c>
      <c r="M147" s="570" t="str">
        <f>VLOOKUP(C147,BS_WTB!$C:$E,3,0)</f>
        <v>미지급금-Clearing</v>
      </c>
    </row>
    <row r="148" spans="1:13">
      <c r="A148" s="755"/>
      <c r="B148" s="755"/>
      <c r="C148" s="755">
        <v>404104</v>
      </c>
      <c r="D148" s="755" t="s">
        <v>255</v>
      </c>
      <c r="E148" s="756">
        <v>-13842271989</v>
      </c>
      <c r="F148" s="756">
        <v>-14545748406</v>
      </c>
      <c r="G148" s="756">
        <v>1369655791</v>
      </c>
      <c r="H148" s="756">
        <v>-731258019</v>
      </c>
      <c r="I148" s="756">
        <v>638397772</v>
      </c>
      <c r="J148" s="756">
        <v>6881859486</v>
      </c>
      <c r="K148" s="756">
        <v>-6946938131</v>
      </c>
      <c r="L148" s="756">
        <v>-13907350634</v>
      </c>
      <c r="M148" s="570" t="str">
        <f>VLOOKUP(C148,BS_WTB!$C:$E,3,0)</f>
        <v>미지급금-셀러지급보류</v>
      </c>
    </row>
    <row r="149" spans="1:13">
      <c r="A149" s="755"/>
      <c r="B149" s="755"/>
      <c r="C149" s="755">
        <v>404200</v>
      </c>
      <c r="D149" s="755" t="s">
        <v>163</v>
      </c>
      <c r="E149" s="756">
        <v>-128295141</v>
      </c>
      <c r="F149" s="756">
        <v>-47039327</v>
      </c>
      <c r="G149" s="756">
        <v>35976702</v>
      </c>
      <c r="H149" s="756">
        <v>-43974471</v>
      </c>
      <c r="I149" s="756">
        <v>-7997769</v>
      </c>
      <c r="J149" s="756">
        <v>756888725</v>
      </c>
      <c r="K149" s="756">
        <v>-683630680</v>
      </c>
      <c r="L149" s="756">
        <v>-55037096</v>
      </c>
      <c r="M149" s="570" t="str">
        <f>VLOOKUP(C149,BS_WTB!$C:$E,3,0)</f>
        <v>외화미지급금</v>
      </c>
    </row>
    <row r="150" spans="1:13">
      <c r="A150" s="755"/>
      <c r="B150" s="755"/>
      <c r="C150" s="755">
        <v>404290</v>
      </c>
      <c r="D150" s="755" t="s">
        <v>676</v>
      </c>
      <c r="E150" s="756">
        <v>1166562</v>
      </c>
      <c r="F150" s="756">
        <v>-4476988</v>
      </c>
      <c r="G150" s="756">
        <v>4491856</v>
      </c>
      <c r="H150" s="756">
        <v>-9633951</v>
      </c>
      <c r="I150" s="756">
        <v>-5142095</v>
      </c>
      <c r="J150" s="756">
        <v>3635357</v>
      </c>
      <c r="K150" s="756">
        <v>-14421002</v>
      </c>
      <c r="L150" s="756">
        <v>-9619083</v>
      </c>
      <c r="M150" s="570" t="str">
        <f>VLOOKUP(C150,BS_WTB!$C:$E,3,0)</f>
        <v>외화미지급환산조정</v>
      </c>
    </row>
    <row r="151" spans="1:13">
      <c r="A151" s="755"/>
      <c r="B151" s="755"/>
      <c r="C151" s="755">
        <v>404300</v>
      </c>
      <c r="D151" s="755" t="s">
        <v>515</v>
      </c>
      <c r="E151" s="756">
        <v>-778650994</v>
      </c>
      <c r="F151" s="756">
        <v>-497771605</v>
      </c>
      <c r="G151" s="756">
        <v>640178134</v>
      </c>
      <c r="H151" s="756">
        <v>-691315844</v>
      </c>
      <c r="I151" s="756">
        <v>-51137710</v>
      </c>
      <c r="J151" s="756">
        <v>5310228118</v>
      </c>
      <c r="K151" s="756">
        <v>-5080486439</v>
      </c>
      <c r="L151" s="756">
        <v>-548909315</v>
      </c>
      <c r="M151" s="570" t="str">
        <f>VLOOKUP(C151,BS_WTB!$C:$E,3,0)</f>
        <v>카드미지급금</v>
      </c>
    </row>
    <row r="152" spans="1:13">
      <c r="A152" s="755"/>
      <c r="B152" s="755"/>
      <c r="C152" s="755">
        <v>405100</v>
      </c>
      <c r="D152" s="755" t="s">
        <v>794</v>
      </c>
      <c r="E152" s="755">
        <v>0</v>
      </c>
      <c r="F152" s="755">
        <v>0</v>
      </c>
      <c r="G152" s="755">
        <v>0</v>
      </c>
      <c r="H152" s="755">
        <v>0</v>
      </c>
      <c r="I152" s="755">
        <v>0</v>
      </c>
      <c r="J152" s="756">
        <v>5000000000</v>
      </c>
      <c r="K152" s="756">
        <v>-5000000000</v>
      </c>
      <c r="L152" s="755">
        <v>0</v>
      </c>
      <c r="M152" s="570" t="str">
        <f>VLOOKUP(C152,BS_WTB!$C:$E,3,0)</f>
        <v>미지급배당금</v>
      </c>
    </row>
    <row r="153" spans="1:13">
      <c r="A153" s="755"/>
      <c r="B153" s="755"/>
      <c r="C153" s="755">
        <v>405510</v>
      </c>
      <c r="D153" s="755" t="s">
        <v>162</v>
      </c>
      <c r="E153" s="756">
        <v>-547402820</v>
      </c>
      <c r="F153" s="756">
        <v>-604130340</v>
      </c>
      <c r="G153" s="756">
        <v>664034200</v>
      </c>
      <c r="H153" s="756">
        <v>-666378640</v>
      </c>
      <c r="I153" s="756">
        <v>-2344440</v>
      </c>
      <c r="J153" s="756">
        <v>5706299240</v>
      </c>
      <c r="K153" s="756">
        <v>-5765371200</v>
      </c>
      <c r="L153" s="756">
        <v>-606474780</v>
      </c>
      <c r="M153" s="570" t="str">
        <f>VLOOKUP(C153,BS_WTB!$C:$E,3,0)</f>
        <v>기타미지급금-건강</v>
      </c>
    </row>
    <row r="154" spans="1:13">
      <c r="A154" s="755"/>
      <c r="B154" s="755">
        <v>40600</v>
      </c>
      <c r="C154" s="755"/>
      <c r="D154" s="755" t="s">
        <v>160</v>
      </c>
      <c r="E154" s="756">
        <v>-32165358786</v>
      </c>
      <c r="F154" s="756">
        <v>-60030583336</v>
      </c>
      <c r="G154" s="756">
        <v>19813341042</v>
      </c>
      <c r="H154" s="756">
        <v>6451450900</v>
      </c>
      <c r="I154" s="756">
        <v>26264791942</v>
      </c>
      <c r="J154" s="756">
        <v>63062973446</v>
      </c>
      <c r="K154" s="756">
        <v>-64663406054</v>
      </c>
      <c r="L154" s="756">
        <v>-33765791394</v>
      </c>
      <c r="M154" s="570" t="e">
        <f>VLOOKUP(C154,BS_WTB!$C:$E,3,0)</f>
        <v>#N/A</v>
      </c>
    </row>
    <row r="155" spans="1:13">
      <c r="A155" s="755"/>
      <c r="B155" s="755"/>
      <c r="C155" s="755">
        <v>406100</v>
      </c>
      <c r="D155" s="755" t="s">
        <v>160</v>
      </c>
      <c r="E155" s="756">
        <v>-16437830726</v>
      </c>
      <c r="F155" s="756">
        <v>-44992889559</v>
      </c>
      <c r="G155" s="756">
        <v>13193647265</v>
      </c>
      <c r="H155" s="756">
        <v>14197823420</v>
      </c>
      <c r="I155" s="756">
        <v>27391470685</v>
      </c>
      <c r="J155" s="756">
        <v>16273676738</v>
      </c>
      <c r="K155" s="756">
        <v>-17437264886</v>
      </c>
      <c r="L155" s="756">
        <v>-17601418874</v>
      </c>
      <c r="M155" s="570" t="str">
        <f>VLOOKUP(C155,BS_WTB!$C:$E,3,0)</f>
        <v>미지급비용</v>
      </c>
    </row>
    <row r="156" spans="1:13">
      <c r="A156" s="755"/>
      <c r="B156" s="755"/>
      <c r="C156" s="755">
        <v>406110</v>
      </c>
      <c r="D156" s="755" t="s">
        <v>159</v>
      </c>
      <c r="E156" s="756">
        <v>-4671528060</v>
      </c>
      <c r="F156" s="756">
        <v>-6619693777</v>
      </c>
      <c r="G156" s="756">
        <v>6619693777</v>
      </c>
      <c r="H156" s="756">
        <v>-6801372520</v>
      </c>
      <c r="I156" s="756">
        <v>-181678743</v>
      </c>
      <c r="J156" s="756">
        <v>47548296708</v>
      </c>
      <c r="K156" s="756">
        <v>-49678141168</v>
      </c>
      <c r="L156" s="756">
        <v>-6801372520</v>
      </c>
      <c r="M156" s="570" t="str">
        <f>VLOOKUP(C156,BS_WTB!$C:$E,3,0)</f>
        <v>미지급비용_연월차</v>
      </c>
    </row>
    <row r="157" spans="1:13">
      <c r="A157" s="755"/>
      <c r="B157" s="755"/>
      <c r="C157" s="755">
        <v>406120</v>
      </c>
      <c r="D157" s="755" t="s">
        <v>158</v>
      </c>
      <c r="E157" s="756">
        <v>-11056000000</v>
      </c>
      <c r="F157" s="756">
        <v>-8418000000</v>
      </c>
      <c r="G157" s="755">
        <v>0</v>
      </c>
      <c r="H157" s="756">
        <v>-945000000</v>
      </c>
      <c r="I157" s="756">
        <v>-945000000</v>
      </c>
      <c r="J157" s="756">
        <v>-759000000</v>
      </c>
      <c r="K157" s="756">
        <v>2452000000</v>
      </c>
      <c r="L157" s="756">
        <v>-9363000000</v>
      </c>
      <c r="M157" s="570" t="str">
        <f>VLOOKUP(C157,BS_WTB!$C:$E,3,0)</f>
        <v>미지급비용_IB</v>
      </c>
    </row>
    <row r="158" spans="1:13">
      <c r="A158" s="755"/>
      <c r="B158" s="755">
        <v>41100</v>
      </c>
      <c r="C158" s="755"/>
      <c r="D158" s="755" t="s">
        <v>157</v>
      </c>
      <c r="E158" s="756">
        <v>-393967987573</v>
      </c>
      <c r="F158" s="756">
        <v>-366527378827</v>
      </c>
      <c r="G158" s="756">
        <v>712291118620</v>
      </c>
      <c r="H158" s="756">
        <v>-744680953859</v>
      </c>
      <c r="I158" s="756">
        <v>-32389835239</v>
      </c>
      <c r="J158" s="756">
        <v>6551993604908</v>
      </c>
      <c r="K158" s="756">
        <v>-6556942831401</v>
      </c>
      <c r="L158" s="756">
        <v>-398917214066</v>
      </c>
      <c r="M158" s="570" t="e">
        <f>VLOOKUP(C158,BS_WTB!$C:$E,3,0)</f>
        <v>#N/A</v>
      </c>
    </row>
    <row r="159" spans="1:13">
      <c r="A159" s="755"/>
      <c r="B159" s="755"/>
      <c r="C159" s="755">
        <v>411100</v>
      </c>
      <c r="D159" s="755" t="s">
        <v>156</v>
      </c>
      <c r="E159" s="756">
        <v>-120000</v>
      </c>
      <c r="F159" s="756">
        <v>-160000</v>
      </c>
      <c r="G159" s="756">
        <v>160000</v>
      </c>
      <c r="H159" s="755">
        <v>0</v>
      </c>
      <c r="I159" s="756">
        <v>160000</v>
      </c>
      <c r="J159" s="756">
        <v>904000</v>
      </c>
      <c r="K159" s="756">
        <v>-784000</v>
      </c>
      <c r="L159" s="755">
        <v>0</v>
      </c>
      <c r="M159" s="570" t="str">
        <f>VLOOKUP(C159,BS_WTB!$C:$E,3,0)</f>
        <v>예수소득세-기타소득</v>
      </c>
    </row>
    <row r="160" spans="1:13">
      <c r="A160" s="755"/>
      <c r="B160" s="755"/>
      <c r="C160" s="755">
        <v>411110</v>
      </c>
      <c r="D160" s="755" t="s">
        <v>155</v>
      </c>
      <c r="E160" s="756">
        <v>-171000</v>
      </c>
      <c r="F160" s="756">
        <v>-180000</v>
      </c>
      <c r="G160" s="756">
        <v>180000</v>
      </c>
      <c r="H160" s="755">
        <v>0</v>
      </c>
      <c r="I160" s="756">
        <v>180000</v>
      </c>
      <c r="J160" s="756">
        <v>834000</v>
      </c>
      <c r="K160" s="756">
        <v>-663000</v>
      </c>
      <c r="L160" s="755">
        <v>0</v>
      </c>
      <c r="M160" s="570" t="str">
        <f>VLOOKUP(C160,BS_WTB!$C:$E,3,0)</f>
        <v>예수소득세-사업소득</v>
      </c>
    </row>
    <row r="161" spans="1:15">
      <c r="A161" s="755"/>
      <c r="B161" s="755"/>
      <c r="C161" s="755">
        <v>411120</v>
      </c>
      <c r="D161" s="755" t="s">
        <v>154</v>
      </c>
      <c r="E161" s="755">
        <v>0</v>
      </c>
      <c r="F161" s="755">
        <v>0</v>
      </c>
      <c r="G161" s="756">
        <v>23528500</v>
      </c>
      <c r="H161" s="756">
        <v>-23528500</v>
      </c>
      <c r="I161" s="755">
        <v>0</v>
      </c>
      <c r="J161" s="756">
        <v>174451030</v>
      </c>
      <c r="K161" s="756">
        <v>-174451030</v>
      </c>
      <c r="L161" s="755">
        <v>0</v>
      </c>
      <c r="M161" s="570" t="str">
        <f>VLOOKUP(C161,BS_WTB!$C:$E,3,0)</f>
        <v>예수소득세-퇴직소득</v>
      </c>
    </row>
    <row r="162" spans="1:15" s="525" customFormat="1">
      <c r="A162" s="755"/>
      <c r="B162" s="755"/>
      <c r="C162" s="755">
        <v>411130</v>
      </c>
      <c r="D162" s="755" t="s">
        <v>153</v>
      </c>
      <c r="E162" s="756">
        <v>-998545010</v>
      </c>
      <c r="F162" s="756">
        <v>-837032800</v>
      </c>
      <c r="G162" s="756">
        <v>869916820</v>
      </c>
      <c r="H162" s="756">
        <v>-871925550</v>
      </c>
      <c r="I162" s="756">
        <v>-2008730</v>
      </c>
      <c r="J162" s="756">
        <v>9661035650</v>
      </c>
      <c r="K162" s="756">
        <v>-9501532170</v>
      </c>
      <c r="L162" s="756">
        <v>-839041530</v>
      </c>
      <c r="M162" s="570" t="str">
        <f>VLOOKUP(C162,BS_WTB!$C:$E,3,0)</f>
        <v>예수소득세-근로소득</v>
      </c>
      <c r="N162" s="721"/>
      <c r="O162" s="721"/>
    </row>
    <row r="163" spans="1:15">
      <c r="A163" s="755"/>
      <c r="B163" s="755"/>
      <c r="C163" s="755">
        <v>411170</v>
      </c>
      <c r="D163" s="755" t="s">
        <v>311</v>
      </c>
      <c r="E163" s="755">
        <v>0</v>
      </c>
      <c r="F163" s="755">
        <v>0</v>
      </c>
      <c r="G163" s="755">
        <v>0</v>
      </c>
      <c r="H163" s="755">
        <v>0</v>
      </c>
      <c r="I163" s="755">
        <v>0</v>
      </c>
      <c r="J163" s="756">
        <v>736110</v>
      </c>
      <c r="K163" s="756">
        <v>-736110</v>
      </c>
      <c r="L163" s="755">
        <v>0</v>
      </c>
      <c r="M163" s="570" t="str">
        <f>VLOOKUP(C163,BS_WTB!$C:$E,3,0)</f>
        <v>예수소득세-비거주자</v>
      </c>
    </row>
    <row r="164" spans="1:15">
      <c r="A164" s="755"/>
      <c r="B164" s="755"/>
      <c r="C164" s="755">
        <v>411180</v>
      </c>
      <c r="D164" s="755" t="s">
        <v>312</v>
      </c>
      <c r="E164" s="756">
        <v>-3586490</v>
      </c>
      <c r="F164" s="756">
        <v>-2142840</v>
      </c>
      <c r="G164" s="756">
        <v>2142840</v>
      </c>
      <c r="H164" s="756">
        <v>-9133040</v>
      </c>
      <c r="I164" s="756">
        <v>-6990200</v>
      </c>
      <c r="J164" s="756">
        <v>17687580</v>
      </c>
      <c r="K164" s="756">
        <v>-23234130</v>
      </c>
      <c r="L164" s="756">
        <v>-9133040</v>
      </c>
      <c r="M164" s="570" t="str">
        <f>VLOOKUP(C164,BS_WTB!$C:$E,3,0)</f>
        <v>예수소득세-다량기타</v>
      </c>
    </row>
    <row r="165" spans="1:15">
      <c r="A165" s="755"/>
      <c r="B165" s="755"/>
      <c r="C165" s="755">
        <v>411190</v>
      </c>
      <c r="D165" s="755" t="s">
        <v>313</v>
      </c>
      <c r="E165" s="756">
        <v>-367500</v>
      </c>
      <c r="F165" s="756">
        <v>-175230</v>
      </c>
      <c r="G165" s="756">
        <v>175230</v>
      </c>
      <c r="H165" s="756">
        <v>-214000</v>
      </c>
      <c r="I165" s="756">
        <v>-38770</v>
      </c>
      <c r="J165" s="756">
        <v>1591030</v>
      </c>
      <c r="K165" s="756">
        <v>-1437530</v>
      </c>
      <c r="L165" s="756">
        <v>-214000</v>
      </c>
      <c r="M165" s="570" t="str">
        <f>VLOOKUP(C165,BS_WTB!$C:$E,3,0)</f>
        <v>예수소득세-다량사업</v>
      </c>
    </row>
    <row r="166" spans="1:15">
      <c r="A166" s="755"/>
      <c r="B166" s="755"/>
      <c r="C166" s="755">
        <v>411200</v>
      </c>
      <c r="D166" s="755" t="s">
        <v>152</v>
      </c>
      <c r="E166" s="756">
        <v>-100274280</v>
      </c>
      <c r="F166" s="756">
        <v>-83963910</v>
      </c>
      <c r="G166" s="756">
        <v>89604380</v>
      </c>
      <c r="H166" s="756">
        <v>-90474130</v>
      </c>
      <c r="I166" s="756">
        <v>-869750</v>
      </c>
      <c r="J166" s="756">
        <v>985670620</v>
      </c>
      <c r="K166" s="756">
        <v>-970230000</v>
      </c>
      <c r="L166" s="756">
        <v>-84833660</v>
      </c>
      <c r="M166" s="570" t="str">
        <f>VLOOKUP(C166,BS_WTB!$C:$E,3,0)</f>
        <v>예수주민세</v>
      </c>
    </row>
    <row r="167" spans="1:15">
      <c r="A167" s="755"/>
      <c r="B167" s="755"/>
      <c r="C167" s="755">
        <v>420201</v>
      </c>
      <c r="D167" s="755" t="s">
        <v>151</v>
      </c>
      <c r="E167" s="756">
        <v>-246237560</v>
      </c>
      <c r="F167" s="756">
        <v>-267398550</v>
      </c>
      <c r="G167" s="756">
        <v>267398550</v>
      </c>
      <c r="H167" s="756">
        <v>-267548780</v>
      </c>
      <c r="I167" s="756">
        <v>-150230</v>
      </c>
      <c r="J167" s="756">
        <v>2271870530</v>
      </c>
      <c r="K167" s="756">
        <v>-2293181750</v>
      </c>
      <c r="L167" s="756">
        <v>-267548780</v>
      </c>
      <c r="M167" s="570" t="str">
        <f>VLOOKUP(C167,BS_WTB!$C:$E,3,0)</f>
        <v>예수금-국민연금</v>
      </c>
    </row>
    <row r="168" spans="1:15">
      <c r="A168" s="755"/>
      <c r="B168" s="755"/>
      <c r="C168" s="755">
        <v>420202</v>
      </c>
      <c r="D168" s="755" t="s">
        <v>150</v>
      </c>
      <c r="E168" s="756">
        <v>-298892440</v>
      </c>
      <c r="F168" s="756">
        <v>-336396070</v>
      </c>
      <c r="G168" s="756">
        <v>334233970</v>
      </c>
      <c r="H168" s="756">
        <v>-336428180</v>
      </c>
      <c r="I168" s="756">
        <v>-2194210</v>
      </c>
      <c r="J168" s="756">
        <v>3032142600</v>
      </c>
      <c r="K168" s="756">
        <v>-3071840440</v>
      </c>
      <c r="L168" s="756">
        <v>-338590280</v>
      </c>
      <c r="M168" s="570" t="str">
        <f>VLOOKUP(C168,BS_WTB!$C:$E,3,0)</f>
        <v>예수금-건강보험</v>
      </c>
    </row>
    <row r="169" spans="1:15">
      <c r="A169" s="755"/>
      <c r="B169" s="755"/>
      <c r="C169" s="755">
        <v>420203</v>
      </c>
      <c r="D169" s="755" t="s">
        <v>149</v>
      </c>
      <c r="E169" s="756">
        <v>-58773630</v>
      </c>
      <c r="F169" s="756">
        <v>-71269550</v>
      </c>
      <c r="G169" s="756">
        <v>70803400</v>
      </c>
      <c r="H169" s="756">
        <v>-72243530</v>
      </c>
      <c r="I169" s="756">
        <v>-1440130</v>
      </c>
      <c r="J169" s="756">
        <v>641505020</v>
      </c>
      <c r="K169" s="756">
        <v>-655441070</v>
      </c>
      <c r="L169" s="756">
        <v>-72709680</v>
      </c>
      <c r="M169" s="570" t="str">
        <f>VLOOKUP(C169,BS_WTB!$C:$E,3,0)</f>
        <v>예수금-고용보험</v>
      </c>
    </row>
    <row r="170" spans="1:15">
      <c r="A170" s="755"/>
      <c r="B170" s="755"/>
      <c r="C170" s="755">
        <v>420230</v>
      </c>
      <c r="D170" s="755" t="s">
        <v>1081</v>
      </c>
      <c r="E170" s="756">
        <v>-6940508171</v>
      </c>
      <c r="F170" s="756">
        <v>-4231696814</v>
      </c>
      <c r="G170" s="756">
        <v>2393992590</v>
      </c>
      <c r="H170" s="756">
        <v>-2211069652</v>
      </c>
      <c r="I170" s="756">
        <v>182922938</v>
      </c>
      <c r="J170" s="756">
        <v>19887444631</v>
      </c>
      <c r="K170" s="756">
        <v>-16995710336</v>
      </c>
      <c r="L170" s="756">
        <v>-4048773876</v>
      </c>
      <c r="M170" s="570" t="str">
        <f>VLOOKUP(C170,BS_WTB!$C:$E,3,0)</f>
        <v>11PayPoint_유상</v>
      </c>
    </row>
    <row r="171" spans="1:15">
      <c r="A171" s="755"/>
      <c r="B171" s="755"/>
      <c r="C171" s="755">
        <v>420240</v>
      </c>
      <c r="D171" s="755" t="s">
        <v>875</v>
      </c>
      <c r="E171" s="756">
        <v>-10148988475</v>
      </c>
      <c r="F171" s="756">
        <v>-12688249498</v>
      </c>
      <c r="G171" s="756">
        <v>7944147175</v>
      </c>
      <c r="H171" s="756">
        <v>-9770104808</v>
      </c>
      <c r="I171" s="756">
        <v>-1825957633</v>
      </c>
      <c r="J171" s="756">
        <v>53517001973</v>
      </c>
      <c r="K171" s="756">
        <v>-57882220629</v>
      </c>
      <c r="L171" s="756">
        <v>-14514207131</v>
      </c>
      <c r="M171" s="570" t="str">
        <f>VLOOKUP(C171,BS_WTB!$C:$E,3,0)</f>
        <v>11PayPoint_무상</v>
      </c>
    </row>
    <row r="172" spans="1:15">
      <c r="A172" s="755"/>
      <c r="B172" s="755"/>
      <c r="C172" s="755">
        <v>420250</v>
      </c>
      <c r="D172" s="755" t="s">
        <v>147</v>
      </c>
      <c r="E172" s="756">
        <v>-178450087529</v>
      </c>
      <c r="F172" s="756">
        <v>-168773093844</v>
      </c>
      <c r="G172" s="756">
        <v>473009598568</v>
      </c>
      <c r="H172" s="756">
        <v>-495138806333</v>
      </c>
      <c r="I172" s="756">
        <v>-22129207765</v>
      </c>
      <c r="J172" s="756">
        <v>4448951696548</v>
      </c>
      <c r="K172" s="756">
        <v>-4461403910628</v>
      </c>
      <c r="L172" s="756">
        <v>-190902301609</v>
      </c>
      <c r="M172" s="570" t="str">
        <f>VLOOKUP(C172,BS_WTB!$C:$E,3,0)</f>
        <v>예수금-쇼핑몰</v>
      </c>
    </row>
    <row r="173" spans="1:15">
      <c r="A173" s="755"/>
      <c r="B173" s="755"/>
      <c r="C173" s="755">
        <v>420251</v>
      </c>
      <c r="D173" s="755" t="s">
        <v>795</v>
      </c>
      <c r="E173" s="756">
        <v>-317794452</v>
      </c>
      <c r="F173" s="756">
        <v>-349799590</v>
      </c>
      <c r="G173" s="756">
        <v>929376705</v>
      </c>
      <c r="H173" s="756">
        <v>-918529482</v>
      </c>
      <c r="I173" s="756">
        <v>10847223</v>
      </c>
      <c r="J173" s="756">
        <v>8858863063</v>
      </c>
      <c r="K173" s="756">
        <v>-8880020978</v>
      </c>
      <c r="L173" s="756">
        <v>-338952367</v>
      </c>
      <c r="M173" s="570" t="str">
        <f>VLOOKUP(C173,BS_WTB!$C:$E,3,0)</f>
        <v>예수금11번가-수수료</v>
      </c>
    </row>
    <row r="174" spans="1:15">
      <c r="A174" s="755"/>
      <c r="B174" s="755"/>
      <c r="C174" s="755">
        <v>420255</v>
      </c>
      <c r="D174" s="755" t="s">
        <v>1210</v>
      </c>
      <c r="E174" s="756">
        <v>-1056196226</v>
      </c>
      <c r="F174" s="756">
        <v>-1200055726</v>
      </c>
      <c r="G174" s="756">
        <v>222962500</v>
      </c>
      <c r="H174" s="756">
        <v>-225318000</v>
      </c>
      <c r="I174" s="756">
        <v>-2355500</v>
      </c>
      <c r="J174" s="756">
        <v>1996962000</v>
      </c>
      <c r="K174" s="756">
        <v>-2143177000</v>
      </c>
      <c r="L174" s="756">
        <v>-1202411226</v>
      </c>
      <c r="M174" s="570" t="str">
        <f>VLOOKUP(C174,BS_WTB!$C:$E,3,0)</f>
        <v>예수금-SK페이상품권</v>
      </c>
    </row>
    <row r="175" spans="1:15" s="11" customFormat="1">
      <c r="A175" s="755"/>
      <c r="B175" s="755"/>
      <c r="C175" s="755">
        <v>420260</v>
      </c>
      <c r="D175" s="755" t="s">
        <v>146</v>
      </c>
      <c r="E175" s="756">
        <v>-91045277043</v>
      </c>
      <c r="F175" s="756">
        <v>-75038342046</v>
      </c>
      <c r="G175" s="756">
        <v>91091975583</v>
      </c>
      <c r="H175" s="756">
        <v>-93239551653</v>
      </c>
      <c r="I175" s="756">
        <v>-2147576070</v>
      </c>
      <c r="J175" s="756">
        <v>957557084235</v>
      </c>
      <c r="K175" s="756">
        <v>-943697725308</v>
      </c>
      <c r="L175" s="756">
        <v>-77185918116</v>
      </c>
      <c r="M175" s="570" t="str">
        <f>VLOOKUP(C175,BS_WTB!$C:$E,3,0)</f>
        <v>예수금-전자화폐</v>
      </c>
      <c r="N175" s="721"/>
      <c r="O175" s="721"/>
    </row>
    <row r="176" spans="1:15">
      <c r="A176" s="755"/>
      <c r="B176" s="755"/>
      <c r="C176" s="755">
        <v>420270</v>
      </c>
      <c r="D176" s="755" t="s">
        <v>145</v>
      </c>
      <c r="E176" s="756">
        <v>-3920229182</v>
      </c>
      <c r="F176" s="756">
        <v>-4103949932</v>
      </c>
      <c r="G176" s="756">
        <v>2437410048</v>
      </c>
      <c r="H176" s="756">
        <v>-2521408328</v>
      </c>
      <c r="I176" s="756">
        <v>-83998280</v>
      </c>
      <c r="J176" s="756">
        <v>23829954815</v>
      </c>
      <c r="K176" s="756">
        <v>-24097673845</v>
      </c>
      <c r="L176" s="756">
        <v>-4187948212</v>
      </c>
      <c r="M176" s="570" t="str">
        <f>VLOOKUP(C176,BS_WTB!$C:$E,3,0)</f>
        <v>예수금-마일리지</v>
      </c>
    </row>
    <row r="177" spans="1:15">
      <c r="A177" s="755"/>
      <c r="B177" s="755"/>
      <c r="C177" s="755">
        <v>420271</v>
      </c>
      <c r="D177" s="755" t="s">
        <v>144</v>
      </c>
      <c r="E177" s="756">
        <v>-2950830640</v>
      </c>
      <c r="F177" s="756">
        <v>-5337932106</v>
      </c>
      <c r="G177" s="756">
        <v>1245313535</v>
      </c>
      <c r="H177" s="756">
        <v>-2805869775</v>
      </c>
      <c r="I177" s="756">
        <v>-1560556240</v>
      </c>
      <c r="J177" s="756">
        <v>15356104691</v>
      </c>
      <c r="K177" s="756">
        <v>-19303762397</v>
      </c>
      <c r="L177" s="756">
        <v>-6898488346</v>
      </c>
      <c r="M177" s="570" t="str">
        <f>VLOOKUP(C177,BS_WTB!$C:$E,3,0)</f>
        <v>예수금-11번가쿠폰</v>
      </c>
    </row>
    <row r="178" spans="1:15">
      <c r="A178" s="755"/>
      <c r="B178" s="755"/>
      <c r="C178" s="755">
        <v>420280</v>
      </c>
      <c r="D178" s="755" t="s">
        <v>1596</v>
      </c>
      <c r="E178" s="755">
        <v>0</v>
      </c>
      <c r="F178" s="756">
        <v>11160</v>
      </c>
      <c r="G178" s="755">
        <v>0</v>
      </c>
      <c r="H178" s="755">
        <v>0</v>
      </c>
      <c r="I178" s="755">
        <v>0</v>
      </c>
      <c r="J178" s="756">
        <v>11160</v>
      </c>
      <c r="K178" s="755">
        <v>0</v>
      </c>
      <c r="L178" s="756">
        <v>11160</v>
      </c>
      <c r="M178" s="570" t="str">
        <f>VLOOKUP(C178,BS_WTB!$C:$E,3,0)</f>
        <v>예수금-기타공제</v>
      </c>
    </row>
    <row r="179" spans="1:15">
      <c r="A179" s="755"/>
      <c r="B179" s="755"/>
      <c r="C179" s="755">
        <v>420288</v>
      </c>
      <c r="D179" s="755" t="s">
        <v>143</v>
      </c>
      <c r="E179" s="756">
        <v>-79690186195</v>
      </c>
      <c r="F179" s="756">
        <v>-75930431186</v>
      </c>
      <c r="G179" s="756">
        <v>54026551972</v>
      </c>
      <c r="H179" s="756">
        <v>-59031439389</v>
      </c>
      <c r="I179" s="756">
        <v>-5004887417</v>
      </c>
      <c r="J179" s="756">
        <v>477900430905</v>
      </c>
      <c r="K179" s="756">
        <v>-479145563313</v>
      </c>
      <c r="L179" s="756">
        <v>-80935318603</v>
      </c>
      <c r="M179" s="570" t="str">
        <f>VLOOKUP(C179,BS_WTB!$C:$E,3,0)</f>
        <v>예수금-기프티콘</v>
      </c>
    </row>
    <row r="180" spans="1:15">
      <c r="A180" s="755"/>
      <c r="B180" s="755"/>
      <c r="C180" s="755">
        <v>420289</v>
      </c>
      <c r="D180" s="755" t="s">
        <v>142</v>
      </c>
      <c r="E180" s="756">
        <v>-10473107703</v>
      </c>
      <c r="F180" s="756">
        <v>-8560677944</v>
      </c>
      <c r="G180" s="756">
        <v>237415907</v>
      </c>
      <c r="H180" s="756">
        <v>-37716605</v>
      </c>
      <c r="I180" s="756">
        <v>199699302</v>
      </c>
      <c r="J180" s="756">
        <v>2275292018</v>
      </c>
      <c r="K180" s="756">
        <v>-163162957</v>
      </c>
      <c r="L180" s="756">
        <v>-8360978642</v>
      </c>
      <c r="M180" s="570" t="str">
        <f>VLOOKUP(C180,BS_WTB!$C:$E,3,0)</f>
        <v>예수금-기프티콘_낙전이연</v>
      </c>
    </row>
    <row r="181" spans="1:15">
      <c r="A181" s="755"/>
      <c r="B181" s="755"/>
      <c r="C181" s="755">
        <v>420290</v>
      </c>
      <c r="D181" s="755" t="s">
        <v>514</v>
      </c>
      <c r="E181" s="756">
        <v>837408</v>
      </c>
      <c r="F181" s="756">
        <v>837408</v>
      </c>
      <c r="G181" s="755">
        <v>0</v>
      </c>
      <c r="H181" s="755">
        <v>0</v>
      </c>
      <c r="I181" s="755">
        <v>0</v>
      </c>
      <c r="J181" s="755">
        <v>0</v>
      </c>
      <c r="K181" s="755">
        <v>0</v>
      </c>
      <c r="L181" s="756">
        <v>837408</v>
      </c>
      <c r="M181" s="570" t="str">
        <f>VLOOKUP(C181,BS_WTB!$C:$E,3,0)</f>
        <v>예수금-기타판매</v>
      </c>
    </row>
    <row r="182" spans="1:15">
      <c r="A182" s="755"/>
      <c r="B182" s="755"/>
      <c r="C182" s="755">
        <v>420297</v>
      </c>
      <c r="D182" s="755" t="s">
        <v>141</v>
      </c>
      <c r="E182" s="756">
        <v>-10024000</v>
      </c>
      <c r="F182" s="756">
        <v>-10024000</v>
      </c>
      <c r="G182" s="755">
        <v>0</v>
      </c>
      <c r="H182" s="755">
        <v>0</v>
      </c>
      <c r="I182" s="755">
        <v>0</v>
      </c>
      <c r="J182" s="755">
        <v>0</v>
      </c>
      <c r="K182" s="755">
        <v>0</v>
      </c>
      <c r="L182" s="756">
        <v>-10024000</v>
      </c>
      <c r="M182" s="570" t="str">
        <f>VLOOKUP(C182,BS_WTB!$C:$E,3,0)</f>
        <v>예수금-ENT사업</v>
      </c>
    </row>
    <row r="183" spans="1:15">
      <c r="A183" s="755"/>
      <c r="B183" s="755"/>
      <c r="C183" s="755">
        <v>420698</v>
      </c>
      <c r="D183" s="755" t="s">
        <v>254</v>
      </c>
      <c r="E183" s="756">
        <v>-739175598</v>
      </c>
      <c r="F183" s="756">
        <v>-945253088</v>
      </c>
      <c r="G183" s="756">
        <v>58367188</v>
      </c>
      <c r="H183" s="756">
        <v>-73795101</v>
      </c>
      <c r="I183" s="756">
        <v>-15427913</v>
      </c>
      <c r="J183" s="756">
        <v>682047463</v>
      </c>
      <c r="K183" s="756">
        <v>-903552866</v>
      </c>
      <c r="L183" s="756">
        <v>-960681001</v>
      </c>
      <c r="M183" s="570" t="str">
        <f>VLOOKUP(C183,BS_WTB!$C:$E,3,0)</f>
        <v>예수금-기프티콘캐쉬</v>
      </c>
    </row>
    <row r="184" spans="1:15" s="11" customFormat="1">
      <c r="A184" s="755"/>
      <c r="B184" s="755"/>
      <c r="C184" s="755">
        <v>420699</v>
      </c>
      <c r="D184" s="755" t="s">
        <v>140</v>
      </c>
      <c r="E184" s="756">
        <v>-53023643</v>
      </c>
      <c r="F184" s="756">
        <v>-53023643</v>
      </c>
      <c r="G184" s="755">
        <v>0</v>
      </c>
      <c r="H184" s="755">
        <v>0</v>
      </c>
      <c r="I184" s="755">
        <v>0</v>
      </c>
      <c r="J184" s="755">
        <v>0</v>
      </c>
      <c r="K184" s="755">
        <v>0</v>
      </c>
      <c r="L184" s="756">
        <v>-53023643</v>
      </c>
      <c r="M184" s="570" t="str">
        <f>VLOOKUP(C184,BS_WTB!$C:$E,3,0)</f>
        <v>예수금-선불카드</v>
      </c>
    </row>
    <row r="185" spans="1:15" s="525" customFormat="1">
      <c r="A185" s="755"/>
      <c r="B185" s="755"/>
      <c r="C185" s="755">
        <v>420714</v>
      </c>
      <c r="D185" s="755" t="s">
        <v>1376</v>
      </c>
      <c r="E185" s="756">
        <v>-973417071</v>
      </c>
      <c r="F185" s="756">
        <v>-1617443696</v>
      </c>
      <c r="G185" s="756">
        <v>233236408</v>
      </c>
      <c r="H185" s="755">
        <v>0</v>
      </c>
      <c r="I185" s="756">
        <v>233236408</v>
      </c>
      <c r="J185" s="756">
        <v>233236408</v>
      </c>
      <c r="K185" s="756">
        <v>-644026625</v>
      </c>
      <c r="L185" s="756">
        <v>-1384207288</v>
      </c>
      <c r="M185" s="570" t="str">
        <f>VLOOKUP(C185,BS_WTB!$C:$E,3,0)</f>
        <v>예수금-우주패스</v>
      </c>
      <c r="N185" s="721"/>
      <c r="O185" s="721"/>
    </row>
    <row r="186" spans="1:15">
      <c r="A186" s="755"/>
      <c r="B186" s="755"/>
      <c r="C186" s="755">
        <v>420715</v>
      </c>
      <c r="D186" s="755" t="s">
        <v>876</v>
      </c>
      <c r="E186" s="756">
        <v>-1026457732</v>
      </c>
      <c r="F186" s="756">
        <v>-1099720895</v>
      </c>
      <c r="G186" s="756">
        <v>53060968541</v>
      </c>
      <c r="H186" s="756">
        <v>-52353375313</v>
      </c>
      <c r="I186" s="756">
        <v>707593228</v>
      </c>
      <c r="J186" s="756">
        <v>417471750199</v>
      </c>
      <c r="K186" s="756">
        <v>-416837420134</v>
      </c>
      <c r="L186" s="756">
        <v>-392127667</v>
      </c>
      <c r="M186" s="570" t="str">
        <f>VLOOKUP(C186,BS_WTB!$C:$E,3,0)</f>
        <v>예수금-SyrupPay</v>
      </c>
    </row>
    <row r="187" spans="1:15">
      <c r="A187" s="755"/>
      <c r="B187" s="755"/>
      <c r="C187" s="755">
        <v>420716</v>
      </c>
      <c r="D187" s="755" t="s">
        <v>1168</v>
      </c>
      <c r="E187" s="756">
        <v>-4370394206</v>
      </c>
      <c r="F187" s="756">
        <v>-4991390226</v>
      </c>
      <c r="G187" s="756">
        <v>9385528804</v>
      </c>
      <c r="H187" s="756">
        <v>-9475009371</v>
      </c>
      <c r="I187" s="756">
        <v>-89480567</v>
      </c>
      <c r="J187" s="756">
        <v>92169521989</v>
      </c>
      <c r="K187" s="756">
        <v>-92879998576</v>
      </c>
      <c r="L187" s="756">
        <v>-5080870793</v>
      </c>
      <c r="M187" s="570" t="str">
        <f>VLOOKUP(C187,BS_WTB!$C:$E,3,0)</f>
        <v>예수금-SK pay money</v>
      </c>
    </row>
    <row r="188" spans="1:15">
      <c r="A188" s="755"/>
      <c r="B188" s="755"/>
      <c r="C188" s="755">
        <v>420717</v>
      </c>
      <c r="D188" s="755" t="s">
        <v>1141</v>
      </c>
      <c r="E188" s="756">
        <v>1687685</v>
      </c>
      <c r="F188" s="756">
        <v>1575789</v>
      </c>
      <c r="G188" s="756">
        <v>18727351</v>
      </c>
      <c r="H188" s="756">
        <v>-18788465</v>
      </c>
      <c r="I188" s="756">
        <v>-61114</v>
      </c>
      <c r="J188" s="756">
        <v>82525695</v>
      </c>
      <c r="K188" s="756">
        <v>-82698705</v>
      </c>
      <c r="L188" s="756">
        <v>1514675</v>
      </c>
      <c r="M188" s="570" t="str">
        <f>VLOOKUP(C188,BS_WTB!$C:$E,3,0)</f>
        <v>예수금_제로페이</v>
      </c>
    </row>
    <row r="189" spans="1:15">
      <c r="A189" s="755"/>
      <c r="B189" s="755"/>
      <c r="C189" s="755">
        <v>420718</v>
      </c>
      <c r="D189" s="755" t="s">
        <v>1335</v>
      </c>
      <c r="E189" s="756">
        <v>-97846890</v>
      </c>
      <c r="F189" s="755">
        <v>0</v>
      </c>
      <c r="G189" s="755">
        <v>0</v>
      </c>
      <c r="H189" s="755">
        <v>0</v>
      </c>
      <c r="I189" s="755">
        <v>0</v>
      </c>
      <c r="J189" s="756">
        <v>97846890</v>
      </c>
      <c r="K189" s="755">
        <v>0</v>
      </c>
      <c r="L189" s="755">
        <v>0</v>
      </c>
      <c r="M189" s="570" t="str">
        <f>VLOOKUP(C189,BS_WTB!$C:$E,3,0)</f>
        <v>예수금-SK pay money(무상)</v>
      </c>
    </row>
    <row r="190" spans="1:15">
      <c r="A190" s="755"/>
      <c r="B190" s="755"/>
      <c r="C190" s="755">
        <v>420719</v>
      </c>
      <c r="D190" s="755" t="s">
        <v>1594</v>
      </c>
      <c r="E190" s="755">
        <v>0</v>
      </c>
      <c r="F190" s="755">
        <v>0</v>
      </c>
      <c r="G190" s="756">
        <v>14337402055</v>
      </c>
      <c r="H190" s="756">
        <v>-15188675874</v>
      </c>
      <c r="I190" s="756">
        <v>-851273819</v>
      </c>
      <c r="J190" s="756">
        <v>14337402055</v>
      </c>
      <c r="K190" s="756">
        <v>-15188675874</v>
      </c>
      <c r="L190" s="756">
        <v>-851273819</v>
      </c>
      <c r="M190" s="570" t="str">
        <f>VLOOKUP(C190,BS_WTB!$C:$E,3,0)</f>
        <v>예수금-SKpay</v>
      </c>
    </row>
    <row r="191" spans="1:15">
      <c r="A191" s="755"/>
      <c r="B191" s="755">
        <v>42010</v>
      </c>
      <c r="C191" s="755"/>
      <c r="D191" s="755" t="s">
        <v>139</v>
      </c>
      <c r="E191" s="756">
        <v>-6266882543</v>
      </c>
      <c r="F191" s="756">
        <v>-2112710282</v>
      </c>
      <c r="G191" s="756">
        <v>14911882287</v>
      </c>
      <c r="H191" s="756">
        <v>-16268142149</v>
      </c>
      <c r="I191" s="756">
        <v>-1356259862</v>
      </c>
      <c r="J191" s="756">
        <v>83992046859</v>
      </c>
      <c r="K191" s="756">
        <v>-81194134460</v>
      </c>
      <c r="L191" s="756">
        <v>-3468970144</v>
      </c>
      <c r="M191" s="570" t="e">
        <f>VLOOKUP(C191,BS_WTB!$C:$E,3,0)</f>
        <v>#N/A</v>
      </c>
    </row>
    <row r="192" spans="1:15">
      <c r="A192" s="755"/>
      <c r="B192" s="755"/>
      <c r="C192" s="755">
        <v>420780</v>
      </c>
      <c r="D192" s="755" t="s">
        <v>137</v>
      </c>
      <c r="E192" s="756">
        <v>-6266882543</v>
      </c>
      <c r="F192" s="756">
        <v>-2112710282</v>
      </c>
      <c r="G192" s="756">
        <v>14911882287</v>
      </c>
      <c r="H192" s="756">
        <v>-16268142149</v>
      </c>
      <c r="I192" s="756">
        <v>-1356259862</v>
      </c>
      <c r="J192" s="756">
        <v>83992046859</v>
      </c>
      <c r="K192" s="756">
        <v>-81194134460</v>
      </c>
      <c r="L192" s="756">
        <v>-3468970144</v>
      </c>
      <c r="M192" s="570" t="str">
        <f>VLOOKUP(C192,BS_WTB!$C:$E,3,0)</f>
        <v>매출부가세-기타</v>
      </c>
    </row>
    <row r="193" spans="1:15">
      <c r="A193" s="755"/>
      <c r="B193" s="755">
        <v>42020</v>
      </c>
      <c r="C193" s="755"/>
      <c r="D193" s="755" t="s">
        <v>136</v>
      </c>
      <c r="E193" s="755">
        <v>0</v>
      </c>
      <c r="F193" s="755">
        <v>0</v>
      </c>
      <c r="G193" s="756">
        <v>556726365271</v>
      </c>
      <c r="H193" s="756">
        <v>-556726365271</v>
      </c>
      <c r="I193" s="755">
        <v>0</v>
      </c>
      <c r="J193" s="756">
        <v>5318735703012</v>
      </c>
      <c r="K193" s="756">
        <v>-5318735703012</v>
      </c>
      <c r="L193" s="755">
        <v>0</v>
      </c>
      <c r="M193" s="570" t="e">
        <f>VLOOKUP(C193,BS_WTB!$C:$E,3,0)</f>
        <v>#N/A</v>
      </c>
    </row>
    <row r="194" spans="1:15">
      <c r="A194" s="755"/>
      <c r="B194" s="755"/>
      <c r="C194" s="755">
        <v>426101</v>
      </c>
      <c r="D194" s="755" t="s">
        <v>135</v>
      </c>
      <c r="E194" s="756">
        <v>2802206330</v>
      </c>
      <c r="F194" s="756">
        <v>6690482560</v>
      </c>
      <c r="G194" s="756">
        <v>110264263528</v>
      </c>
      <c r="H194" s="756">
        <v>-116954746088</v>
      </c>
      <c r="I194" s="756">
        <v>-6690482560</v>
      </c>
      <c r="J194" s="756">
        <v>860682850395</v>
      </c>
      <c r="K194" s="756">
        <v>-863485056725</v>
      </c>
      <c r="L194" s="755">
        <v>0</v>
      </c>
      <c r="M194" s="570" t="str">
        <f>VLOOKUP(C194,BS_WTB!$C:$E,3,0)</f>
        <v>기타일반가수금(NEW)</v>
      </c>
    </row>
    <row r="195" spans="1:15">
      <c r="A195" s="755"/>
      <c r="B195" s="755"/>
      <c r="C195" s="755">
        <v>426102</v>
      </c>
      <c r="D195" s="755" t="s">
        <v>134</v>
      </c>
      <c r="E195" s="756">
        <v>-879534884</v>
      </c>
      <c r="F195" s="756">
        <v>-1912596187</v>
      </c>
      <c r="G195" s="756">
        <v>2426871967</v>
      </c>
      <c r="H195" s="756">
        <v>-514275780</v>
      </c>
      <c r="I195" s="756">
        <v>1912596187</v>
      </c>
      <c r="J195" s="756">
        <v>9569389387</v>
      </c>
      <c r="K195" s="756">
        <v>-8689854503</v>
      </c>
      <c r="L195" s="755">
        <v>0</v>
      </c>
      <c r="M195" s="570" t="str">
        <f>VLOOKUP(C195,BS_WTB!$C:$E,3,0)</f>
        <v>외화일반가수금</v>
      </c>
    </row>
    <row r="196" spans="1:15">
      <c r="A196" s="755"/>
      <c r="B196" s="755"/>
      <c r="C196" s="755">
        <v>426220</v>
      </c>
      <c r="D196" s="755" t="s">
        <v>133</v>
      </c>
      <c r="E196" s="756">
        <v>-2073545778</v>
      </c>
      <c r="F196" s="756">
        <v>-3268907829</v>
      </c>
      <c r="G196" s="756">
        <v>409736115997</v>
      </c>
      <c r="H196" s="756">
        <v>-406467208168</v>
      </c>
      <c r="I196" s="756">
        <v>3268907829</v>
      </c>
      <c r="J196" s="756">
        <v>4119448409748</v>
      </c>
      <c r="K196" s="756">
        <v>-4117374863970</v>
      </c>
      <c r="L196" s="755">
        <v>0</v>
      </c>
      <c r="M196" s="570" t="str">
        <f>VLOOKUP(C196,BS_WTB!$C:$E,3,0)</f>
        <v>오픈마켓가수금</v>
      </c>
    </row>
    <row r="197" spans="1:15">
      <c r="A197" s="755"/>
      <c r="B197" s="755"/>
      <c r="C197" s="755">
        <v>426230</v>
      </c>
      <c r="D197" s="755" t="s">
        <v>877</v>
      </c>
      <c r="E197" s="756">
        <v>141557300</v>
      </c>
      <c r="F197" s="756">
        <v>-1217478296</v>
      </c>
      <c r="G197" s="756">
        <v>23109041679</v>
      </c>
      <c r="H197" s="756">
        <v>-21891563383</v>
      </c>
      <c r="I197" s="756">
        <v>1217478296</v>
      </c>
      <c r="J197" s="756">
        <v>222270726749</v>
      </c>
      <c r="K197" s="756">
        <v>-222412284049</v>
      </c>
      <c r="L197" s="755">
        <v>0</v>
      </c>
      <c r="M197" s="570" t="str">
        <f>VLOOKUP(C197,BS_WTB!$C:$E,3,0)</f>
        <v>11PAY가수금</v>
      </c>
    </row>
    <row r="198" spans="1:15">
      <c r="A198" s="755"/>
      <c r="B198" s="755"/>
      <c r="C198" s="755">
        <v>426250</v>
      </c>
      <c r="D198" s="755" t="s">
        <v>1169</v>
      </c>
      <c r="E198" s="756">
        <v>19338625</v>
      </c>
      <c r="F198" s="756">
        <v>-280832196</v>
      </c>
      <c r="G198" s="756">
        <v>11171636077</v>
      </c>
      <c r="H198" s="756">
        <v>-10890803881</v>
      </c>
      <c r="I198" s="756">
        <v>280832196</v>
      </c>
      <c r="J198" s="756">
        <v>106637931220</v>
      </c>
      <c r="K198" s="756">
        <v>-106657269845</v>
      </c>
      <c r="L198" s="755">
        <v>0</v>
      </c>
      <c r="M198" s="570" t="str">
        <f>VLOOKUP(C198,BS_WTB!$C:$E,3,0)</f>
        <v>지로가수금-SK pay money</v>
      </c>
      <c r="O198" s="351">
        <f>L198+L199</f>
        <v>0</v>
      </c>
    </row>
    <row r="199" spans="1:15">
      <c r="A199" s="755"/>
      <c r="B199" s="755"/>
      <c r="C199" s="755">
        <v>426500</v>
      </c>
      <c r="D199" s="755" t="s">
        <v>1082</v>
      </c>
      <c r="E199" s="756">
        <v>-10021593</v>
      </c>
      <c r="F199" s="756">
        <v>-10668052</v>
      </c>
      <c r="G199" s="756">
        <v>18436023</v>
      </c>
      <c r="H199" s="756">
        <v>-7767971</v>
      </c>
      <c r="I199" s="756">
        <v>10668052</v>
      </c>
      <c r="J199" s="756">
        <v>126395513</v>
      </c>
      <c r="K199" s="756">
        <v>-116373920</v>
      </c>
      <c r="L199" s="755">
        <v>0</v>
      </c>
      <c r="M199" s="570" t="str">
        <f>VLOOKUP(C199,BS_WTB!$C:$E,3,0)</f>
        <v>가수금_제로페이</v>
      </c>
    </row>
    <row r="200" spans="1:15">
      <c r="A200" s="755"/>
      <c r="B200" s="755">
        <v>42200</v>
      </c>
      <c r="C200" s="755"/>
      <c r="D200" s="755" t="s">
        <v>131</v>
      </c>
      <c r="E200" s="756">
        <v>-852655984</v>
      </c>
      <c r="F200" s="756">
        <v>-2535552366</v>
      </c>
      <c r="G200" s="756">
        <v>6239951070</v>
      </c>
      <c r="H200" s="756">
        <v>-4958221447</v>
      </c>
      <c r="I200" s="756">
        <v>1281729623</v>
      </c>
      <c r="J200" s="756">
        <v>22630522500</v>
      </c>
      <c r="K200" s="756">
        <v>-23031689259</v>
      </c>
      <c r="L200" s="756">
        <v>-1253822743</v>
      </c>
      <c r="M200" s="570" t="e">
        <f>VLOOKUP(C200,BS_WTB!$C:$E,3,0)</f>
        <v>#N/A</v>
      </c>
    </row>
    <row r="201" spans="1:15">
      <c r="A201" s="755"/>
      <c r="B201" s="755"/>
      <c r="C201" s="755">
        <v>422300</v>
      </c>
      <c r="D201" s="755" t="s">
        <v>130</v>
      </c>
      <c r="E201" s="756">
        <v>-842823941</v>
      </c>
      <c r="F201" s="756">
        <v>-2525720323</v>
      </c>
      <c r="G201" s="756">
        <v>6239951070</v>
      </c>
      <c r="H201" s="756">
        <v>-4958221447</v>
      </c>
      <c r="I201" s="756">
        <v>1281729623</v>
      </c>
      <c r="J201" s="756">
        <v>22630522500</v>
      </c>
      <c r="K201" s="756">
        <v>-23031689259</v>
      </c>
      <c r="L201" s="756">
        <v>-1243990700</v>
      </c>
      <c r="M201" s="570" t="str">
        <f>VLOOKUP(C201,BS_WTB!$C:$E,3,0)</f>
        <v>선수금-기타</v>
      </c>
    </row>
    <row r="202" spans="1:15">
      <c r="A202" s="755"/>
      <c r="B202" s="755"/>
      <c r="C202" s="755">
        <v>422400</v>
      </c>
      <c r="D202" s="755" t="s">
        <v>129</v>
      </c>
      <c r="E202" s="756">
        <v>-9535843</v>
      </c>
      <c r="F202" s="756">
        <v>-9535843</v>
      </c>
      <c r="G202" s="755">
        <v>0</v>
      </c>
      <c r="H202" s="755">
        <v>0</v>
      </c>
      <c r="I202" s="755">
        <v>0</v>
      </c>
      <c r="J202" s="755">
        <v>0</v>
      </c>
      <c r="K202" s="755">
        <v>0</v>
      </c>
      <c r="L202" s="756">
        <v>-9535843</v>
      </c>
      <c r="M202" s="570" t="str">
        <f>VLOOKUP(C202,BS_WTB!$C:$E,3,0)</f>
        <v>선수금-도서몰</v>
      </c>
    </row>
    <row r="203" spans="1:15">
      <c r="A203" s="755"/>
      <c r="B203" s="755"/>
      <c r="C203" s="755">
        <v>422401</v>
      </c>
      <c r="D203" s="755" t="s">
        <v>128</v>
      </c>
      <c r="E203" s="756">
        <v>-296200</v>
      </c>
      <c r="F203" s="756">
        <v>-296200</v>
      </c>
      <c r="G203" s="755">
        <v>0</v>
      </c>
      <c r="H203" s="755">
        <v>0</v>
      </c>
      <c r="I203" s="755">
        <v>0</v>
      </c>
      <c r="J203" s="755">
        <v>0</v>
      </c>
      <c r="K203" s="755">
        <v>0</v>
      </c>
      <c r="L203" s="756">
        <v>-296200</v>
      </c>
      <c r="M203" s="570" t="str">
        <f>VLOOKUP(C203,BS_WTB!$C:$E,3,0)</f>
        <v>선수금-화장품몰</v>
      </c>
    </row>
    <row r="204" spans="1:15" s="525" customFormat="1">
      <c r="A204" s="755"/>
      <c r="B204" s="755">
        <v>42400</v>
      </c>
      <c r="C204" s="755"/>
      <c r="D204" s="755" t="s">
        <v>127</v>
      </c>
      <c r="E204" s="756">
        <v>-110323897</v>
      </c>
      <c r="F204" s="756">
        <v>-181224313</v>
      </c>
      <c r="G204" s="756">
        <v>46619280</v>
      </c>
      <c r="H204" s="756">
        <v>-2056000</v>
      </c>
      <c r="I204" s="756">
        <v>44563280</v>
      </c>
      <c r="J204" s="756">
        <v>447725539</v>
      </c>
      <c r="K204" s="756">
        <v>-474062675</v>
      </c>
      <c r="L204" s="756">
        <v>-136661033</v>
      </c>
      <c r="M204" s="570" t="e">
        <f>VLOOKUP(C204,BS_WTB!$C:$E,3,0)</f>
        <v>#N/A</v>
      </c>
      <c r="N204" s="721"/>
      <c r="O204" s="721"/>
    </row>
    <row r="205" spans="1:15" s="525" customFormat="1">
      <c r="A205" s="755"/>
      <c r="B205" s="755"/>
      <c r="C205" s="755">
        <v>424200</v>
      </c>
      <c r="D205" s="755" t="s">
        <v>127</v>
      </c>
      <c r="E205" s="756">
        <v>-110323897</v>
      </c>
      <c r="F205" s="756">
        <v>-181224003</v>
      </c>
      <c r="G205" s="756">
        <v>44563280</v>
      </c>
      <c r="H205" s="755">
        <v>0</v>
      </c>
      <c r="I205" s="756">
        <v>44563280</v>
      </c>
      <c r="J205" s="756">
        <v>428208629</v>
      </c>
      <c r="K205" s="756">
        <v>-454545455</v>
      </c>
      <c r="L205" s="756">
        <v>-136660723</v>
      </c>
      <c r="M205" s="570" t="str">
        <f>VLOOKUP(C205,BS_WTB!$C:$E,3,0)</f>
        <v>선수수익</v>
      </c>
      <c r="N205" s="721"/>
      <c r="O205" s="721"/>
    </row>
    <row r="206" spans="1:15">
      <c r="A206" s="755"/>
      <c r="B206" s="755"/>
      <c r="C206" s="755">
        <v>424304</v>
      </c>
      <c r="D206" s="755" t="s">
        <v>878</v>
      </c>
      <c r="E206" s="755">
        <v>0</v>
      </c>
      <c r="F206" s="755">
        <v>0</v>
      </c>
      <c r="G206" s="756">
        <v>2056000</v>
      </c>
      <c r="H206" s="756">
        <v>-2056000</v>
      </c>
      <c r="I206" s="755">
        <v>0</v>
      </c>
      <c r="J206" s="756">
        <v>19516910</v>
      </c>
      <c r="K206" s="756">
        <v>-19516910</v>
      </c>
      <c r="L206" s="755">
        <v>0</v>
      </c>
      <c r="M206" s="570" t="str">
        <f>VLOOKUP(C206,BS_WTB!$C:$E,3,0)</f>
        <v>계약부채_Cashbag급여</v>
      </c>
    </row>
    <row r="207" spans="1:15">
      <c r="A207" s="755"/>
      <c r="B207" s="755"/>
      <c r="C207" s="755">
        <v>424600</v>
      </c>
      <c r="D207" s="755" t="s">
        <v>1555</v>
      </c>
      <c r="E207" s="755">
        <v>0</v>
      </c>
      <c r="F207" s="755">
        <v>-310</v>
      </c>
      <c r="G207" s="755">
        <v>0</v>
      </c>
      <c r="H207" s="755">
        <v>0</v>
      </c>
      <c r="I207" s="755">
        <v>0</v>
      </c>
      <c r="J207" s="755">
        <v>0</v>
      </c>
      <c r="K207" s="755">
        <v>-310</v>
      </c>
      <c r="L207" s="755">
        <v>-310</v>
      </c>
      <c r="M207" s="570" t="str">
        <f>VLOOKUP(C207,BS_WTB!$C:$E,3,0)</f>
        <v>계약부채_고객충성제</v>
      </c>
    </row>
    <row r="208" spans="1:15">
      <c r="A208" s="755"/>
      <c r="B208" s="755">
        <v>42601</v>
      </c>
      <c r="C208" s="755"/>
      <c r="D208" s="755" t="s">
        <v>1358</v>
      </c>
      <c r="E208" s="756">
        <v>-3824249227</v>
      </c>
      <c r="F208" s="756">
        <v>-3824249227</v>
      </c>
      <c r="G208" s="755">
        <v>0</v>
      </c>
      <c r="H208" s="755">
        <v>0</v>
      </c>
      <c r="I208" s="755">
        <v>0</v>
      </c>
      <c r="J208" s="755">
        <v>0</v>
      </c>
      <c r="K208" s="755">
        <v>0</v>
      </c>
      <c r="L208" s="756">
        <v>-3824249227</v>
      </c>
      <c r="M208" s="570" t="e">
        <f>VLOOKUP(C208,BS_WTB!$C:$E,3,0)</f>
        <v>#N/A</v>
      </c>
    </row>
    <row r="209" spans="1:15" s="638" customFormat="1">
      <c r="A209" s="755"/>
      <c r="B209" s="755"/>
      <c r="C209" s="755">
        <v>426100</v>
      </c>
      <c r="D209" s="755" t="s">
        <v>1359</v>
      </c>
      <c r="E209" s="756">
        <v>-3824249227</v>
      </c>
      <c r="F209" s="756">
        <v>-3824249227</v>
      </c>
      <c r="G209" s="755">
        <v>0</v>
      </c>
      <c r="H209" s="755">
        <v>0</v>
      </c>
      <c r="I209" s="755">
        <v>0</v>
      </c>
      <c r="J209" s="755">
        <v>0</v>
      </c>
      <c r="K209" s="755">
        <v>0</v>
      </c>
      <c r="L209" s="756">
        <v>-3824249227</v>
      </c>
      <c r="M209" s="570" t="str">
        <f>VLOOKUP(C209,BS_WTB!$C:$E,3,0)</f>
        <v>유동성파생금융부채</v>
      </c>
      <c r="N209" s="721"/>
      <c r="O209" s="721"/>
    </row>
    <row r="210" spans="1:15">
      <c r="A210" s="755"/>
      <c r="B210" s="755">
        <v>42700</v>
      </c>
      <c r="C210" s="755"/>
      <c r="D210" s="755" t="s">
        <v>796</v>
      </c>
      <c r="E210" s="756">
        <v>-11582857466</v>
      </c>
      <c r="F210" s="756">
        <v>-14082625478</v>
      </c>
      <c r="G210" s="756">
        <v>1304993708</v>
      </c>
      <c r="H210" s="756">
        <v>-472793076</v>
      </c>
      <c r="I210" s="756">
        <v>832200632</v>
      </c>
      <c r="J210" s="756">
        <v>12730194282</v>
      </c>
      <c r="K210" s="756">
        <v>-14397761662</v>
      </c>
      <c r="L210" s="756">
        <v>-13250424846</v>
      </c>
      <c r="M210" s="570" t="e">
        <f>VLOOKUP(C210,BS_WTB!$C:$E,3,0)</f>
        <v>#N/A</v>
      </c>
    </row>
    <row r="211" spans="1:15">
      <c r="A211" s="755"/>
      <c r="B211" s="755"/>
      <c r="C211" s="755">
        <v>427400</v>
      </c>
      <c r="D211" s="755" t="s">
        <v>797</v>
      </c>
      <c r="E211" s="756">
        <v>-11582857466</v>
      </c>
      <c r="F211" s="756">
        <v>-14082625478</v>
      </c>
      <c r="G211" s="756">
        <v>1304993708</v>
      </c>
      <c r="H211" s="756">
        <v>-472793076</v>
      </c>
      <c r="I211" s="756">
        <v>832200632</v>
      </c>
      <c r="J211" s="756">
        <v>12730194282</v>
      </c>
      <c r="K211" s="756">
        <v>-14397761662</v>
      </c>
      <c r="L211" s="756">
        <v>-13250424846</v>
      </c>
      <c r="M211" s="570" t="str">
        <f>VLOOKUP(C211,BS_WTB!$C:$E,3,0)</f>
        <v>유동성장기부채-리스</v>
      </c>
    </row>
    <row r="212" spans="1:15">
      <c r="A212" s="755"/>
      <c r="B212" s="755">
        <v>4278</v>
      </c>
      <c r="C212" s="755"/>
      <c r="D212" s="755" t="s">
        <v>1131</v>
      </c>
      <c r="E212" s="756">
        <v>-931395381</v>
      </c>
      <c r="F212" s="756">
        <v>-931395381</v>
      </c>
      <c r="G212" s="755">
        <v>0</v>
      </c>
      <c r="H212" s="755">
        <v>0</v>
      </c>
      <c r="I212" s="755">
        <v>0</v>
      </c>
      <c r="J212" s="755">
        <v>0</v>
      </c>
      <c r="K212" s="755">
        <v>0</v>
      </c>
      <c r="L212" s="756">
        <v>-931395381</v>
      </c>
      <c r="M212" s="570" t="e">
        <f>VLOOKUP(C212,BS_WTB!$C:$E,3,0)</f>
        <v>#N/A</v>
      </c>
    </row>
    <row r="213" spans="1:15">
      <c r="A213" s="755"/>
      <c r="B213" s="755"/>
      <c r="C213" s="755">
        <v>427800</v>
      </c>
      <c r="D213" s="755" t="s">
        <v>1131</v>
      </c>
      <c r="E213" s="756">
        <v>-931395381</v>
      </c>
      <c r="F213" s="756">
        <v>-931395381</v>
      </c>
      <c r="G213" s="755">
        <v>0</v>
      </c>
      <c r="H213" s="755">
        <v>0</v>
      </c>
      <c r="I213" s="755">
        <v>0</v>
      </c>
      <c r="J213" s="755">
        <v>0</v>
      </c>
      <c r="K213" s="755">
        <v>0</v>
      </c>
      <c r="L213" s="756">
        <v>-931395381</v>
      </c>
      <c r="M213" s="570" t="str">
        <f>VLOOKUP(C213,BS_WTB!$C:$E,3,0)</f>
        <v>유동성 임대보증금</v>
      </c>
    </row>
    <row r="214" spans="1:15">
      <c r="A214" s="755"/>
      <c r="B214" s="755">
        <v>44300</v>
      </c>
      <c r="C214" s="755"/>
      <c r="D214" s="755" t="s">
        <v>798</v>
      </c>
      <c r="E214" s="756">
        <v>-7413753254</v>
      </c>
      <c r="F214" s="756">
        <v>-13187683886</v>
      </c>
      <c r="G214" s="756">
        <v>1310658686</v>
      </c>
      <c r="H214" s="755">
        <v>0</v>
      </c>
      <c r="I214" s="756">
        <v>1310658686</v>
      </c>
      <c r="J214" s="756">
        <v>9085615971</v>
      </c>
      <c r="K214" s="756">
        <v>-13548887917</v>
      </c>
      <c r="L214" s="756">
        <v>-11877025200</v>
      </c>
      <c r="M214" s="570" t="e">
        <f>VLOOKUP(C214,BS_WTB!$C:$E,3,0)</f>
        <v>#N/A</v>
      </c>
    </row>
    <row r="215" spans="1:15">
      <c r="A215" s="755"/>
      <c r="B215" s="755"/>
      <c r="C215" s="755">
        <v>443000</v>
      </c>
      <c r="D215" s="755" t="s">
        <v>799</v>
      </c>
      <c r="E215" s="756">
        <v>-7413753254</v>
      </c>
      <c r="F215" s="756">
        <v>-13187683886</v>
      </c>
      <c r="G215" s="756">
        <v>1310658686</v>
      </c>
      <c r="H215" s="755">
        <v>0</v>
      </c>
      <c r="I215" s="756">
        <v>1310658686</v>
      </c>
      <c r="J215" s="756">
        <v>9085615971</v>
      </c>
      <c r="K215" s="756">
        <v>-13548887917</v>
      </c>
      <c r="L215" s="756">
        <v>-11877025200</v>
      </c>
      <c r="M215" s="570" t="str">
        <f>VLOOKUP(C215,BS_WTB!$C:$E,3,0)</f>
        <v>장기리스부채</v>
      </c>
    </row>
    <row r="216" spans="1:15">
      <c r="A216" s="755"/>
      <c r="B216" s="755">
        <v>45010</v>
      </c>
      <c r="C216" s="755"/>
      <c r="D216" s="755" t="s">
        <v>126</v>
      </c>
      <c r="E216" s="756">
        <v>-2696938658</v>
      </c>
      <c r="F216" s="756">
        <v>-2378383511</v>
      </c>
      <c r="G216" s="756">
        <v>534629483</v>
      </c>
      <c r="H216" s="756">
        <v>-747188574</v>
      </c>
      <c r="I216" s="756">
        <v>-212559091</v>
      </c>
      <c r="J216" s="756">
        <v>2277252493</v>
      </c>
      <c r="K216" s="756">
        <v>-2171256437</v>
      </c>
      <c r="L216" s="756">
        <v>-2590942602</v>
      </c>
      <c r="M216" s="570" t="e">
        <f>VLOOKUP(C216,BS_WTB!$C:$E,3,0)</f>
        <v>#N/A</v>
      </c>
    </row>
    <row r="217" spans="1:15">
      <c r="A217" s="755"/>
      <c r="B217" s="755"/>
      <c r="C217" s="755">
        <v>444100</v>
      </c>
      <c r="D217" s="755" t="s">
        <v>125</v>
      </c>
      <c r="E217" s="756">
        <v>-2696938658</v>
      </c>
      <c r="F217" s="756">
        <v>-2378383511</v>
      </c>
      <c r="G217" s="756">
        <v>534629483</v>
      </c>
      <c r="H217" s="756">
        <v>-747188574</v>
      </c>
      <c r="I217" s="756">
        <v>-212559091</v>
      </c>
      <c r="J217" s="756">
        <v>2277252493</v>
      </c>
      <c r="K217" s="756">
        <v>-2171256437</v>
      </c>
      <c r="L217" s="756">
        <v>-2590942602</v>
      </c>
      <c r="M217" s="570" t="str">
        <f>VLOOKUP(C217,BS_WTB!$C:$E,3,0)</f>
        <v>장기근속채무-종업원</v>
      </c>
    </row>
    <row r="218" spans="1:15">
      <c r="A218" s="755"/>
      <c r="B218" s="755">
        <v>45100</v>
      </c>
      <c r="C218" s="755"/>
      <c r="D218" s="755" t="s">
        <v>124</v>
      </c>
      <c r="E218" s="755">
        <v>0</v>
      </c>
      <c r="F218" s="755">
        <v>0</v>
      </c>
      <c r="G218" s="755">
        <v>0</v>
      </c>
      <c r="H218" s="755">
        <v>0</v>
      </c>
      <c r="I218" s="755">
        <v>0</v>
      </c>
      <c r="J218" s="755">
        <v>0</v>
      </c>
      <c r="K218" s="755">
        <v>0</v>
      </c>
      <c r="L218" s="755">
        <v>0</v>
      </c>
      <c r="M218" s="570" t="e">
        <f>VLOOKUP(C218,BS_WTB!$C:$E,3,0)</f>
        <v>#N/A</v>
      </c>
    </row>
    <row r="219" spans="1:15">
      <c r="A219" s="755"/>
      <c r="B219" s="755"/>
      <c r="C219" s="755">
        <v>453100</v>
      </c>
      <c r="D219" s="755" t="s">
        <v>123</v>
      </c>
      <c r="E219" s="755">
        <v>0</v>
      </c>
      <c r="F219" s="755">
        <v>0</v>
      </c>
      <c r="G219" s="755">
        <v>0</v>
      </c>
      <c r="H219" s="755">
        <v>0</v>
      </c>
      <c r="I219" s="755">
        <v>0</v>
      </c>
      <c r="J219" s="755">
        <v>0</v>
      </c>
      <c r="K219" s="755">
        <v>0</v>
      </c>
      <c r="L219" s="755">
        <v>0</v>
      </c>
      <c r="M219" s="570" t="str">
        <f>VLOOKUP(C219,BS_WTB!$C:$E,3,0)</f>
        <v>임대보증금</v>
      </c>
    </row>
    <row r="220" spans="1:15" s="11" customFormat="1">
      <c r="A220" s="755"/>
      <c r="B220" s="755">
        <v>45401</v>
      </c>
      <c r="C220" s="755"/>
      <c r="D220" s="755" t="s">
        <v>122</v>
      </c>
      <c r="E220" s="756">
        <v>-42617454219</v>
      </c>
      <c r="F220" s="756">
        <v>-44066127423</v>
      </c>
      <c r="G220" s="756">
        <v>9034074559</v>
      </c>
      <c r="H220" s="756">
        <v>-5873162943</v>
      </c>
      <c r="I220" s="756">
        <v>3160911616</v>
      </c>
      <c r="J220" s="756">
        <v>29217362511</v>
      </c>
      <c r="K220" s="756">
        <v>-27505124099</v>
      </c>
      <c r="L220" s="756">
        <v>-40905215807</v>
      </c>
      <c r="M220" s="570" t="e">
        <f>VLOOKUP(C220,BS_WTB!$C:$E,3,0)</f>
        <v>#N/A</v>
      </c>
      <c r="N220" s="721"/>
      <c r="O220" s="721"/>
    </row>
    <row r="221" spans="1:15" s="11" customFormat="1">
      <c r="A221" s="755"/>
      <c r="B221" s="755"/>
      <c r="C221" s="755">
        <v>454120</v>
      </c>
      <c r="D221" s="755" t="s">
        <v>121</v>
      </c>
      <c r="E221" s="756">
        <v>-1070122277</v>
      </c>
      <c r="F221" s="756">
        <v>-991163077</v>
      </c>
      <c r="G221" s="756">
        <v>342076760</v>
      </c>
      <c r="H221" s="756">
        <v>-384836355</v>
      </c>
      <c r="I221" s="756">
        <v>-42759595</v>
      </c>
      <c r="J221" s="756">
        <v>2398357193</v>
      </c>
      <c r="K221" s="756">
        <v>-2362157588</v>
      </c>
      <c r="L221" s="756">
        <v>-1033922672</v>
      </c>
      <c r="M221" s="570" t="str">
        <f>VLOOKUP(C221,BS_WTB!$C:$E,3,0)</f>
        <v>확정급여채무_임원</v>
      </c>
      <c r="N221" s="721"/>
      <c r="O221" s="721"/>
    </row>
    <row r="222" spans="1:15">
      <c r="A222" s="755"/>
      <c r="B222" s="755"/>
      <c r="C222" s="755">
        <v>454130</v>
      </c>
      <c r="D222" s="755" t="s">
        <v>120</v>
      </c>
      <c r="E222" s="756">
        <v>-41547331942</v>
      </c>
      <c r="F222" s="756">
        <v>-43074964346</v>
      </c>
      <c r="G222" s="756">
        <v>8691997799</v>
      </c>
      <c r="H222" s="756">
        <v>-5488326588</v>
      </c>
      <c r="I222" s="756">
        <v>3203671211</v>
      </c>
      <c r="J222" s="756">
        <v>26819005318</v>
      </c>
      <c r="K222" s="756">
        <v>-25142966511</v>
      </c>
      <c r="L222" s="756">
        <v>-39871293135</v>
      </c>
      <c r="M222" s="570" t="str">
        <f>VLOOKUP(C222,BS_WTB!$C:$E,3,0)</f>
        <v>확정급여채무_종업원</v>
      </c>
    </row>
    <row r="223" spans="1:15" s="11" customFormat="1">
      <c r="A223" s="755"/>
      <c r="B223" s="755">
        <v>45430</v>
      </c>
      <c r="C223" s="755"/>
      <c r="D223" s="755" t="s">
        <v>119</v>
      </c>
      <c r="E223" s="756">
        <v>41028203586</v>
      </c>
      <c r="F223" s="756">
        <v>38054371698</v>
      </c>
      <c r="G223" s="756">
        <v>803415072</v>
      </c>
      <c r="H223" s="756">
        <v>-2305330459</v>
      </c>
      <c r="I223" s="756">
        <v>-1501915387</v>
      </c>
      <c r="J223" s="756">
        <v>3846300703</v>
      </c>
      <c r="K223" s="756">
        <v>-8322047978</v>
      </c>
      <c r="L223" s="756">
        <v>36552456311</v>
      </c>
      <c r="M223" s="570" t="e">
        <f>VLOOKUP(C223,BS_WTB!$C:$E,3,0)</f>
        <v>#N/A</v>
      </c>
      <c r="N223" s="721"/>
      <c r="O223" s="721"/>
    </row>
    <row r="224" spans="1:15">
      <c r="A224" s="755"/>
      <c r="B224" s="755"/>
      <c r="C224" s="755">
        <v>454400</v>
      </c>
      <c r="D224" s="755" t="s">
        <v>118</v>
      </c>
      <c r="E224" s="756">
        <v>41447117996</v>
      </c>
      <c r="F224" s="756">
        <v>38810384608</v>
      </c>
      <c r="G224" s="756">
        <v>803415072</v>
      </c>
      <c r="H224" s="756">
        <v>-2221392999</v>
      </c>
      <c r="I224" s="756">
        <v>-1417977927</v>
      </c>
      <c r="J224" s="756">
        <v>3280046103</v>
      </c>
      <c r="K224" s="756">
        <v>-7334757418</v>
      </c>
      <c r="L224" s="756">
        <v>37392406681</v>
      </c>
      <c r="M224" s="570" t="str">
        <f>VLOOKUP(C224,BS_WTB!$C:$E,3,0)</f>
        <v>퇴직사외적립자산-종</v>
      </c>
    </row>
    <row r="225" spans="1:13">
      <c r="A225" s="755"/>
      <c r="B225" s="755"/>
      <c r="C225" s="755">
        <v>454401</v>
      </c>
      <c r="D225" s="755" t="s">
        <v>1211</v>
      </c>
      <c r="E225" s="756">
        <v>-418914410</v>
      </c>
      <c r="F225" s="756">
        <v>-756012910</v>
      </c>
      <c r="G225" s="755">
        <v>0</v>
      </c>
      <c r="H225" s="756">
        <v>-83937460</v>
      </c>
      <c r="I225" s="756">
        <v>-83937460</v>
      </c>
      <c r="J225" s="756">
        <v>566254600</v>
      </c>
      <c r="K225" s="756">
        <v>-987290560</v>
      </c>
      <c r="L225" s="756">
        <v>-839950370</v>
      </c>
      <c r="M225" s="570" t="str">
        <f>VLOOKUP(C225,BS_WTB!$C:$E,3,0)</f>
        <v>퇴직사외적립자산-임</v>
      </c>
    </row>
    <row r="226" spans="1:13">
      <c r="A226" s="755"/>
      <c r="B226" s="755">
        <v>45600</v>
      </c>
      <c r="C226" s="755"/>
      <c r="D226" s="755" t="s">
        <v>1212</v>
      </c>
      <c r="E226" s="756">
        <v>-10924750773</v>
      </c>
      <c r="F226" s="756">
        <v>-10924750773</v>
      </c>
      <c r="G226" s="755">
        <v>0</v>
      </c>
      <c r="H226" s="755">
        <v>0</v>
      </c>
      <c r="I226" s="755">
        <v>0</v>
      </c>
      <c r="J226" s="755">
        <v>0</v>
      </c>
      <c r="K226" s="755">
        <v>0</v>
      </c>
      <c r="L226" s="756">
        <v>-10924750773</v>
      </c>
      <c r="M226" s="570" t="e">
        <f>VLOOKUP(C226,BS_WTB!$C:$E,3,0)</f>
        <v>#N/A</v>
      </c>
    </row>
    <row r="227" spans="1:13">
      <c r="A227" s="755"/>
      <c r="B227" s="755"/>
      <c r="C227" s="755">
        <v>456100</v>
      </c>
      <c r="D227" s="755" t="s">
        <v>1360</v>
      </c>
      <c r="E227" s="756">
        <v>-10924750773</v>
      </c>
      <c r="F227" s="756">
        <v>-10924750773</v>
      </c>
      <c r="G227" s="755">
        <v>0</v>
      </c>
      <c r="H227" s="755">
        <v>0</v>
      </c>
      <c r="I227" s="755">
        <v>0</v>
      </c>
      <c r="J227" s="755">
        <v>0</v>
      </c>
      <c r="K227" s="755">
        <v>0</v>
      </c>
      <c r="L227" s="756">
        <v>-10924750773</v>
      </c>
      <c r="M227" s="570" t="str">
        <f>VLOOKUP(C227,BS_WTB!$C:$E,3,0)</f>
        <v>파생금융부채</v>
      </c>
    </row>
    <row r="228" spans="1:13">
      <c r="A228" s="755"/>
      <c r="B228" s="755">
        <v>45700</v>
      </c>
      <c r="C228" s="755"/>
      <c r="D228" s="755" t="s">
        <v>488</v>
      </c>
      <c r="E228" s="756">
        <v>-1944813912</v>
      </c>
      <c r="F228" s="756">
        <v>-1802418191</v>
      </c>
      <c r="G228" s="755">
        <v>0</v>
      </c>
      <c r="H228" s="756">
        <v>-166731529</v>
      </c>
      <c r="I228" s="756">
        <v>-166731529</v>
      </c>
      <c r="J228" s="756">
        <v>388570977</v>
      </c>
      <c r="K228" s="756">
        <v>-412906785</v>
      </c>
      <c r="L228" s="756">
        <v>-1969149720</v>
      </c>
      <c r="M228" s="570" t="e">
        <f>VLOOKUP(C228,BS_WTB!$C:$E,3,0)</f>
        <v>#N/A</v>
      </c>
    </row>
    <row r="229" spans="1:13">
      <c r="A229" s="755"/>
      <c r="B229" s="755"/>
      <c r="C229" s="755">
        <v>457200</v>
      </c>
      <c r="D229" s="755" t="s">
        <v>117</v>
      </c>
      <c r="E229" s="756">
        <v>-1944813912</v>
      </c>
      <c r="F229" s="756">
        <v>-1802418191</v>
      </c>
      <c r="G229" s="755">
        <v>0</v>
      </c>
      <c r="H229" s="756">
        <v>-166731529</v>
      </c>
      <c r="I229" s="756">
        <v>-166731529</v>
      </c>
      <c r="J229" s="756">
        <v>388570977</v>
      </c>
      <c r="K229" s="756">
        <v>-412906785</v>
      </c>
      <c r="L229" s="756">
        <v>-1969149720</v>
      </c>
      <c r="M229" s="570" t="str">
        <f>VLOOKUP(C229,BS_WTB!$C:$E,3,0)</f>
        <v>복구충당부채-고정</v>
      </c>
    </row>
    <row r="230" spans="1:13">
      <c r="A230" s="755">
        <v>460</v>
      </c>
      <c r="B230" s="755"/>
      <c r="C230" s="755"/>
      <c r="D230" s="755" t="s">
        <v>116</v>
      </c>
      <c r="E230" s="756">
        <v>-364828430641</v>
      </c>
      <c r="F230" s="756">
        <v>-361288949267</v>
      </c>
      <c r="G230" s="756">
        <v>2991925944</v>
      </c>
      <c r="H230" s="756">
        <v>-4969952473</v>
      </c>
      <c r="I230" s="756">
        <v>-1978026529</v>
      </c>
      <c r="J230" s="756">
        <v>8027075656</v>
      </c>
      <c r="K230" s="756">
        <v>-6465620811</v>
      </c>
      <c r="L230" s="756">
        <v>-363266975796</v>
      </c>
      <c r="M230" s="570" t="e">
        <f>VLOOKUP(C230,BS_WTB!$C:$E,3,0)</f>
        <v>#N/A</v>
      </c>
    </row>
    <row r="231" spans="1:13">
      <c r="A231" s="755"/>
      <c r="B231" s="755">
        <v>46000</v>
      </c>
      <c r="C231" s="755"/>
      <c r="D231" s="755" t="s">
        <v>115</v>
      </c>
      <c r="E231" s="756">
        <v>-4191965500</v>
      </c>
      <c r="F231" s="756">
        <v>-4191965500</v>
      </c>
      <c r="G231" s="755">
        <v>0</v>
      </c>
      <c r="H231" s="755">
        <v>0</v>
      </c>
      <c r="I231" s="755">
        <v>0</v>
      </c>
      <c r="J231" s="755">
        <v>0</v>
      </c>
      <c r="K231" s="755">
        <v>0</v>
      </c>
      <c r="L231" s="756">
        <v>-4191965500</v>
      </c>
      <c r="M231" s="570" t="e">
        <f>VLOOKUP(C231,BS_WTB!$C:$E,3,0)</f>
        <v>#N/A</v>
      </c>
    </row>
    <row r="232" spans="1:13">
      <c r="A232" s="755"/>
      <c r="B232" s="755"/>
      <c r="C232" s="755">
        <v>460100</v>
      </c>
      <c r="D232" s="755" t="s">
        <v>114</v>
      </c>
      <c r="E232" s="756">
        <v>-4191965500</v>
      </c>
      <c r="F232" s="756">
        <v>-4191965500</v>
      </c>
      <c r="G232" s="755">
        <v>0</v>
      </c>
      <c r="H232" s="755">
        <v>0</v>
      </c>
      <c r="I232" s="755">
        <v>0</v>
      </c>
      <c r="J232" s="755">
        <v>0</v>
      </c>
      <c r="K232" s="755">
        <v>0</v>
      </c>
      <c r="L232" s="756">
        <v>-4191965500</v>
      </c>
      <c r="M232" s="570" t="str">
        <f>VLOOKUP(C232,BS_WTB!$C:$E,3,0)</f>
        <v>보통주</v>
      </c>
    </row>
    <row r="233" spans="1:13">
      <c r="A233" s="755"/>
      <c r="B233" s="755">
        <v>46100</v>
      </c>
      <c r="C233" s="755"/>
      <c r="D233" s="755" t="s">
        <v>489</v>
      </c>
      <c r="E233" s="756">
        <v>-931546500</v>
      </c>
      <c r="F233" s="756">
        <v>-931546500</v>
      </c>
      <c r="G233" s="755">
        <v>0</v>
      </c>
      <c r="H233" s="755">
        <v>0</v>
      </c>
      <c r="I233" s="755">
        <v>0</v>
      </c>
      <c r="J233" s="755">
        <v>0</v>
      </c>
      <c r="K233" s="755">
        <v>0</v>
      </c>
      <c r="L233" s="756">
        <v>-931546500</v>
      </c>
      <c r="M233" s="570" t="e">
        <f>VLOOKUP(C233,BS_WTB!$C:$E,3,0)</f>
        <v>#N/A</v>
      </c>
    </row>
    <row r="234" spans="1:13">
      <c r="A234" s="755"/>
      <c r="B234" s="755"/>
      <c r="C234" s="755">
        <v>460200</v>
      </c>
      <c r="D234" s="755" t="s">
        <v>253</v>
      </c>
      <c r="E234" s="756">
        <v>-931546500</v>
      </c>
      <c r="F234" s="756">
        <v>-931546500</v>
      </c>
      <c r="G234" s="755">
        <v>0</v>
      </c>
      <c r="H234" s="755">
        <v>0</v>
      </c>
      <c r="I234" s="755">
        <v>0</v>
      </c>
      <c r="J234" s="755">
        <v>0</v>
      </c>
      <c r="K234" s="755">
        <v>0</v>
      </c>
      <c r="L234" s="756">
        <v>-931546500</v>
      </c>
      <c r="M234" s="570" t="str">
        <f>VLOOKUP(C234,BS_WTB!$C:$E,3,0)</f>
        <v>우선주</v>
      </c>
    </row>
    <row r="235" spans="1:13">
      <c r="A235" s="755"/>
      <c r="B235" s="755">
        <v>46110</v>
      </c>
      <c r="C235" s="755"/>
      <c r="D235" s="755" t="s">
        <v>113</v>
      </c>
      <c r="E235" s="756">
        <v>-293655072713</v>
      </c>
      <c r="F235" s="756">
        <v>-293655072713</v>
      </c>
      <c r="G235" s="755">
        <v>0</v>
      </c>
      <c r="H235" s="755">
        <v>0</v>
      </c>
      <c r="I235" s="755">
        <v>0</v>
      </c>
      <c r="J235" s="755">
        <v>0</v>
      </c>
      <c r="K235" s="755">
        <v>0</v>
      </c>
      <c r="L235" s="756">
        <v>-293655072713</v>
      </c>
      <c r="M235" s="570" t="e">
        <f>VLOOKUP(C235,BS_WTB!$C:$E,3,0)</f>
        <v>#N/A</v>
      </c>
    </row>
    <row r="236" spans="1:13">
      <c r="A236" s="755"/>
      <c r="B236" s="755"/>
      <c r="C236" s="755">
        <v>461100</v>
      </c>
      <c r="D236" s="755" t="s">
        <v>113</v>
      </c>
      <c r="E236" s="756">
        <v>-293655072713</v>
      </c>
      <c r="F236" s="756">
        <v>-293655072713</v>
      </c>
      <c r="G236" s="755">
        <v>0</v>
      </c>
      <c r="H236" s="755">
        <v>0</v>
      </c>
      <c r="I236" s="755">
        <v>0</v>
      </c>
      <c r="J236" s="755">
        <v>0</v>
      </c>
      <c r="K236" s="755">
        <v>0</v>
      </c>
      <c r="L236" s="756">
        <v>-293655072713</v>
      </c>
      <c r="M236" s="570" t="str">
        <f>VLOOKUP(C236,BS_WTB!$C:$E,3,0)</f>
        <v>주식발행초과금</v>
      </c>
    </row>
    <row r="237" spans="1:13">
      <c r="A237" s="755"/>
      <c r="B237" s="755">
        <v>46210</v>
      </c>
      <c r="C237" s="755"/>
      <c r="D237" s="755" t="s">
        <v>801</v>
      </c>
      <c r="E237" s="756">
        <v>-2561756000</v>
      </c>
      <c r="F237" s="756">
        <v>-2561756000</v>
      </c>
      <c r="G237" s="755">
        <v>0</v>
      </c>
      <c r="H237" s="755">
        <v>0</v>
      </c>
      <c r="I237" s="755">
        <v>0</v>
      </c>
      <c r="J237" s="755">
        <v>0</v>
      </c>
      <c r="K237" s="755">
        <v>0</v>
      </c>
      <c r="L237" s="756">
        <v>-2561756000</v>
      </c>
      <c r="M237" s="570" t="e">
        <f>VLOOKUP(C237,BS_WTB!$C:$E,3,0)</f>
        <v>#N/A</v>
      </c>
    </row>
    <row r="238" spans="1:13">
      <c r="A238" s="755"/>
      <c r="B238" s="755"/>
      <c r="C238" s="755">
        <v>462100</v>
      </c>
      <c r="D238" s="755" t="s">
        <v>802</v>
      </c>
      <c r="E238" s="756">
        <v>-2561756000</v>
      </c>
      <c r="F238" s="756">
        <v>-2561756000</v>
      </c>
      <c r="G238" s="755">
        <v>0</v>
      </c>
      <c r="H238" s="755">
        <v>0</v>
      </c>
      <c r="I238" s="755">
        <v>0</v>
      </c>
      <c r="J238" s="755">
        <v>0</v>
      </c>
      <c r="K238" s="755">
        <v>0</v>
      </c>
      <c r="L238" s="756">
        <v>-2561756000</v>
      </c>
      <c r="M238" s="570" t="str">
        <f>VLOOKUP(C238,BS_WTB!$C:$E,3,0)</f>
        <v>이익준비금</v>
      </c>
    </row>
    <row r="239" spans="1:13">
      <c r="A239" s="755"/>
      <c r="B239" s="755">
        <v>46220</v>
      </c>
      <c r="C239" s="755"/>
      <c r="D239" s="755" t="s">
        <v>1142</v>
      </c>
      <c r="E239" s="756">
        <v>-2300000000</v>
      </c>
      <c r="F239" s="756">
        <v>-2300000000</v>
      </c>
      <c r="G239" s="755">
        <v>0</v>
      </c>
      <c r="H239" s="755">
        <v>0</v>
      </c>
      <c r="I239" s="755">
        <v>0</v>
      </c>
      <c r="J239" s="755">
        <v>0</v>
      </c>
      <c r="K239" s="755">
        <v>0</v>
      </c>
      <c r="L239" s="756">
        <v>-2300000000</v>
      </c>
      <c r="M239" s="570" t="e">
        <f>VLOOKUP(C239,BS_WTB!$C:$E,3,0)</f>
        <v>#N/A</v>
      </c>
    </row>
    <row r="240" spans="1:13">
      <c r="A240" s="755"/>
      <c r="B240" s="755"/>
      <c r="C240" s="755">
        <v>463500</v>
      </c>
      <c r="D240" s="755" t="s">
        <v>1143</v>
      </c>
      <c r="E240" s="756">
        <v>-1000000000</v>
      </c>
      <c r="F240" s="756">
        <v>-1000000000</v>
      </c>
      <c r="G240" s="755">
        <v>0</v>
      </c>
      <c r="H240" s="755">
        <v>0</v>
      </c>
      <c r="I240" s="755">
        <v>0</v>
      </c>
      <c r="J240" s="755">
        <v>0</v>
      </c>
      <c r="K240" s="755">
        <v>0</v>
      </c>
      <c r="L240" s="756">
        <v>-1000000000</v>
      </c>
      <c r="M240" s="570" t="str">
        <f>VLOOKUP(C240,BS_WTB!$C:$E,3,0)</f>
        <v>개인정보손해배상준비금</v>
      </c>
    </row>
    <row r="241" spans="1:15">
      <c r="A241" s="755"/>
      <c r="B241" s="755"/>
      <c r="C241" s="755">
        <v>463600</v>
      </c>
      <c r="D241" s="755" t="s">
        <v>1144</v>
      </c>
      <c r="E241" s="756">
        <v>-1300000000</v>
      </c>
      <c r="F241" s="756">
        <v>-1300000000</v>
      </c>
      <c r="G241" s="755">
        <v>0</v>
      </c>
      <c r="H241" s="755">
        <v>0</v>
      </c>
      <c r="I241" s="755">
        <v>0</v>
      </c>
      <c r="J241" s="755">
        <v>0</v>
      </c>
      <c r="K241" s="755">
        <v>0</v>
      </c>
      <c r="L241" s="756">
        <v>-1300000000</v>
      </c>
      <c r="M241" s="570" t="str">
        <f>VLOOKUP(C241,BS_WTB!$C:$E,3,0)</f>
        <v>전자금융거래법적립금</v>
      </c>
    </row>
    <row r="242" spans="1:15">
      <c r="A242" s="755"/>
      <c r="B242" s="755">
        <v>465100</v>
      </c>
      <c r="C242" s="755"/>
      <c r="D242" s="755" t="s">
        <v>327</v>
      </c>
      <c r="E242" s="756">
        <v>-102674861373</v>
      </c>
      <c r="F242" s="756">
        <v>-97674861373</v>
      </c>
      <c r="G242" s="756">
        <v>558109742</v>
      </c>
      <c r="H242" s="756">
        <v>-2306239008</v>
      </c>
      <c r="I242" s="756">
        <v>-1748129266</v>
      </c>
      <c r="J242" s="756">
        <v>5558109742</v>
      </c>
      <c r="K242" s="756">
        <v>-2306239008</v>
      </c>
      <c r="L242" s="756">
        <v>-99422990639</v>
      </c>
      <c r="M242" s="570" t="e">
        <f>VLOOKUP(C242,BS_WTB!$C:$E,3,0)</f>
        <v>#N/A</v>
      </c>
    </row>
    <row r="243" spans="1:15">
      <c r="A243" s="755"/>
      <c r="B243" s="755"/>
      <c r="C243" s="755">
        <v>465100</v>
      </c>
      <c r="D243" s="755" t="s">
        <v>663</v>
      </c>
      <c r="E243" s="756">
        <v>-103787337586</v>
      </c>
      <c r="F243" s="756">
        <v>-98787337586</v>
      </c>
      <c r="G243" s="755">
        <v>0</v>
      </c>
      <c r="H243" s="755">
        <v>0</v>
      </c>
      <c r="I243" s="755">
        <v>0</v>
      </c>
      <c r="J243" s="756">
        <v>5000000000</v>
      </c>
      <c r="K243" s="755">
        <v>0</v>
      </c>
      <c r="L243" s="756">
        <v>-98787337586</v>
      </c>
      <c r="M243" s="570" t="str">
        <f>VLOOKUP(C243,BS_WTB!$C:$E,3,0)</f>
        <v>이월이익잉여금</v>
      </c>
    </row>
    <row r="244" spans="1:15">
      <c r="A244" s="755"/>
      <c r="B244" s="755"/>
      <c r="C244" s="755">
        <v>465300</v>
      </c>
      <c r="D244" s="755" t="s">
        <v>330</v>
      </c>
      <c r="E244" s="756">
        <v>1112476213</v>
      </c>
      <c r="F244" s="756">
        <v>1112476213</v>
      </c>
      <c r="G244" s="756">
        <v>558109742</v>
      </c>
      <c r="H244" s="756">
        <v>-2306239008</v>
      </c>
      <c r="I244" s="756">
        <v>-1748129266</v>
      </c>
      <c r="J244" s="756">
        <v>558109742</v>
      </c>
      <c r="K244" s="756">
        <v>-2306239008</v>
      </c>
      <c r="L244" s="756">
        <v>-635653053</v>
      </c>
      <c r="M244" s="570" t="str">
        <f>VLOOKUP(C244,BS_WTB!$C:$E,3,0)</f>
        <v>이익잉여-보험손익-종</v>
      </c>
    </row>
    <row r="245" spans="1:15">
      <c r="A245" s="755"/>
      <c r="B245" s="755">
        <v>46710</v>
      </c>
      <c r="C245" s="755"/>
      <c r="D245" s="755" t="s">
        <v>112</v>
      </c>
      <c r="E245" s="756">
        <v>42575729077</v>
      </c>
      <c r="F245" s="756">
        <v>42575729077</v>
      </c>
      <c r="G245" s="755">
        <v>0</v>
      </c>
      <c r="H245" s="755">
        <v>0</v>
      </c>
      <c r="I245" s="755">
        <v>0</v>
      </c>
      <c r="J245" s="755">
        <v>0</v>
      </c>
      <c r="K245" s="755">
        <v>0</v>
      </c>
      <c r="L245" s="756">
        <v>42575729077</v>
      </c>
      <c r="M245" s="570" t="e">
        <f>VLOOKUP(C245,BS_WTB!$C:$E,3,0)</f>
        <v>#N/A</v>
      </c>
    </row>
    <row r="246" spans="1:15">
      <c r="A246" s="755"/>
      <c r="B246" s="755"/>
      <c r="C246" s="755">
        <v>467100</v>
      </c>
      <c r="D246" s="755" t="s">
        <v>112</v>
      </c>
      <c r="E246" s="756">
        <v>42575729077</v>
      </c>
      <c r="F246" s="756">
        <v>42575729077</v>
      </c>
      <c r="G246" s="755">
        <v>0</v>
      </c>
      <c r="H246" s="755">
        <v>0</v>
      </c>
      <c r="I246" s="755">
        <v>0</v>
      </c>
      <c r="J246" s="755">
        <v>0</v>
      </c>
      <c r="K246" s="755">
        <v>0</v>
      </c>
      <c r="L246" s="756">
        <v>42575729077</v>
      </c>
      <c r="M246" s="570" t="str">
        <f>VLOOKUP(C246,BS_WTB!$C:$E,3,0)</f>
        <v>자기주식</v>
      </c>
    </row>
    <row r="247" spans="1:15">
      <c r="A247" s="755"/>
      <c r="B247" s="755">
        <v>46711</v>
      </c>
      <c r="C247" s="755"/>
      <c r="D247" s="755" t="s">
        <v>1336</v>
      </c>
      <c r="E247" s="756">
        <v>-1097860647</v>
      </c>
      <c r="F247" s="756">
        <v>-2549476258</v>
      </c>
      <c r="G247" s="755">
        <v>0</v>
      </c>
      <c r="H247" s="756">
        <v>-229897263</v>
      </c>
      <c r="I247" s="756">
        <v>-229897263</v>
      </c>
      <c r="J247" s="756">
        <v>35149712</v>
      </c>
      <c r="K247" s="756">
        <v>-1716662586</v>
      </c>
      <c r="L247" s="756">
        <v>-2779373521</v>
      </c>
      <c r="M247" s="570" t="e">
        <f>VLOOKUP(C247,BS_WTB!$C:$E,3,0)</f>
        <v>#N/A</v>
      </c>
    </row>
    <row r="248" spans="1:15" s="525" customFormat="1">
      <c r="A248" s="755"/>
      <c r="B248" s="755"/>
      <c r="C248" s="755">
        <v>467110</v>
      </c>
      <c r="D248" s="755" t="s">
        <v>1336</v>
      </c>
      <c r="E248" s="756">
        <v>-1097860647</v>
      </c>
      <c r="F248" s="756">
        <v>-2549476258</v>
      </c>
      <c r="G248" s="755">
        <v>0</v>
      </c>
      <c r="H248" s="756">
        <v>-229897263</v>
      </c>
      <c r="I248" s="756">
        <v>-229897263</v>
      </c>
      <c r="J248" s="756">
        <v>35149712</v>
      </c>
      <c r="K248" s="756">
        <v>-1716662586</v>
      </c>
      <c r="L248" s="756">
        <v>-2779373521</v>
      </c>
      <c r="M248" s="570" t="str">
        <f>VLOOKUP(C248,BS_WTB!$C:$E,3,0)</f>
        <v>주식선택권</v>
      </c>
      <c r="N248" s="721"/>
      <c r="O248" s="721"/>
    </row>
    <row r="249" spans="1:15">
      <c r="A249" s="755"/>
      <c r="B249" s="755">
        <v>46740</v>
      </c>
      <c r="C249" s="755"/>
      <c r="D249" s="755" t="s">
        <v>331</v>
      </c>
      <c r="E249" s="755">
        <v>0</v>
      </c>
      <c r="F249" s="755">
        <v>0</v>
      </c>
      <c r="G249" s="756">
        <v>2433816202</v>
      </c>
      <c r="H249" s="756">
        <v>-2433816202</v>
      </c>
      <c r="I249" s="755">
        <v>0</v>
      </c>
      <c r="J249" s="756">
        <v>2433816202</v>
      </c>
      <c r="K249" s="756">
        <v>-2433816202</v>
      </c>
      <c r="L249" s="755">
        <v>0</v>
      </c>
      <c r="M249" s="570" t="e">
        <f>VLOOKUP(C249,BS_WTB!$C:$E,3,0)</f>
        <v>#N/A</v>
      </c>
    </row>
    <row r="250" spans="1:15">
      <c r="A250" s="755"/>
      <c r="B250" s="755"/>
      <c r="C250" s="755">
        <v>467710</v>
      </c>
      <c r="D250" s="755" t="s">
        <v>332</v>
      </c>
      <c r="E250" s="755">
        <v>0</v>
      </c>
      <c r="F250" s="755">
        <v>0</v>
      </c>
      <c r="G250" s="756">
        <v>63788597</v>
      </c>
      <c r="H250" s="756">
        <v>-63788597</v>
      </c>
      <c r="I250" s="755">
        <v>0</v>
      </c>
      <c r="J250" s="756">
        <v>63788597</v>
      </c>
      <c r="K250" s="756">
        <v>-63788597</v>
      </c>
      <c r="L250" s="755">
        <v>0</v>
      </c>
      <c r="M250" s="570" t="e">
        <f>VLOOKUP(C250,IS_WTB!$C:$E,3,0)</f>
        <v>#N/A</v>
      </c>
    </row>
    <row r="251" spans="1:15">
      <c r="A251" s="755"/>
      <c r="B251" s="755"/>
      <c r="C251" s="755">
        <v>467720</v>
      </c>
      <c r="D251" s="755" t="s">
        <v>332</v>
      </c>
      <c r="E251" s="755">
        <v>0</v>
      </c>
      <c r="F251" s="755">
        <v>0</v>
      </c>
      <c r="G251" s="756">
        <v>2370027605</v>
      </c>
      <c r="H251" s="756">
        <v>-2370027605</v>
      </c>
      <c r="I251" s="755">
        <v>0</v>
      </c>
      <c r="J251" s="756">
        <v>2370027605</v>
      </c>
      <c r="K251" s="756">
        <v>-2370027605</v>
      </c>
      <c r="L251" s="755">
        <v>0</v>
      </c>
      <c r="M251" s="570" t="e">
        <f>VLOOKUP(C251,IS_WTB!$C:$E,3,0)</f>
        <v>#N/A</v>
      </c>
    </row>
    <row r="252" spans="1:15">
      <c r="A252" s="755"/>
      <c r="B252" s="755">
        <v>46791</v>
      </c>
      <c r="C252" s="755"/>
      <c r="D252" s="755" t="s">
        <v>803</v>
      </c>
      <c r="E252" s="756">
        <v>8903015</v>
      </c>
      <c r="F252" s="755">
        <v>0</v>
      </c>
      <c r="G252" s="755">
        <v>0</v>
      </c>
      <c r="H252" s="755">
        <v>0</v>
      </c>
      <c r="I252" s="755">
        <v>0</v>
      </c>
      <c r="J252" s="755">
        <v>0</v>
      </c>
      <c r="K252" s="756">
        <v>-8903015</v>
      </c>
      <c r="L252" s="755">
        <v>0</v>
      </c>
      <c r="M252" s="570" t="e">
        <f>VLOOKUP(C252,IS_WTB!$C:$E,3,0)</f>
        <v>#N/A</v>
      </c>
    </row>
    <row r="253" spans="1:15">
      <c r="A253" s="755"/>
      <c r="B253" s="755"/>
      <c r="C253" s="755">
        <v>467902</v>
      </c>
      <c r="D253" s="755" t="s">
        <v>804</v>
      </c>
      <c r="E253" s="756">
        <v>8903015</v>
      </c>
      <c r="F253" s="755">
        <v>0</v>
      </c>
      <c r="G253" s="755">
        <v>0</v>
      </c>
      <c r="H253" s="755">
        <v>0</v>
      </c>
      <c r="I253" s="755">
        <v>0</v>
      </c>
      <c r="J253" s="755">
        <v>0</v>
      </c>
      <c r="K253" s="756">
        <v>-8903015</v>
      </c>
      <c r="L253" s="755">
        <v>0</v>
      </c>
      <c r="M253" s="570" t="e">
        <f>VLOOKUP(C253,IS_WTB!$C:$E,3,0)</f>
        <v>#N/A</v>
      </c>
    </row>
    <row r="254" spans="1:15">
      <c r="A254" s="755">
        <v>500</v>
      </c>
      <c r="B254" s="755"/>
      <c r="C254" s="755"/>
      <c r="D254" s="755" t="s">
        <v>337</v>
      </c>
      <c r="E254" s="755">
        <v>0</v>
      </c>
      <c r="F254" s="756">
        <v>-407543806913</v>
      </c>
      <c r="G254" s="756">
        <v>44610531427</v>
      </c>
      <c r="H254" s="756">
        <v>-108710102940</v>
      </c>
      <c r="I254" s="756">
        <v>-64099571513</v>
      </c>
      <c r="J254" s="756">
        <v>162276313722</v>
      </c>
      <c r="K254" s="756">
        <v>-633919692148</v>
      </c>
      <c r="L254" s="756">
        <v>-471643378426</v>
      </c>
      <c r="M254" s="570" t="e">
        <f>VLOOKUP(C254,IS_WTB!$C:$E,3,0)</f>
        <v>#N/A</v>
      </c>
    </row>
    <row r="255" spans="1:15">
      <c r="A255" s="755"/>
      <c r="B255" s="755">
        <v>5090</v>
      </c>
      <c r="C255" s="755"/>
      <c r="D255" s="755" t="s">
        <v>111</v>
      </c>
      <c r="E255" s="755">
        <v>0</v>
      </c>
      <c r="F255" s="756">
        <v>-19098848474</v>
      </c>
      <c r="G255" s="756">
        <v>536598676</v>
      </c>
      <c r="H255" s="756">
        <v>-2985277569</v>
      </c>
      <c r="I255" s="756">
        <v>-2448678893</v>
      </c>
      <c r="J255" s="756">
        <v>4671001299</v>
      </c>
      <c r="K255" s="756">
        <v>-26218528666</v>
      </c>
      <c r="L255" s="756">
        <v>-21547527367</v>
      </c>
      <c r="M255" s="570" t="e">
        <f>VLOOKUP(C255,IS_WTB!$C:$E,3,0)</f>
        <v>#N/A</v>
      </c>
    </row>
    <row r="256" spans="1:15">
      <c r="A256" s="755"/>
      <c r="B256" s="755"/>
      <c r="C256" s="755">
        <v>599100</v>
      </c>
      <c r="D256" s="755" t="s">
        <v>110</v>
      </c>
      <c r="E256" s="755">
        <v>0</v>
      </c>
      <c r="F256" s="756">
        <v>-19098848474</v>
      </c>
      <c r="G256" s="756">
        <v>536598676</v>
      </c>
      <c r="H256" s="756">
        <v>-2985277569</v>
      </c>
      <c r="I256" s="756">
        <v>-2448678893</v>
      </c>
      <c r="J256" s="756">
        <v>4671001299</v>
      </c>
      <c r="K256" s="756">
        <v>-26218528666</v>
      </c>
      <c r="L256" s="756">
        <v>-21547527367</v>
      </c>
      <c r="M256" s="570" t="str">
        <f>VLOOKUP(C256,IS_WTB!$C:$E,3,0)</f>
        <v>기타영업수익</v>
      </c>
    </row>
    <row r="257" spans="1:13">
      <c r="A257" s="755"/>
      <c r="B257" s="755">
        <v>5350</v>
      </c>
      <c r="C257" s="755"/>
      <c r="D257" s="755" t="s">
        <v>490</v>
      </c>
      <c r="E257" s="755">
        <v>0</v>
      </c>
      <c r="F257" s="756">
        <v>-353491877459</v>
      </c>
      <c r="G257" s="756">
        <v>40166057967</v>
      </c>
      <c r="H257" s="756">
        <v>-97670975723</v>
      </c>
      <c r="I257" s="756">
        <v>-57504917756</v>
      </c>
      <c r="J257" s="756">
        <v>120032403185</v>
      </c>
      <c r="K257" s="756">
        <v>-531029198400</v>
      </c>
      <c r="L257" s="756">
        <v>-410996795215</v>
      </c>
      <c r="M257" s="570" t="e">
        <f>VLOOKUP(C257,IS_WTB!$C:$E,3,0)</f>
        <v>#N/A</v>
      </c>
    </row>
    <row r="258" spans="1:13">
      <c r="A258" s="755"/>
      <c r="B258" s="755"/>
      <c r="C258" s="755">
        <v>521020</v>
      </c>
      <c r="D258" s="755" t="s">
        <v>109</v>
      </c>
      <c r="E258" s="755">
        <v>0</v>
      </c>
      <c r="F258" s="756">
        <v>-149200634464</v>
      </c>
      <c r="G258" s="756">
        <v>1721496600</v>
      </c>
      <c r="H258" s="756">
        <v>-20146773486</v>
      </c>
      <c r="I258" s="756">
        <v>-18425276886</v>
      </c>
      <c r="J258" s="756">
        <v>5826612311</v>
      </c>
      <c r="K258" s="756">
        <v>-173452523661</v>
      </c>
      <c r="L258" s="756">
        <v>-167625911350</v>
      </c>
      <c r="M258" s="570" t="str">
        <f>VLOOKUP(C258,IS_WTB!$C:$E,3,0)</f>
        <v>쇼핑몰광고수익</v>
      </c>
    </row>
    <row r="259" spans="1:13">
      <c r="A259" s="755"/>
      <c r="B259" s="755"/>
      <c r="C259" s="755">
        <v>521030</v>
      </c>
      <c r="D259" s="755" t="s">
        <v>250</v>
      </c>
      <c r="E259" s="755">
        <v>0</v>
      </c>
      <c r="F259" s="756">
        <v>-407481020</v>
      </c>
      <c r="G259" s="756">
        <v>2866718097</v>
      </c>
      <c r="H259" s="756">
        <v>-2894344776</v>
      </c>
      <c r="I259" s="756">
        <v>-27626679</v>
      </c>
      <c r="J259" s="756">
        <v>7757051785</v>
      </c>
      <c r="K259" s="756">
        <v>-8192159484</v>
      </c>
      <c r="L259" s="756">
        <v>-435107699</v>
      </c>
      <c r="M259" s="570" t="str">
        <f>VLOOKUP(C259,IS_WTB!$C:$E,3,0)</f>
        <v>쇼핑몰부가수익</v>
      </c>
    </row>
    <row r="260" spans="1:13">
      <c r="A260" s="755"/>
      <c r="B260" s="755"/>
      <c r="C260" s="755">
        <v>523110</v>
      </c>
      <c r="D260" s="755" t="s">
        <v>108</v>
      </c>
      <c r="E260" s="755">
        <v>0</v>
      </c>
      <c r="F260" s="756">
        <v>-82093928068</v>
      </c>
      <c r="G260" s="756">
        <v>27255841389</v>
      </c>
      <c r="H260" s="756">
        <v>-53116355455</v>
      </c>
      <c r="I260" s="756">
        <v>-25860514066</v>
      </c>
      <c r="J260" s="756">
        <v>29730450413</v>
      </c>
      <c r="K260" s="756">
        <v>-137684892547</v>
      </c>
      <c r="L260" s="756">
        <v>-107954442134</v>
      </c>
      <c r="M260" s="570" t="str">
        <f>VLOOKUP(C260,IS_WTB!$C:$E,3,0)</f>
        <v>쇼핑몰상품매출</v>
      </c>
    </row>
    <row r="261" spans="1:13">
      <c r="A261" s="755"/>
      <c r="B261" s="755"/>
      <c r="C261" s="755">
        <v>528100</v>
      </c>
      <c r="D261" s="755" t="s">
        <v>107</v>
      </c>
      <c r="E261" s="755">
        <v>0</v>
      </c>
      <c r="F261" s="756">
        <v>-121789833907</v>
      </c>
      <c r="G261" s="756">
        <v>8322001881</v>
      </c>
      <c r="H261" s="756">
        <v>-21513502006</v>
      </c>
      <c r="I261" s="756">
        <v>-13191500125</v>
      </c>
      <c r="J261" s="756">
        <v>76718288676</v>
      </c>
      <c r="K261" s="756">
        <v>-211699622708</v>
      </c>
      <c r="L261" s="756">
        <v>-134981334032</v>
      </c>
      <c r="M261" s="570" t="str">
        <f>VLOOKUP(C261,IS_WTB!$C:$E,3,0)</f>
        <v>쇼핑몰판매대행수익</v>
      </c>
    </row>
    <row r="262" spans="1:13">
      <c r="A262" s="755"/>
      <c r="B262" s="755">
        <v>5370</v>
      </c>
      <c r="C262" s="755"/>
      <c r="D262" s="755" t="s">
        <v>491</v>
      </c>
      <c r="E262" s="755">
        <v>0</v>
      </c>
      <c r="F262" s="756">
        <v>-8687577070</v>
      </c>
      <c r="G262" s="755">
        <v>0</v>
      </c>
      <c r="H262" s="756">
        <v>-858455111</v>
      </c>
      <c r="I262" s="756">
        <v>-858455111</v>
      </c>
      <c r="J262" s="755">
        <v>0</v>
      </c>
      <c r="K262" s="756">
        <v>-9546032181</v>
      </c>
      <c r="L262" s="756">
        <v>-9546032181</v>
      </c>
      <c r="M262" s="570" t="e">
        <f>VLOOKUP(C262,IS_WTB!$C:$E,3,0)</f>
        <v>#N/A</v>
      </c>
    </row>
    <row r="263" spans="1:13">
      <c r="A263" s="755"/>
      <c r="B263" s="755"/>
      <c r="C263" s="755">
        <v>510201</v>
      </c>
      <c r="D263" s="755" t="s">
        <v>252</v>
      </c>
      <c r="E263" s="755">
        <v>0</v>
      </c>
      <c r="F263" s="756">
        <v>-8127977268</v>
      </c>
      <c r="G263" s="755">
        <v>0</v>
      </c>
      <c r="H263" s="756">
        <v>-718524868</v>
      </c>
      <c r="I263" s="756">
        <v>-718524868</v>
      </c>
      <c r="J263" s="755">
        <v>0</v>
      </c>
      <c r="K263" s="756">
        <v>-8846502136</v>
      </c>
      <c r="L263" s="756">
        <v>-8846502136</v>
      </c>
      <c r="M263" s="570" t="str">
        <f>VLOOKUP(C263,IS_WTB!$C:$E,3,0)</f>
        <v>제품매출-국내매출</v>
      </c>
    </row>
    <row r="264" spans="1:13">
      <c r="A264" s="755"/>
      <c r="B264" s="755"/>
      <c r="C264" s="755">
        <v>510202</v>
      </c>
      <c r="D264" s="755" t="s">
        <v>251</v>
      </c>
      <c r="E264" s="755">
        <v>0</v>
      </c>
      <c r="F264" s="756">
        <v>-559599802</v>
      </c>
      <c r="G264" s="755">
        <v>0</v>
      </c>
      <c r="H264" s="756">
        <v>-139930243</v>
      </c>
      <c r="I264" s="756">
        <v>-139930243</v>
      </c>
      <c r="J264" s="755">
        <v>0</v>
      </c>
      <c r="K264" s="756">
        <v>-699530045</v>
      </c>
      <c r="L264" s="756">
        <v>-699530045</v>
      </c>
      <c r="M264" s="570" t="str">
        <f>VLOOKUP(C264,IS_WTB!$C:$E,3,0)</f>
        <v>제품매출-수출매출</v>
      </c>
    </row>
    <row r="265" spans="1:13">
      <c r="A265" s="755"/>
      <c r="B265" s="755">
        <v>5582</v>
      </c>
      <c r="C265" s="755"/>
      <c r="D265" s="755" t="s">
        <v>106</v>
      </c>
      <c r="E265" s="755">
        <v>0</v>
      </c>
      <c r="F265" s="756">
        <v>-1069680610</v>
      </c>
      <c r="G265" s="756">
        <v>2207411887</v>
      </c>
      <c r="H265" s="756">
        <v>-2327132883</v>
      </c>
      <c r="I265" s="756">
        <v>-119720996</v>
      </c>
      <c r="J265" s="756">
        <v>23663453060</v>
      </c>
      <c r="K265" s="756">
        <v>-24852854666</v>
      </c>
      <c r="L265" s="756">
        <v>-1189401606</v>
      </c>
      <c r="M265" s="570" t="e">
        <f>VLOOKUP(C265,IS_WTB!$C:$E,3,0)</f>
        <v>#N/A</v>
      </c>
    </row>
    <row r="266" spans="1:13">
      <c r="A266" s="755"/>
      <c r="B266" s="755"/>
      <c r="C266" s="755">
        <v>558850</v>
      </c>
      <c r="D266" s="755" t="s">
        <v>102</v>
      </c>
      <c r="E266" s="755">
        <v>0</v>
      </c>
      <c r="F266" s="756">
        <v>-21503901075</v>
      </c>
      <c r="G266" s="755">
        <v>0</v>
      </c>
      <c r="H266" s="756">
        <v>-2212862000</v>
      </c>
      <c r="I266" s="756">
        <v>-2212862000</v>
      </c>
      <c r="J266" s="755">
        <v>0</v>
      </c>
      <c r="K266" s="756">
        <v>-23716763075</v>
      </c>
      <c r="L266" s="756">
        <v>-23716763075</v>
      </c>
      <c r="M266" s="570" t="str">
        <f>VLOOKUP(C266,IS_WTB!$C:$E,3,0)</f>
        <v>용역수익-기타(매출)</v>
      </c>
    </row>
    <row r="267" spans="1:13">
      <c r="A267" s="755"/>
      <c r="B267" s="755"/>
      <c r="C267" s="755">
        <v>558860</v>
      </c>
      <c r="D267" s="755" t="s">
        <v>101</v>
      </c>
      <c r="E267" s="755">
        <v>0</v>
      </c>
      <c r="F267" s="756">
        <v>21456041173</v>
      </c>
      <c r="G267" s="756">
        <v>2207376500</v>
      </c>
      <c r="H267" s="755">
        <v>0</v>
      </c>
      <c r="I267" s="756">
        <v>2207376500</v>
      </c>
      <c r="J267" s="756">
        <v>23663417673</v>
      </c>
      <c r="K267" s="755">
        <v>0</v>
      </c>
      <c r="L267" s="756">
        <v>23663417673</v>
      </c>
      <c r="M267" s="570" t="str">
        <f>VLOOKUP(C267,IS_WTB!$C:$E,3,0)</f>
        <v>용역수익-기타(매입)</v>
      </c>
    </row>
    <row r="268" spans="1:13">
      <c r="A268" s="755"/>
      <c r="B268" s="755"/>
      <c r="C268" s="755">
        <v>558880</v>
      </c>
      <c r="D268" s="755" t="s">
        <v>100</v>
      </c>
      <c r="E268" s="755">
        <v>0</v>
      </c>
      <c r="F268" s="756">
        <v>-1021820708</v>
      </c>
      <c r="G268" s="756">
        <v>35387</v>
      </c>
      <c r="H268" s="756">
        <v>-114270883</v>
      </c>
      <c r="I268" s="756">
        <v>-114235496</v>
      </c>
      <c r="J268" s="756">
        <v>35387</v>
      </c>
      <c r="K268" s="756">
        <v>-1136091591</v>
      </c>
      <c r="L268" s="756">
        <v>-1136056204</v>
      </c>
      <c r="M268" s="570" t="str">
        <f>VLOOKUP(C268,IS_WTB!$C:$E,3,0)</f>
        <v>용역수익-기타</v>
      </c>
    </row>
    <row r="269" spans="1:13">
      <c r="A269" s="755"/>
      <c r="B269" s="755">
        <v>5587</v>
      </c>
      <c r="C269" s="755"/>
      <c r="D269" s="755" t="s">
        <v>492</v>
      </c>
      <c r="E269" s="755">
        <v>0</v>
      </c>
      <c r="F269" s="756">
        <v>-25195823300</v>
      </c>
      <c r="G269" s="756">
        <v>1700462897</v>
      </c>
      <c r="H269" s="756">
        <v>-4868261654</v>
      </c>
      <c r="I269" s="756">
        <v>-3167798757</v>
      </c>
      <c r="J269" s="756">
        <v>13909456178</v>
      </c>
      <c r="K269" s="756">
        <v>-42273078235</v>
      </c>
      <c r="L269" s="756">
        <v>-28363622057</v>
      </c>
      <c r="M269" s="570" t="e">
        <f>VLOOKUP(C269,IS_WTB!$C:$E,3,0)</f>
        <v>#N/A</v>
      </c>
    </row>
    <row r="270" spans="1:13">
      <c r="A270" s="755"/>
      <c r="B270" s="755"/>
      <c r="C270" s="755">
        <v>558740</v>
      </c>
      <c r="D270" s="755" t="s">
        <v>105</v>
      </c>
      <c r="E270" s="755">
        <v>0</v>
      </c>
      <c r="F270" s="756">
        <v>1054143</v>
      </c>
      <c r="G270" s="756">
        <v>790896833</v>
      </c>
      <c r="H270" s="756">
        <v>-795087567</v>
      </c>
      <c r="I270" s="756">
        <v>-4190734</v>
      </c>
      <c r="J270" s="756">
        <v>6581329237</v>
      </c>
      <c r="K270" s="756">
        <v>-6584465828</v>
      </c>
      <c r="L270" s="756">
        <v>-3136591</v>
      </c>
      <c r="M270" s="570" t="str">
        <f>VLOOKUP(C270,IS_WTB!$C:$E,3,0)</f>
        <v>기프티콘 미교환B2C</v>
      </c>
    </row>
    <row r="271" spans="1:13">
      <c r="A271" s="755"/>
      <c r="B271" s="755"/>
      <c r="C271" s="755">
        <v>558750</v>
      </c>
      <c r="D271" s="755" t="s">
        <v>104</v>
      </c>
      <c r="E271" s="755">
        <v>0</v>
      </c>
      <c r="F271" s="756">
        <v>-482977813</v>
      </c>
      <c r="G271" s="755">
        <v>0</v>
      </c>
      <c r="H271" s="756">
        <v>-59282695</v>
      </c>
      <c r="I271" s="756">
        <v>-59282695</v>
      </c>
      <c r="J271" s="755">
        <v>0</v>
      </c>
      <c r="K271" s="756">
        <v>-542260508</v>
      </c>
      <c r="L271" s="756">
        <v>-542260508</v>
      </c>
      <c r="M271" s="570" t="str">
        <f>VLOOKUP(C271,IS_WTB!$C:$E,3,0)</f>
        <v>기프티콘 B2B수수료</v>
      </c>
    </row>
    <row r="272" spans="1:13">
      <c r="A272" s="755"/>
      <c r="B272" s="755"/>
      <c r="C272" s="755">
        <v>558760</v>
      </c>
      <c r="D272" s="755" t="s">
        <v>103</v>
      </c>
      <c r="E272" s="755">
        <v>0</v>
      </c>
      <c r="F272" s="756">
        <v>-13234421824</v>
      </c>
      <c r="G272" s="756">
        <v>828181255</v>
      </c>
      <c r="H272" s="756">
        <v>-2456936523</v>
      </c>
      <c r="I272" s="756">
        <v>-1628755268</v>
      </c>
      <c r="J272" s="756">
        <v>7192376760</v>
      </c>
      <c r="K272" s="756">
        <v>-22055553852</v>
      </c>
      <c r="L272" s="756">
        <v>-14863177092</v>
      </c>
      <c r="M272" s="570" t="str">
        <f>VLOOKUP(C272,IS_WTB!$C:$E,3,0)</f>
        <v>기프티콘 제휴(B2C)</v>
      </c>
    </row>
    <row r="273" spans="1:13">
      <c r="A273" s="755"/>
      <c r="B273" s="755"/>
      <c r="C273" s="755">
        <v>558950</v>
      </c>
      <c r="D273" s="755" t="s">
        <v>249</v>
      </c>
      <c r="E273" s="755">
        <v>0</v>
      </c>
      <c r="F273" s="756">
        <v>-5098687632</v>
      </c>
      <c r="G273" s="756">
        <v>81384809</v>
      </c>
      <c r="H273" s="756">
        <v>-593107782</v>
      </c>
      <c r="I273" s="756">
        <v>-511722973</v>
      </c>
      <c r="J273" s="756">
        <v>135750181</v>
      </c>
      <c r="K273" s="756">
        <v>-5746160786</v>
      </c>
      <c r="L273" s="756">
        <v>-5610410605</v>
      </c>
      <c r="M273" s="570" t="str">
        <f>VLOOKUP(C273,IS_WTB!$C:$E,3,0)</f>
        <v>기프티콘 미교환B2B</v>
      </c>
    </row>
    <row r="274" spans="1:13">
      <c r="A274" s="755"/>
      <c r="B274" s="755"/>
      <c r="C274" s="755">
        <v>558960</v>
      </c>
      <c r="D274" s="755" t="s">
        <v>248</v>
      </c>
      <c r="E274" s="755">
        <v>0</v>
      </c>
      <c r="F274" s="756">
        <v>-6380790174</v>
      </c>
      <c r="G274" s="755">
        <v>0</v>
      </c>
      <c r="H274" s="756">
        <v>-963847087</v>
      </c>
      <c r="I274" s="756">
        <v>-963847087</v>
      </c>
      <c r="J274" s="755">
        <v>0</v>
      </c>
      <c r="K274" s="756">
        <v>-7344637261</v>
      </c>
      <c r="L274" s="756">
        <v>-7344637261</v>
      </c>
      <c r="M274" s="570" t="str">
        <f>VLOOKUP(C274,IS_WTB!$C:$E,3,0)</f>
        <v>기프티콘 제휴(B2B)</v>
      </c>
    </row>
    <row r="275" spans="1:13">
      <c r="A275" s="755">
        <v>60</v>
      </c>
      <c r="B275" s="755"/>
      <c r="C275" s="755"/>
      <c r="D275" s="755" t="s">
        <v>493</v>
      </c>
      <c r="E275" s="755">
        <v>0</v>
      </c>
      <c r="F275" s="756">
        <v>500471480019</v>
      </c>
      <c r="G275" s="756">
        <v>143516429729</v>
      </c>
      <c r="H275" s="756">
        <v>-66221817567</v>
      </c>
      <c r="I275" s="756">
        <v>77294612162</v>
      </c>
      <c r="J275" s="756">
        <v>838769959008</v>
      </c>
      <c r="K275" s="756">
        <v>-261003866827</v>
      </c>
      <c r="L275" s="756">
        <v>577766092181</v>
      </c>
      <c r="M275" s="570" t="e">
        <f>VLOOKUP(C275,IS_WTB!$C:$E,3,0)</f>
        <v>#N/A</v>
      </c>
    </row>
    <row r="276" spans="1:13">
      <c r="A276" s="755"/>
      <c r="B276" s="755">
        <v>602</v>
      </c>
      <c r="C276" s="755"/>
      <c r="D276" s="755" t="s">
        <v>340</v>
      </c>
      <c r="E276" s="755">
        <v>0</v>
      </c>
      <c r="F276" s="756">
        <v>74623341288</v>
      </c>
      <c r="G276" s="756">
        <v>8169189348</v>
      </c>
      <c r="H276" s="756">
        <v>38029732</v>
      </c>
      <c r="I276" s="756">
        <v>8207219080</v>
      </c>
      <c r="J276" s="756">
        <v>82811398881</v>
      </c>
      <c r="K276" s="756">
        <v>19161487</v>
      </c>
      <c r="L276" s="756">
        <v>82830560368</v>
      </c>
      <c r="M276" s="570" t="e">
        <f>VLOOKUP(C276,IS_WTB!$C:$E,3,0)</f>
        <v>#N/A</v>
      </c>
    </row>
    <row r="277" spans="1:13">
      <c r="A277" s="755"/>
      <c r="B277" s="755"/>
      <c r="C277" s="755">
        <v>627100</v>
      </c>
      <c r="D277" s="755" t="s">
        <v>58</v>
      </c>
      <c r="E277" s="755">
        <v>0</v>
      </c>
      <c r="F277" s="756">
        <v>74315492716</v>
      </c>
      <c r="G277" s="756">
        <v>8133239802</v>
      </c>
      <c r="H277" s="756">
        <v>46198032</v>
      </c>
      <c r="I277" s="756">
        <v>8179437834</v>
      </c>
      <c r="J277" s="756">
        <v>82451904657</v>
      </c>
      <c r="K277" s="756">
        <v>43025893</v>
      </c>
      <c r="L277" s="756">
        <v>82494930550</v>
      </c>
      <c r="M277" s="570" t="str">
        <f>VLOOKUP(C277,IS_WTB!$C:$E,3,0)</f>
        <v>금융수수료</v>
      </c>
    </row>
    <row r="278" spans="1:13">
      <c r="A278" s="755"/>
      <c r="B278" s="755"/>
      <c r="C278" s="755">
        <v>631900</v>
      </c>
      <c r="D278" s="755" t="s">
        <v>28</v>
      </c>
      <c r="E278" s="755">
        <v>0</v>
      </c>
      <c r="F278" s="756">
        <v>277873001</v>
      </c>
      <c r="G278" s="756">
        <v>34805086</v>
      </c>
      <c r="H278" s="755">
        <v>0</v>
      </c>
      <c r="I278" s="756">
        <v>34805086</v>
      </c>
      <c r="J278" s="756">
        <v>312678087</v>
      </c>
      <c r="K278" s="755">
        <v>0</v>
      </c>
      <c r="L278" s="756">
        <v>312678087</v>
      </c>
      <c r="M278" s="570" t="str">
        <f>VLOOKUP(C278,IS_WTB!$C:$E,3,0)</f>
        <v>사내방송제작비</v>
      </c>
    </row>
    <row r="279" spans="1:13">
      <c r="A279" s="755"/>
      <c r="B279" s="755"/>
      <c r="C279" s="755">
        <v>660100</v>
      </c>
      <c r="D279" s="755" t="s">
        <v>378</v>
      </c>
      <c r="E279" s="755">
        <v>0</v>
      </c>
      <c r="F279" s="756">
        <v>29975571</v>
      </c>
      <c r="G279" s="756">
        <v>1144460</v>
      </c>
      <c r="H279" s="756">
        <v>-8168300</v>
      </c>
      <c r="I279" s="756">
        <v>-7023840</v>
      </c>
      <c r="J279" s="756">
        <v>46816137</v>
      </c>
      <c r="K279" s="756">
        <v>-23864406</v>
      </c>
      <c r="L279" s="756">
        <v>22951731</v>
      </c>
      <c r="M279" s="570" t="str">
        <f>VLOOKUP(C279,IS_WTB!$C:$E,3,0)</f>
        <v>대손상각비</v>
      </c>
    </row>
    <row r="280" spans="1:13">
      <c r="A280" s="755"/>
      <c r="B280" s="755">
        <v>6031</v>
      </c>
      <c r="C280" s="755"/>
      <c r="D280" s="755" t="s">
        <v>80</v>
      </c>
      <c r="E280" s="755">
        <v>0</v>
      </c>
      <c r="F280" s="756">
        <v>17171831288</v>
      </c>
      <c r="G280" s="756">
        <v>3000079289</v>
      </c>
      <c r="H280" s="756">
        <v>-357461498</v>
      </c>
      <c r="I280" s="756">
        <v>2642617791</v>
      </c>
      <c r="J280" s="756">
        <v>28382944044</v>
      </c>
      <c r="K280" s="756">
        <v>-8568494965</v>
      </c>
      <c r="L280" s="756">
        <v>19814449079</v>
      </c>
      <c r="M280" s="570" t="e">
        <f>VLOOKUP(C280,IS_WTB!$C:$E,3,0)</f>
        <v>#N/A</v>
      </c>
    </row>
    <row r="281" spans="1:13">
      <c r="A281" s="755"/>
      <c r="B281" s="755"/>
      <c r="C281" s="755">
        <v>603100</v>
      </c>
      <c r="D281" s="755" t="s">
        <v>79</v>
      </c>
      <c r="E281" s="755">
        <v>0</v>
      </c>
      <c r="F281" s="756">
        <v>3326727432</v>
      </c>
      <c r="G281" s="756">
        <v>432313390</v>
      </c>
      <c r="H281" s="756">
        <v>-12180290</v>
      </c>
      <c r="I281" s="756">
        <v>420133100</v>
      </c>
      <c r="J281" s="756">
        <v>3810344441</v>
      </c>
      <c r="K281" s="756">
        <v>-63483909</v>
      </c>
      <c r="L281" s="756">
        <v>3746860532</v>
      </c>
      <c r="M281" s="570" t="str">
        <f>VLOOKUP(C281,IS_WTB!$C:$E,3,0)</f>
        <v>급여성복리비</v>
      </c>
    </row>
    <row r="282" spans="1:13">
      <c r="A282" s="755"/>
      <c r="B282" s="755"/>
      <c r="C282" s="755">
        <v>603200</v>
      </c>
      <c r="D282" s="755" t="s">
        <v>78</v>
      </c>
      <c r="E282" s="755">
        <v>0</v>
      </c>
      <c r="F282" s="756">
        <v>2722341330</v>
      </c>
      <c r="G282" s="756">
        <v>335697820</v>
      </c>
      <c r="H282" s="755">
        <v>0</v>
      </c>
      <c r="I282" s="756">
        <v>335697820</v>
      </c>
      <c r="J282" s="756">
        <v>3067554738</v>
      </c>
      <c r="K282" s="756">
        <v>-9515588</v>
      </c>
      <c r="L282" s="756">
        <v>3058039150</v>
      </c>
      <c r="M282" s="570" t="str">
        <f>VLOOKUP(C282,IS_WTB!$C:$E,3,0)</f>
        <v>의료보험법정지원금</v>
      </c>
    </row>
    <row r="283" spans="1:13">
      <c r="A283" s="755"/>
      <c r="B283" s="755"/>
      <c r="C283" s="755">
        <v>603210</v>
      </c>
      <c r="D283" s="755" t="s">
        <v>77</v>
      </c>
      <c r="E283" s="755">
        <v>0</v>
      </c>
      <c r="F283" s="756">
        <v>2024806550</v>
      </c>
      <c r="G283" s="756">
        <v>267601415</v>
      </c>
      <c r="H283" s="756">
        <v>-52635</v>
      </c>
      <c r="I283" s="756">
        <v>267548780</v>
      </c>
      <c r="J283" s="756">
        <v>2297662935</v>
      </c>
      <c r="K283" s="756">
        <v>-5307605</v>
      </c>
      <c r="L283" s="756">
        <v>2292355330</v>
      </c>
      <c r="M283" s="570" t="str">
        <f>VLOOKUP(C283,IS_WTB!$C:$E,3,0)</f>
        <v>국민연금법정지원금</v>
      </c>
    </row>
    <row r="284" spans="1:13">
      <c r="A284" s="755"/>
      <c r="B284" s="755"/>
      <c r="C284" s="755">
        <v>603220</v>
      </c>
      <c r="D284" s="755" t="s">
        <v>76</v>
      </c>
      <c r="E284" s="755">
        <v>0</v>
      </c>
      <c r="F284" s="756">
        <v>664061730</v>
      </c>
      <c r="G284" s="756">
        <v>74461610</v>
      </c>
      <c r="H284" s="755">
        <v>0</v>
      </c>
      <c r="I284" s="756">
        <v>74461610</v>
      </c>
      <c r="J284" s="756">
        <v>738523340</v>
      </c>
      <c r="K284" s="755">
        <v>0</v>
      </c>
      <c r="L284" s="756">
        <v>738523340</v>
      </c>
      <c r="M284" s="570" t="str">
        <f>VLOOKUP(C284,IS_WTB!$C:$E,3,0)</f>
        <v>산재보험법정지원금</v>
      </c>
    </row>
    <row r="285" spans="1:13">
      <c r="A285" s="755"/>
      <c r="B285" s="755"/>
      <c r="C285" s="755">
        <v>603230</v>
      </c>
      <c r="D285" s="755" t="s">
        <v>75</v>
      </c>
      <c r="E285" s="755">
        <v>0</v>
      </c>
      <c r="F285" s="756">
        <v>1198173340</v>
      </c>
      <c r="G285" s="756">
        <v>139636680</v>
      </c>
      <c r="H285" s="755">
        <v>0</v>
      </c>
      <c r="I285" s="756">
        <v>139636680</v>
      </c>
      <c r="J285" s="756">
        <v>1337810020</v>
      </c>
      <c r="K285" s="755">
        <v>0</v>
      </c>
      <c r="L285" s="756">
        <v>1337810020</v>
      </c>
      <c r="M285" s="570" t="str">
        <f>VLOOKUP(C285,IS_WTB!$C:$E,3,0)</f>
        <v>고용보험법정지원금</v>
      </c>
    </row>
    <row r="286" spans="1:13">
      <c r="A286" s="755"/>
      <c r="B286" s="755"/>
      <c r="C286" s="755">
        <v>603300</v>
      </c>
      <c r="D286" s="755" t="s">
        <v>74</v>
      </c>
      <c r="E286" s="755">
        <v>0</v>
      </c>
      <c r="F286" s="756">
        <v>168377696</v>
      </c>
      <c r="G286" s="756">
        <v>49065223</v>
      </c>
      <c r="H286" s="755">
        <v>0</v>
      </c>
      <c r="I286" s="756">
        <v>49065223</v>
      </c>
      <c r="J286" s="756">
        <v>217442919</v>
      </c>
      <c r="K286" s="755">
        <v>0</v>
      </c>
      <c r="L286" s="756">
        <v>217442919</v>
      </c>
      <c r="M286" s="570" t="str">
        <f>VLOOKUP(C286,IS_WTB!$C:$E,3,0)</f>
        <v>일반복리건강지원</v>
      </c>
    </row>
    <row r="287" spans="1:13">
      <c r="A287" s="755"/>
      <c r="B287" s="755"/>
      <c r="C287" s="755">
        <v>603310</v>
      </c>
      <c r="D287" s="755" t="s">
        <v>1084</v>
      </c>
      <c r="E287" s="755">
        <v>0</v>
      </c>
      <c r="F287" s="756">
        <v>12901816</v>
      </c>
      <c r="G287" s="756">
        <v>2402454</v>
      </c>
      <c r="H287" s="755">
        <v>0</v>
      </c>
      <c r="I287" s="756">
        <v>2402454</v>
      </c>
      <c r="J287" s="756">
        <v>15304270</v>
      </c>
      <c r="K287" s="755">
        <v>0</v>
      </c>
      <c r="L287" s="756">
        <v>15304270</v>
      </c>
      <c r="M287" s="570" t="str">
        <f>VLOOKUP(C287,IS_WTB!$C:$E,3,0)</f>
        <v>일반복리경조/화환</v>
      </c>
    </row>
    <row r="288" spans="1:13">
      <c r="A288" s="755"/>
      <c r="B288" s="755"/>
      <c r="C288" s="755">
        <v>603390</v>
      </c>
      <c r="D288" s="755" t="s">
        <v>73</v>
      </c>
      <c r="E288" s="755">
        <v>0</v>
      </c>
      <c r="F288" s="756">
        <v>6067707557</v>
      </c>
      <c r="G288" s="756">
        <v>781301928</v>
      </c>
      <c r="H288" s="755">
        <v>0</v>
      </c>
      <c r="I288" s="756">
        <v>781301928</v>
      </c>
      <c r="J288" s="756">
        <v>13909009485</v>
      </c>
      <c r="K288" s="756">
        <v>-7060000000</v>
      </c>
      <c r="L288" s="756">
        <v>6849009485</v>
      </c>
      <c r="M288" s="570" t="str">
        <f>VLOOKUP(C288,IS_WTB!$C:$E,3,0)</f>
        <v>기타일반복리비</v>
      </c>
    </row>
    <row r="289" spans="1:13">
      <c r="A289" s="755"/>
      <c r="B289" s="755"/>
      <c r="C289" s="755">
        <v>603392</v>
      </c>
      <c r="D289" s="755" t="s">
        <v>72</v>
      </c>
      <c r="E289" s="755">
        <v>0</v>
      </c>
      <c r="F289" s="756">
        <v>308627877</v>
      </c>
      <c r="G289" s="756">
        <v>593365911</v>
      </c>
      <c r="H289" s="756">
        <v>-308627877</v>
      </c>
      <c r="I289" s="756">
        <v>284738034</v>
      </c>
      <c r="J289" s="756">
        <v>1866455903</v>
      </c>
      <c r="K289" s="756">
        <v>-1273089992</v>
      </c>
      <c r="L289" s="756">
        <v>593365911</v>
      </c>
      <c r="M289" s="570" t="str">
        <f>VLOOKUP(C289,IS_WTB!$C:$E,3,0)</f>
        <v>장기근속-당기근무-종</v>
      </c>
    </row>
    <row r="290" spans="1:13">
      <c r="A290" s="755"/>
      <c r="B290" s="755"/>
      <c r="C290" s="755">
        <v>603393</v>
      </c>
      <c r="D290" s="755" t="s">
        <v>71</v>
      </c>
      <c r="E290" s="755">
        <v>0</v>
      </c>
      <c r="F290" s="756">
        <v>36600696</v>
      </c>
      <c r="G290" s="756">
        <v>41175783</v>
      </c>
      <c r="H290" s="756">
        <v>-36600696</v>
      </c>
      <c r="I290" s="756">
        <v>4575087</v>
      </c>
      <c r="J290" s="756">
        <v>192153654</v>
      </c>
      <c r="K290" s="756">
        <v>-150977871</v>
      </c>
      <c r="L290" s="756">
        <v>41175783</v>
      </c>
      <c r="M290" s="570" t="str">
        <f>VLOOKUP(C290,IS_WTB!$C:$E,3,0)</f>
        <v>장기근속-이자원가-종</v>
      </c>
    </row>
    <row r="291" spans="1:13">
      <c r="A291" s="755"/>
      <c r="B291" s="755"/>
      <c r="C291" s="755">
        <v>603400</v>
      </c>
      <c r="D291" s="755" t="s">
        <v>70</v>
      </c>
      <c r="E291" s="755">
        <v>0</v>
      </c>
      <c r="F291" s="756">
        <v>156053785</v>
      </c>
      <c r="G291" s="756">
        <v>65144650</v>
      </c>
      <c r="H291" s="755">
        <v>0</v>
      </c>
      <c r="I291" s="756">
        <v>65144650</v>
      </c>
      <c r="J291" s="756">
        <v>227318435</v>
      </c>
      <c r="K291" s="756">
        <v>-6120000</v>
      </c>
      <c r="L291" s="756">
        <v>221198435</v>
      </c>
      <c r="M291" s="570" t="str">
        <f>VLOOKUP(C291,IS_WTB!$C:$E,3,0)</f>
        <v>복지시설운영비</v>
      </c>
    </row>
    <row r="292" spans="1:13">
      <c r="A292" s="755"/>
      <c r="B292" s="755"/>
      <c r="C292" s="755">
        <v>603600</v>
      </c>
      <c r="D292" s="755" t="s">
        <v>68</v>
      </c>
      <c r="E292" s="755">
        <v>0</v>
      </c>
      <c r="F292" s="756">
        <v>416437000</v>
      </c>
      <c r="G292" s="756">
        <v>53907000</v>
      </c>
      <c r="H292" s="755">
        <v>0</v>
      </c>
      <c r="I292" s="756">
        <v>53907000</v>
      </c>
      <c r="J292" s="756">
        <v>470344000</v>
      </c>
      <c r="K292" s="755">
        <v>0</v>
      </c>
      <c r="L292" s="756">
        <v>470344000</v>
      </c>
      <c r="M292" s="570" t="str">
        <f>VLOOKUP(C292,IS_WTB!$C:$E,3,0)</f>
        <v>특근자석식비</v>
      </c>
    </row>
    <row r="293" spans="1:13">
      <c r="A293" s="755"/>
      <c r="B293" s="755"/>
      <c r="C293" s="755">
        <v>603790</v>
      </c>
      <c r="D293" s="755" t="s">
        <v>657</v>
      </c>
      <c r="E293" s="755">
        <v>0</v>
      </c>
      <c r="F293" s="756">
        <v>67657479</v>
      </c>
      <c r="G293" s="756">
        <v>44558272</v>
      </c>
      <c r="H293" s="755">
        <v>0</v>
      </c>
      <c r="I293" s="756">
        <v>44558272</v>
      </c>
      <c r="J293" s="756">
        <v>112215751</v>
      </c>
      <c r="K293" s="755">
        <v>0</v>
      </c>
      <c r="L293" s="756">
        <v>112215751</v>
      </c>
      <c r="M293" s="570" t="str">
        <f>VLOOKUP(C293,IS_WTB!$C:$E,3,0)</f>
        <v>기타후생복리비</v>
      </c>
    </row>
    <row r="294" spans="1:13">
      <c r="A294" s="755"/>
      <c r="B294" s="755"/>
      <c r="C294" s="755">
        <v>654100</v>
      </c>
      <c r="D294" s="755" t="s">
        <v>27</v>
      </c>
      <c r="E294" s="755">
        <v>0</v>
      </c>
      <c r="F294" s="756">
        <v>1357000</v>
      </c>
      <c r="G294" s="756">
        <v>119447153</v>
      </c>
      <c r="H294" s="755">
        <v>0</v>
      </c>
      <c r="I294" s="756">
        <v>119447153</v>
      </c>
      <c r="J294" s="756">
        <v>120804153</v>
      </c>
      <c r="K294" s="755">
        <v>0</v>
      </c>
      <c r="L294" s="756">
        <v>120804153</v>
      </c>
      <c r="M294" s="570" t="str">
        <f>VLOOKUP(C294,IS_WTB!$C:$E,3,0)</f>
        <v>포상비</v>
      </c>
    </row>
    <row r="295" spans="1:13">
      <c r="A295" s="755"/>
      <c r="B295" s="755">
        <v>6100</v>
      </c>
      <c r="C295" s="755"/>
      <c r="D295" s="755" t="s">
        <v>99</v>
      </c>
      <c r="E295" s="755">
        <v>0</v>
      </c>
      <c r="F295" s="756">
        <v>74526098241</v>
      </c>
      <c r="G295" s="756">
        <v>15853183713</v>
      </c>
      <c r="H295" s="756">
        <v>-6848560937</v>
      </c>
      <c r="I295" s="756">
        <v>9004622776</v>
      </c>
      <c r="J295" s="756">
        <v>131718312205</v>
      </c>
      <c r="K295" s="756">
        <v>-48187591188</v>
      </c>
      <c r="L295" s="756">
        <v>83530721017</v>
      </c>
      <c r="M295" s="570" t="e">
        <f>VLOOKUP(C295,IS_WTB!$C:$E,3,0)</f>
        <v>#N/A</v>
      </c>
    </row>
    <row r="296" spans="1:13">
      <c r="A296" s="755"/>
      <c r="B296" s="755"/>
      <c r="C296" s="755">
        <v>600100</v>
      </c>
      <c r="D296" s="755" t="s">
        <v>98</v>
      </c>
      <c r="E296" s="755">
        <v>0</v>
      </c>
      <c r="F296" s="756">
        <v>2249826010</v>
      </c>
      <c r="G296" s="756">
        <v>269168000</v>
      </c>
      <c r="H296" s="755">
        <v>0</v>
      </c>
      <c r="I296" s="756">
        <v>269168000</v>
      </c>
      <c r="J296" s="756">
        <v>2599994010</v>
      </c>
      <c r="K296" s="756">
        <v>-81000000</v>
      </c>
      <c r="L296" s="756">
        <v>2518994010</v>
      </c>
      <c r="M296" s="570" t="str">
        <f>VLOOKUP(C296,IS_WTB!$C:$E,3,0)</f>
        <v>임원급여-급여</v>
      </c>
    </row>
    <row r="297" spans="1:13">
      <c r="A297" s="755"/>
      <c r="B297" s="755"/>
      <c r="C297" s="755">
        <v>600102</v>
      </c>
      <c r="D297" s="755" t="s">
        <v>805</v>
      </c>
      <c r="E297" s="755">
        <v>0</v>
      </c>
      <c r="F297" s="756">
        <v>1943338430</v>
      </c>
      <c r="G297" s="755">
        <v>0</v>
      </c>
      <c r="H297" s="755">
        <v>0</v>
      </c>
      <c r="I297" s="755">
        <v>0</v>
      </c>
      <c r="J297" s="756">
        <v>1980838420</v>
      </c>
      <c r="K297" s="756">
        <v>-37499990</v>
      </c>
      <c r="L297" s="756">
        <v>1943338430</v>
      </c>
      <c r="M297" s="570" t="str">
        <f>VLOOKUP(C297,IS_WTB!$C:$E,3,0)</f>
        <v>임원급여-상여</v>
      </c>
    </row>
    <row r="298" spans="1:13">
      <c r="A298" s="755"/>
      <c r="B298" s="755"/>
      <c r="C298" s="755">
        <v>600200</v>
      </c>
      <c r="D298" s="755" t="s">
        <v>97</v>
      </c>
      <c r="E298" s="755">
        <v>0</v>
      </c>
      <c r="F298" s="756">
        <v>26773888868</v>
      </c>
      <c r="G298" s="756">
        <v>3473231840</v>
      </c>
      <c r="H298" s="756">
        <v>-97194610</v>
      </c>
      <c r="I298" s="756">
        <v>3376037230</v>
      </c>
      <c r="J298" s="756">
        <v>30651121495</v>
      </c>
      <c r="K298" s="756">
        <v>-501195397</v>
      </c>
      <c r="L298" s="756">
        <v>30149926098</v>
      </c>
      <c r="M298" s="570" t="str">
        <f>VLOOKUP(C298,IS_WTB!$C:$E,3,0)</f>
        <v>기본급</v>
      </c>
    </row>
    <row r="299" spans="1:13">
      <c r="A299" s="755"/>
      <c r="B299" s="755"/>
      <c r="C299" s="755">
        <v>600300</v>
      </c>
      <c r="D299" s="755" t="s">
        <v>96</v>
      </c>
      <c r="E299" s="755">
        <v>0</v>
      </c>
      <c r="F299" s="756">
        <v>17879410923</v>
      </c>
      <c r="G299" s="756">
        <v>2315479730</v>
      </c>
      <c r="H299" s="756">
        <v>-64799990</v>
      </c>
      <c r="I299" s="756">
        <v>2250679740</v>
      </c>
      <c r="J299" s="756">
        <v>20430341906</v>
      </c>
      <c r="K299" s="756">
        <v>-300251243</v>
      </c>
      <c r="L299" s="756">
        <v>20130090663</v>
      </c>
      <c r="M299" s="570" t="str">
        <f>VLOOKUP(C299,IS_WTB!$C:$E,3,0)</f>
        <v>정기상여금</v>
      </c>
    </row>
    <row r="300" spans="1:13">
      <c r="A300" s="755"/>
      <c r="B300" s="755"/>
      <c r="C300" s="755">
        <v>600310</v>
      </c>
      <c r="D300" s="755" t="s">
        <v>95</v>
      </c>
      <c r="E300" s="755">
        <v>0</v>
      </c>
      <c r="F300" s="756">
        <v>8920565980</v>
      </c>
      <c r="G300" s="756">
        <v>1049000000</v>
      </c>
      <c r="H300" s="756">
        <v>-45625060</v>
      </c>
      <c r="I300" s="756">
        <v>1003374940</v>
      </c>
      <c r="J300" s="756">
        <v>9472124467</v>
      </c>
      <c r="K300" s="756">
        <v>451816453</v>
      </c>
      <c r="L300" s="756">
        <v>9923940920</v>
      </c>
      <c r="M300" s="570" t="str">
        <f>VLOOKUP(C300,IS_WTB!$C:$E,3,0)</f>
        <v>특별상여금</v>
      </c>
    </row>
    <row r="301" spans="1:13">
      <c r="A301" s="755"/>
      <c r="B301" s="755"/>
      <c r="C301" s="755">
        <v>600400</v>
      </c>
      <c r="D301" s="755" t="s">
        <v>94</v>
      </c>
      <c r="E301" s="755">
        <v>0</v>
      </c>
      <c r="F301" s="756">
        <v>6321629342</v>
      </c>
      <c r="G301" s="756">
        <v>808072470</v>
      </c>
      <c r="H301" s="756">
        <v>-21166860</v>
      </c>
      <c r="I301" s="756">
        <v>786905610</v>
      </c>
      <c r="J301" s="756">
        <v>7206287274</v>
      </c>
      <c r="K301" s="756">
        <v>-97752322</v>
      </c>
      <c r="L301" s="756">
        <v>7108534952</v>
      </c>
      <c r="M301" s="570" t="str">
        <f>VLOOKUP(C301,IS_WTB!$C:$E,3,0)</f>
        <v>초과근무수당</v>
      </c>
    </row>
    <row r="302" spans="1:13">
      <c r="A302" s="755"/>
      <c r="B302" s="755"/>
      <c r="C302" s="755">
        <v>600410</v>
      </c>
      <c r="D302" s="755" t="s">
        <v>93</v>
      </c>
      <c r="E302" s="755">
        <v>0</v>
      </c>
      <c r="F302" s="756">
        <v>162369100</v>
      </c>
      <c r="G302" s="756">
        <v>17381600</v>
      </c>
      <c r="H302" s="755">
        <v>0</v>
      </c>
      <c r="I302" s="756">
        <v>17381600</v>
      </c>
      <c r="J302" s="756">
        <v>179750700</v>
      </c>
      <c r="K302" s="755">
        <v>0</v>
      </c>
      <c r="L302" s="756">
        <v>179750700</v>
      </c>
      <c r="M302" s="570" t="str">
        <f>VLOOKUP(C302,IS_WTB!$C:$E,3,0)</f>
        <v>야간근무수당</v>
      </c>
    </row>
    <row r="303" spans="1:13">
      <c r="A303" s="755"/>
      <c r="B303" s="755"/>
      <c r="C303" s="755">
        <v>600420</v>
      </c>
      <c r="D303" s="755" t="s">
        <v>92</v>
      </c>
      <c r="E303" s="755">
        <v>0</v>
      </c>
      <c r="F303" s="756">
        <v>299739040</v>
      </c>
      <c r="G303" s="756">
        <v>26377350</v>
      </c>
      <c r="H303" s="755">
        <v>0</v>
      </c>
      <c r="I303" s="756">
        <v>26377350</v>
      </c>
      <c r="J303" s="756">
        <v>326116390</v>
      </c>
      <c r="K303" s="755">
        <v>0</v>
      </c>
      <c r="L303" s="756">
        <v>326116390</v>
      </c>
      <c r="M303" s="570" t="str">
        <f>VLOOKUP(C303,IS_WTB!$C:$E,3,0)</f>
        <v>휴일근무수당</v>
      </c>
    </row>
    <row r="304" spans="1:13">
      <c r="A304" s="755"/>
      <c r="B304" s="755"/>
      <c r="C304" s="755">
        <v>600430</v>
      </c>
      <c r="D304" s="755" t="s">
        <v>91</v>
      </c>
      <c r="E304" s="755">
        <v>0</v>
      </c>
      <c r="F304" s="756">
        <v>235863080</v>
      </c>
      <c r="G304" s="756">
        <v>31989720</v>
      </c>
      <c r="H304" s="755">
        <v>0</v>
      </c>
      <c r="I304" s="756">
        <v>31989720</v>
      </c>
      <c r="J304" s="756">
        <v>267852800</v>
      </c>
      <c r="K304" s="755">
        <v>0</v>
      </c>
      <c r="L304" s="756">
        <v>267852800</v>
      </c>
      <c r="M304" s="570" t="str">
        <f>VLOOKUP(C304,IS_WTB!$C:$E,3,0)</f>
        <v>연월차수당</v>
      </c>
    </row>
    <row r="305" spans="1:13">
      <c r="A305" s="755"/>
      <c r="B305" s="755"/>
      <c r="C305" s="755">
        <v>600431</v>
      </c>
      <c r="D305" s="755" t="s">
        <v>90</v>
      </c>
      <c r="E305" s="755">
        <v>0</v>
      </c>
      <c r="F305" s="756">
        <v>1948165717</v>
      </c>
      <c r="G305" s="756">
        <v>6801372520</v>
      </c>
      <c r="H305" s="756">
        <v>-6619693777</v>
      </c>
      <c r="I305" s="756">
        <v>181678743</v>
      </c>
      <c r="J305" s="756">
        <v>49678141168</v>
      </c>
      <c r="K305" s="756">
        <v>-47548296708</v>
      </c>
      <c r="L305" s="756">
        <v>2129844460</v>
      </c>
      <c r="M305" s="570" t="str">
        <f>VLOOKUP(C305,IS_WTB!$C:$E,3,0)</f>
        <v>연월차수당_조정</v>
      </c>
    </row>
    <row r="306" spans="1:13">
      <c r="A306" s="755"/>
      <c r="B306" s="755"/>
      <c r="C306" s="755">
        <v>600440</v>
      </c>
      <c r="D306" s="755" t="s">
        <v>1556</v>
      </c>
      <c r="E306" s="755">
        <v>0</v>
      </c>
      <c r="F306" s="756">
        <v>452166800</v>
      </c>
      <c r="G306" s="756">
        <v>77080650</v>
      </c>
      <c r="H306" s="756">
        <v>-80640</v>
      </c>
      <c r="I306" s="756">
        <v>77000010</v>
      </c>
      <c r="J306" s="756">
        <v>529307130</v>
      </c>
      <c r="K306" s="756">
        <v>-140320</v>
      </c>
      <c r="L306" s="756">
        <v>529166810</v>
      </c>
      <c r="M306" s="570" t="str">
        <f>VLOOKUP(C306,IS_WTB!$C:$E,3,0)</f>
        <v>직책수당</v>
      </c>
    </row>
    <row r="307" spans="1:13">
      <c r="A307" s="755"/>
      <c r="B307" s="755"/>
      <c r="C307" s="755">
        <v>600490</v>
      </c>
      <c r="D307" s="755" t="s">
        <v>658</v>
      </c>
      <c r="E307" s="755">
        <v>0</v>
      </c>
      <c r="F307" s="756">
        <v>102392530</v>
      </c>
      <c r="G307" s="755">
        <v>0</v>
      </c>
      <c r="H307" s="755">
        <v>0</v>
      </c>
      <c r="I307" s="755">
        <v>0</v>
      </c>
      <c r="J307" s="756">
        <v>107308990</v>
      </c>
      <c r="K307" s="756">
        <v>-4916460</v>
      </c>
      <c r="L307" s="756">
        <v>102392530</v>
      </c>
      <c r="M307" s="570" t="str">
        <f>VLOOKUP(C307,IS_WTB!$C:$E,3,0)</f>
        <v>기타수당</v>
      </c>
    </row>
    <row r="308" spans="1:13">
      <c r="A308" s="755"/>
      <c r="B308" s="755"/>
      <c r="C308" s="755">
        <v>600500</v>
      </c>
      <c r="D308" s="755" t="s">
        <v>89</v>
      </c>
      <c r="E308" s="755">
        <v>0</v>
      </c>
      <c r="F308" s="756">
        <v>630662670</v>
      </c>
      <c r="G308" s="756">
        <v>97352280</v>
      </c>
      <c r="H308" s="755">
        <v>0</v>
      </c>
      <c r="I308" s="756">
        <v>97352280</v>
      </c>
      <c r="J308" s="756">
        <v>747438470</v>
      </c>
      <c r="K308" s="756">
        <v>-19423520</v>
      </c>
      <c r="L308" s="756">
        <v>728014950</v>
      </c>
      <c r="M308" s="570" t="str">
        <f>VLOOKUP(C308,IS_WTB!$C:$E,3,0)</f>
        <v>계약직급여</v>
      </c>
    </row>
    <row r="309" spans="1:13">
      <c r="A309" s="755"/>
      <c r="B309" s="755"/>
      <c r="C309" s="755">
        <v>600700</v>
      </c>
      <c r="D309" s="755" t="s">
        <v>88</v>
      </c>
      <c r="E309" s="755">
        <v>0</v>
      </c>
      <c r="F309" s="756">
        <v>5154464140</v>
      </c>
      <c r="G309" s="756">
        <v>656780290</v>
      </c>
      <c r="H309" s="755">
        <v>0</v>
      </c>
      <c r="I309" s="756">
        <v>656780290</v>
      </c>
      <c r="J309" s="756">
        <v>5824343720</v>
      </c>
      <c r="K309" s="756">
        <v>-13099290</v>
      </c>
      <c r="L309" s="756">
        <v>5811244430</v>
      </c>
      <c r="M309" s="570" t="str">
        <f>VLOOKUP(C309,IS_WTB!$C:$E,3,0)</f>
        <v>용역직인건비</v>
      </c>
    </row>
    <row r="310" spans="1:13">
      <c r="A310" s="755"/>
      <c r="B310" s="755"/>
      <c r="C310" s="755">
        <v>600900</v>
      </c>
      <c r="D310" s="755" t="s">
        <v>1337</v>
      </c>
      <c r="E310" s="755">
        <v>0</v>
      </c>
      <c r="F310" s="756">
        <v>1451615611</v>
      </c>
      <c r="G310" s="756">
        <v>229897263</v>
      </c>
      <c r="H310" s="755">
        <v>0</v>
      </c>
      <c r="I310" s="756">
        <v>229897263</v>
      </c>
      <c r="J310" s="756">
        <v>1717345265</v>
      </c>
      <c r="K310" s="756">
        <v>-35832391</v>
      </c>
      <c r="L310" s="756">
        <v>1681512874</v>
      </c>
      <c r="M310" s="570" t="str">
        <f>VLOOKUP(C310,IS_WTB!$C:$E,3,0)</f>
        <v>주식보상비용</v>
      </c>
    </row>
    <row r="311" spans="1:13">
      <c r="A311" s="755"/>
      <c r="B311" s="755">
        <v>6101</v>
      </c>
      <c r="C311" s="755"/>
      <c r="D311" s="755" t="s">
        <v>67</v>
      </c>
      <c r="E311" s="755">
        <v>0</v>
      </c>
      <c r="F311" s="756">
        <v>1308728413</v>
      </c>
      <c r="G311" s="756">
        <v>150706381</v>
      </c>
      <c r="H311" s="755">
        <v>0</v>
      </c>
      <c r="I311" s="756">
        <v>150706381</v>
      </c>
      <c r="J311" s="756">
        <v>1459434830</v>
      </c>
      <c r="K311" s="755">
        <v>-36</v>
      </c>
      <c r="L311" s="756">
        <v>1459434794</v>
      </c>
      <c r="M311" s="570" t="e">
        <f>VLOOKUP(C311,IS_WTB!$C:$E,3,0)</f>
        <v>#N/A</v>
      </c>
    </row>
    <row r="312" spans="1:13">
      <c r="A312" s="755"/>
      <c r="B312" s="755"/>
      <c r="C312" s="755">
        <v>610900</v>
      </c>
      <c r="D312" s="755" t="s">
        <v>66</v>
      </c>
      <c r="E312" s="755">
        <v>0</v>
      </c>
      <c r="F312" s="756">
        <v>1308728413</v>
      </c>
      <c r="G312" s="756">
        <v>150706381</v>
      </c>
      <c r="H312" s="755">
        <v>0</v>
      </c>
      <c r="I312" s="756">
        <v>150706381</v>
      </c>
      <c r="J312" s="756">
        <v>1459434830</v>
      </c>
      <c r="K312" s="755">
        <v>-36</v>
      </c>
      <c r="L312" s="756">
        <v>1459434794</v>
      </c>
      <c r="M312" s="570" t="str">
        <f>VLOOKUP(C312,IS_WTB!$C:$E,3,0)</f>
        <v>기타전용회선료</v>
      </c>
    </row>
    <row r="313" spans="1:13">
      <c r="A313" s="755"/>
      <c r="B313" s="755">
        <v>6150</v>
      </c>
      <c r="C313" s="755"/>
      <c r="D313" s="755" t="s">
        <v>87</v>
      </c>
      <c r="E313" s="755">
        <v>0</v>
      </c>
      <c r="F313" s="756">
        <v>4718853032</v>
      </c>
      <c r="G313" s="756">
        <v>6468142590</v>
      </c>
      <c r="H313" s="756">
        <v>-5782282781</v>
      </c>
      <c r="I313" s="756">
        <v>685859809</v>
      </c>
      <c r="J313" s="756">
        <v>29642745255</v>
      </c>
      <c r="K313" s="756">
        <v>-24238032414</v>
      </c>
      <c r="L313" s="756">
        <v>5404712841</v>
      </c>
      <c r="M313" s="570" t="e">
        <f>VLOOKUP(C313,IS_WTB!$C:$E,3,0)</f>
        <v>#N/A</v>
      </c>
    </row>
    <row r="314" spans="1:13">
      <c r="A314" s="755"/>
      <c r="B314" s="755"/>
      <c r="C314" s="755">
        <v>602110</v>
      </c>
      <c r="D314" s="755" t="s">
        <v>86</v>
      </c>
      <c r="E314" s="755">
        <v>0</v>
      </c>
      <c r="F314" s="756">
        <v>4337874874</v>
      </c>
      <c r="G314" s="756">
        <v>4740920683</v>
      </c>
      <c r="H314" s="756">
        <v>-4105214394</v>
      </c>
      <c r="I314" s="756">
        <v>635706289</v>
      </c>
      <c r="J314" s="756">
        <v>21907590536</v>
      </c>
      <c r="K314" s="756">
        <v>-16934009373</v>
      </c>
      <c r="L314" s="756">
        <v>4973581163</v>
      </c>
      <c r="M314" s="570" t="str">
        <f>VLOOKUP(C314,IS_WTB!$C:$E,3,0)</f>
        <v>퇴직급여-당기근무-종</v>
      </c>
    </row>
    <row r="315" spans="1:13">
      <c r="A315" s="755"/>
      <c r="B315" s="755"/>
      <c r="C315" s="755">
        <v>602112</v>
      </c>
      <c r="D315" s="755" t="s">
        <v>85</v>
      </c>
      <c r="E315" s="755">
        <v>0</v>
      </c>
      <c r="F315" s="756">
        <v>294798821</v>
      </c>
      <c r="G315" s="756">
        <v>354429924</v>
      </c>
      <c r="H315" s="756">
        <v>-315048821</v>
      </c>
      <c r="I315" s="756">
        <v>39381103</v>
      </c>
      <c r="J315" s="756">
        <v>1654006311</v>
      </c>
      <c r="K315" s="756">
        <v>-1319826387</v>
      </c>
      <c r="L315" s="756">
        <v>334179924</v>
      </c>
      <c r="M315" s="570" t="str">
        <f>VLOOKUP(C315,IS_WTB!$C:$E,3,0)</f>
        <v>퇴직급여-당기근무-임</v>
      </c>
    </row>
    <row r="316" spans="1:13">
      <c r="A316" s="755"/>
      <c r="B316" s="755"/>
      <c r="C316" s="755">
        <v>602130</v>
      </c>
      <c r="D316" s="755" t="s">
        <v>84</v>
      </c>
      <c r="E316" s="755">
        <v>0</v>
      </c>
      <c r="F316" s="756">
        <v>659546800</v>
      </c>
      <c r="G316" s="756">
        <v>741990150</v>
      </c>
      <c r="H316" s="756">
        <v>-659546800</v>
      </c>
      <c r="I316" s="756">
        <v>82443350</v>
      </c>
      <c r="J316" s="756">
        <v>3462620700</v>
      </c>
      <c r="K316" s="756">
        <v>-2720630550</v>
      </c>
      <c r="L316" s="756">
        <v>741990150</v>
      </c>
      <c r="M316" s="570" t="str">
        <f>VLOOKUP(C316,IS_WTB!$C:$E,3,0)</f>
        <v>퇴직급여-이자비용-종</v>
      </c>
    </row>
    <row r="317" spans="1:13">
      <c r="A317" s="755"/>
      <c r="B317" s="755"/>
      <c r="C317" s="755">
        <v>602131</v>
      </c>
      <c r="D317" s="755" t="s">
        <v>83</v>
      </c>
      <c r="E317" s="755">
        <v>0</v>
      </c>
      <c r="F317" s="756">
        <v>27027939</v>
      </c>
      <c r="G317" s="756">
        <v>30406431</v>
      </c>
      <c r="H317" s="756">
        <v>-27027939</v>
      </c>
      <c r="I317" s="756">
        <v>3378492</v>
      </c>
      <c r="J317" s="756">
        <v>141896677</v>
      </c>
      <c r="K317" s="756">
        <v>-111490246</v>
      </c>
      <c r="L317" s="756">
        <v>30406431</v>
      </c>
      <c r="M317" s="570" t="str">
        <f>VLOOKUP(C317,IS_WTB!$C:$E,3,0)</f>
        <v>퇴직급여-이자비용-임</v>
      </c>
    </row>
    <row r="318" spans="1:13">
      <c r="A318" s="755"/>
      <c r="B318" s="755"/>
      <c r="C318" s="755">
        <v>602140</v>
      </c>
      <c r="D318" s="755" t="s">
        <v>82</v>
      </c>
      <c r="E318" s="755">
        <v>0</v>
      </c>
      <c r="F318" s="756">
        <v>-557602958</v>
      </c>
      <c r="G318" s="756">
        <v>557602958</v>
      </c>
      <c r="H318" s="756">
        <v>-627303328</v>
      </c>
      <c r="I318" s="756">
        <v>-69700370</v>
      </c>
      <c r="J318" s="756">
        <v>2300112201</v>
      </c>
      <c r="K318" s="756">
        <v>-2927415529</v>
      </c>
      <c r="L318" s="756">
        <v>-627303328</v>
      </c>
      <c r="M318" s="570" t="str">
        <f>VLOOKUP(C318,IS_WTB!$C:$E,3,0)</f>
        <v>퇴직급여-기대수익-종</v>
      </c>
    </row>
    <row r="319" spans="1:13">
      <c r="A319" s="755"/>
      <c r="B319" s="755"/>
      <c r="C319" s="755">
        <v>602141</v>
      </c>
      <c r="D319" s="755" t="s">
        <v>81</v>
      </c>
      <c r="E319" s="755">
        <v>0</v>
      </c>
      <c r="F319" s="756">
        <v>-42792444</v>
      </c>
      <c r="G319" s="756">
        <v>42792444</v>
      </c>
      <c r="H319" s="756">
        <v>-48141499</v>
      </c>
      <c r="I319" s="756">
        <v>-5349055</v>
      </c>
      <c r="J319" s="756">
        <v>176518830</v>
      </c>
      <c r="K319" s="756">
        <v>-224660329</v>
      </c>
      <c r="L319" s="756">
        <v>-48141499</v>
      </c>
      <c r="M319" s="570" t="str">
        <f>VLOOKUP(C319,IS_WTB!$C:$E,3,0)</f>
        <v>퇴직급여-기대수익-임</v>
      </c>
    </row>
    <row r="320" spans="1:13">
      <c r="A320" s="755"/>
      <c r="B320" s="755">
        <v>6243</v>
      </c>
      <c r="C320" s="755"/>
      <c r="D320" s="755" t="s">
        <v>495</v>
      </c>
      <c r="E320" s="755">
        <v>0</v>
      </c>
      <c r="F320" s="756">
        <v>68344934812</v>
      </c>
      <c r="G320" s="756">
        <v>28967015356</v>
      </c>
      <c r="H320" s="756">
        <v>-21074980933</v>
      </c>
      <c r="I320" s="756">
        <v>7892034423</v>
      </c>
      <c r="J320" s="756">
        <v>195915215735</v>
      </c>
      <c r="K320" s="756">
        <v>-119678246500</v>
      </c>
      <c r="L320" s="756">
        <v>76236969235</v>
      </c>
      <c r="M320" s="570" t="e">
        <f>VLOOKUP(C320,IS_WTB!$C:$E,3,0)</f>
        <v>#N/A</v>
      </c>
    </row>
    <row r="321" spans="1:13">
      <c r="A321" s="755"/>
      <c r="B321" s="755"/>
      <c r="C321" s="755">
        <v>624300</v>
      </c>
      <c r="D321" s="755" t="s">
        <v>933</v>
      </c>
      <c r="E321" s="755">
        <v>0</v>
      </c>
      <c r="F321" s="756">
        <v>68344934812</v>
      </c>
      <c r="G321" s="756">
        <v>28967015356</v>
      </c>
      <c r="H321" s="756">
        <v>-21074980933</v>
      </c>
      <c r="I321" s="756">
        <v>7892034423</v>
      </c>
      <c r="J321" s="756">
        <v>195915215735</v>
      </c>
      <c r="K321" s="756">
        <v>-119678246500</v>
      </c>
      <c r="L321" s="756">
        <v>76236969235</v>
      </c>
      <c r="M321" s="570" t="str">
        <f>VLOOKUP(C321,IS_WTB!$C:$E,3,0)</f>
        <v>고객유지수수료</v>
      </c>
    </row>
    <row r="322" spans="1:13">
      <c r="A322" s="755"/>
      <c r="B322" s="755">
        <v>6250</v>
      </c>
      <c r="C322" s="755"/>
      <c r="D322" s="755" t="s">
        <v>496</v>
      </c>
      <c r="E322" s="755">
        <v>0</v>
      </c>
      <c r="F322" s="756">
        <v>4120336994</v>
      </c>
      <c r="G322" s="756">
        <v>2138289024</v>
      </c>
      <c r="H322" s="756">
        <v>-1559531974</v>
      </c>
      <c r="I322" s="756">
        <v>578757050</v>
      </c>
      <c r="J322" s="756">
        <v>15342176463</v>
      </c>
      <c r="K322" s="756">
        <v>-10643082419</v>
      </c>
      <c r="L322" s="756">
        <v>4699094044</v>
      </c>
      <c r="M322" s="570" t="e">
        <f>VLOOKUP(C322,IS_WTB!$C:$E,3,0)</f>
        <v>#N/A</v>
      </c>
    </row>
    <row r="323" spans="1:13">
      <c r="A323" s="755"/>
      <c r="B323" s="755"/>
      <c r="C323" s="755">
        <v>625300</v>
      </c>
      <c r="D323" s="755" t="s">
        <v>63</v>
      </c>
      <c r="E323" s="755">
        <v>0</v>
      </c>
      <c r="F323" s="756">
        <v>4019663338</v>
      </c>
      <c r="G323" s="756">
        <v>599039006</v>
      </c>
      <c r="H323" s="756">
        <v>-300000</v>
      </c>
      <c r="I323" s="756">
        <v>598739006</v>
      </c>
      <c r="J323" s="756">
        <v>4621502344</v>
      </c>
      <c r="K323" s="756">
        <v>-3100000</v>
      </c>
      <c r="L323" s="756">
        <v>4618402344</v>
      </c>
      <c r="M323" s="570" t="str">
        <f>VLOOKUP(C323,IS_WTB!$C:$E,3,0)</f>
        <v>사옥관리용역비</v>
      </c>
    </row>
    <row r="324" spans="1:13">
      <c r="A324" s="755"/>
      <c r="B324" s="755"/>
      <c r="C324" s="755">
        <v>634300</v>
      </c>
      <c r="D324" s="755" t="s">
        <v>50</v>
      </c>
      <c r="E324" s="755">
        <v>0</v>
      </c>
      <c r="F324" s="756">
        <v>76566700</v>
      </c>
      <c r="G324" s="756">
        <v>4125000</v>
      </c>
      <c r="H324" s="755">
        <v>0</v>
      </c>
      <c r="I324" s="756">
        <v>4125000</v>
      </c>
      <c r="J324" s="756">
        <v>157491700</v>
      </c>
      <c r="K324" s="756">
        <v>-76800000</v>
      </c>
      <c r="L324" s="756">
        <v>80691700</v>
      </c>
      <c r="M324" s="570" t="str">
        <f>VLOOKUP(C324,IS_WTB!$C:$E,3,0)</f>
        <v>사옥수리비</v>
      </c>
    </row>
    <row r="325" spans="1:13">
      <c r="A325" s="755"/>
      <c r="B325" s="755"/>
      <c r="C325" s="755">
        <v>635200</v>
      </c>
      <c r="D325" s="755" t="s">
        <v>48</v>
      </c>
      <c r="E325" s="755">
        <v>0</v>
      </c>
      <c r="F325" s="756">
        <v>23021866</v>
      </c>
      <c r="G325" s="756">
        <v>1530839054</v>
      </c>
      <c r="H325" s="756">
        <v>-1553860920</v>
      </c>
      <c r="I325" s="756">
        <v>-23021866</v>
      </c>
      <c r="J325" s="756">
        <v>10519770473</v>
      </c>
      <c r="K325" s="756">
        <v>-10519770473</v>
      </c>
      <c r="L325" s="755">
        <v>0</v>
      </c>
      <c r="M325" s="570" t="str">
        <f>VLOOKUP(C325,IS_WTB!$C:$E,3,0)</f>
        <v>사무실임차료</v>
      </c>
    </row>
    <row r="326" spans="1:13">
      <c r="A326" s="755"/>
      <c r="B326" s="755"/>
      <c r="C326" s="755">
        <v>635600</v>
      </c>
      <c r="D326" s="755" t="s">
        <v>47</v>
      </c>
      <c r="E326" s="755">
        <v>0</v>
      </c>
      <c r="F326" s="756">
        <v>1085090</v>
      </c>
      <c r="G326" s="756">
        <v>4285964</v>
      </c>
      <c r="H326" s="756">
        <v>-5371054</v>
      </c>
      <c r="I326" s="756">
        <v>-1085090</v>
      </c>
      <c r="J326" s="756">
        <v>43411946</v>
      </c>
      <c r="K326" s="756">
        <v>-43411946</v>
      </c>
      <c r="L326" s="755">
        <v>0</v>
      </c>
      <c r="M326" s="570" t="str">
        <f>VLOOKUP(C326,IS_WTB!$C:$E,3,0)</f>
        <v>사무집기임차료</v>
      </c>
    </row>
    <row r="327" spans="1:13">
      <c r="A327" s="755"/>
      <c r="B327" s="755">
        <v>6251</v>
      </c>
      <c r="C327" s="755"/>
      <c r="D327" s="755" t="s">
        <v>64</v>
      </c>
      <c r="E327" s="755">
        <v>0</v>
      </c>
      <c r="F327" s="756">
        <v>33991616345</v>
      </c>
      <c r="G327" s="756">
        <v>4313307681</v>
      </c>
      <c r="H327" s="756">
        <v>-263537458</v>
      </c>
      <c r="I327" s="756">
        <v>4049770223</v>
      </c>
      <c r="J327" s="756">
        <v>41527063252</v>
      </c>
      <c r="K327" s="756">
        <v>-3485676684</v>
      </c>
      <c r="L327" s="756">
        <v>38041386568</v>
      </c>
      <c r="M327" s="570" t="e">
        <f>VLOOKUP(C327,IS_WTB!$C:$E,3,0)</f>
        <v>#N/A</v>
      </c>
    </row>
    <row r="328" spans="1:13">
      <c r="A328" s="755"/>
      <c r="B328" s="755"/>
      <c r="C328" s="755">
        <v>625200</v>
      </c>
      <c r="D328" s="755" t="s">
        <v>879</v>
      </c>
      <c r="E328" s="755">
        <v>0</v>
      </c>
      <c r="F328" s="756">
        <v>17100000</v>
      </c>
      <c r="G328" s="755">
        <v>0</v>
      </c>
      <c r="H328" s="755">
        <v>0</v>
      </c>
      <c r="I328" s="755">
        <v>0</v>
      </c>
      <c r="J328" s="756">
        <v>17100000</v>
      </c>
      <c r="K328" s="755">
        <v>0</v>
      </c>
      <c r="L328" s="756">
        <v>17100000</v>
      </c>
      <c r="M328" s="570" t="str">
        <f>VLOOKUP(C328,IS_WTB!$C:$E,3,0)</f>
        <v>일반조사용역비</v>
      </c>
    </row>
    <row r="329" spans="1:13">
      <c r="A329" s="755"/>
      <c r="B329" s="755"/>
      <c r="C329" s="755">
        <v>625900</v>
      </c>
      <c r="D329" s="755" t="s">
        <v>62</v>
      </c>
      <c r="E329" s="755">
        <v>0</v>
      </c>
      <c r="F329" s="756">
        <v>8923480754</v>
      </c>
      <c r="G329" s="756">
        <v>1235339962</v>
      </c>
      <c r="H329" s="756">
        <v>-6000000</v>
      </c>
      <c r="I329" s="756">
        <v>1229339962</v>
      </c>
      <c r="J329" s="756">
        <v>10398525279</v>
      </c>
      <c r="K329" s="756">
        <v>-245704563</v>
      </c>
      <c r="L329" s="756">
        <v>10152820716</v>
      </c>
      <c r="M329" s="570" t="str">
        <f>VLOOKUP(C329,IS_WTB!$C:$E,3,0)</f>
        <v>기타외주용역비</v>
      </c>
    </row>
    <row r="330" spans="1:13">
      <c r="A330" s="755"/>
      <c r="B330" s="755"/>
      <c r="C330" s="755">
        <v>625910</v>
      </c>
      <c r="D330" s="755" t="s">
        <v>806</v>
      </c>
      <c r="E330" s="755">
        <v>0</v>
      </c>
      <c r="F330" s="756">
        <v>12335533845</v>
      </c>
      <c r="G330" s="756">
        <v>1408450072</v>
      </c>
      <c r="H330" s="756">
        <v>-42768000</v>
      </c>
      <c r="I330" s="756">
        <v>1365682072</v>
      </c>
      <c r="J330" s="756">
        <v>15112927019</v>
      </c>
      <c r="K330" s="756">
        <v>-1411711102</v>
      </c>
      <c r="L330" s="756">
        <v>13701215917</v>
      </c>
      <c r="M330" s="570" t="str">
        <f>VLOOKUP(C330,IS_WTB!$C:$E,3,0)</f>
        <v>11번가외주비_시스템</v>
      </c>
    </row>
    <row r="331" spans="1:13">
      <c r="A331" s="755"/>
      <c r="B331" s="755"/>
      <c r="C331" s="755">
        <v>625930</v>
      </c>
      <c r="D331" s="755" t="s">
        <v>807</v>
      </c>
      <c r="E331" s="755">
        <v>0</v>
      </c>
      <c r="F331" s="756">
        <v>12715501746</v>
      </c>
      <c r="G331" s="756">
        <v>1669517647</v>
      </c>
      <c r="H331" s="756">
        <v>-214769458</v>
      </c>
      <c r="I331" s="756">
        <v>1454748189</v>
      </c>
      <c r="J331" s="756">
        <v>15998510954</v>
      </c>
      <c r="K331" s="756">
        <v>-1828261019</v>
      </c>
      <c r="L331" s="756">
        <v>14170249935</v>
      </c>
      <c r="M331" s="570" t="str">
        <f>VLOOKUP(C331,IS_WTB!$C:$E,3,0)</f>
        <v>11번가외주비_콜센터</v>
      </c>
    </row>
    <row r="332" spans="1:13">
      <c r="A332" s="755"/>
      <c r="B332" s="755">
        <v>6261</v>
      </c>
      <c r="C332" s="755"/>
      <c r="D332" s="755" t="s">
        <v>61</v>
      </c>
      <c r="E332" s="755">
        <v>0</v>
      </c>
      <c r="F332" s="756">
        <v>33956786897</v>
      </c>
      <c r="G332" s="756">
        <v>5421893564</v>
      </c>
      <c r="H332" s="756">
        <v>-156404270</v>
      </c>
      <c r="I332" s="756">
        <v>5265489294</v>
      </c>
      <c r="J332" s="756">
        <v>41482481533</v>
      </c>
      <c r="K332" s="756">
        <v>-2260205342</v>
      </c>
      <c r="L332" s="756">
        <v>39222276191</v>
      </c>
      <c r="M332" s="570" t="e">
        <f>VLOOKUP(C332,IS_WTB!$C:$E,3,0)</f>
        <v>#N/A</v>
      </c>
    </row>
    <row r="333" spans="1:13">
      <c r="A333" s="755"/>
      <c r="B333" s="755"/>
      <c r="C333" s="755">
        <v>626100</v>
      </c>
      <c r="D333" s="755" t="s">
        <v>60</v>
      </c>
      <c r="E333" s="755">
        <v>0</v>
      </c>
      <c r="F333" s="756">
        <v>1236812119</v>
      </c>
      <c r="G333" s="756">
        <v>90186250</v>
      </c>
      <c r="H333" s="755">
        <v>0</v>
      </c>
      <c r="I333" s="756">
        <v>90186250</v>
      </c>
      <c r="J333" s="756">
        <v>1326998369</v>
      </c>
      <c r="K333" s="755">
        <v>0</v>
      </c>
      <c r="L333" s="756">
        <v>1326998369</v>
      </c>
      <c r="M333" s="570" t="str">
        <f>VLOOKUP(C333,IS_WTB!$C:$E,3,0)</f>
        <v>자문수수료</v>
      </c>
    </row>
    <row r="334" spans="1:13">
      <c r="A334" s="755"/>
      <c r="B334" s="755"/>
      <c r="C334" s="755">
        <v>626170</v>
      </c>
      <c r="D334" s="755" t="s">
        <v>808</v>
      </c>
      <c r="E334" s="755">
        <v>0</v>
      </c>
      <c r="F334" s="756">
        <v>10240136083</v>
      </c>
      <c r="G334" s="756">
        <v>1206746651</v>
      </c>
      <c r="H334" s="755">
        <v>0</v>
      </c>
      <c r="I334" s="756">
        <v>1206746651</v>
      </c>
      <c r="J334" s="756">
        <v>11457536113</v>
      </c>
      <c r="K334" s="756">
        <v>-10653379</v>
      </c>
      <c r="L334" s="756">
        <v>11446882734</v>
      </c>
      <c r="M334" s="570" t="str">
        <f>VLOOKUP(C334,IS_WTB!$C:$E,3,0)</f>
        <v>일반수수료-변동</v>
      </c>
    </row>
    <row r="335" spans="1:13">
      <c r="A335" s="755"/>
      <c r="B335" s="755"/>
      <c r="C335" s="755">
        <v>626180</v>
      </c>
      <c r="D335" s="755" t="s">
        <v>59</v>
      </c>
      <c r="E335" s="755">
        <v>0</v>
      </c>
      <c r="F335" s="756">
        <v>14975214516</v>
      </c>
      <c r="G335" s="756">
        <v>2975841817</v>
      </c>
      <c r="H335" s="756">
        <v>-78014457</v>
      </c>
      <c r="I335" s="756">
        <v>2897827360</v>
      </c>
      <c r="J335" s="756">
        <v>19052307261</v>
      </c>
      <c r="K335" s="756">
        <v>-1179265385</v>
      </c>
      <c r="L335" s="756">
        <v>17873041876</v>
      </c>
      <c r="M335" s="570" t="str">
        <f>VLOOKUP(C335,IS_WTB!$C:$E,3,0)</f>
        <v>물류비</v>
      </c>
    </row>
    <row r="336" spans="1:13">
      <c r="A336" s="755"/>
      <c r="B336" s="755"/>
      <c r="C336" s="755">
        <v>626181</v>
      </c>
      <c r="D336" s="755" t="s">
        <v>1570</v>
      </c>
      <c r="E336" s="755">
        <v>0</v>
      </c>
      <c r="F336" s="756">
        <v>1213773216</v>
      </c>
      <c r="G336" s="756">
        <v>271500000</v>
      </c>
      <c r="H336" s="756">
        <v>-16500000</v>
      </c>
      <c r="I336" s="756">
        <v>255000000</v>
      </c>
      <c r="J336" s="756">
        <v>1555226784</v>
      </c>
      <c r="K336" s="756">
        <v>-86453568</v>
      </c>
      <c r="L336" s="756">
        <v>1468773216</v>
      </c>
      <c r="M336" s="570" t="str">
        <f>VLOOKUP(C336,IS_WTB!$C:$E,3,0)</f>
        <v>물류비-고정</v>
      </c>
    </row>
    <row r="337" spans="1:13">
      <c r="A337" s="755"/>
      <c r="B337" s="755"/>
      <c r="C337" s="755">
        <v>626190</v>
      </c>
      <c r="D337" s="755" t="s">
        <v>809</v>
      </c>
      <c r="E337" s="755">
        <v>0</v>
      </c>
      <c r="F337" s="756">
        <v>6002146963</v>
      </c>
      <c r="G337" s="756">
        <v>841530846</v>
      </c>
      <c r="H337" s="756">
        <v>-61889813</v>
      </c>
      <c r="I337" s="756">
        <v>779641033</v>
      </c>
      <c r="J337" s="756">
        <v>7765621006</v>
      </c>
      <c r="K337" s="756">
        <v>-983833010</v>
      </c>
      <c r="L337" s="756">
        <v>6781787996</v>
      </c>
      <c r="M337" s="570" t="str">
        <f>VLOOKUP(C337,IS_WTB!$C:$E,3,0)</f>
        <v>기타일반수수료</v>
      </c>
    </row>
    <row r="338" spans="1:13">
      <c r="A338" s="755"/>
      <c r="B338" s="755"/>
      <c r="C338" s="755">
        <v>626200</v>
      </c>
      <c r="D338" s="755" t="s">
        <v>932</v>
      </c>
      <c r="E338" s="755">
        <v>0</v>
      </c>
      <c r="F338" s="756">
        <v>288704000</v>
      </c>
      <c r="G338" s="756">
        <v>36088000</v>
      </c>
      <c r="H338" s="755">
        <v>0</v>
      </c>
      <c r="I338" s="756">
        <v>36088000</v>
      </c>
      <c r="J338" s="756">
        <v>324792000</v>
      </c>
      <c r="K338" s="755">
        <v>0</v>
      </c>
      <c r="L338" s="756">
        <v>324792000</v>
      </c>
      <c r="M338" s="570" t="str">
        <f>VLOOKUP(C338,IS_WTB!$C:$E,3,0)</f>
        <v>지급수수료_브랜드</v>
      </c>
    </row>
    <row r="339" spans="1:13">
      <c r="A339" s="755"/>
      <c r="B339" s="755">
        <v>6301</v>
      </c>
      <c r="C339" s="755"/>
      <c r="D339" s="755" t="s">
        <v>57</v>
      </c>
      <c r="E339" s="755">
        <v>0</v>
      </c>
      <c r="F339" s="756">
        <v>82315380691</v>
      </c>
      <c r="G339" s="756">
        <v>10928955260</v>
      </c>
      <c r="H339" s="756">
        <v>-1632719279</v>
      </c>
      <c r="I339" s="756">
        <v>9296235981</v>
      </c>
      <c r="J339" s="756">
        <v>98321315761</v>
      </c>
      <c r="K339" s="756">
        <v>-6709699089</v>
      </c>
      <c r="L339" s="756">
        <v>91611616672</v>
      </c>
      <c r="M339" s="570" t="e">
        <f>VLOOKUP(C339,IS_WTB!$C:$E,3,0)</f>
        <v>#N/A</v>
      </c>
    </row>
    <row r="340" spans="1:13">
      <c r="A340" s="755"/>
      <c r="B340" s="755"/>
      <c r="C340" s="755">
        <v>630190</v>
      </c>
      <c r="D340" s="755" t="s">
        <v>56</v>
      </c>
      <c r="E340" s="755">
        <v>0</v>
      </c>
      <c r="F340" s="756">
        <v>6506562497</v>
      </c>
      <c r="G340" s="756">
        <v>1826815198</v>
      </c>
      <c r="H340" s="756">
        <v>-1094025000</v>
      </c>
      <c r="I340" s="756">
        <v>732790198</v>
      </c>
      <c r="J340" s="756">
        <v>10156342756</v>
      </c>
      <c r="K340" s="756">
        <v>-2916990061</v>
      </c>
      <c r="L340" s="756">
        <v>7239352695</v>
      </c>
      <c r="M340" s="570" t="str">
        <f>VLOOKUP(C340,IS_WTB!$C:$E,3,0)</f>
        <v>기타일반광고비</v>
      </c>
    </row>
    <row r="341" spans="1:13">
      <c r="A341" s="755"/>
      <c r="B341" s="755"/>
      <c r="C341" s="755">
        <v>632100</v>
      </c>
      <c r="D341" s="755" t="s">
        <v>54</v>
      </c>
      <c r="E341" s="755">
        <v>0</v>
      </c>
      <c r="F341" s="756">
        <v>13772089238</v>
      </c>
      <c r="G341" s="756">
        <v>1474525404</v>
      </c>
      <c r="H341" s="756">
        <v>-33032553</v>
      </c>
      <c r="I341" s="756">
        <v>1441492851</v>
      </c>
      <c r="J341" s="756">
        <v>14745030695</v>
      </c>
      <c r="K341" s="756">
        <v>468551394</v>
      </c>
      <c r="L341" s="756">
        <v>15213582089</v>
      </c>
      <c r="M341" s="570" t="str">
        <f>VLOOKUP(C341,IS_WTB!$C:$E,3,0)</f>
        <v>판촉행사비용</v>
      </c>
    </row>
    <row r="342" spans="1:13">
      <c r="A342" s="755"/>
      <c r="B342" s="755"/>
      <c r="C342" s="755">
        <v>633900</v>
      </c>
      <c r="D342" s="755" t="s">
        <v>53</v>
      </c>
      <c r="E342" s="755">
        <v>0</v>
      </c>
      <c r="F342" s="756">
        <v>539521226</v>
      </c>
      <c r="G342" s="756">
        <v>24932574</v>
      </c>
      <c r="H342" s="755">
        <v>0</v>
      </c>
      <c r="I342" s="756">
        <v>24932574</v>
      </c>
      <c r="J342" s="756">
        <v>1058768800</v>
      </c>
      <c r="K342" s="756">
        <v>-494315000</v>
      </c>
      <c r="L342" s="756">
        <v>564453800</v>
      </c>
      <c r="M342" s="570" t="str">
        <f>VLOOKUP(C342,IS_WTB!$C:$E,3,0)</f>
        <v>기타판촉비</v>
      </c>
    </row>
    <row r="343" spans="1:13">
      <c r="A343" s="755"/>
      <c r="B343" s="755"/>
      <c r="C343" s="755">
        <v>634100</v>
      </c>
      <c r="D343" s="755" t="s">
        <v>52</v>
      </c>
      <c r="E343" s="755">
        <v>0</v>
      </c>
      <c r="F343" s="756">
        <v>61497207730</v>
      </c>
      <c r="G343" s="756">
        <v>7602682084</v>
      </c>
      <c r="H343" s="756">
        <v>-505661726</v>
      </c>
      <c r="I343" s="756">
        <v>7097020358</v>
      </c>
      <c r="J343" s="756">
        <v>72361173510</v>
      </c>
      <c r="K343" s="756">
        <v>-3766945422</v>
      </c>
      <c r="L343" s="756">
        <v>68594228088</v>
      </c>
      <c r="M343" s="570" t="str">
        <f>VLOOKUP(C343,IS_WTB!$C:$E,3,0)</f>
        <v>제휴수수료</v>
      </c>
    </row>
    <row r="344" spans="1:13">
      <c r="A344" s="755"/>
      <c r="B344" s="755">
        <v>6350</v>
      </c>
      <c r="C344" s="755"/>
      <c r="D344" s="755" t="s">
        <v>497</v>
      </c>
      <c r="E344" s="755">
        <v>0</v>
      </c>
      <c r="F344" s="756">
        <v>330397030</v>
      </c>
      <c r="G344" s="756">
        <v>101519296</v>
      </c>
      <c r="H344" s="756">
        <v>-9630100</v>
      </c>
      <c r="I344" s="756">
        <v>91889196</v>
      </c>
      <c r="J344" s="756">
        <v>522640889</v>
      </c>
      <c r="K344" s="756">
        <v>-100354663</v>
      </c>
      <c r="L344" s="756">
        <v>422286226</v>
      </c>
      <c r="M344" s="570" t="e">
        <f>VLOOKUP(C344,IS_WTB!$C:$E,3,0)</f>
        <v>#N/A</v>
      </c>
    </row>
    <row r="345" spans="1:13">
      <c r="A345" s="755"/>
      <c r="B345" s="755"/>
      <c r="C345" s="755">
        <v>635500</v>
      </c>
      <c r="D345" s="755" t="s">
        <v>845</v>
      </c>
      <c r="E345" s="755">
        <v>0</v>
      </c>
      <c r="F345" s="756">
        <v>86280148</v>
      </c>
      <c r="G345" s="756">
        <v>83128509</v>
      </c>
      <c r="H345" s="756">
        <v>-6871320</v>
      </c>
      <c r="I345" s="756">
        <v>76257189</v>
      </c>
      <c r="J345" s="756">
        <v>240084350</v>
      </c>
      <c r="K345" s="756">
        <v>-77547013</v>
      </c>
      <c r="L345" s="756">
        <v>162537337</v>
      </c>
      <c r="M345" s="570" t="str">
        <f>VLOOKUP(C345,IS_WTB!$C:$E,3,0)</f>
        <v>단기리스료</v>
      </c>
    </row>
    <row r="346" spans="1:13">
      <c r="A346" s="755"/>
      <c r="B346" s="755"/>
      <c r="C346" s="755">
        <v>639300</v>
      </c>
      <c r="D346" s="755" t="s">
        <v>42</v>
      </c>
      <c r="E346" s="755">
        <v>0</v>
      </c>
      <c r="F346" s="756">
        <v>136697681</v>
      </c>
      <c r="G346" s="756">
        <v>11076694</v>
      </c>
      <c r="H346" s="756">
        <v>-2758780</v>
      </c>
      <c r="I346" s="756">
        <v>8317914</v>
      </c>
      <c r="J346" s="756">
        <v>167823245</v>
      </c>
      <c r="K346" s="756">
        <v>-22807650</v>
      </c>
      <c r="L346" s="756">
        <v>145015595</v>
      </c>
      <c r="M346" s="570" t="str">
        <f>VLOOKUP(C346,IS_WTB!$C:$E,3,0)</f>
        <v>일반사무용소모품비</v>
      </c>
    </row>
    <row r="347" spans="1:13">
      <c r="A347" s="755"/>
      <c r="B347" s="755"/>
      <c r="C347" s="755">
        <v>639400</v>
      </c>
      <c r="D347" s="755" t="s">
        <v>245</v>
      </c>
      <c r="E347" s="755">
        <v>0</v>
      </c>
      <c r="F347" s="756">
        <v>82089249</v>
      </c>
      <c r="G347" s="756">
        <v>5682864</v>
      </c>
      <c r="H347" s="755">
        <v>0</v>
      </c>
      <c r="I347" s="756">
        <v>5682864</v>
      </c>
      <c r="J347" s="756">
        <v>87772113</v>
      </c>
      <c r="K347" s="755">
        <v>0</v>
      </c>
      <c r="L347" s="756">
        <v>87772113</v>
      </c>
      <c r="M347" s="570" t="str">
        <f>VLOOKUP(C347,IS_WTB!$C:$E,3,0)</f>
        <v>영업용소모품비</v>
      </c>
    </row>
    <row r="348" spans="1:13">
      <c r="A348" s="755"/>
      <c r="B348" s="755"/>
      <c r="C348" s="755">
        <v>643100</v>
      </c>
      <c r="D348" s="755" t="s">
        <v>38</v>
      </c>
      <c r="E348" s="755">
        <v>0</v>
      </c>
      <c r="F348" s="756">
        <v>25329952</v>
      </c>
      <c r="G348" s="756">
        <v>1631229</v>
      </c>
      <c r="H348" s="755">
        <v>0</v>
      </c>
      <c r="I348" s="756">
        <v>1631229</v>
      </c>
      <c r="J348" s="756">
        <v>26961181</v>
      </c>
      <c r="K348" s="755">
        <v>0</v>
      </c>
      <c r="L348" s="756">
        <v>26961181</v>
      </c>
      <c r="M348" s="570" t="str">
        <f>VLOOKUP(C348,IS_WTB!$C:$E,3,0)</f>
        <v>도서구입비</v>
      </c>
    </row>
    <row r="349" spans="1:13">
      <c r="A349" s="755"/>
      <c r="B349" s="755">
        <v>6351</v>
      </c>
      <c r="C349" s="755"/>
      <c r="D349" s="755" t="s">
        <v>498</v>
      </c>
      <c r="E349" s="755">
        <v>0</v>
      </c>
      <c r="F349" s="756">
        <v>379367701</v>
      </c>
      <c r="G349" s="756">
        <v>38338377</v>
      </c>
      <c r="H349" s="756">
        <v>-903204</v>
      </c>
      <c r="I349" s="756">
        <v>37435173</v>
      </c>
      <c r="J349" s="756">
        <v>421232996</v>
      </c>
      <c r="K349" s="756">
        <v>-4430122</v>
      </c>
      <c r="L349" s="756">
        <v>416802874</v>
      </c>
      <c r="M349" s="570" t="e">
        <f>VLOOKUP(C349,IS_WTB!$C:$E,3,0)</f>
        <v>#N/A</v>
      </c>
    </row>
    <row r="350" spans="1:13">
      <c r="A350" s="755"/>
      <c r="B350" s="755"/>
      <c r="C350" s="755">
        <v>644110</v>
      </c>
      <c r="D350" s="755" t="s">
        <v>364</v>
      </c>
      <c r="E350" s="755">
        <v>0</v>
      </c>
      <c r="F350" s="756">
        <v>231355779</v>
      </c>
      <c r="G350" s="756">
        <v>26034232</v>
      </c>
      <c r="H350" s="756">
        <v>-887500</v>
      </c>
      <c r="I350" s="756">
        <v>25146732</v>
      </c>
      <c r="J350" s="756">
        <v>260052511</v>
      </c>
      <c r="K350" s="756">
        <v>-3550000</v>
      </c>
      <c r="L350" s="756">
        <v>256502511</v>
      </c>
      <c r="M350" s="570" t="str">
        <f>VLOOKUP(C350,IS_WTB!$C:$E,3,0)</f>
        <v>배상책임보험료</v>
      </c>
    </row>
    <row r="351" spans="1:13">
      <c r="A351" s="755"/>
      <c r="B351" s="755"/>
      <c r="C351" s="755">
        <v>645100</v>
      </c>
      <c r="D351" s="755" t="s">
        <v>37</v>
      </c>
      <c r="E351" s="755">
        <v>0</v>
      </c>
      <c r="F351" s="756">
        <v>108985172</v>
      </c>
      <c r="G351" s="756">
        <v>5074580</v>
      </c>
      <c r="H351" s="755">
        <v>0</v>
      </c>
      <c r="I351" s="756">
        <v>5074580</v>
      </c>
      <c r="J351" s="756">
        <v>114924170</v>
      </c>
      <c r="K351" s="756">
        <v>-864418</v>
      </c>
      <c r="L351" s="756">
        <v>114059752</v>
      </c>
      <c r="M351" s="570" t="str">
        <f>VLOOKUP(C351,IS_WTB!$C:$E,3,0)</f>
        <v>피해보상비</v>
      </c>
    </row>
    <row r="352" spans="1:13">
      <c r="A352" s="755"/>
      <c r="B352" s="755"/>
      <c r="C352" s="755">
        <v>655100</v>
      </c>
      <c r="D352" s="755" t="s">
        <v>655</v>
      </c>
      <c r="E352" s="755">
        <v>0</v>
      </c>
      <c r="F352" s="756">
        <v>39026750</v>
      </c>
      <c r="G352" s="756">
        <v>7229565</v>
      </c>
      <c r="H352" s="756">
        <v>-15704</v>
      </c>
      <c r="I352" s="756">
        <v>7213861</v>
      </c>
      <c r="J352" s="756">
        <v>46256315</v>
      </c>
      <c r="K352" s="756">
        <v>-15704</v>
      </c>
      <c r="L352" s="756">
        <v>46240611</v>
      </c>
      <c r="M352" s="570" t="str">
        <f>VLOOKUP(C352,IS_WTB!$C:$E,3,0)</f>
        <v>잡비</v>
      </c>
    </row>
    <row r="353" spans="1:15">
      <c r="A353" s="755"/>
      <c r="B353" s="755">
        <v>6371</v>
      </c>
      <c r="C353" s="755"/>
      <c r="D353" s="755" t="s">
        <v>348</v>
      </c>
      <c r="E353" s="755">
        <v>0</v>
      </c>
      <c r="F353" s="756">
        <v>89425466</v>
      </c>
      <c r="G353" s="756">
        <v>11586242</v>
      </c>
      <c r="H353" s="755">
        <v>0</v>
      </c>
      <c r="I353" s="756">
        <v>11586242</v>
      </c>
      <c r="J353" s="756">
        <v>101011708</v>
      </c>
      <c r="K353" s="755">
        <v>0</v>
      </c>
      <c r="L353" s="756">
        <v>101011708</v>
      </c>
      <c r="M353" s="570" t="e">
        <f>VLOOKUP(C353,IS_WTB!$C:$E,3,0)</f>
        <v>#N/A</v>
      </c>
      <c r="N353" s="525"/>
      <c r="O353" s="525"/>
    </row>
    <row r="354" spans="1:15">
      <c r="A354" s="755"/>
      <c r="B354" s="755"/>
      <c r="C354" s="755">
        <v>637310</v>
      </c>
      <c r="D354" s="755" t="s">
        <v>349</v>
      </c>
      <c r="E354" s="755">
        <v>0</v>
      </c>
      <c r="F354" s="756">
        <v>51173286</v>
      </c>
      <c r="G354" s="756">
        <v>7075120</v>
      </c>
      <c r="H354" s="755">
        <v>0</v>
      </c>
      <c r="I354" s="756">
        <v>7075120</v>
      </c>
      <c r="J354" s="756">
        <v>58248406</v>
      </c>
      <c r="K354" s="755">
        <v>0</v>
      </c>
      <c r="L354" s="756">
        <v>58248406</v>
      </c>
      <c r="M354" s="570" t="str">
        <f>VLOOKUP(C354,IS_WTB!$C:$E,3,0)</f>
        <v>자가사용통신비</v>
      </c>
    </row>
    <row r="355" spans="1:15">
      <c r="A355" s="755"/>
      <c r="B355" s="755"/>
      <c r="C355" s="755">
        <v>637400</v>
      </c>
      <c r="D355" s="755" t="s">
        <v>350</v>
      </c>
      <c r="E355" s="755">
        <v>0</v>
      </c>
      <c r="F355" s="756">
        <v>38252180</v>
      </c>
      <c r="G355" s="756">
        <v>4511122</v>
      </c>
      <c r="H355" s="755">
        <v>0</v>
      </c>
      <c r="I355" s="756">
        <v>4511122</v>
      </c>
      <c r="J355" s="756">
        <v>42763302</v>
      </c>
      <c r="K355" s="755">
        <v>0</v>
      </c>
      <c r="L355" s="756">
        <v>42763302</v>
      </c>
      <c r="M355" s="570" t="str">
        <f>VLOOKUP(C355,IS_WTB!$C:$E,3,0)</f>
        <v>일반통신비</v>
      </c>
    </row>
    <row r="356" spans="1:15">
      <c r="A356" s="755"/>
      <c r="B356" s="755">
        <v>6392</v>
      </c>
      <c r="C356" s="755"/>
      <c r="D356" s="755" t="s">
        <v>43</v>
      </c>
      <c r="E356" s="755">
        <v>0</v>
      </c>
      <c r="F356" s="756">
        <v>26073982</v>
      </c>
      <c r="G356" s="756">
        <v>341236</v>
      </c>
      <c r="H356" s="755">
        <v>0</v>
      </c>
      <c r="I356" s="756">
        <v>341236</v>
      </c>
      <c r="J356" s="756">
        <v>26415218</v>
      </c>
      <c r="K356" s="755">
        <v>0</v>
      </c>
      <c r="L356" s="756">
        <v>26415218</v>
      </c>
      <c r="M356" s="570" t="e">
        <f>VLOOKUP(C356,IS_WTB!$C:$E,3,0)</f>
        <v>#N/A</v>
      </c>
    </row>
    <row r="357" spans="1:15">
      <c r="A357" s="755"/>
      <c r="B357" s="755"/>
      <c r="C357" s="755">
        <v>639200</v>
      </c>
      <c r="D357" s="755" t="s">
        <v>43</v>
      </c>
      <c r="E357" s="755">
        <v>0</v>
      </c>
      <c r="F357" s="756">
        <v>26073982</v>
      </c>
      <c r="G357" s="756">
        <v>341236</v>
      </c>
      <c r="H357" s="755">
        <v>0</v>
      </c>
      <c r="I357" s="756">
        <v>341236</v>
      </c>
      <c r="J357" s="756">
        <v>26415218</v>
      </c>
      <c r="K357" s="755">
        <v>0</v>
      </c>
      <c r="L357" s="756">
        <v>26415218</v>
      </c>
      <c r="M357" s="570" t="str">
        <f>VLOOKUP(C357,IS_WTB!$C:$E,3,0)</f>
        <v>전산장비소모품비</v>
      </c>
    </row>
    <row r="358" spans="1:15">
      <c r="A358" s="755"/>
      <c r="B358" s="755">
        <v>6401</v>
      </c>
      <c r="C358" s="755"/>
      <c r="D358" s="755" t="s">
        <v>41</v>
      </c>
      <c r="E358" s="755">
        <v>0</v>
      </c>
      <c r="F358" s="756">
        <v>695121151</v>
      </c>
      <c r="G358" s="756">
        <v>83393390</v>
      </c>
      <c r="H358" s="755">
        <v>0</v>
      </c>
      <c r="I358" s="756">
        <v>83393390</v>
      </c>
      <c r="J358" s="756">
        <v>778514541</v>
      </c>
      <c r="K358" s="755">
        <v>0</v>
      </c>
      <c r="L358" s="756">
        <v>778514541</v>
      </c>
      <c r="M358" s="570" t="e">
        <f>VLOOKUP(C358,IS_WTB!$C:$E,3,0)</f>
        <v>#N/A</v>
      </c>
    </row>
    <row r="359" spans="1:15">
      <c r="A359" s="755"/>
      <c r="B359" s="755"/>
      <c r="C359" s="755">
        <v>640100</v>
      </c>
      <c r="D359" s="755" t="s">
        <v>353</v>
      </c>
      <c r="E359" s="755">
        <v>0</v>
      </c>
      <c r="F359" s="756">
        <v>7594040</v>
      </c>
      <c r="G359" s="756">
        <v>7479890</v>
      </c>
      <c r="H359" s="755">
        <v>0</v>
      </c>
      <c r="I359" s="756">
        <v>7479890</v>
      </c>
      <c r="J359" s="756">
        <v>15073930</v>
      </c>
      <c r="K359" s="755">
        <v>0</v>
      </c>
      <c r="L359" s="756">
        <v>15073930</v>
      </c>
      <c r="M359" s="570" t="str">
        <f>VLOOKUP(C359,IS_WTB!$C:$E,3,0)</f>
        <v>건물분 재산세</v>
      </c>
    </row>
    <row r="360" spans="1:15">
      <c r="A360" s="755"/>
      <c r="B360" s="755"/>
      <c r="C360" s="755">
        <v>640200</v>
      </c>
      <c r="D360" s="755" t="s">
        <v>354</v>
      </c>
      <c r="E360" s="755">
        <v>0</v>
      </c>
      <c r="F360" s="755">
        <v>0</v>
      </c>
      <c r="G360" s="756">
        <v>31310</v>
      </c>
      <c r="H360" s="755">
        <v>0</v>
      </c>
      <c r="I360" s="756">
        <v>31310</v>
      </c>
      <c r="J360" s="756">
        <v>31310</v>
      </c>
      <c r="K360" s="755">
        <v>0</v>
      </c>
      <c r="L360" s="756">
        <v>31310</v>
      </c>
      <c r="M360" s="570" t="str">
        <f>VLOOKUP(C360,IS_WTB!$C:$E,3,0)</f>
        <v>토지분 재산세</v>
      </c>
    </row>
    <row r="361" spans="1:15">
      <c r="A361" s="755"/>
      <c r="B361" s="755"/>
      <c r="C361" s="755">
        <v>640400</v>
      </c>
      <c r="D361" s="755" t="s">
        <v>40</v>
      </c>
      <c r="E361" s="755">
        <v>0</v>
      </c>
      <c r="F361" s="756">
        <v>370047300</v>
      </c>
      <c r="G361" s="756">
        <v>36558300</v>
      </c>
      <c r="H361" s="755">
        <v>0</v>
      </c>
      <c r="I361" s="756">
        <v>36558300</v>
      </c>
      <c r="J361" s="756">
        <v>406605600</v>
      </c>
      <c r="K361" s="755">
        <v>0</v>
      </c>
      <c r="L361" s="756">
        <v>406605600</v>
      </c>
      <c r="M361" s="570" t="str">
        <f>VLOOKUP(C361,IS_WTB!$C:$E,3,0)</f>
        <v>종업원할사업소세</v>
      </c>
    </row>
    <row r="362" spans="1:15">
      <c r="A362" s="755"/>
      <c r="B362" s="755"/>
      <c r="C362" s="755">
        <v>640410</v>
      </c>
      <c r="D362" s="755" t="s">
        <v>357</v>
      </c>
      <c r="E362" s="755">
        <v>0</v>
      </c>
      <c r="F362" s="756">
        <v>21589500</v>
      </c>
      <c r="G362" s="755">
        <v>0</v>
      </c>
      <c r="H362" s="755">
        <v>0</v>
      </c>
      <c r="I362" s="755">
        <v>0</v>
      </c>
      <c r="J362" s="756">
        <v>21589500</v>
      </c>
      <c r="K362" s="755">
        <v>0</v>
      </c>
      <c r="L362" s="756">
        <v>21589500</v>
      </c>
      <c r="M362" s="570" t="str">
        <f>VLOOKUP(C362,IS_WTB!$C:$E,3,0)</f>
        <v>재산할사업소세</v>
      </c>
    </row>
    <row r="363" spans="1:15">
      <c r="A363" s="755"/>
      <c r="B363" s="755"/>
      <c r="C363" s="755">
        <v>640500</v>
      </c>
      <c r="D363" s="755" t="s">
        <v>39</v>
      </c>
      <c r="E363" s="755">
        <v>0</v>
      </c>
      <c r="F363" s="756">
        <v>234006431</v>
      </c>
      <c r="G363" s="756">
        <v>33606290</v>
      </c>
      <c r="H363" s="755">
        <v>0</v>
      </c>
      <c r="I363" s="756">
        <v>33606290</v>
      </c>
      <c r="J363" s="756">
        <v>267612721</v>
      </c>
      <c r="K363" s="755">
        <v>0</v>
      </c>
      <c r="L363" s="756">
        <v>267612721</v>
      </c>
      <c r="M363" s="570" t="str">
        <f>VLOOKUP(C363,IS_WTB!$C:$E,3,0)</f>
        <v>협회비</v>
      </c>
    </row>
    <row r="364" spans="1:15">
      <c r="A364" s="755"/>
      <c r="B364" s="755"/>
      <c r="C364" s="755">
        <v>641900</v>
      </c>
      <c r="D364" s="755" t="s">
        <v>358</v>
      </c>
      <c r="E364" s="755">
        <v>0</v>
      </c>
      <c r="F364" s="756">
        <v>61883880</v>
      </c>
      <c r="G364" s="756">
        <v>5717600</v>
      </c>
      <c r="H364" s="755">
        <v>0</v>
      </c>
      <c r="I364" s="756">
        <v>5717600</v>
      </c>
      <c r="J364" s="756">
        <v>67601480</v>
      </c>
      <c r="K364" s="755">
        <v>0</v>
      </c>
      <c r="L364" s="756">
        <v>67601480</v>
      </c>
      <c r="M364" s="570" t="str">
        <f>VLOOKUP(C364,IS_WTB!$C:$E,3,0)</f>
        <v>기타세금과공과</v>
      </c>
    </row>
    <row r="365" spans="1:15">
      <c r="A365" s="755"/>
      <c r="B365" s="755">
        <v>6421</v>
      </c>
      <c r="C365" s="755"/>
      <c r="D365" s="755" t="s">
        <v>359</v>
      </c>
      <c r="E365" s="755">
        <v>0</v>
      </c>
      <c r="F365" s="756">
        <v>177669513</v>
      </c>
      <c r="G365" s="756">
        <v>51195194</v>
      </c>
      <c r="H365" s="756">
        <v>-27925271</v>
      </c>
      <c r="I365" s="756">
        <v>23269923</v>
      </c>
      <c r="J365" s="756">
        <v>460067873</v>
      </c>
      <c r="K365" s="756">
        <v>-259128437</v>
      </c>
      <c r="L365" s="756">
        <v>200939436</v>
      </c>
      <c r="M365" s="570" t="e">
        <f>VLOOKUP(C365,IS_WTB!$C:$E,3,0)</f>
        <v>#N/A</v>
      </c>
      <c r="N365" s="11"/>
      <c r="O365" s="11"/>
    </row>
    <row r="366" spans="1:15">
      <c r="A366" s="755"/>
      <c r="B366" s="755"/>
      <c r="C366" s="755">
        <v>635700</v>
      </c>
      <c r="D366" s="755" t="s">
        <v>46</v>
      </c>
      <c r="E366" s="755">
        <v>0</v>
      </c>
      <c r="F366" s="756">
        <v>3464917</v>
      </c>
      <c r="G366" s="756">
        <v>24460354</v>
      </c>
      <c r="H366" s="756">
        <v>-27925271</v>
      </c>
      <c r="I366" s="756">
        <v>-3464917</v>
      </c>
      <c r="J366" s="756">
        <v>259128437</v>
      </c>
      <c r="K366" s="756">
        <v>-259128437</v>
      </c>
      <c r="L366" s="755">
        <v>0</v>
      </c>
      <c r="M366" s="570" t="str">
        <f>VLOOKUP(C366,IS_WTB!$C:$E,3,0)</f>
        <v>차량임차료</v>
      </c>
    </row>
    <row r="367" spans="1:15">
      <c r="A367" s="755"/>
      <c r="B367" s="755"/>
      <c r="C367" s="755">
        <v>642100</v>
      </c>
      <c r="D367" s="755" t="s">
        <v>359</v>
      </c>
      <c r="E367" s="755">
        <v>0</v>
      </c>
      <c r="F367" s="756">
        <v>34060251</v>
      </c>
      <c r="G367" s="756">
        <v>5258190</v>
      </c>
      <c r="H367" s="755">
        <v>0</v>
      </c>
      <c r="I367" s="756">
        <v>5258190</v>
      </c>
      <c r="J367" s="756">
        <v>39318441</v>
      </c>
      <c r="K367" s="755">
        <v>0</v>
      </c>
      <c r="L367" s="756">
        <v>39318441</v>
      </c>
      <c r="M367" s="570" t="str">
        <f>VLOOKUP(C367,IS_WTB!$C:$E,3,0)</f>
        <v>차량유지비</v>
      </c>
    </row>
    <row r="368" spans="1:15">
      <c r="A368" s="755"/>
      <c r="B368" s="755"/>
      <c r="C368" s="755">
        <v>642200</v>
      </c>
      <c r="D368" s="755" t="s">
        <v>360</v>
      </c>
      <c r="E368" s="755">
        <v>0</v>
      </c>
      <c r="F368" s="756">
        <v>140144345</v>
      </c>
      <c r="G368" s="756">
        <v>21476650</v>
      </c>
      <c r="H368" s="755">
        <v>0</v>
      </c>
      <c r="I368" s="756">
        <v>21476650</v>
      </c>
      <c r="J368" s="756">
        <v>161620995</v>
      </c>
      <c r="K368" s="755">
        <v>0</v>
      </c>
      <c r="L368" s="756">
        <v>161620995</v>
      </c>
      <c r="M368" s="570" t="str">
        <f>VLOOKUP(C368,IS_WTB!$C:$E,3,0)</f>
        <v>직책자교통비</v>
      </c>
    </row>
    <row r="369" spans="1:15">
      <c r="A369" s="755"/>
      <c r="B369" s="755">
        <v>6423</v>
      </c>
      <c r="C369" s="755"/>
      <c r="D369" s="755" t="s">
        <v>361</v>
      </c>
      <c r="E369" s="755">
        <v>0</v>
      </c>
      <c r="F369" s="756">
        <v>53351818</v>
      </c>
      <c r="G369" s="756">
        <v>11012879</v>
      </c>
      <c r="H369" s="755">
        <v>0</v>
      </c>
      <c r="I369" s="756">
        <v>11012879</v>
      </c>
      <c r="J369" s="756">
        <v>65592117</v>
      </c>
      <c r="K369" s="756">
        <v>-1227420</v>
      </c>
      <c r="L369" s="756">
        <v>64364697</v>
      </c>
      <c r="M369" s="570" t="e">
        <f>VLOOKUP(C369,IS_WTB!$C:$E,3,0)</f>
        <v>#N/A</v>
      </c>
    </row>
    <row r="370" spans="1:15">
      <c r="A370" s="755"/>
      <c r="B370" s="755"/>
      <c r="C370" s="755">
        <v>642300</v>
      </c>
      <c r="D370" s="755" t="s">
        <v>361</v>
      </c>
      <c r="E370" s="755">
        <v>0</v>
      </c>
      <c r="F370" s="756">
        <v>53351818</v>
      </c>
      <c r="G370" s="756">
        <v>11012879</v>
      </c>
      <c r="H370" s="755">
        <v>0</v>
      </c>
      <c r="I370" s="756">
        <v>11012879</v>
      </c>
      <c r="J370" s="756">
        <v>65592117</v>
      </c>
      <c r="K370" s="756">
        <v>-1227420</v>
      </c>
      <c r="L370" s="756">
        <v>64364697</v>
      </c>
      <c r="M370" s="570" t="str">
        <f>VLOOKUP(C370,IS_WTB!$C:$E,3,0)</f>
        <v>임원차량유지비</v>
      </c>
    </row>
    <row r="371" spans="1:15">
      <c r="A371" s="755"/>
      <c r="B371" s="755">
        <v>6459</v>
      </c>
      <c r="C371" s="755"/>
      <c r="D371" s="755" t="s">
        <v>645</v>
      </c>
      <c r="E371" s="755">
        <v>0</v>
      </c>
      <c r="F371" s="756">
        <v>837035099</v>
      </c>
      <c r="G371" s="756">
        <v>-430548</v>
      </c>
      <c r="H371" s="755">
        <v>0</v>
      </c>
      <c r="I371" s="756">
        <v>-430548</v>
      </c>
      <c r="J371" s="756">
        <v>836604551</v>
      </c>
      <c r="K371" s="755">
        <v>0</v>
      </c>
      <c r="L371" s="756">
        <v>836604551</v>
      </c>
      <c r="M371" s="570" t="e">
        <f>VLOOKUP(C371,IS_WTB!$C:$E,3,0)</f>
        <v>#N/A</v>
      </c>
    </row>
    <row r="372" spans="1:15">
      <c r="A372" s="755"/>
      <c r="B372" s="755"/>
      <c r="C372" s="755">
        <v>645101</v>
      </c>
      <c r="D372" s="755" t="s">
        <v>645</v>
      </c>
      <c r="E372" s="755">
        <v>0</v>
      </c>
      <c r="F372" s="756">
        <v>837035099</v>
      </c>
      <c r="G372" s="756">
        <v>-430548</v>
      </c>
      <c r="H372" s="755">
        <v>0</v>
      </c>
      <c r="I372" s="756">
        <v>-430548</v>
      </c>
      <c r="J372" s="756">
        <v>836604551</v>
      </c>
      <c r="K372" s="755">
        <v>0</v>
      </c>
      <c r="L372" s="756">
        <v>836604551</v>
      </c>
      <c r="M372" s="570" t="str">
        <f>VLOOKUP(C372,IS_WTB!$C:$E,3,0)</f>
        <v>기타영업비용</v>
      </c>
    </row>
    <row r="373" spans="1:15">
      <c r="A373" s="755"/>
      <c r="B373" s="755">
        <v>6461</v>
      </c>
      <c r="C373" s="755"/>
      <c r="D373" s="755" t="s">
        <v>36</v>
      </c>
      <c r="E373" s="755">
        <v>0</v>
      </c>
      <c r="F373" s="756">
        <v>1079105492</v>
      </c>
      <c r="G373" s="756">
        <v>132043331</v>
      </c>
      <c r="H373" s="756">
        <v>-50000</v>
      </c>
      <c r="I373" s="756">
        <v>131993331</v>
      </c>
      <c r="J373" s="756">
        <v>1211614991</v>
      </c>
      <c r="K373" s="756">
        <v>-516168</v>
      </c>
      <c r="L373" s="756">
        <v>1211098823</v>
      </c>
      <c r="M373" s="570" t="e">
        <f>VLOOKUP(C373,IS_WTB!$C:$E,3,0)</f>
        <v>#N/A</v>
      </c>
    </row>
    <row r="374" spans="1:15">
      <c r="A374" s="755"/>
      <c r="B374" s="755"/>
      <c r="C374" s="755">
        <v>646100</v>
      </c>
      <c r="D374" s="755" t="s">
        <v>35</v>
      </c>
      <c r="E374" s="755">
        <v>0</v>
      </c>
      <c r="F374" s="756">
        <v>225009087</v>
      </c>
      <c r="G374" s="756">
        <v>34526218</v>
      </c>
      <c r="H374" s="756">
        <v>-50000</v>
      </c>
      <c r="I374" s="756">
        <v>34476218</v>
      </c>
      <c r="J374" s="756">
        <v>260001473</v>
      </c>
      <c r="K374" s="756">
        <v>-516168</v>
      </c>
      <c r="L374" s="756">
        <v>259485305</v>
      </c>
      <c r="M374" s="570" t="str">
        <f>VLOOKUP(C374,IS_WTB!$C:$E,3,0)</f>
        <v>국내교육훈련비</v>
      </c>
      <c r="N374" s="11"/>
      <c r="O374" s="11"/>
    </row>
    <row r="375" spans="1:15">
      <c r="A375" s="755"/>
      <c r="B375" s="755"/>
      <c r="C375" s="755">
        <v>646200</v>
      </c>
      <c r="D375" s="755" t="s">
        <v>366</v>
      </c>
      <c r="E375" s="755">
        <v>0</v>
      </c>
      <c r="F375" s="756">
        <v>9800000</v>
      </c>
      <c r="G375" s="755">
        <v>0</v>
      </c>
      <c r="H375" s="755">
        <v>0</v>
      </c>
      <c r="I375" s="755">
        <v>0</v>
      </c>
      <c r="J375" s="756">
        <v>9800000</v>
      </c>
      <c r="K375" s="755">
        <v>0</v>
      </c>
      <c r="L375" s="756">
        <v>9800000</v>
      </c>
      <c r="M375" s="570" t="str">
        <f>VLOOKUP(C375,IS_WTB!$C:$E,3,0)</f>
        <v>해외교육훈련비</v>
      </c>
      <c r="N375" s="525"/>
      <c r="O375" s="525"/>
    </row>
    <row r="376" spans="1:15">
      <c r="A376" s="755"/>
      <c r="B376" s="755"/>
      <c r="C376" s="755">
        <v>646300</v>
      </c>
      <c r="D376" s="755" t="s">
        <v>810</v>
      </c>
      <c r="E376" s="755">
        <v>0</v>
      </c>
      <c r="F376" s="756">
        <v>834181324</v>
      </c>
      <c r="G376" s="756">
        <v>97517113</v>
      </c>
      <c r="H376" s="755">
        <v>0</v>
      </c>
      <c r="I376" s="756">
        <v>97517113</v>
      </c>
      <c r="J376" s="756">
        <v>931698437</v>
      </c>
      <c r="K376" s="755">
        <v>0</v>
      </c>
      <c r="L376" s="756">
        <v>931698437</v>
      </c>
      <c r="M376" s="570" t="str">
        <f>VLOOKUP(C376,IS_WTB!$C:$E,3,0)</f>
        <v>채용비</v>
      </c>
    </row>
    <row r="377" spans="1:15">
      <c r="A377" s="755"/>
      <c r="B377" s="755"/>
      <c r="C377" s="755">
        <v>646900</v>
      </c>
      <c r="D377" s="755" t="s">
        <v>367</v>
      </c>
      <c r="E377" s="755">
        <v>0</v>
      </c>
      <c r="F377" s="756">
        <v>10115081</v>
      </c>
      <c r="G377" s="755">
        <v>0</v>
      </c>
      <c r="H377" s="755">
        <v>0</v>
      </c>
      <c r="I377" s="755">
        <v>0</v>
      </c>
      <c r="J377" s="756">
        <v>10115081</v>
      </c>
      <c r="K377" s="755">
        <v>0</v>
      </c>
      <c r="L377" s="756">
        <v>10115081</v>
      </c>
      <c r="M377" s="570" t="str">
        <f>VLOOKUP(C377,IS_WTB!$C:$E,3,0)</f>
        <v>기타교육훈련비</v>
      </c>
    </row>
    <row r="378" spans="1:15">
      <c r="A378" s="755"/>
      <c r="B378" s="755">
        <v>6481</v>
      </c>
      <c r="C378" s="755"/>
      <c r="D378" s="755" t="s">
        <v>33</v>
      </c>
      <c r="E378" s="755">
        <v>0</v>
      </c>
      <c r="F378" s="756">
        <v>189319902</v>
      </c>
      <c r="G378" s="756">
        <v>17534974</v>
      </c>
      <c r="H378" s="756">
        <v>-16000</v>
      </c>
      <c r="I378" s="756">
        <v>17518974</v>
      </c>
      <c r="J378" s="756">
        <v>207006876</v>
      </c>
      <c r="K378" s="756">
        <v>-168000</v>
      </c>
      <c r="L378" s="756">
        <v>206838876</v>
      </c>
      <c r="M378" s="570" t="e">
        <f>VLOOKUP(C378,IS_WTB!$C:$E,3,0)</f>
        <v>#N/A</v>
      </c>
    </row>
    <row r="379" spans="1:15">
      <c r="A379" s="755"/>
      <c r="B379" s="755"/>
      <c r="C379" s="755">
        <v>648100</v>
      </c>
      <c r="D379" s="755" t="s">
        <v>368</v>
      </c>
      <c r="E379" s="755">
        <v>0</v>
      </c>
      <c r="F379" s="756">
        <v>1808855</v>
      </c>
      <c r="G379" s="756">
        <v>141716</v>
      </c>
      <c r="H379" s="755">
        <v>0</v>
      </c>
      <c r="I379" s="756">
        <v>141716</v>
      </c>
      <c r="J379" s="756">
        <v>1950571</v>
      </c>
      <c r="K379" s="755">
        <v>0</v>
      </c>
      <c r="L379" s="756">
        <v>1950571</v>
      </c>
      <c r="M379" s="570" t="str">
        <f>VLOOKUP(C379,IS_WTB!$C:$E,3,0)</f>
        <v>시내출장비</v>
      </c>
    </row>
    <row r="380" spans="1:15">
      <c r="A380" s="755"/>
      <c r="B380" s="755"/>
      <c r="C380" s="755">
        <v>648110</v>
      </c>
      <c r="D380" s="755" t="s">
        <v>32</v>
      </c>
      <c r="E380" s="755">
        <v>0</v>
      </c>
      <c r="F380" s="756">
        <v>50691030</v>
      </c>
      <c r="G380" s="756">
        <v>7631500</v>
      </c>
      <c r="H380" s="755">
        <v>0</v>
      </c>
      <c r="I380" s="756">
        <v>7631500</v>
      </c>
      <c r="J380" s="756">
        <v>58322530</v>
      </c>
      <c r="K380" s="755">
        <v>0</v>
      </c>
      <c r="L380" s="756">
        <v>58322530</v>
      </c>
      <c r="M380" s="570" t="str">
        <f>VLOOKUP(C380,IS_WTB!$C:$E,3,0)</f>
        <v>야근교통비</v>
      </c>
    </row>
    <row r="381" spans="1:15">
      <c r="A381" s="755"/>
      <c r="B381" s="755"/>
      <c r="C381" s="755">
        <v>648200</v>
      </c>
      <c r="D381" s="755" t="s">
        <v>31</v>
      </c>
      <c r="E381" s="755">
        <v>0</v>
      </c>
      <c r="F381" s="756">
        <v>34658946</v>
      </c>
      <c r="G381" s="756">
        <v>2379047</v>
      </c>
      <c r="H381" s="756">
        <v>-16000</v>
      </c>
      <c r="I381" s="756">
        <v>2363047</v>
      </c>
      <c r="J381" s="756">
        <v>37189993</v>
      </c>
      <c r="K381" s="756">
        <v>-168000</v>
      </c>
      <c r="L381" s="756">
        <v>37021993</v>
      </c>
      <c r="M381" s="570" t="str">
        <f>VLOOKUP(C381,IS_WTB!$C:$E,3,0)</f>
        <v>시외출장비</v>
      </c>
    </row>
    <row r="382" spans="1:15">
      <c r="A382" s="755"/>
      <c r="B382" s="755"/>
      <c r="C382" s="755">
        <v>648300</v>
      </c>
      <c r="D382" s="755" t="s">
        <v>369</v>
      </c>
      <c r="E382" s="755">
        <v>0</v>
      </c>
      <c r="F382" s="756">
        <v>50850978</v>
      </c>
      <c r="G382" s="756">
        <v>196344</v>
      </c>
      <c r="H382" s="755">
        <v>0</v>
      </c>
      <c r="I382" s="756">
        <v>196344</v>
      </c>
      <c r="J382" s="756">
        <v>51047322</v>
      </c>
      <c r="K382" s="755">
        <v>0</v>
      </c>
      <c r="L382" s="756">
        <v>51047322</v>
      </c>
      <c r="M382" s="570" t="str">
        <f>VLOOKUP(C382,IS_WTB!$C:$E,3,0)</f>
        <v>해외출장비</v>
      </c>
    </row>
    <row r="383" spans="1:15">
      <c r="A383" s="755"/>
      <c r="B383" s="755"/>
      <c r="C383" s="755">
        <v>648500</v>
      </c>
      <c r="D383" s="755" t="s">
        <v>811</v>
      </c>
      <c r="E383" s="755">
        <v>0</v>
      </c>
      <c r="F383" s="756">
        <v>48394743</v>
      </c>
      <c r="G383" s="756">
        <v>6835703</v>
      </c>
      <c r="H383" s="755">
        <v>0</v>
      </c>
      <c r="I383" s="756">
        <v>6835703</v>
      </c>
      <c r="J383" s="756">
        <v>55230446</v>
      </c>
      <c r="K383" s="755">
        <v>0</v>
      </c>
      <c r="L383" s="756">
        <v>55230446</v>
      </c>
      <c r="M383" s="570" t="str">
        <f>VLOOKUP(C383,IS_WTB!$C:$E,3,0)</f>
        <v>시내교통비</v>
      </c>
    </row>
    <row r="384" spans="1:15">
      <c r="A384" s="755"/>
      <c r="B384" s="755"/>
      <c r="C384" s="755">
        <v>648600</v>
      </c>
      <c r="D384" s="755" t="s">
        <v>1302</v>
      </c>
      <c r="E384" s="755">
        <v>0</v>
      </c>
      <c r="F384" s="756">
        <v>2915350</v>
      </c>
      <c r="G384" s="756">
        <v>350664</v>
      </c>
      <c r="H384" s="755">
        <v>0</v>
      </c>
      <c r="I384" s="756">
        <v>350664</v>
      </c>
      <c r="J384" s="756">
        <v>3266014</v>
      </c>
      <c r="K384" s="755">
        <v>0</v>
      </c>
      <c r="L384" s="756">
        <v>3266014</v>
      </c>
      <c r="M384" s="570" t="str">
        <f>VLOOKUP(C384,IS_WTB!$C:$E,3,0)</f>
        <v>시내교통비(전사)</v>
      </c>
    </row>
    <row r="385" spans="1:15">
      <c r="A385" s="755"/>
      <c r="B385" s="755">
        <v>6521</v>
      </c>
      <c r="C385" s="755"/>
      <c r="D385" s="755" t="s">
        <v>499</v>
      </c>
      <c r="E385" s="755">
        <v>0</v>
      </c>
      <c r="F385" s="756">
        <v>1595375895</v>
      </c>
      <c r="G385" s="756">
        <v>303941320</v>
      </c>
      <c r="H385" s="756">
        <v>-202976</v>
      </c>
      <c r="I385" s="756">
        <v>303738344</v>
      </c>
      <c r="J385" s="756">
        <v>1899346215</v>
      </c>
      <c r="K385" s="756">
        <v>-231976</v>
      </c>
      <c r="L385" s="756">
        <v>1899114239</v>
      </c>
      <c r="M385" s="570" t="e">
        <f>VLOOKUP(C385,IS_WTB!$C:$E,3,0)</f>
        <v>#N/A</v>
      </c>
    </row>
    <row r="386" spans="1:15">
      <c r="A386" s="755"/>
      <c r="B386" s="755"/>
      <c r="C386" s="755">
        <v>603500</v>
      </c>
      <c r="D386" s="755" t="s">
        <v>69</v>
      </c>
      <c r="E386" s="755">
        <v>0</v>
      </c>
      <c r="F386" s="756">
        <v>964153527</v>
      </c>
      <c r="G386" s="756">
        <v>185086713</v>
      </c>
      <c r="H386" s="756">
        <v>-202976</v>
      </c>
      <c r="I386" s="756">
        <v>184883737</v>
      </c>
      <c r="J386" s="756">
        <v>1149269240</v>
      </c>
      <c r="K386" s="756">
        <v>-231976</v>
      </c>
      <c r="L386" s="756">
        <v>1149037264</v>
      </c>
      <c r="M386" s="570" t="str">
        <f>VLOOKUP(C386,IS_WTB!$C:$E,3,0)</f>
        <v>동적요소관리비</v>
      </c>
    </row>
    <row r="387" spans="1:15">
      <c r="A387" s="755"/>
      <c r="B387" s="755"/>
      <c r="C387" s="755">
        <v>603700</v>
      </c>
      <c r="D387" s="755" t="s">
        <v>1145</v>
      </c>
      <c r="E387" s="755">
        <v>0</v>
      </c>
      <c r="F387" s="756">
        <v>51597757</v>
      </c>
      <c r="G387" s="756">
        <v>542101</v>
      </c>
      <c r="H387" s="755">
        <v>0</v>
      </c>
      <c r="I387" s="756">
        <v>542101</v>
      </c>
      <c r="J387" s="756">
        <v>52139858</v>
      </c>
      <c r="K387" s="755">
        <v>0</v>
      </c>
      <c r="L387" s="756">
        <v>52139858</v>
      </c>
      <c r="M387" s="570" t="str">
        <f>VLOOKUP(C387,IS_WTB!$C:$E,3,0)</f>
        <v>직책자동적요소관리비</v>
      </c>
    </row>
    <row r="388" spans="1:15">
      <c r="A388" s="755"/>
      <c r="B388" s="755"/>
      <c r="C388" s="755">
        <v>651100</v>
      </c>
      <c r="D388" s="755" t="s">
        <v>372</v>
      </c>
      <c r="E388" s="755">
        <v>0</v>
      </c>
      <c r="F388" s="755">
        <v>0</v>
      </c>
      <c r="G388" s="756">
        <v>7954</v>
      </c>
      <c r="H388" s="755">
        <v>0</v>
      </c>
      <c r="I388" s="756">
        <v>7954</v>
      </c>
      <c r="J388" s="756">
        <v>7954</v>
      </c>
      <c r="K388" s="755">
        <v>0</v>
      </c>
      <c r="L388" s="756">
        <v>7954</v>
      </c>
      <c r="M388" s="570" t="str">
        <f>VLOOKUP(C388,IS_WTB!$C:$E,3,0)</f>
        <v>부서회의비</v>
      </c>
    </row>
    <row r="389" spans="1:15">
      <c r="A389" s="755"/>
      <c r="B389" s="755"/>
      <c r="C389" s="755">
        <v>651200</v>
      </c>
      <c r="D389" s="755" t="s">
        <v>373</v>
      </c>
      <c r="E389" s="755">
        <v>0</v>
      </c>
      <c r="F389" s="756">
        <v>105991119</v>
      </c>
      <c r="G389" s="756">
        <v>14684842</v>
      </c>
      <c r="H389" s="755">
        <v>0</v>
      </c>
      <c r="I389" s="756">
        <v>14684842</v>
      </c>
      <c r="J389" s="756">
        <v>120675961</v>
      </c>
      <c r="K389" s="755">
        <v>0</v>
      </c>
      <c r="L389" s="756">
        <v>120675961</v>
      </c>
      <c r="M389" s="570" t="str">
        <f>VLOOKUP(C389,IS_WTB!$C:$E,3,0)</f>
        <v>업무회의비</v>
      </c>
    </row>
    <row r="390" spans="1:15">
      <c r="A390" s="755"/>
      <c r="B390" s="755"/>
      <c r="C390" s="755">
        <v>651400</v>
      </c>
      <c r="D390" s="755" t="s">
        <v>244</v>
      </c>
      <c r="E390" s="755">
        <v>0</v>
      </c>
      <c r="F390" s="756">
        <v>60741430</v>
      </c>
      <c r="G390" s="756">
        <v>9010634</v>
      </c>
      <c r="H390" s="755">
        <v>0</v>
      </c>
      <c r="I390" s="756">
        <v>9010634</v>
      </c>
      <c r="J390" s="756">
        <v>69752064</v>
      </c>
      <c r="K390" s="755">
        <v>0</v>
      </c>
      <c r="L390" s="756">
        <v>69752064</v>
      </c>
      <c r="M390" s="570" t="str">
        <f>VLOOKUP(C390,IS_WTB!$C:$E,3,0)</f>
        <v>업무추진비</v>
      </c>
    </row>
    <row r="391" spans="1:15">
      <c r="A391" s="755"/>
      <c r="B391" s="755"/>
      <c r="C391" s="755">
        <v>652000</v>
      </c>
      <c r="D391" s="755" t="s">
        <v>653</v>
      </c>
      <c r="E391" s="755">
        <v>0</v>
      </c>
      <c r="F391" s="756">
        <v>104115898</v>
      </c>
      <c r="G391" s="756">
        <v>18785795</v>
      </c>
      <c r="H391" s="755">
        <v>0</v>
      </c>
      <c r="I391" s="756">
        <v>18785795</v>
      </c>
      <c r="J391" s="756">
        <v>122901693</v>
      </c>
      <c r="K391" s="755">
        <v>0</v>
      </c>
      <c r="L391" s="756">
        <v>122901693</v>
      </c>
      <c r="M391" s="570" t="str">
        <f>VLOOKUP(C391,IS_WTB!$C:$E,3,0)</f>
        <v>영업활동지원비</v>
      </c>
    </row>
    <row r="392" spans="1:15">
      <c r="A392" s="755"/>
      <c r="B392" s="755"/>
      <c r="C392" s="755">
        <v>652100</v>
      </c>
      <c r="D392" s="755" t="s">
        <v>375</v>
      </c>
      <c r="E392" s="755">
        <v>0</v>
      </c>
      <c r="F392" s="756">
        <v>225492486</v>
      </c>
      <c r="G392" s="756">
        <v>58321151</v>
      </c>
      <c r="H392" s="755">
        <v>0</v>
      </c>
      <c r="I392" s="756">
        <v>58321151</v>
      </c>
      <c r="J392" s="756">
        <v>283813637</v>
      </c>
      <c r="K392" s="755">
        <v>0</v>
      </c>
      <c r="L392" s="756">
        <v>283813637</v>
      </c>
      <c r="M392" s="570" t="str">
        <f>VLOOKUP(C392,IS_WTB!$C:$E,3,0)</f>
        <v>접대비</v>
      </c>
    </row>
    <row r="393" spans="1:15">
      <c r="A393" s="755"/>
      <c r="B393" s="755"/>
      <c r="C393" s="755">
        <v>652160</v>
      </c>
      <c r="D393" s="755" t="s">
        <v>377</v>
      </c>
      <c r="E393" s="755">
        <v>0</v>
      </c>
      <c r="F393" s="756">
        <v>75724780</v>
      </c>
      <c r="G393" s="756">
        <v>17502130</v>
      </c>
      <c r="H393" s="755">
        <v>0</v>
      </c>
      <c r="I393" s="756">
        <v>17502130</v>
      </c>
      <c r="J393" s="756">
        <v>93226910</v>
      </c>
      <c r="K393" s="755">
        <v>0</v>
      </c>
      <c r="L393" s="756">
        <v>93226910</v>
      </c>
      <c r="M393" s="570" t="str">
        <f>VLOOKUP(C393,IS_WTB!$C:$E,3,0)</f>
        <v>임원동적요소비</v>
      </c>
      <c r="N393" s="525"/>
      <c r="O393" s="525"/>
    </row>
    <row r="394" spans="1:15">
      <c r="A394" s="755"/>
      <c r="B394" s="755"/>
      <c r="C394" s="755">
        <v>653100</v>
      </c>
      <c r="D394" s="755" t="s">
        <v>652</v>
      </c>
      <c r="E394" s="755">
        <v>0</v>
      </c>
      <c r="F394" s="756">
        <v>7558898</v>
      </c>
      <c r="G394" s="755">
        <v>0</v>
      </c>
      <c r="H394" s="755">
        <v>0</v>
      </c>
      <c r="I394" s="755">
        <v>0</v>
      </c>
      <c r="J394" s="756">
        <v>7558898</v>
      </c>
      <c r="K394" s="755">
        <v>0</v>
      </c>
      <c r="L394" s="756">
        <v>7558898</v>
      </c>
      <c r="M394" s="570" t="str">
        <f>VLOOKUP(C394,IS_WTB!$C:$E,3,0)</f>
        <v>사내행사비</v>
      </c>
      <c r="N394" s="525"/>
      <c r="O394" s="525"/>
    </row>
    <row r="395" spans="1:15">
      <c r="A395" s="755"/>
      <c r="B395" s="755">
        <v>6701</v>
      </c>
      <c r="C395" s="755"/>
      <c r="D395" s="755" t="s">
        <v>26</v>
      </c>
      <c r="E395" s="755">
        <v>0</v>
      </c>
      <c r="F395" s="756">
        <v>13884494840</v>
      </c>
      <c r="G395" s="756">
        <v>2326040950</v>
      </c>
      <c r="H395" s="756">
        <v>-397279895</v>
      </c>
      <c r="I395" s="756">
        <v>1928761055</v>
      </c>
      <c r="J395" s="756">
        <v>18047388193</v>
      </c>
      <c r="K395" s="756">
        <v>-2234132298</v>
      </c>
      <c r="L395" s="756">
        <v>15813255895</v>
      </c>
      <c r="M395" s="570" t="e">
        <f>VLOOKUP(C395,IS_WTB!$C:$E,3,0)</f>
        <v>#N/A</v>
      </c>
    </row>
    <row r="396" spans="1:15">
      <c r="A396" s="755"/>
      <c r="B396" s="755"/>
      <c r="C396" s="755">
        <v>670100</v>
      </c>
      <c r="D396" s="755" t="s">
        <v>25</v>
      </c>
      <c r="E396" s="755">
        <v>0</v>
      </c>
      <c r="F396" s="756">
        <v>23390742</v>
      </c>
      <c r="G396" s="756">
        <v>2923842</v>
      </c>
      <c r="H396" s="755">
        <v>0</v>
      </c>
      <c r="I396" s="756">
        <v>2923842</v>
      </c>
      <c r="J396" s="756">
        <v>26314584</v>
      </c>
      <c r="K396" s="755">
        <v>0</v>
      </c>
      <c r="L396" s="756">
        <v>26314584</v>
      </c>
      <c r="M396" s="570" t="str">
        <f>VLOOKUP(C396,IS_WTB!$C:$E,3,0)</f>
        <v>건물상각</v>
      </c>
    </row>
    <row r="397" spans="1:15">
      <c r="A397" s="755"/>
      <c r="B397" s="755"/>
      <c r="C397" s="755">
        <v>672100</v>
      </c>
      <c r="D397" s="755" t="s">
        <v>23</v>
      </c>
      <c r="E397" s="755">
        <v>0</v>
      </c>
      <c r="F397" s="756">
        <v>5349050402</v>
      </c>
      <c r="G397" s="756">
        <v>701384480</v>
      </c>
      <c r="H397" s="756">
        <v>-9953357</v>
      </c>
      <c r="I397" s="756">
        <v>691431123</v>
      </c>
      <c r="J397" s="756">
        <v>6050434882</v>
      </c>
      <c r="K397" s="756">
        <v>-9953357</v>
      </c>
      <c r="L397" s="756">
        <v>6040481525</v>
      </c>
      <c r="M397" s="570" t="str">
        <f>VLOOKUP(C397,IS_WTB!$C:$E,3,0)</f>
        <v>기계장치상각</v>
      </c>
    </row>
    <row r="398" spans="1:15">
      <c r="A398" s="755"/>
      <c r="B398" s="755"/>
      <c r="C398" s="755">
        <v>675100</v>
      </c>
      <c r="D398" s="755" t="s">
        <v>22</v>
      </c>
      <c r="E398" s="755">
        <v>0</v>
      </c>
      <c r="F398" s="756">
        <v>1452854665</v>
      </c>
      <c r="G398" s="756">
        <v>185846948</v>
      </c>
      <c r="H398" s="756">
        <v>-6250000</v>
      </c>
      <c r="I398" s="756">
        <v>179596948</v>
      </c>
      <c r="J398" s="756">
        <v>1688701613</v>
      </c>
      <c r="K398" s="756">
        <v>-56250000</v>
      </c>
      <c r="L398" s="756">
        <v>1632451613</v>
      </c>
      <c r="M398" s="570" t="str">
        <f>VLOOKUP(C398,IS_WTB!$C:$E,3,0)</f>
        <v>비품상각</v>
      </c>
    </row>
    <row r="399" spans="1:15">
      <c r="A399" s="755"/>
      <c r="B399" s="755"/>
      <c r="C399" s="755">
        <v>675120</v>
      </c>
      <c r="D399" s="755" t="s">
        <v>812</v>
      </c>
      <c r="E399" s="755">
        <v>0</v>
      </c>
      <c r="F399" s="756">
        <v>6836173970</v>
      </c>
      <c r="G399" s="756">
        <v>1409589288</v>
      </c>
      <c r="H399" s="756">
        <v>-377193276</v>
      </c>
      <c r="I399" s="756">
        <v>1032396012</v>
      </c>
      <c r="J399" s="756">
        <v>10031610682</v>
      </c>
      <c r="K399" s="756">
        <v>-2163040700</v>
      </c>
      <c r="L399" s="756">
        <v>7868569982</v>
      </c>
      <c r="M399" s="570" t="str">
        <f>VLOOKUP(C399,IS_WTB!$C:$E,3,0)</f>
        <v>사용권자산상각-건물</v>
      </c>
    </row>
    <row r="400" spans="1:15">
      <c r="A400" s="755"/>
      <c r="B400" s="755"/>
      <c r="C400" s="755">
        <v>675140</v>
      </c>
      <c r="D400" s="755" t="s">
        <v>813</v>
      </c>
      <c r="E400" s="755">
        <v>0</v>
      </c>
      <c r="F400" s="756">
        <v>26107260</v>
      </c>
      <c r="G400" s="756">
        <v>3387701</v>
      </c>
      <c r="H400" s="755">
        <v>0</v>
      </c>
      <c r="I400" s="756">
        <v>3387701</v>
      </c>
      <c r="J400" s="756">
        <v>29494961</v>
      </c>
      <c r="K400" s="755">
        <v>0</v>
      </c>
      <c r="L400" s="756">
        <v>29494961</v>
      </c>
      <c r="M400" s="570" t="str">
        <f>VLOOKUP(C400,IS_WTB!$C:$E,3,0)</f>
        <v>사용권자산상각-비품</v>
      </c>
    </row>
    <row r="401" spans="1:15">
      <c r="A401" s="755"/>
      <c r="B401" s="755"/>
      <c r="C401" s="755">
        <v>675150</v>
      </c>
      <c r="D401" s="755" t="s">
        <v>814</v>
      </c>
      <c r="E401" s="755">
        <v>0</v>
      </c>
      <c r="F401" s="756">
        <v>196917801</v>
      </c>
      <c r="G401" s="756">
        <v>22908691</v>
      </c>
      <c r="H401" s="756">
        <v>-3883262</v>
      </c>
      <c r="I401" s="756">
        <v>19025429</v>
      </c>
      <c r="J401" s="756">
        <v>220831471</v>
      </c>
      <c r="K401" s="756">
        <v>-4888241</v>
      </c>
      <c r="L401" s="756">
        <v>215943230</v>
      </c>
      <c r="M401" s="570" t="str">
        <f>VLOOKUP(C401,IS_WTB!$C:$E,3,0)</f>
        <v>사용권자산상각-차량</v>
      </c>
    </row>
    <row r="402" spans="1:15">
      <c r="A402" s="755"/>
      <c r="B402" s="755">
        <v>6771</v>
      </c>
      <c r="C402" s="755"/>
      <c r="D402" s="755" t="s">
        <v>21</v>
      </c>
      <c r="E402" s="755">
        <v>0</v>
      </c>
      <c r="F402" s="756">
        <v>5226911324</v>
      </c>
      <c r="G402" s="756">
        <v>658126089</v>
      </c>
      <c r="H402" s="755">
        <v>0</v>
      </c>
      <c r="I402" s="756">
        <v>658126089</v>
      </c>
      <c r="J402" s="756">
        <v>5887554080</v>
      </c>
      <c r="K402" s="756">
        <v>-2516667</v>
      </c>
      <c r="L402" s="756">
        <v>5885037413</v>
      </c>
      <c r="M402" s="570" t="e">
        <f>VLOOKUP(C402,IS_WTB!$C:$E,3,0)</f>
        <v>#N/A</v>
      </c>
    </row>
    <row r="403" spans="1:15">
      <c r="A403" s="755"/>
      <c r="B403" s="755"/>
      <c r="C403" s="755">
        <v>677200</v>
      </c>
      <c r="D403" s="755" t="s">
        <v>20</v>
      </c>
      <c r="E403" s="755">
        <v>0</v>
      </c>
      <c r="F403" s="756">
        <v>122793658</v>
      </c>
      <c r="G403" s="756">
        <v>14782899</v>
      </c>
      <c r="H403" s="755">
        <v>0</v>
      </c>
      <c r="I403" s="756">
        <v>14782899</v>
      </c>
      <c r="J403" s="756">
        <v>137576557</v>
      </c>
      <c r="K403" s="755">
        <v>0</v>
      </c>
      <c r="L403" s="756">
        <v>137576557</v>
      </c>
      <c r="M403" s="570" t="str">
        <f>VLOOKUP(C403,IS_WTB!$C:$E,3,0)</f>
        <v>산업재산권상각</v>
      </c>
    </row>
    <row r="404" spans="1:15">
      <c r="A404" s="755"/>
      <c r="B404" s="755"/>
      <c r="C404" s="755">
        <v>678100</v>
      </c>
      <c r="D404" s="755" t="s">
        <v>1571</v>
      </c>
      <c r="E404" s="755">
        <v>0</v>
      </c>
      <c r="F404" s="755">
        <v>0</v>
      </c>
      <c r="G404" s="755">
        <v>0</v>
      </c>
      <c r="H404" s="755">
        <v>0</v>
      </c>
      <c r="I404" s="755">
        <v>0</v>
      </c>
      <c r="J404" s="756">
        <v>2516667</v>
      </c>
      <c r="K404" s="756">
        <v>-2516667</v>
      </c>
      <c r="L404" s="755">
        <v>0</v>
      </c>
      <c r="M404" s="570" t="e">
        <f>VLOOKUP(C404,IS_WTB!$C:$E,3,0)</f>
        <v>#N/A</v>
      </c>
    </row>
    <row r="405" spans="1:15">
      <c r="A405" s="755"/>
      <c r="B405" s="755"/>
      <c r="C405" s="755">
        <v>679900</v>
      </c>
      <c r="D405" s="755" t="s">
        <v>17</v>
      </c>
      <c r="E405" s="755">
        <v>0</v>
      </c>
      <c r="F405" s="756">
        <v>5104117666</v>
      </c>
      <c r="G405" s="756">
        <v>643343190</v>
      </c>
      <c r="H405" s="755">
        <v>0</v>
      </c>
      <c r="I405" s="756">
        <v>643343190</v>
      </c>
      <c r="J405" s="756">
        <v>5747460856</v>
      </c>
      <c r="K405" s="755">
        <v>0</v>
      </c>
      <c r="L405" s="756">
        <v>5747460856</v>
      </c>
      <c r="M405" s="570" t="str">
        <f>VLOOKUP(C405,IS_WTB!$C:$E,3,0)</f>
        <v>소프트웨어상각</v>
      </c>
    </row>
    <row r="406" spans="1:15">
      <c r="A406" s="755"/>
      <c r="B406" s="755">
        <v>6801</v>
      </c>
      <c r="C406" s="755"/>
      <c r="D406" s="755" t="s">
        <v>16</v>
      </c>
      <c r="E406" s="755">
        <v>0</v>
      </c>
      <c r="F406" s="756">
        <v>80476769651</v>
      </c>
      <c r="G406" s="756">
        <v>54289259683</v>
      </c>
      <c r="H406" s="756">
        <v>-28148066931</v>
      </c>
      <c r="I406" s="756">
        <v>26141192752</v>
      </c>
      <c r="J406" s="756">
        <v>141262492990</v>
      </c>
      <c r="K406" s="756">
        <v>-34644530587</v>
      </c>
      <c r="L406" s="756">
        <v>106617962403</v>
      </c>
      <c r="M406" s="570" t="e">
        <f>VLOOKUP(C406,IS_WTB!$C:$E,3,0)</f>
        <v>#N/A</v>
      </c>
    </row>
    <row r="407" spans="1:15">
      <c r="A407" s="755"/>
      <c r="B407" s="755"/>
      <c r="C407" s="755">
        <v>680400</v>
      </c>
      <c r="D407" s="755" t="s">
        <v>15</v>
      </c>
      <c r="E407" s="755">
        <v>0</v>
      </c>
      <c r="F407" s="756">
        <v>76105546550</v>
      </c>
      <c r="G407" s="756">
        <v>53827935921</v>
      </c>
      <c r="H407" s="756">
        <v>-28132471852</v>
      </c>
      <c r="I407" s="756">
        <v>25695464069</v>
      </c>
      <c r="J407" s="756">
        <v>136161627681</v>
      </c>
      <c r="K407" s="756">
        <v>-34360617062</v>
      </c>
      <c r="L407" s="756">
        <v>101801010619</v>
      </c>
      <c r="M407" s="570" t="str">
        <f>VLOOKUP(C407,IS_WTB!$C:$E,3,0)</f>
        <v>국내매출원가-쇼핑몰</v>
      </c>
    </row>
    <row r="408" spans="1:15">
      <c r="A408" s="755"/>
      <c r="B408" s="755"/>
      <c r="C408" s="755">
        <v>680800</v>
      </c>
      <c r="D408" s="755" t="s">
        <v>243</v>
      </c>
      <c r="E408" s="755">
        <v>0</v>
      </c>
      <c r="F408" s="756">
        <v>4371223101</v>
      </c>
      <c r="G408" s="756">
        <v>461323762</v>
      </c>
      <c r="H408" s="756">
        <v>-15595079</v>
      </c>
      <c r="I408" s="756">
        <v>445728683</v>
      </c>
      <c r="J408" s="756">
        <v>5100865309</v>
      </c>
      <c r="K408" s="756">
        <v>-283913525</v>
      </c>
      <c r="L408" s="756">
        <v>4816951784</v>
      </c>
      <c r="M408" s="570" t="str">
        <f>VLOOKUP(C408,IS_WTB!$C:$E,3,0)</f>
        <v>제품매출원가</v>
      </c>
      <c r="N408" s="11"/>
      <c r="O408" s="11"/>
    </row>
    <row r="409" spans="1:15">
      <c r="A409" s="755"/>
      <c r="B409" s="755">
        <v>6803</v>
      </c>
      <c r="C409" s="755"/>
      <c r="D409" s="755" t="s">
        <v>14</v>
      </c>
      <c r="E409" s="755">
        <v>0</v>
      </c>
      <c r="F409" s="756">
        <v>353153154</v>
      </c>
      <c r="G409" s="756">
        <v>81765110</v>
      </c>
      <c r="H409" s="756">
        <v>-293792</v>
      </c>
      <c r="I409" s="756">
        <v>81471318</v>
      </c>
      <c r="J409" s="756">
        <v>439387811</v>
      </c>
      <c r="K409" s="756">
        <v>-4763339</v>
      </c>
      <c r="L409" s="756">
        <v>434624472</v>
      </c>
      <c r="M409" s="570" t="e">
        <f>VLOOKUP(C409,IS_WTB!$C:$E,3,0)</f>
        <v>#N/A</v>
      </c>
      <c r="N409" s="11"/>
      <c r="O409" s="11"/>
    </row>
    <row r="410" spans="1:15">
      <c r="A410" s="755"/>
      <c r="B410" s="755"/>
      <c r="C410" s="755">
        <v>681220</v>
      </c>
      <c r="D410" s="755" t="s">
        <v>13</v>
      </c>
      <c r="E410" s="755">
        <v>0</v>
      </c>
      <c r="F410" s="756">
        <v>353153154</v>
      </c>
      <c r="G410" s="756">
        <v>81765110</v>
      </c>
      <c r="H410" s="756">
        <v>-293792</v>
      </c>
      <c r="I410" s="756">
        <v>81471318</v>
      </c>
      <c r="J410" s="756">
        <v>439387811</v>
      </c>
      <c r="K410" s="756">
        <v>-4763339</v>
      </c>
      <c r="L410" s="756">
        <v>434624472</v>
      </c>
      <c r="M410" s="570" t="str">
        <f>VLOOKUP(C410,IS_WTB!$C:$E,3,0)</f>
        <v>용역매출원가-기타</v>
      </c>
    </row>
    <row r="411" spans="1:15">
      <c r="A411" s="755">
        <v>80</v>
      </c>
      <c r="B411" s="755"/>
      <c r="C411" s="755"/>
      <c r="D411" s="755" t="s">
        <v>500</v>
      </c>
      <c r="E411" s="755">
        <v>0</v>
      </c>
      <c r="F411" s="756">
        <v>7367988897</v>
      </c>
      <c r="G411" s="756">
        <v>10883987100</v>
      </c>
      <c r="H411" s="756">
        <v>-11954170535</v>
      </c>
      <c r="I411" s="756">
        <v>-1070183435</v>
      </c>
      <c r="J411" s="756">
        <v>39856088943</v>
      </c>
      <c r="K411" s="756">
        <v>-33558283481</v>
      </c>
      <c r="L411" s="756">
        <v>6297805462</v>
      </c>
      <c r="M411" s="570" t="e">
        <f>VLOOKUP(C411,IS_WTB!$C:$E,3,0)</f>
        <v>#N/A</v>
      </c>
      <c r="N411" s="11"/>
      <c r="O411" s="11"/>
    </row>
    <row r="412" spans="1:15">
      <c r="A412" s="755"/>
      <c r="B412" s="755">
        <v>8001</v>
      </c>
      <c r="C412" s="755"/>
      <c r="D412" s="755" t="s">
        <v>12</v>
      </c>
      <c r="E412" s="755">
        <v>0</v>
      </c>
      <c r="F412" s="756">
        <v>-1239741264</v>
      </c>
      <c r="G412" s="756">
        <v>2688971557</v>
      </c>
      <c r="H412" s="756">
        <v>-1983465094</v>
      </c>
      <c r="I412" s="756">
        <v>705506463</v>
      </c>
      <c r="J412" s="756">
        <v>13418742809</v>
      </c>
      <c r="K412" s="756">
        <v>-13952977610</v>
      </c>
      <c r="L412" s="756">
        <v>-534234801</v>
      </c>
      <c r="M412" s="570" t="e">
        <f>VLOOKUP(C412,IS_WTB!$C:$E,3,0)</f>
        <v>#N/A</v>
      </c>
    </row>
    <row r="413" spans="1:15">
      <c r="A413" s="755"/>
      <c r="B413" s="755"/>
      <c r="C413" s="755">
        <v>800100</v>
      </c>
      <c r="D413" s="755" t="s">
        <v>11</v>
      </c>
      <c r="E413" s="755">
        <v>0</v>
      </c>
      <c r="F413" s="756">
        <v>-1220353674</v>
      </c>
      <c r="G413" s="756">
        <v>2688971557</v>
      </c>
      <c r="H413" s="756">
        <v>-1982523034</v>
      </c>
      <c r="I413" s="756">
        <v>706448523</v>
      </c>
      <c r="J413" s="756">
        <v>13418742809</v>
      </c>
      <c r="K413" s="756">
        <v>-13932647960</v>
      </c>
      <c r="L413" s="756">
        <v>-513905151</v>
      </c>
      <c r="M413" s="570" t="str">
        <f>VLOOKUP(C413,IS_WTB!$C:$E,3,0)</f>
        <v>제예금수입이자</v>
      </c>
    </row>
    <row r="414" spans="1:15">
      <c r="A414" s="755"/>
      <c r="B414" s="755"/>
      <c r="C414" s="755">
        <v>800150</v>
      </c>
      <c r="D414" s="755" t="s">
        <v>412</v>
      </c>
      <c r="E414" s="755">
        <v>0</v>
      </c>
      <c r="F414" s="756">
        <v>-4534512</v>
      </c>
      <c r="G414" s="755">
        <v>0</v>
      </c>
      <c r="H414" s="756">
        <v>-573637</v>
      </c>
      <c r="I414" s="756">
        <v>-573637</v>
      </c>
      <c r="J414" s="755">
        <v>0</v>
      </c>
      <c r="K414" s="756">
        <v>-5108149</v>
      </c>
      <c r="L414" s="756">
        <v>-5108149</v>
      </c>
      <c r="M414" s="570" t="str">
        <f>VLOOKUP(C414,IS_WTB!$C:$E,3,0)</f>
        <v>수입이자_임차보증금</v>
      </c>
    </row>
    <row r="415" spans="1:15">
      <c r="A415" s="755"/>
      <c r="B415" s="755"/>
      <c r="C415" s="755">
        <v>800230</v>
      </c>
      <c r="D415" s="755" t="s">
        <v>815</v>
      </c>
      <c r="E415" s="755">
        <v>0</v>
      </c>
      <c r="F415" s="756">
        <v>-14853078</v>
      </c>
      <c r="G415" s="755">
        <v>0</v>
      </c>
      <c r="H415" s="756">
        <v>-368423</v>
      </c>
      <c r="I415" s="756">
        <v>-368423</v>
      </c>
      <c r="J415" s="755">
        <v>0</v>
      </c>
      <c r="K415" s="756">
        <v>-15221501</v>
      </c>
      <c r="L415" s="756">
        <v>-15221501</v>
      </c>
      <c r="M415" s="570" t="str">
        <f>VLOOKUP(C415,IS_WTB!$C:$E,3,0)</f>
        <v>이자수익-리스순투유</v>
      </c>
    </row>
    <row r="416" spans="1:15">
      <c r="A416" s="755"/>
      <c r="B416" s="755">
        <v>8052</v>
      </c>
      <c r="C416" s="755"/>
      <c r="D416" s="755" t="s">
        <v>816</v>
      </c>
      <c r="E416" s="755">
        <v>0</v>
      </c>
      <c r="F416" s="755">
        <v>0</v>
      </c>
      <c r="G416" s="755">
        <v>0</v>
      </c>
      <c r="H416" s="756">
        <v>-3015710090</v>
      </c>
      <c r="I416" s="756">
        <v>-3015710090</v>
      </c>
      <c r="J416" s="755">
        <v>0</v>
      </c>
      <c r="K416" s="756">
        <v>-3015710090</v>
      </c>
      <c r="L416" s="756">
        <v>-3015710090</v>
      </c>
      <c r="M416" s="570" t="e">
        <f>VLOOKUP(C416,IS_WTB!$C:$E,3,0)</f>
        <v>#N/A</v>
      </c>
    </row>
    <row r="417" spans="1:15">
      <c r="A417" s="755"/>
      <c r="B417" s="755"/>
      <c r="C417" s="755">
        <v>805200</v>
      </c>
      <c r="D417" s="755" t="s">
        <v>1604</v>
      </c>
      <c r="E417" s="755">
        <v>0</v>
      </c>
      <c r="F417" s="755">
        <v>0</v>
      </c>
      <c r="G417" s="755">
        <v>0</v>
      </c>
      <c r="H417" s="756">
        <v>-3015710090</v>
      </c>
      <c r="I417" s="756">
        <v>-3015710090</v>
      </c>
      <c r="J417" s="755">
        <v>0</v>
      </c>
      <c r="K417" s="756">
        <v>-3015710090</v>
      </c>
      <c r="L417" s="756">
        <v>-3015710090</v>
      </c>
      <c r="M417" s="570" t="str">
        <f>VLOOKUP(C417,IS_WTB!$C:$E,3,0)</f>
        <v>당기손익인식금융자산평가이익</v>
      </c>
    </row>
    <row r="418" spans="1:15">
      <c r="A418" s="755"/>
      <c r="B418" s="755">
        <v>8053</v>
      </c>
      <c r="C418" s="755"/>
      <c r="D418" s="755" t="s">
        <v>1307</v>
      </c>
      <c r="E418" s="755">
        <v>0</v>
      </c>
      <c r="F418" s="756">
        <v>-3637133422</v>
      </c>
      <c r="G418" s="756">
        <v>6634649</v>
      </c>
      <c r="H418" s="756">
        <v>-1089066268</v>
      </c>
      <c r="I418" s="756">
        <v>-1082431619</v>
      </c>
      <c r="J418" s="756">
        <v>270967121</v>
      </c>
      <c r="K418" s="756">
        <v>-4990532162</v>
      </c>
      <c r="L418" s="756">
        <v>-4719565041</v>
      </c>
      <c r="M418" s="570" t="e">
        <f>VLOOKUP(C418,IS_WTB!$C:$E,3,0)</f>
        <v>#N/A</v>
      </c>
    </row>
    <row r="419" spans="1:15">
      <c r="A419" s="755"/>
      <c r="B419" s="755"/>
      <c r="C419" s="755">
        <v>805500</v>
      </c>
      <c r="D419" s="755" t="s">
        <v>1308</v>
      </c>
      <c r="E419" s="755">
        <v>0</v>
      </c>
      <c r="F419" s="756">
        <v>-3637133422</v>
      </c>
      <c r="G419" s="756">
        <v>6634649</v>
      </c>
      <c r="H419" s="756">
        <v>-1089066268</v>
      </c>
      <c r="I419" s="756">
        <v>-1082431619</v>
      </c>
      <c r="J419" s="756">
        <v>270967121</v>
      </c>
      <c r="K419" s="756">
        <v>-4990532162</v>
      </c>
      <c r="L419" s="756">
        <v>-4719565041</v>
      </c>
      <c r="M419" s="570" t="str">
        <f>VLOOKUP(C419,IS_WTB!$C:$E,3,0)</f>
        <v>유동당기금융-처분익</v>
      </c>
    </row>
    <row r="420" spans="1:15">
      <c r="A420" s="755"/>
      <c r="B420" s="755">
        <v>8071</v>
      </c>
      <c r="C420" s="755"/>
      <c r="D420" s="755" t="s">
        <v>414</v>
      </c>
      <c r="E420" s="755">
        <v>0</v>
      </c>
      <c r="F420" s="756">
        <v>-65178902</v>
      </c>
      <c r="G420" s="755">
        <v>0</v>
      </c>
      <c r="H420" s="756">
        <v>-31094305</v>
      </c>
      <c r="I420" s="756">
        <v>-31094305</v>
      </c>
      <c r="J420" s="756">
        <v>6781913</v>
      </c>
      <c r="K420" s="756">
        <v>-103055120</v>
      </c>
      <c r="L420" s="756">
        <v>-96273207</v>
      </c>
      <c r="M420" s="570" t="e">
        <f>VLOOKUP(C420,IS_WTB!$C:$E,3,0)</f>
        <v>#N/A</v>
      </c>
    </row>
    <row r="421" spans="1:15">
      <c r="A421" s="755"/>
      <c r="B421" s="755"/>
      <c r="C421" s="755">
        <v>807100</v>
      </c>
      <c r="D421" s="755" t="s">
        <v>415</v>
      </c>
      <c r="E421" s="755">
        <v>0</v>
      </c>
      <c r="F421" s="756">
        <v>-14980874</v>
      </c>
      <c r="G421" s="755">
        <v>0</v>
      </c>
      <c r="H421" s="756">
        <v>-2179878</v>
      </c>
      <c r="I421" s="756">
        <v>-2179878</v>
      </c>
      <c r="J421" s="755">
        <v>0</v>
      </c>
      <c r="K421" s="756">
        <v>-17160752</v>
      </c>
      <c r="L421" s="756">
        <v>-17160752</v>
      </c>
      <c r="M421" s="570" t="str">
        <f>VLOOKUP(C421,IS_WTB!$C:$E,3,0)</f>
        <v>외환차익-금융</v>
      </c>
    </row>
    <row r="422" spans="1:15">
      <c r="A422" s="755"/>
      <c r="B422" s="755"/>
      <c r="C422" s="755">
        <v>807130</v>
      </c>
      <c r="D422" s="755" t="s">
        <v>417</v>
      </c>
      <c r="E422" s="755">
        <v>0</v>
      </c>
      <c r="F422" s="756">
        <v>-50198028</v>
      </c>
      <c r="G422" s="755">
        <v>0</v>
      </c>
      <c r="H422" s="756">
        <v>-28914427</v>
      </c>
      <c r="I422" s="756">
        <v>-28914427</v>
      </c>
      <c r="J422" s="756">
        <v>6781913</v>
      </c>
      <c r="K422" s="756">
        <v>-85894368</v>
      </c>
      <c r="L422" s="756">
        <v>-79112455</v>
      </c>
      <c r="M422" s="570" t="str">
        <f>VLOOKUP(C422,IS_WTB!$C:$E,3,0)</f>
        <v>외환차익-영업</v>
      </c>
    </row>
    <row r="423" spans="1:15">
      <c r="A423" s="755"/>
      <c r="B423" s="755">
        <v>8081</v>
      </c>
      <c r="C423" s="755"/>
      <c r="D423" s="755" t="s">
        <v>418</v>
      </c>
      <c r="E423" s="755">
        <v>0</v>
      </c>
      <c r="F423" s="756">
        <v>-172159431</v>
      </c>
      <c r="G423" s="756">
        <v>794853</v>
      </c>
      <c r="H423" s="756">
        <v>-205766433</v>
      </c>
      <c r="I423" s="756">
        <v>-204971580</v>
      </c>
      <c r="J423" s="756">
        <v>-1514419</v>
      </c>
      <c r="K423" s="756">
        <v>-375616592</v>
      </c>
      <c r="L423" s="756">
        <v>-377131011</v>
      </c>
      <c r="M423" s="570" t="e">
        <f>VLOOKUP(C423,IS_WTB!$C:$E,3,0)</f>
        <v>#N/A</v>
      </c>
    </row>
    <row r="424" spans="1:15">
      <c r="A424" s="755"/>
      <c r="B424" s="755"/>
      <c r="C424" s="755">
        <v>808100</v>
      </c>
      <c r="D424" s="755" t="s">
        <v>419</v>
      </c>
      <c r="E424" s="755">
        <v>0</v>
      </c>
      <c r="F424" s="756">
        <v>-236633</v>
      </c>
      <c r="G424" s="755">
        <v>0</v>
      </c>
      <c r="H424" s="755">
        <v>0</v>
      </c>
      <c r="I424" s="755">
        <v>0</v>
      </c>
      <c r="J424" s="756">
        <v>-236633</v>
      </c>
      <c r="K424" s="755">
        <v>0</v>
      </c>
      <c r="L424" s="756">
        <v>-236633</v>
      </c>
      <c r="M424" s="570" t="str">
        <f>VLOOKUP(C424,IS_WTB!$C:$E,3,0)</f>
        <v>외화미지급금환산익</v>
      </c>
    </row>
    <row r="425" spans="1:15">
      <c r="A425" s="755"/>
      <c r="B425" s="755"/>
      <c r="C425" s="755">
        <v>808170</v>
      </c>
      <c r="D425" s="755" t="s">
        <v>421</v>
      </c>
      <c r="E425" s="755">
        <v>0</v>
      </c>
      <c r="F425" s="756">
        <v>-170539868</v>
      </c>
      <c r="G425" s="755">
        <v>60</v>
      </c>
      <c r="H425" s="756">
        <v>-202501360</v>
      </c>
      <c r="I425" s="756">
        <v>-202501300</v>
      </c>
      <c r="J425" s="755">
        <v>60</v>
      </c>
      <c r="K425" s="756">
        <v>-373041228</v>
      </c>
      <c r="L425" s="756">
        <v>-373041168</v>
      </c>
      <c r="M425" s="570" t="str">
        <f>VLOOKUP(C425,IS_WTB!$C:$E,3,0)</f>
        <v>외화환산익_금융기타</v>
      </c>
    </row>
    <row r="426" spans="1:15">
      <c r="A426" s="755"/>
      <c r="B426" s="755"/>
      <c r="C426" s="755">
        <v>808190</v>
      </c>
      <c r="D426" s="755" t="s">
        <v>422</v>
      </c>
      <c r="E426" s="755">
        <v>0</v>
      </c>
      <c r="F426" s="756">
        <v>-1382930</v>
      </c>
      <c r="G426" s="756">
        <v>794793</v>
      </c>
      <c r="H426" s="756">
        <v>-3265073</v>
      </c>
      <c r="I426" s="756">
        <v>-2470280</v>
      </c>
      <c r="J426" s="756">
        <v>-1277846</v>
      </c>
      <c r="K426" s="756">
        <v>-2575364</v>
      </c>
      <c r="L426" s="756">
        <v>-3853210</v>
      </c>
      <c r="M426" s="570" t="str">
        <f>VLOOKUP(C426,IS_WTB!$C:$E,3,0)</f>
        <v>외화환산이익-영업</v>
      </c>
    </row>
    <row r="427" spans="1:15">
      <c r="A427" s="755"/>
      <c r="B427" s="755">
        <v>8121</v>
      </c>
      <c r="C427" s="755"/>
      <c r="D427" s="755" t="s">
        <v>818</v>
      </c>
      <c r="E427" s="755">
        <v>0</v>
      </c>
      <c r="F427" s="756">
        <v>-27145533</v>
      </c>
      <c r="G427" s="755">
        <v>0</v>
      </c>
      <c r="H427" s="755">
        <v>0</v>
      </c>
      <c r="I427" s="755">
        <v>0</v>
      </c>
      <c r="J427" s="755">
        <v>0</v>
      </c>
      <c r="K427" s="756">
        <v>-27145533</v>
      </c>
      <c r="L427" s="756">
        <v>-27145533</v>
      </c>
      <c r="M427" s="570" t="e">
        <f>VLOOKUP(C427,IS_WTB!$C:$E,3,0)</f>
        <v>#N/A</v>
      </c>
    </row>
    <row r="428" spans="1:15">
      <c r="A428" s="755"/>
      <c r="B428" s="755"/>
      <c r="C428" s="755">
        <v>812100</v>
      </c>
      <c r="D428" s="755" t="s">
        <v>391</v>
      </c>
      <c r="E428" s="755">
        <v>0</v>
      </c>
      <c r="F428" s="756">
        <v>-27145533</v>
      </c>
      <c r="G428" s="755">
        <v>0</v>
      </c>
      <c r="H428" s="755">
        <v>0</v>
      </c>
      <c r="I428" s="755">
        <v>0</v>
      </c>
      <c r="J428" s="755">
        <v>0</v>
      </c>
      <c r="K428" s="756">
        <v>-27145533</v>
      </c>
      <c r="L428" s="756">
        <v>-27145533</v>
      </c>
      <c r="M428" s="570" t="str">
        <f>VLOOKUP(C428,IS_WTB!$C:$E,3,0)</f>
        <v>유형자산처분익</v>
      </c>
    </row>
    <row r="429" spans="1:15">
      <c r="A429" s="755"/>
      <c r="B429" s="755">
        <v>8123</v>
      </c>
      <c r="C429" s="755"/>
      <c r="D429" s="755" t="s">
        <v>1214</v>
      </c>
      <c r="E429" s="755">
        <v>0</v>
      </c>
      <c r="F429" s="756">
        <v>-164514491</v>
      </c>
      <c r="G429" s="756">
        <v>155575656</v>
      </c>
      <c r="H429" s="755">
        <v>0</v>
      </c>
      <c r="I429" s="756">
        <v>155575656</v>
      </c>
      <c r="J429" s="756">
        <v>987794064</v>
      </c>
      <c r="K429" s="756">
        <v>-996732899</v>
      </c>
      <c r="L429" s="756">
        <v>-8938835</v>
      </c>
      <c r="M429" s="570" t="e">
        <f>VLOOKUP(C429,IS_WTB!$C:$E,3,0)</f>
        <v>#N/A</v>
      </c>
    </row>
    <row r="430" spans="1:15">
      <c r="A430" s="755"/>
      <c r="B430" s="755"/>
      <c r="C430" s="755">
        <v>812300</v>
      </c>
      <c r="D430" s="755" t="s">
        <v>1215</v>
      </c>
      <c r="E430" s="755">
        <v>0</v>
      </c>
      <c r="F430" s="756">
        <v>-164514491</v>
      </c>
      <c r="G430" s="756">
        <v>155575656</v>
      </c>
      <c r="H430" s="755">
        <v>0</v>
      </c>
      <c r="I430" s="756">
        <v>155575656</v>
      </c>
      <c r="J430" s="756">
        <v>987794064</v>
      </c>
      <c r="K430" s="756">
        <v>-996732899</v>
      </c>
      <c r="L430" s="756">
        <v>-8938835</v>
      </c>
      <c r="M430" s="570" t="str">
        <f>VLOOKUP(C430,IS_WTB!$C:$E,3,0)</f>
        <v>사용권자산처분익</v>
      </c>
    </row>
    <row r="431" spans="1:15">
      <c r="A431" s="755"/>
      <c r="B431" s="755">
        <v>8150</v>
      </c>
      <c r="C431" s="755"/>
      <c r="D431" s="755" t="s">
        <v>668</v>
      </c>
      <c r="E431" s="755">
        <v>0</v>
      </c>
      <c r="F431" s="756">
        <v>4223891447</v>
      </c>
      <c r="G431" s="755">
        <v>0</v>
      </c>
      <c r="H431" s="755">
        <v>0</v>
      </c>
      <c r="I431" s="755">
        <v>0</v>
      </c>
      <c r="J431" s="756">
        <v>6099068014</v>
      </c>
      <c r="K431" s="756">
        <v>-1875176567</v>
      </c>
      <c r="L431" s="756">
        <v>4223891447</v>
      </c>
      <c r="M431" s="570" t="e">
        <f>VLOOKUP(C431,IS_WTB!$C:$E,3,0)</f>
        <v>#N/A</v>
      </c>
    </row>
    <row r="432" spans="1:15">
      <c r="A432" s="755"/>
      <c r="B432" s="755"/>
      <c r="C432" s="755">
        <v>830100</v>
      </c>
      <c r="D432" s="755" t="s">
        <v>668</v>
      </c>
      <c r="E432" s="755">
        <v>0</v>
      </c>
      <c r="F432" s="756">
        <v>4223891447</v>
      </c>
      <c r="G432" s="755">
        <v>0</v>
      </c>
      <c r="H432" s="755">
        <v>0</v>
      </c>
      <c r="I432" s="755">
        <v>0</v>
      </c>
      <c r="J432" s="756">
        <v>6099068014</v>
      </c>
      <c r="K432" s="756">
        <v>-1875176567</v>
      </c>
      <c r="L432" s="756">
        <v>4223891447</v>
      </c>
      <c r="M432" s="570" t="str">
        <f>VLOOKUP(C432,IS_WTB!$C:$E,3,0)</f>
        <v>지분법평가손실</v>
      </c>
      <c r="N432" s="721"/>
      <c r="O432" s="721"/>
    </row>
    <row r="433" spans="1:15">
      <c r="A433" s="755"/>
      <c r="B433" s="755">
        <v>8151</v>
      </c>
      <c r="C433" s="755"/>
      <c r="D433" s="755" t="s">
        <v>393</v>
      </c>
      <c r="E433" s="755">
        <v>0</v>
      </c>
      <c r="F433" s="756">
        <v>-121671605</v>
      </c>
      <c r="G433" s="755">
        <v>0</v>
      </c>
      <c r="H433" s="756">
        <v>-118082</v>
      </c>
      <c r="I433" s="756">
        <v>-118082</v>
      </c>
      <c r="J433" s="755">
        <v>0</v>
      </c>
      <c r="K433" s="756">
        <v>-121789687</v>
      </c>
      <c r="L433" s="756">
        <v>-121789687</v>
      </c>
      <c r="M433" s="570" t="e">
        <f>VLOOKUP(C433,IS_WTB!$C:$E,3,0)</f>
        <v>#N/A</v>
      </c>
    </row>
    <row r="434" spans="1:15">
      <c r="A434" s="755"/>
      <c r="B434" s="755"/>
      <c r="C434" s="755">
        <v>815190</v>
      </c>
      <c r="D434" s="755" t="s">
        <v>394</v>
      </c>
      <c r="E434" s="755">
        <v>0</v>
      </c>
      <c r="F434" s="756">
        <v>-121671605</v>
      </c>
      <c r="G434" s="755">
        <v>0</v>
      </c>
      <c r="H434" s="756">
        <v>-118082</v>
      </c>
      <c r="I434" s="756">
        <v>-118082</v>
      </c>
      <c r="J434" s="755">
        <v>0</v>
      </c>
      <c r="K434" s="756">
        <v>-121789687</v>
      </c>
      <c r="L434" s="756">
        <v>-121789687</v>
      </c>
      <c r="M434" s="570" t="str">
        <f>VLOOKUP(C434,IS_WTB!$C:$E,3,0)</f>
        <v>기타잡이익</v>
      </c>
    </row>
    <row r="435" spans="1:15">
      <c r="A435" s="755"/>
      <c r="B435" s="755">
        <v>8181</v>
      </c>
      <c r="C435" s="755"/>
      <c r="D435" s="755" t="s">
        <v>395</v>
      </c>
      <c r="E435" s="755">
        <v>0</v>
      </c>
      <c r="F435" s="756">
        <v>22432395</v>
      </c>
      <c r="G435" s="755">
        <v>0</v>
      </c>
      <c r="H435" s="755">
        <v>0</v>
      </c>
      <c r="I435" s="755">
        <v>0</v>
      </c>
      <c r="J435" s="756">
        <v>372432395</v>
      </c>
      <c r="K435" s="756">
        <v>-350000000</v>
      </c>
      <c r="L435" s="756">
        <v>22432395</v>
      </c>
      <c r="M435" s="570" t="e">
        <f>VLOOKUP(C435,IS_WTB!$C:$E,3,0)</f>
        <v>#N/A</v>
      </c>
    </row>
    <row r="436" spans="1:15">
      <c r="A436" s="755"/>
      <c r="B436" s="755"/>
      <c r="C436" s="755">
        <v>829100</v>
      </c>
      <c r="D436" s="755" t="s">
        <v>396</v>
      </c>
      <c r="E436" s="755">
        <v>0</v>
      </c>
      <c r="F436" s="756">
        <v>10000000</v>
      </c>
      <c r="G436" s="755">
        <v>0</v>
      </c>
      <c r="H436" s="755">
        <v>0</v>
      </c>
      <c r="I436" s="755">
        <v>0</v>
      </c>
      <c r="J436" s="756">
        <v>10000000</v>
      </c>
      <c r="K436" s="755">
        <v>0</v>
      </c>
      <c r="L436" s="756">
        <v>10000000</v>
      </c>
      <c r="M436" s="570" t="str">
        <f>VLOOKUP(C436,IS_WTB!$C:$E,3,0)</f>
        <v>법정기부금</v>
      </c>
      <c r="N436" s="525"/>
      <c r="O436" s="525"/>
    </row>
    <row r="437" spans="1:15">
      <c r="A437" s="755"/>
      <c r="B437" s="755"/>
      <c r="C437" s="755">
        <v>829200</v>
      </c>
      <c r="D437" s="755" t="s">
        <v>397</v>
      </c>
      <c r="E437" s="755">
        <v>0</v>
      </c>
      <c r="F437" s="756">
        <v>12432395</v>
      </c>
      <c r="G437" s="755">
        <v>0</v>
      </c>
      <c r="H437" s="755">
        <v>0</v>
      </c>
      <c r="I437" s="755">
        <v>0</v>
      </c>
      <c r="J437" s="756">
        <v>362432395</v>
      </c>
      <c r="K437" s="756">
        <v>-350000000</v>
      </c>
      <c r="L437" s="756">
        <v>12432395</v>
      </c>
      <c r="M437" s="570" t="str">
        <f>VLOOKUP(C437,IS_WTB!$C:$E,3,0)</f>
        <v>지정기부금</v>
      </c>
    </row>
    <row r="438" spans="1:15">
      <c r="A438" s="755"/>
      <c r="B438" s="755">
        <v>8201</v>
      </c>
      <c r="C438" s="755"/>
      <c r="D438" s="755" t="s">
        <v>10</v>
      </c>
      <c r="E438" s="755">
        <v>0</v>
      </c>
      <c r="F438" s="756">
        <v>488274003</v>
      </c>
      <c r="G438" s="756">
        <v>114906507</v>
      </c>
      <c r="H438" s="755">
        <v>0</v>
      </c>
      <c r="I438" s="756">
        <v>114906507</v>
      </c>
      <c r="J438" s="756">
        <v>616825272</v>
      </c>
      <c r="K438" s="756">
        <v>-13644762</v>
      </c>
      <c r="L438" s="756">
        <v>603180510</v>
      </c>
      <c r="M438" s="570" t="e">
        <f>VLOOKUP(C438,IS_WTB!$C:$E,3,0)</f>
        <v>#N/A</v>
      </c>
    </row>
    <row r="439" spans="1:15">
      <c r="A439" s="755"/>
      <c r="B439" s="755"/>
      <c r="C439" s="755">
        <v>820190</v>
      </c>
      <c r="D439" s="755" t="s">
        <v>9</v>
      </c>
      <c r="E439" s="755">
        <v>0</v>
      </c>
      <c r="F439" s="756">
        <v>90720482</v>
      </c>
      <c r="G439" s="756">
        <v>11155873</v>
      </c>
      <c r="H439" s="755">
        <v>0</v>
      </c>
      <c r="I439" s="756">
        <v>11155873</v>
      </c>
      <c r="J439" s="756">
        <v>101876355</v>
      </c>
      <c r="K439" s="755">
        <v>0</v>
      </c>
      <c r="L439" s="756">
        <v>101876355</v>
      </c>
      <c r="M439" s="570" t="str">
        <f>VLOOKUP(C439,IS_WTB!$C:$E,3,0)</f>
        <v>기타지급이자</v>
      </c>
    </row>
    <row r="440" spans="1:15">
      <c r="A440" s="755"/>
      <c r="B440" s="755"/>
      <c r="C440" s="755">
        <v>820200</v>
      </c>
      <c r="D440" s="755" t="s">
        <v>821</v>
      </c>
      <c r="E440" s="755">
        <v>0</v>
      </c>
      <c r="F440" s="756">
        <v>397553521</v>
      </c>
      <c r="G440" s="756">
        <v>103750634</v>
      </c>
      <c r="H440" s="755">
        <v>0</v>
      </c>
      <c r="I440" s="756">
        <v>103750634</v>
      </c>
      <c r="J440" s="756">
        <v>514948917</v>
      </c>
      <c r="K440" s="756">
        <v>-13644762</v>
      </c>
      <c r="L440" s="756">
        <v>501304155</v>
      </c>
      <c r="M440" s="570" t="str">
        <f>VLOOKUP(C440,IS_WTB!$C:$E,3,0)</f>
        <v>이자비용-유동장기리</v>
      </c>
    </row>
    <row r="441" spans="1:15">
      <c r="A441" s="755"/>
      <c r="B441" s="755">
        <v>8211</v>
      </c>
      <c r="C441" s="755"/>
      <c r="D441" s="755" t="s">
        <v>399</v>
      </c>
      <c r="E441" s="755">
        <v>0</v>
      </c>
      <c r="F441" s="756">
        <v>43186</v>
      </c>
      <c r="G441" s="755">
        <v>0</v>
      </c>
      <c r="H441" s="756">
        <v>-29742</v>
      </c>
      <c r="I441" s="756">
        <v>-29742</v>
      </c>
      <c r="J441" s="756">
        <v>76576</v>
      </c>
      <c r="K441" s="756">
        <v>-63132</v>
      </c>
      <c r="L441" s="756">
        <v>13444</v>
      </c>
      <c r="M441" s="570" t="e">
        <f>VLOOKUP(C441,IS_WTB!$C:$E,3,0)</f>
        <v>#N/A</v>
      </c>
    </row>
    <row r="442" spans="1:15">
      <c r="A442" s="755"/>
      <c r="B442" s="755"/>
      <c r="C442" s="755">
        <v>821100</v>
      </c>
      <c r="D442" s="755" t="s">
        <v>400</v>
      </c>
      <c r="E442" s="755">
        <v>0</v>
      </c>
      <c r="F442" s="756">
        <v>23596</v>
      </c>
      <c r="G442" s="755">
        <v>0</v>
      </c>
      <c r="H442" s="756">
        <v>-29742</v>
      </c>
      <c r="I442" s="756">
        <v>-29742</v>
      </c>
      <c r="J442" s="756">
        <v>56986</v>
      </c>
      <c r="K442" s="756">
        <v>-63132</v>
      </c>
      <c r="L442" s="756">
        <v>-6146</v>
      </c>
      <c r="M442" s="570" t="str">
        <f>VLOOKUP(C442,IS_WTB!$C:$E,3,0)</f>
        <v>미수금대손상각</v>
      </c>
    </row>
    <row r="443" spans="1:15">
      <c r="A443" s="755"/>
      <c r="B443" s="755"/>
      <c r="C443" s="755">
        <v>821190</v>
      </c>
      <c r="D443" s="755" t="s">
        <v>401</v>
      </c>
      <c r="E443" s="755">
        <v>0</v>
      </c>
      <c r="F443" s="756">
        <v>19590</v>
      </c>
      <c r="G443" s="755">
        <v>0</v>
      </c>
      <c r="H443" s="755">
        <v>0</v>
      </c>
      <c r="I443" s="755">
        <v>0</v>
      </c>
      <c r="J443" s="756">
        <v>19590</v>
      </c>
      <c r="K443" s="755">
        <v>0</v>
      </c>
      <c r="L443" s="756">
        <v>19590</v>
      </c>
      <c r="M443" s="570" t="str">
        <f>VLOOKUP(C443,IS_WTB!$C:$E,3,0)</f>
        <v>기타대손상각</v>
      </c>
    </row>
    <row r="444" spans="1:15">
      <c r="A444" s="755"/>
      <c r="B444" s="755">
        <v>8232</v>
      </c>
      <c r="C444" s="755"/>
      <c r="D444" s="755" t="s">
        <v>1088</v>
      </c>
      <c r="E444" s="755">
        <v>0</v>
      </c>
      <c r="F444" s="756">
        <v>5624443533</v>
      </c>
      <c r="G444" s="756">
        <v>7896068844</v>
      </c>
      <c r="H444" s="756">
        <v>-5624443533</v>
      </c>
      <c r="I444" s="756">
        <v>2271625311</v>
      </c>
      <c r="J444" s="756">
        <v>15344745099</v>
      </c>
      <c r="K444" s="756">
        <v>-7448676255</v>
      </c>
      <c r="L444" s="756">
        <v>7896068844</v>
      </c>
      <c r="M444" s="570" t="e">
        <f>VLOOKUP(C444,IS_WTB!$C:$E,3,0)</f>
        <v>#N/A</v>
      </c>
    </row>
    <row r="445" spans="1:15">
      <c r="A445" s="755"/>
      <c r="B445" s="755"/>
      <c r="C445" s="755">
        <v>823300</v>
      </c>
      <c r="D445" s="755" t="s">
        <v>1361</v>
      </c>
      <c r="E445" s="755">
        <v>0</v>
      </c>
      <c r="F445" s="756">
        <v>5624443533</v>
      </c>
      <c r="G445" s="756">
        <v>7896068844</v>
      </c>
      <c r="H445" s="756">
        <v>-5624443533</v>
      </c>
      <c r="I445" s="756">
        <v>2271625311</v>
      </c>
      <c r="J445" s="756">
        <v>15344745099</v>
      </c>
      <c r="K445" s="756">
        <v>-7448676255</v>
      </c>
      <c r="L445" s="756">
        <v>7896068844</v>
      </c>
      <c r="M445" s="570" t="str">
        <f>VLOOKUP(C445,IS_WTB!$C:$E,3,0)</f>
        <v>유동당기금융-평가손</v>
      </c>
    </row>
    <row r="446" spans="1:15">
      <c r="A446" s="755"/>
      <c r="B446" s="755">
        <v>8250</v>
      </c>
      <c r="C446" s="755"/>
      <c r="D446" s="755" t="s">
        <v>1587</v>
      </c>
      <c r="E446" s="755">
        <v>0</v>
      </c>
      <c r="F446" s="756">
        <v>1884079582</v>
      </c>
      <c r="G446" s="755">
        <v>0</v>
      </c>
      <c r="H446" s="755">
        <v>0</v>
      </c>
      <c r="I446" s="755">
        <v>0</v>
      </c>
      <c r="J446" s="756">
        <v>1884079582</v>
      </c>
      <c r="K446" s="755">
        <v>0</v>
      </c>
      <c r="L446" s="756">
        <v>1884079582</v>
      </c>
      <c r="M446" s="570" t="e">
        <f>VLOOKUP(C446,IS_WTB!$C:$E,3,0)</f>
        <v>#N/A</v>
      </c>
    </row>
    <row r="447" spans="1:15">
      <c r="A447" s="755"/>
      <c r="B447" s="755"/>
      <c r="C447" s="755">
        <v>832150</v>
      </c>
      <c r="D447" s="755" t="s">
        <v>1588</v>
      </c>
      <c r="E447" s="755">
        <v>0</v>
      </c>
      <c r="F447" s="756">
        <v>1884079582</v>
      </c>
      <c r="G447" s="755">
        <v>0</v>
      </c>
      <c r="H447" s="755">
        <v>0</v>
      </c>
      <c r="I447" s="755">
        <v>0</v>
      </c>
      <c r="J447" s="756">
        <v>1884079582</v>
      </c>
      <c r="K447" s="755">
        <v>0</v>
      </c>
      <c r="L447" s="756">
        <v>1884079582</v>
      </c>
      <c r="M447" s="570" t="str">
        <f>VLOOKUP(C447,IS_WTB!$C:$E,3,0)</f>
        <v>지분법주식처분손실</v>
      </c>
    </row>
    <row r="448" spans="1:15">
      <c r="A448" s="755"/>
      <c r="B448" s="755">
        <v>8261</v>
      </c>
      <c r="C448" s="755"/>
      <c r="D448" s="755" t="s">
        <v>430</v>
      </c>
      <c r="E448" s="755">
        <v>0</v>
      </c>
      <c r="F448" s="756">
        <v>20391026</v>
      </c>
      <c r="G448" s="756">
        <v>10118127</v>
      </c>
      <c r="H448" s="755">
        <v>0</v>
      </c>
      <c r="I448" s="756">
        <v>10118127</v>
      </c>
      <c r="J448" s="756">
        <v>30571973</v>
      </c>
      <c r="K448" s="756">
        <v>-62820</v>
      </c>
      <c r="L448" s="756">
        <v>30509153</v>
      </c>
      <c r="M448" s="570" t="e">
        <f>VLOOKUP(C448,IS_WTB!$C:$E,3,0)</f>
        <v>#N/A</v>
      </c>
    </row>
    <row r="449" spans="1:13">
      <c r="A449" s="755"/>
      <c r="B449" s="755"/>
      <c r="C449" s="755">
        <v>826100</v>
      </c>
      <c r="D449" s="755" t="s">
        <v>427</v>
      </c>
      <c r="E449" s="755">
        <v>0</v>
      </c>
      <c r="F449" s="756">
        <v>1069373</v>
      </c>
      <c r="G449" s="755">
        <v>0</v>
      </c>
      <c r="H449" s="755">
        <v>0</v>
      </c>
      <c r="I449" s="755">
        <v>0</v>
      </c>
      <c r="J449" s="756">
        <v>1069373</v>
      </c>
      <c r="K449" s="755">
        <v>0</v>
      </c>
      <c r="L449" s="756">
        <v>1069373</v>
      </c>
      <c r="M449" s="570" t="str">
        <f>VLOOKUP(C449,IS_WTB!$C:$E,3,0)</f>
        <v>외환차손-금융</v>
      </c>
    </row>
    <row r="450" spans="1:13">
      <c r="A450" s="755"/>
      <c r="B450" s="755"/>
      <c r="C450" s="755">
        <v>826130</v>
      </c>
      <c r="D450" s="755" t="s">
        <v>431</v>
      </c>
      <c r="E450" s="755">
        <v>0</v>
      </c>
      <c r="F450" s="756">
        <v>19321653</v>
      </c>
      <c r="G450" s="756">
        <v>10118127</v>
      </c>
      <c r="H450" s="755">
        <v>0</v>
      </c>
      <c r="I450" s="756">
        <v>10118127</v>
      </c>
      <c r="J450" s="756">
        <v>29502600</v>
      </c>
      <c r="K450" s="756">
        <v>-62820</v>
      </c>
      <c r="L450" s="756">
        <v>29439780</v>
      </c>
      <c r="M450" s="570" t="str">
        <f>VLOOKUP(C450,IS_WTB!$C:$E,3,0)</f>
        <v>외환차손-영업</v>
      </c>
    </row>
    <row r="451" spans="1:13">
      <c r="A451" s="755"/>
      <c r="B451" s="755">
        <v>8271</v>
      </c>
      <c r="C451" s="755"/>
      <c r="D451" s="755" t="s">
        <v>434</v>
      </c>
      <c r="E451" s="755">
        <v>0</v>
      </c>
      <c r="F451" s="756">
        <v>9397443</v>
      </c>
      <c r="G451" s="756">
        <v>9017165</v>
      </c>
      <c r="H451" s="756">
        <v>-4476988</v>
      </c>
      <c r="I451" s="756">
        <v>4540177</v>
      </c>
      <c r="J451" s="756">
        <v>14534945</v>
      </c>
      <c r="K451" s="756">
        <v>-597325</v>
      </c>
      <c r="L451" s="756">
        <v>13937620</v>
      </c>
      <c r="M451" s="570" t="e">
        <f>VLOOKUP(C451,IS_WTB!$C:$E,3,0)</f>
        <v>#N/A</v>
      </c>
    </row>
    <row r="452" spans="1:13">
      <c r="A452" s="755"/>
      <c r="B452" s="755"/>
      <c r="C452" s="755">
        <v>827100</v>
      </c>
      <c r="D452" s="755" t="s">
        <v>433</v>
      </c>
      <c r="E452" s="755">
        <v>0</v>
      </c>
      <c r="F452" s="756">
        <v>3014080</v>
      </c>
      <c r="G452" s="755">
        <v>0</v>
      </c>
      <c r="H452" s="755">
        <v>0</v>
      </c>
      <c r="I452" s="755">
        <v>0</v>
      </c>
      <c r="J452" s="755">
        <v>0</v>
      </c>
      <c r="K452" s="756">
        <v>3014080</v>
      </c>
      <c r="L452" s="756">
        <v>3014080</v>
      </c>
      <c r="M452" s="570" t="str">
        <f>VLOOKUP(C452,IS_WTB!$C:$E,3,0)</f>
        <v>외화미지급금환산손실</v>
      </c>
    </row>
    <row r="453" spans="1:13">
      <c r="A453" s="755"/>
      <c r="B453" s="755"/>
      <c r="C453" s="755">
        <v>827170</v>
      </c>
      <c r="D453" s="755" t="s">
        <v>435</v>
      </c>
      <c r="E453" s="755">
        <v>0</v>
      </c>
      <c r="F453" s="756">
        <v>1318239</v>
      </c>
      <c r="G453" s="756">
        <v>-616786</v>
      </c>
      <c r="H453" s="755">
        <v>0</v>
      </c>
      <c r="I453" s="756">
        <v>-616786</v>
      </c>
      <c r="J453" s="756">
        <v>701453</v>
      </c>
      <c r="K453" s="755">
        <v>0</v>
      </c>
      <c r="L453" s="756">
        <v>701453</v>
      </c>
      <c r="M453" s="570" t="str">
        <f>VLOOKUP(C453,IS_WTB!$C:$E,3,0)</f>
        <v>외화환산손_금융기타</v>
      </c>
    </row>
    <row r="454" spans="1:13">
      <c r="A454" s="755"/>
      <c r="B454" s="755"/>
      <c r="C454" s="755">
        <v>827190</v>
      </c>
      <c r="D454" s="755" t="s">
        <v>436</v>
      </c>
      <c r="E454" s="755">
        <v>0</v>
      </c>
      <c r="F454" s="756">
        <v>5065124</v>
      </c>
      <c r="G454" s="756">
        <v>9633951</v>
      </c>
      <c r="H454" s="756">
        <v>-4476988</v>
      </c>
      <c r="I454" s="756">
        <v>5156963</v>
      </c>
      <c r="J454" s="756">
        <v>13833492</v>
      </c>
      <c r="K454" s="756">
        <v>-3611405</v>
      </c>
      <c r="L454" s="756">
        <v>10222087</v>
      </c>
      <c r="M454" s="570" t="str">
        <f>VLOOKUP(C454,IS_WTB!$C:$E,3,0)</f>
        <v>외화환산손실-영업</v>
      </c>
    </row>
    <row r="455" spans="1:13">
      <c r="A455" s="755"/>
      <c r="B455" s="755">
        <v>8333</v>
      </c>
      <c r="C455" s="755"/>
      <c r="D455" s="755" t="s">
        <v>1214</v>
      </c>
      <c r="E455" s="755">
        <v>0</v>
      </c>
      <c r="F455" s="756">
        <v>288444000</v>
      </c>
      <c r="G455" s="755">
        <v>0</v>
      </c>
      <c r="H455" s="755">
        <v>0</v>
      </c>
      <c r="I455" s="755">
        <v>0</v>
      </c>
      <c r="J455" s="756">
        <v>574946927</v>
      </c>
      <c r="K455" s="756">
        <v>-286502927</v>
      </c>
      <c r="L455" s="756">
        <v>288444000</v>
      </c>
      <c r="M455" s="570" t="e">
        <f>VLOOKUP(C455,IS_WTB!$C:$E,3,0)</f>
        <v>#N/A</v>
      </c>
    </row>
    <row r="456" spans="1:13">
      <c r="A456" s="755"/>
      <c r="B456" s="755"/>
      <c r="C456" s="755">
        <v>833300</v>
      </c>
      <c r="D456" s="755" t="s">
        <v>1216</v>
      </c>
      <c r="E456" s="755">
        <v>0</v>
      </c>
      <c r="F456" s="756">
        <v>288444000</v>
      </c>
      <c r="G456" s="755">
        <v>0</v>
      </c>
      <c r="H456" s="755">
        <v>0</v>
      </c>
      <c r="I456" s="755">
        <v>0</v>
      </c>
      <c r="J456" s="756">
        <v>574946927</v>
      </c>
      <c r="K456" s="756">
        <v>-286502927</v>
      </c>
      <c r="L456" s="756">
        <v>288444000</v>
      </c>
      <c r="M456" s="570" t="str">
        <f>VLOOKUP(C456,IS_WTB!$C:$E,3,0)</f>
        <v>사용권자산처분손실</v>
      </c>
    </row>
    <row r="457" spans="1:13">
      <c r="A457" s="755"/>
      <c r="B457" s="755">
        <v>8351</v>
      </c>
      <c r="C457" s="755"/>
      <c r="D457" s="755" t="s">
        <v>405</v>
      </c>
      <c r="E457" s="755">
        <v>0</v>
      </c>
      <c r="F457" s="756">
        <v>234136930</v>
      </c>
      <c r="G457" s="756">
        <v>1899742</v>
      </c>
      <c r="H457" s="755">
        <v>0</v>
      </c>
      <c r="I457" s="756">
        <v>1899742</v>
      </c>
      <c r="J457" s="756">
        <v>236036672</v>
      </c>
      <c r="K457" s="755">
        <v>0</v>
      </c>
      <c r="L457" s="756">
        <v>236036672</v>
      </c>
      <c r="M457" s="570" t="e">
        <f>VLOOKUP(C457,IS_WTB!$C:$E,3,0)</f>
        <v>#N/A</v>
      </c>
    </row>
    <row r="458" spans="1:13">
      <c r="A458" s="755"/>
      <c r="B458" s="755"/>
      <c r="C458" s="755">
        <v>835100</v>
      </c>
      <c r="D458" s="755" t="s">
        <v>405</v>
      </c>
      <c r="E458" s="755">
        <v>0</v>
      </c>
      <c r="F458" s="756">
        <v>234136930</v>
      </c>
      <c r="G458" s="756">
        <v>1899742</v>
      </c>
      <c r="H458" s="755">
        <v>0</v>
      </c>
      <c r="I458" s="756">
        <v>1899742</v>
      </c>
      <c r="J458" s="756">
        <v>236036672</v>
      </c>
      <c r="K458" s="755">
        <v>0</v>
      </c>
      <c r="L458" s="756">
        <v>236036672</v>
      </c>
      <c r="M458" s="570" t="str">
        <f>VLOOKUP(C458,IS_WTB!$C:$E,3,0)</f>
        <v>잡손실</v>
      </c>
    </row>
    <row r="459" spans="1:13">
      <c r="A459" s="755">
        <v>90</v>
      </c>
      <c r="B459" s="755"/>
      <c r="C459" s="755"/>
      <c r="D459" s="755" t="s">
        <v>1568</v>
      </c>
      <c r="E459" s="755">
        <v>0</v>
      </c>
      <c r="F459" s="756">
        <v>657140040</v>
      </c>
      <c r="G459" s="756">
        <v>965556436</v>
      </c>
      <c r="H459" s="756">
        <v>-38452870412</v>
      </c>
      <c r="I459" s="756">
        <v>-37487313976</v>
      </c>
      <c r="J459" s="756">
        <v>1622696476</v>
      </c>
      <c r="K459" s="756">
        <v>-38452870412</v>
      </c>
      <c r="L459" s="756">
        <v>-36830173936</v>
      </c>
      <c r="M459" s="570" t="e">
        <f>VLOOKUP(C459,IS_WTB!$C:$E,3,0)</f>
        <v>#N/A</v>
      </c>
    </row>
    <row r="460" spans="1:13">
      <c r="A460" s="755"/>
      <c r="B460" s="755">
        <v>849</v>
      </c>
      <c r="C460" s="755"/>
      <c r="D460" s="755" t="s">
        <v>1568</v>
      </c>
      <c r="E460" s="755">
        <v>0</v>
      </c>
      <c r="F460" s="756">
        <v>657140040</v>
      </c>
      <c r="G460" s="756">
        <v>965556436</v>
      </c>
      <c r="H460" s="756">
        <v>-38452870412</v>
      </c>
      <c r="I460" s="756">
        <v>-37487313976</v>
      </c>
      <c r="J460" s="756">
        <v>1622696476</v>
      </c>
      <c r="K460" s="756">
        <v>-38452870412</v>
      </c>
      <c r="L460" s="756">
        <v>-36830173936</v>
      </c>
      <c r="M460" s="570" t="e">
        <f>VLOOKUP(C460,IS_WTB!$C:$E,3,0)</f>
        <v>#N/A</v>
      </c>
    </row>
    <row r="461" spans="1:13">
      <c r="A461" s="755"/>
      <c r="B461" s="755"/>
      <c r="C461" s="755">
        <v>849100</v>
      </c>
      <c r="D461" s="755" t="s">
        <v>438</v>
      </c>
      <c r="E461" s="755">
        <v>0</v>
      </c>
      <c r="F461" s="756">
        <v>657140040</v>
      </c>
      <c r="G461" s="756">
        <v>965556436</v>
      </c>
      <c r="H461" s="756">
        <v>-38452870412</v>
      </c>
      <c r="I461" s="756">
        <v>-37487313976</v>
      </c>
      <c r="J461" s="756">
        <v>1622696476</v>
      </c>
      <c r="K461" s="756">
        <v>-38452870412</v>
      </c>
      <c r="L461" s="756">
        <v>-36830173936</v>
      </c>
      <c r="M461" s="570" t="str">
        <f>VLOOKUP(C461,IS_WTB!$C:$E,3,0)</f>
        <v>법인세</v>
      </c>
    </row>
    <row r="462" spans="1:13">
      <c r="A462" s="755">
        <v>93</v>
      </c>
      <c r="B462" s="755"/>
      <c r="C462" s="755"/>
      <c r="D462" s="755" t="s">
        <v>7</v>
      </c>
      <c r="E462" s="755">
        <v>0</v>
      </c>
      <c r="F462" s="755">
        <v>0</v>
      </c>
      <c r="G462" s="756">
        <v>2880415761350</v>
      </c>
      <c r="H462" s="756">
        <v>-2880415761350</v>
      </c>
      <c r="I462" s="755">
        <v>0</v>
      </c>
      <c r="J462" s="756">
        <v>23704975764122</v>
      </c>
      <c r="K462" s="756">
        <v>-23704975764122</v>
      </c>
      <c r="L462" s="755">
        <v>0</v>
      </c>
      <c r="M462" s="570" t="e">
        <f>VLOOKUP(C462,IS_WTB!$C:$E,3,0)</f>
        <v>#N/A</v>
      </c>
    </row>
    <row r="463" spans="1:13">
      <c r="A463" s="755"/>
      <c r="B463" s="755">
        <v>97100</v>
      </c>
      <c r="C463" s="755"/>
      <c r="D463" s="755" t="s">
        <v>6</v>
      </c>
      <c r="E463" s="755">
        <v>0</v>
      </c>
      <c r="F463" s="755">
        <v>0</v>
      </c>
      <c r="G463" s="756">
        <v>2880415761350</v>
      </c>
      <c r="H463" s="756">
        <v>-2880415761350</v>
      </c>
      <c r="I463" s="755">
        <v>0</v>
      </c>
      <c r="J463" s="756">
        <v>23704975764122</v>
      </c>
      <c r="K463" s="756">
        <v>-23704975764122</v>
      </c>
      <c r="L463" s="755">
        <v>0</v>
      </c>
      <c r="M463" s="570" t="e">
        <f>VLOOKUP(C463,IS_WTB!$C:$E,3,0)</f>
        <v>#N/A</v>
      </c>
    </row>
    <row r="464" spans="1:13">
      <c r="A464" s="755"/>
      <c r="B464" s="755"/>
      <c r="C464" s="755">
        <v>970200</v>
      </c>
      <c r="D464" s="755" t="s">
        <v>5</v>
      </c>
      <c r="E464" s="755">
        <v>0</v>
      </c>
      <c r="F464" s="755">
        <v>0</v>
      </c>
      <c r="G464" s="756">
        <v>1218087810483</v>
      </c>
      <c r="H464" s="756">
        <v>-1218087810483</v>
      </c>
      <c r="I464" s="755">
        <v>0</v>
      </c>
      <c r="J464" s="756">
        <v>10670630953452</v>
      </c>
      <c r="K464" s="756">
        <v>-10670630953452</v>
      </c>
      <c r="L464" s="755">
        <v>0</v>
      </c>
      <c r="M464" s="570" t="e">
        <f>VLOOKUP(C464,IS_WTB!$C:$E,3,0)</f>
        <v>#N/A</v>
      </c>
    </row>
    <row r="465" spans="1:13">
      <c r="A465" s="755"/>
      <c r="B465" s="755"/>
      <c r="C465" s="755">
        <v>970400</v>
      </c>
      <c r="D465" s="755" t="s">
        <v>4</v>
      </c>
      <c r="E465" s="755">
        <v>0</v>
      </c>
      <c r="F465" s="755">
        <v>0</v>
      </c>
      <c r="G465" s="756">
        <v>1650452856840</v>
      </c>
      <c r="H465" s="756">
        <v>-1650452856840</v>
      </c>
      <c r="I465" s="755">
        <v>0</v>
      </c>
      <c r="J465" s="756">
        <v>12938255814384</v>
      </c>
      <c r="K465" s="756">
        <v>-12938255814384</v>
      </c>
      <c r="L465" s="755">
        <v>0</v>
      </c>
      <c r="M465" s="570" t="e">
        <f>VLOOKUP(C465,IS_WTB!$C:$E,3,0)</f>
        <v>#N/A</v>
      </c>
    </row>
    <row r="466" spans="1:13">
      <c r="A466" s="755"/>
      <c r="B466" s="755"/>
      <c r="C466" s="755">
        <v>970401</v>
      </c>
      <c r="D466" s="755" t="s">
        <v>3</v>
      </c>
      <c r="E466" s="755">
        <v>0</v>
      </c>
      <c r="F466" s="755">
        <v>0</v>
      </c>
      <c r="G466" s="756">
        <v>411849091</v>
      </c>
      <c r="H466" s="756">
        <v>-411849091</v>
      </c>
      <c r="I466" s="755">
        <v>0</v>
      </c>
      <c r="J466" s="756">
        <v>3273273946</v>
      </c>
      <c r="K466" s="756">
        <v>-3273273946</v>
      </c>
      <c r="L466" s="755">
        <v>0</v>
      </c>
      <c r="M466" s="570" t="e">
        <f>VLOOKUP(C466,IS_WTB!$C:$E,3,0)</f>
        <v>#N/A</v>
      </c>
    </row>
    <row r="467" spans="1:13">
      <c r="A467" s="755"/>
      <c r="B467" s="755"/>
      <c r="C467" s="755">
        <v>971000</v>
      </c>
      <c r="D467" s="755" t="s">
        <v>1572</v>
      </c>
      <c r="E467" s="755">
        <v>0</v>
      </c>
      <c r="F467" s="756">
        <v>-30530400</v>
      </c>
      <c r="G467" s="755">
        <v>0</v>
      </c>
      <c r="H467" s="755">
        <v>0</v>
      </c>
      <c r="I467" s="755">
        <v>0</v>
      </c>
      <c r="J467" s="755">
        <v>0</v>
      </c>
      <c r="K467" s="756">
        <v>-30530400</v>
      </c>
      <c r="L467" s="756">
        <v>-30530400</v>
      </c>
      <c r="M467" s="570" t="e">
        <f>VLOOKUP(C467,IS_WTB!$C:$E,3,0)</f>
        <v>#N/A</v>
      </c>
    </row>
    <row r="468" spans="1:13">
      <c r="A468" s="755"/>
      <c r="B468" s="755"/>
      <c r="C468" s="755">
        <v>971001</v>
      </c>
      <c r="D468" s="755" t="s">
        <v>1573</v>
      </c>
      <c r="E468" s="755">
        <v>0</v>
      </c>
      <c r="F468" s="756">
        <v>30530400</v>
      </c>
      <c r="G468" s="755">
        <v>0</v>
      </c>
      <c r="H468" s="755">
        <v>0</v>
      </c>
      <c r="I468" s="755">
        <v>0</v>
      </c>
      <c r="J468" s="756">
        <v>30530400</v>
      </c>
      <c r="K468" s="755">
        <v>0</v>
      </c>
      <c r="L468" s="756">
        <v>30530400</v>
      </c>
      <c r="M468" s="570" t="e">
        <f>VLOOKUP(C468,IS_WTB!$C:$E,3,0)</f>
        <v>#N/A</v>
      </c>
    </row>
    <row r="469" spans="1:13">
      <c r="A469" s="755"/>
      <c r="B469" s="755"/>
      <c r="C469" s="755">
        <v>971101</v>
      </c>
      <c r="D469" s="755" t="s">
        <v>2</v>
      </c>
      <c r="E469" s="755">
        <v>0</v>
      </c>
      <c r="F469" s="756">
        <v>-9088074657</v>
      </c>
      <c r="G469" s="755">
        <v>0</v>
      </c>
      <c r="H469" s="756">
        <v>-4671268833</v>
      </c>
      <c r="I469" s="756">
        <v>-4671268833</v>
      </c>
      <c r="J469" s="755">
        <v>0</v>
      </c>
      <c r="K469" s="756">
        <v>-13759343490</v>
      </c>
      <c r="L469" s="756">
        <v>-13759343490</v>
      </c>
      <c r="M469" s="570" t="e">
        <f>VLOOKUP(C469,IS_WTB!$C:$E,3,0)</f>
        <v>#N/A</v>
      </c>
    </row>
    <row r="470" spans="1:13">
      <c r="A470" s="755"/>
      <c r="B470" s="755"/>
      <c r="C470" s="755">
        <v>971201</v>
      </c>
      <c r="D470" s="755" t="s">
        <v>1</v>
      </c>
      <c r="E470" s="755">
        <v>0</v>
      </c>
      <c r="F470" s="756">
        <v>9088074657</v>
      </c>
      <c r="G470" s="756">
        <v>4671268833</v>
      </c>
      <c r="H470" s="755">
        <v>0</v>
      </c>
      <c r="I470" s="756">
        <v>4671268833</v>
      </c>
      <c r="J470" s="756">
        <v>13759343490</v>
      </c>
      <c r="K470" s="755">
        <v>0</v>
      </c>
      <c r="L470" s="756">
        <v>13759343490</v>
      </c>
      <c r="M470" s="570" t="e">
        <f>VLOOKUP(C470,IS_WTB!$C:$E,3,0)</f>
        <v>#N/A</v>
      </c>
    </row>
    <row r="471" spans="1:13">
      <c r="A471" s="755"/>
      <c r="B471" s="755"/>
      <c r="C471" s="755">
        <v>973000</v>
      </c>
      <c r="D471" s="755" t="s">
        <v>0</v>
      </c>
      <c r="E471" s="755">
        <v>0</v>
      </c>
      <c r="F471" s="755">
        <v>0</v>
      </c>
      <c r="G471" s="756">
        <v>6791976103</v>
      </c>
      <c r="H471" s="756">
        <v>-6791976103</v>
      </c>
      <c r="I471" s="755">
        <v>0</v>
      </c>
      <c r="J471" s="756">
        <v>76636823050</v>
      </c>
      <c r="K471" s="756">
        <v>-76636823050</v>
      </c>
      <c r="L471" s="755">
        <v>0</v>
      </c>
      <c r="M471" s="570" t="e">
        <f>VLOOKUP(C471,IS_WTB!$C:$E,3,0)</f>
        <v>#N/A</v>
      </c>
    </row>
    <row r="472" spans="1:13">
      <c r="A472" s="755"/>
      <c r="B472" s="755"/>
      <c r="C472" s="755">
        <v>974110</v>
      </c>
      <c r="D472" s="755" t="s">
        <v>664</v>
      </c>
      <c r="E472" s="756">
        <v>1774735600</v>
      </c>
      <c r="F472" s="756">
        <v>4163761000</v>
      </c>
      <c r="G472" s="755">
        <v>0</v>
      </c>
      <c r="H472" s="755">
        <v>0</v>
      </c>
      <c r="I472" s="755">
        <v>0</v>
      </c>
      <c r="J472" s="756">
        <v>2389025400</v>
      </c>
      <c r="K472" s="755">
        <v>0</v>
      </c>
      <c r="L472" s="756">
        <v>4163761000</v>
      </c>
      <c r="M472" s="570" t="e">
        <f>VLOOKUP(C472,IS_WTB!$C:$E,3,0)</f>
        <v>#N/A</v>
      </c>
    </row>
    <row r="473" spans="1:13" ht="17.25" thickBot="1">
      <c r="A473" s="757"/>
      <c r="B473" s="757"/>
      <c r="C473" s="757">
        <v>974120</v>
      </c>
      <c r="D473" s="757" t="s">
        <v>665</v>
      </c>
      <c r="E473" s="758">
        <v>-1774735600</v>
      </c>
      <c r="F473" s="758">
        <v>-4163761000</v>
      </c>
      <c r="G473" s="757">
        <v>0</v>
      </c>
      <c r="H473" s="757">
        <v>0</v>
      </c>
      <c r="I473" s="757">
        <v>0</v>
      </c>
      <c r="J473" s="757">
        <v>0</v>
      </c>
      <c r="K473" s="758">
        <v>-2389025400</v>
      </c>
      <c r="L473" s="758">
        <v>-4163761000</v>
      </c>
      <c r="M473" s="570" t="e">
        <f>VLOOKUP(C473,IS_WTB!$C:$E,3,0)</f>
        <v>#N/A</v>
      </c>
    </row>
  </sheetData>
  <phoneticPr fontId="2" type="noConversion"/>
  <pageMargins left="0.75" right="0.75" top="1" bottom="1" header="0.5" footer="0.5"/>
  <pageSetup paperSize="9" scale="38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AC19-EC9B-4C78-8533-607BEB6A3E28}">
  <sheetPr>
    <tabColor theme="4" tint="0.79998168889431442"/>
  </sheetPr>
  <dimension ref="A2:C46"/>
  <sheetViews>
    <sheetView workbookViewId="0">
      <selection activeCell="E155" sqref="E155"/>
    </sheetView>
  </sheetViews>
  <sheetFormatPr defaultRowHeight="16.5"/>
  <cols>
    <col min="2" max="2" width="15.625" bestFit="1" customWidth="1"/>
    <col min="3" max="3" width="14.625" bestFit="1" customWidth="1"/>
  </cols>
  <sheetData>
    <row r="2" spans="1:3">
      <c r="A2" t="s">
        <v>1149</v>
      </c>
      <c r="B2" t="s">
        <v>1150</v>
      </c>
    </row>
    <row r="3" spans="1:3" s="721" customFormat="1">
      <c r="A3" s="723">
        <v>600440</v>
      </c>
      <c r="B3" s="722">
        <v>104083018</v>
      </c>
      <c r="C3" s="721">
        <v>104083018</v>
      </c>
    </row>
    <row r="4" spans="1:3">
      <c r="A4" s="723">
        <v>600200</v>
      </c>
      <c r="B4" s="722">
        <v>7411011807</v>
      </c>
      <c r="C4" s="754">
        <v>7411011807</v>
      </c>
    </row>
    <row r="5" spans="1:3">
      <c r="A5" s="723">
        <v>600300</v>
      </c>
      <c r="B5" s="722">
        <v>4941032518</v>
      </c>
      <c r="C5" s="754">
        <v>4941032518</v>
      </c>
    </row>
    <row r="6" spans="1:3">
      <c r="A6" s="723">
        <v>600310</v>
      </c>
      <c r="B6" s="722">
        <v>2906636590</v>
      </c>
      <c r="C6" s="754">
        <v>2906636590</v>
      </c>
    </row>
    <row r="7" spans="1:3">
      <c r="A7" s="753">
        <v>600400</v>
      </c>
      <c r="B7" s="722">
        <v>1716022876</v>
      </c>
      <c r="C7" s="754">
        <v>1716022876</v>
      </c>
    </row>
    <row r="8" spans="1:3">
      <c r="A8" s="753">
        <v>600410</v>
      </c>
      <c r="B8" s="722">
        <v>41241045</v>
      </c>
      <c r="C8" s="754">
        <v>41241045</v>
      </c>
    </row>
    <row r="9" spans="1:3">
      <c r="A9" s="753">
        <v>600420</v>
      </c>
      <c r="B9" s="722">
        <v>59220443</v>
      </c>
      <c r="C9" s="754">
        <v>59220443</v>
      </c>
    </row>
    <row r="10" spans="1:3">
      <c r="A10" s="753">
        <v>600430</v>
      </c>
      <c r="B10" s="722">
        <v>125126804</v>
      </c>
      <c r="C10" s="754">
        <v>125126804</v>
      </c>
    </row>
    <row r="11" spans="1:3">
      <c r="A11" s="753">
        <v>600431</v>
      </c>
      <c r="B11" s="722">
        <v>300012366</v>
      </c>
      <c r="C11" s="754">
        <v>300012366</v>
      </c>
    </row>
    <row r="12" spans="1:3">
      <c r="A12" s="753">
        <v>600490</v>
      </c>
      <c r="B12" s="722">
        <v>9666211</v>
      </c>
      <c r="C12" s="754">
        <v>9666211</v>
      </c>
    </row>
    <row r="13" spans="1:3">
      <c r="A13" s="753">
        <v>600500</v>
      </c>
      <c r="B13" s="722">
        <v>54735440</v>
      </c>
      <c r="C13" s="754">
        <v>54735440</v>
      </c>
    </row>
    <row r="14" spans="1:3">
      <c r="A14" s="753">
        <v>600700</v>
      </c>
      <c r="B14" s="722">
        <v>576083990</v>
      </c>
      <c r="C14" s="754">
        <v>576083990</v>
      </c>
    </row>
    <row r="15" spans="1:3">
      <c r="A15" s="753">
        <v>603100</v>
      </c>
      <c r="B15" s="722">
        <v>973049670</v>
      </c>
      <c r="C15" s="754">
        <v>973049670</v>
      </c>
    </row>
    <row r="16" spans="1:3">
      <c r="A16" s="753">
        <v>603200</v>
      </c>
      <c r="B16" s="722">
        <v>717016200</v>
      </c>
      <c r="C16" s="754">
        <v>717016200</v>
      </c>
    </row>
    <row r="17" spans="1:3">
      <c r="A17" s="753">
        <v>603210</v>
      </c>
      <c r="B17" s="722">
        <v>556306317</v>
      </c>
      <c r="C17" s="754">
        <v>556306317</v>
      </c>
    </row>
    <row r="18" spans="1:3">
      <c r="A18" s="753">
        <v>603500</v>
      </c>
      <c r="B18" s="722">
        <v>226887061</v>
      </c>
      <c r="C18" s="754">
        <v>226887061</v>
      </c>
    </row>
    <row r="19" spans="1:3">
      <c r="A19" s="753">
        <v>603600</v>
      </c>
      <c r="B19" s="722">
        <v>112938000</v>
      </c>
      <c r="C19" s="754">
        <v>112938000</v>
      </c>
    </row>
    <row r="20" spans="1:3">
      <c r="A20" s="753">
        <v>603700</v>
      </c>
      <c r="B20" s="722">
        <v>12209766</v>
      </c>
      <c r="C20" s="754">
        <v>12209766</v>
      </c>
    </row>
    <row r="21" spans="1:3">
      <c r="A21" s="753">
        <v>603790</v>
      </c>
      <c r="B21" s="722">
        <v>26280000</v>
      </c>
      <c r="C21" s="754">
        <v>26280000</v>
      </c>
    </row>
    <row r="22" spans="1:3">
      <c r="A22" s="753">
        <v>625400</v>
      </c>
      <c r="B22" s="722" t="s">
        <v>1606</v>
      </c>
      <c r="C22" s="754" t="s">
        <v>1606</v>
      </c>
    </row>
    <row r="23" spans="1:3">
      <c r="A23" s="753">
        <v>625900</v>
      </c>
      <c r="B23" s="722">
        <v>614998020</v>
      </c>
      <c r="C23" s="754">
        <v>614998020</v>
      </c>
    </row>
    <row r="24" spans="1:3">
      <c r="A24" s="753">
        <v>625910</v>
      </c>
      <c r="B24" s="722">
        <v>3754820353</v>
      </c>
      <c r="C24" s="754">
        <v>3754820353</v>
      </c>
    </row>
    <row r="25" spans="1:3">
      <c r="A25" s="753">
        <v>626190</v>
      </c>
      <c r="B25" s="722">
        <v>27929264</v>
      </c>
      <c r="C25" s="754">
        <v>27929264</v>
      </c>
    </row>
    <row r="26" spans="1:3">
      <c r="A26" s="753">
        <v>637400</v>
      </c>
      <c r="B26" s="722">
        <v>539100</v>
      </c>
      <c r="C26" s="754">
        <v>539100</v>
      </c>
    </row>
    <row r="27" spans="1:3">
      <c r="A27" s="753">
        <v>639300</v>
      </c>
      <c r="B27" s="722">
        <v>3757406</v>
      </c>
      <c r="C27" s="754">
        <v>3757406</v>
      </c>
    </row>
    <row r="28" spans="1:3">
      <c r="A28" s="634">
        <v>642100</v>
      </c>
      <c r="B28" s="722">
        <v>2395340</v>
      </c>
      <c r="C28" s="754">
        <v>2395340</v>
      </c>
    </row>
    <row r="29" spans="1:3">
      <c r="A29" s="753">
        <v>642200</v>
      </c>
      <c r="B29" s="722">
        <v>31728485</v>
      </c>
      <c r="C29" s="754">
        <v>31728485</v>
      </c>
    </row>
    <row r="30" spans="1:3">
      <c r="A30" s="753">
        <v>642300</v>
      </c>
      <c r="B30" s="722">
        <v>5157460</v>
      </c>
      <c r="C30" s="754">
        <v>5157460</v>
      </c>
    </row>
    <row r="31" spans="1:3">
      <c r="A31" s="753">
        <v>643100</v>
      </c>
      <c r="B31" s="722">
        <v>3907115</v>
      </c>
      <c r="C31" s="754">
        <v>3907115</v>
      </c>
    </row>
    <row r="32" spans="1:3">
      <c r="A32" s="753">
        <v>646100</v>
      </c>
      <c r="B32" s="722">
        <v>85440350</v>
      </c>
      <c r="C32" s="754">
        <v>85440350</v>
      </c>
    </row>
    <row r="33" spans="1:3">
      <c r="A33" s="753">
        <v>648100</v>
      </c>
      <c r="B33" s="722" t="s">
        <v>1606</v>
      </c>
      <c r="C33" s="754" t="s">
        <v>1606</v>
      </c>
    </row>
    <row r="34" spans="1:3">
      <c r="A34" s="753">
        <v>648110</v>
      </c>
      <c r="B34" s="722">
        <v>5484100</v>
      </c>
      <c r="C34" s="754">
        <v>5484100</v>
      </c>
    </row>
    <row r="35" spans="1:3">
      <c r="A35" s="753">
        <v>648200</v>
      </c>
      <c r="B35" s="722">
        <v>971984</v>
      </c>
      <c r="C35" s="754">
        <v>971984</v>
      </c>
    </row>
    <row r="36" spans="1:3">
      <c r="A36" s="753">
        <v>648300</v>
      </c>
      <c r="B36" s="722" t="s">
        <v>1606</v>
      </c>
      <c r="C36" s="754" t="s">
        <v>1606</v>
      </c>
    </row>
    <row r="37" spans="1:3">
      <c r="A37" s="753">
        <v>648500</v>
      </c>
      <c r="B37" s="722">
        <v>41091</v>
      </c>
      <c r="C37" s="754">
        <v>41091</v>
      </c>
    </row>
    <row r="38" spans="1:3">
      <c r="A38" s="753">
        <v>651100</v>
      </c>
      <c r="B38" s="722">
        <v>7954</v>
      </c>
      <c r="C38" s="754">
        <v>7954</v>
      </c>
    </row>
    <row r="39" spans="1:3">
      <c r="A39" s="753">
        <v>651200</v>
      </c>
      <c r="B39" s="722">
        <v>7920490</v>
      </c>
      <c r="C39" s="754">
        <v>7920490</v>
      </c>
    </row>
    <row r="40" spans="1:3">
      <c r="A40" s="753">
        <v>652100</v>
      </c>
      <c r="B40" s="722">
        <v>31208910</v>
      </c>
      <c r="C40" s="754">
        <v>31208910</v>
      </c>
    </row>
    <row r="41" spans="1:3">
      <c r="A41" s="753">
        <v>652160</v>
      </c>
      <c r="B41" s="722">
        <v>14144300</v>
      </c>
      <c r="C41" s="754">
        <v>14144300</v>
      </c>
    </row>
    <row r="42" spans="1:3">
      <c r="A42" s="753">
        <v>654100</v>
      </c>
      <c r="B42" s="722" t="s">
        <v>1606</v>
      </c>
      <c r="C42" s="754" t="s">
        <v>1606</v>
      </c>
    </row>
    <row r="43" spans="1:3">
      <c r="A43" s="753">
        <v>655100</v>
      </c>
      <c r="B43" s="722">
        <v>7333363</v>
      </c>
      <c r="C43" s="754">
        <v>7333363</v>
      </c>
    </row>
    <row r="44" spans="1:3">
      <c r="A44" s="753">
        <v>672100</v>
      </c>
      <c r="B44" s="722">
        <v>6750000</v>
      </c>
      <c r="C44" s="754">
        <v>6750000</v>
      </c>
    </row>
    <row r="45" spans="1:3">
      <c r="A45" s="753">
        <v>675100</v>
      </c>
      <c r="B45" s="722">
        <v>679211</v>
      </c>
      <c r="C45" s="754">
        <v>679211</v>
      </c>
    </row>
    <row r="46" spans="1:3">
      <c r="A46" s="723">
        <v>679900</v>
      </c>
      <c r="B46" s="722">
        <v>2060542244</v>
      </c>
      <c r="C46" s="754">
        <v>2060542244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5891-0463-4C7C-B10E-4A7F4D7969CD}">
  <sheetPr>
    <tabColor theme="4" tint="0.79998168889431442"/>
  </sheetPr>
  <dimension ref="A1:L123"/>
  <sheetViews>
    <sheetView topLeftCell="A64" zoomScaleNormal="100" workbookViewId="0">
      <selection activeCell="E155" sqref="E155"/>
    </sheetView>
  </sheetViews>
  <sheetFormatPr defaultRowHeight="16.5"/>
  <cols>
    <col min="1" max="1" width="3.75" style="630" customWidth="1"/>
    <col min="2" max="2" width="22.125" style="630" customWidth="1"/>
    <col min="3" max="3" width="24.5" style="630" bestFit="1" customWidth="1"/>
    <col min="4" max="4" width="13.5" style="630" bestFit="1" customWidth="1"/>
    <col min="5" max="5" width="2.5" style="630" customWidth="1"/>
    <col min="6" max="6" width="9" style="630"/>
    <col min="7" max="7" width="17.5" style="630" bestFit="1" customWidth="1"/>
    <col min="8" max="8" width="17.125" style="630" bestFit="1" customWidth="1"/>
    <col min="9" max="9" width="9" style="630"/>
    <col min="10" max="10" width="34.25" style="630" bestFit="1" customWidth="1"/>
    <col min="11" max="11" width="14.875" style="630" bestFit="1" customWidth="1"/>
    <col min="12" max="16384" width="9" style="630"/>
  </cols>
  <sheetData>
    <row r="1" spans="1:11">
      <c r="A1" s="735"/>
      <c r="B1" s="526" t="s">
        <v>1235</v>
      </c>
      <c r="C1" s="526"/>
      <c r="D1" s="527"/>
    </row>
    <row r="2" spans="1:11">
      <c r="A2" s="735"/>
      <c r="B2" s="526" t="s">
        <v>1584</v>
      </c>
      <c r="C2" s="526"/>
      <c r="D2" s="527"/>
    </row>
    <row r="3" spans="1:11">
      <c r="A3" s="735"/>
      <c r="B3" s="526" t="s">
        <v>1585</v>
      </c>
      <c r="C3" s="526"/>
      <c r="D3" s="527"/>
    </row>
    <row r="4" spans="1:11">
      <c r="A4" s="735"/>
      <c r="B4" s="526" t="s">
        <v>1236</v>
      </c>
      <c r="C4" s="526"/>
      <c r="D4" s="527"/>
      <c r="J4" s="11"/>
    </row>
    <row r="5" spans="1:11">
      <c r="B5" s="526"/>
      <c r="C5" s="526"/>
      <c r="D5" s="527"/>
      <c r="J5" s="11"/>
    </row>
    <row r="6" spans="1:11">
      <c r="B6" s="526"/>
      <c r="C6" s="526"/>
      <c r="D6" s="527"/>
      <c r="J6" s="11"/>
    </row>
    <row r="7" spans="1:11">
      <c r="B7" s="526"/>
      <c r="C7" s="526"/>
      <c r="D7" s="527"/>
      <c r="J7" s="11"/>
    </row>
    <row r="8" spans="1:11">
      <c r="B8" s="526"/>
      <c r="C8" s="526"/>
      <c r="D8" s="527"/>
      <c r="J8" s="11"/>
    </row>
    <row r="9" spans="1:11">
      <c r="B9" s="526" t="s">
        <v>1237</v>
      </c>
      <c r="C9" s="526"/>
      <c r="D9" s="527"/>
      <c r="J9" s="11"/>
    </row>
    <row r="10" spans="1:11">
      <c r="B10" s="526"/>
      <c r="C10" s="526"/>
      <c r="D10" s="527"/>
      <c r="J10" s="11"/>
    </row>
    <row r="11" spans="1:11">
      <c r="B11" s="526"/>
      <c r="C11" s="526"/>
      <c r="D11" s="527"/>
      <c r="F11" s="528">
        <v>7211</v>
      </c>
      <c r="G11" s="529" t="s">
        <v>1238</v>
      </c>
      <c r="J11" s="11"/>
    </row>
    <row r="12" spans="1:11">
      <c r="F12" s="528"/>
      <c r="G12" s="530">
        <f>SUM(G23:G82)</f>
        <v>27535316662</v>
      </c>
      <c r="H12" s="724" t="b">
        <f>G12=SUM(경상연구개발비대체!B3:B46)</f>
        <v>1</v>
      </c>
      <c r="J12" s="11"/>
    </row>
    <row r="13" spans="1:11">
      <c r="B13" s="531" t="s">
        <v>1239</v>
      </c>
      <c r="C13" s="531"/>
      <c r="D13" s="532" t="s">
        <v>1240</v>
      </c>
      <c r="F13" s="533" t="s">
        <v>1149</v>
      </c>
      <c r="G13" s="533" t="s">
        <v>1150</v>
      </c>
      <c r="H13" s="528" t="s">
        <v>1241</v>
      </c>
      <c r="J13" s="11"/>
      <c r="K13" s="11"/>
    </row>
    <row r="14" spans="1:11">
      <c r="B14" s="534" t="s">
        <v>1242</v>
      </c>
      <c r="C14" s="534"/>
      <c r="D14" s="535"/>
      <c r="F14" s="528"/>
      <c r="G14" s="528"/>
      <c r="H14" s="528"/>
      <c r="J14" s="11"/>
      <c r="K14" s="11"/>
    </row>
    <row r="15" spans="1:11">
      <c r="B15" s="536" t="s">
        <v>1243</v>
      </c>
      <c r="C15" s="536"/>
      <c r="D15" s="537"/>
      <c r="F15" s="528"/>
      <c r="G15" s="528"/>
      <c r="H15" s="528"/>
      <c r="J15" s="11"/>
      <c r="K15" s="11"/>
    </row>
    <row r="16" spans="1:11">
      <c r="B16" s="536" t="s">
        <v>1244</v>
      </c>
      <c r="C16" s="536"/>
      <c r="D16" s="537"/>
      <c r="F16" s="528"/>
      <c r="G16" s="528"/>
      <c r="H16" s="528"/>
      <c r="J16" s="11"/>
      <c r="K16" s="11"/>
    </row>
    <row r="17" spans="2:12">
      <c r="B17" s="536" t="s">
        <v>1245</v>
      </c>
      <c r="C17" s="536"/>
      <c r="D17" s="537"/>
      <c r="F17" s="528"/>
      <c r="G17" s="528"/>
      <c r="H17" s="528"/>
      <c r="J17" s="11"/>
      <c r="K17" s="11"/>
    </row>
    <row r="18" spans="2:12">
      <c r="B18" s="536">
        <v>521020</v>
      </c>
      <c r="C18" s="536" t="s">
        <v>109</v>
      </c>
      <c r="D18" s="537"/>
      <c r="F18" s="528"/>
      <c r="G18" s="538"/>
      <c r="H18" s="528"/>
      <c r="J18" s="11"/>
      <c r="K18" s="11"/>
    </row>
    <row r="19" spans="2:12">
      <c r="B19" s="539" t="s">
        <v>1246</v>
      </c>
      <c r="C19" s="539"/>
      <c r="D19" s="540"/>
      <c r="F19" s="528"/>
      <c r="G19" s="538"/>
      <c r="H19" s="528"/>
      <c r="J19" s="11"/>
      <c r="K19" s="11"/>
    </row>
    <row r="20" spans="2:12">
      <c r="B20" s="534" t="s">
        <v>1607</v>
      </c>
      <c r="C20" s="534"/>
      <c r="D20" s="541">
        <v>6465719092</v>
      </c>
      <c r="F20" s="528"/>
      <c r="G20" s="538"/>
      <c r="H20" s="528"/>
      <c r="J20" s="11"/>
      <c r="K20" s="11"/>
    </row>
    <row r="21" spans="2:12">
      <c r="B21" s="536" t="s">
        <v>1608</v>
      </c>
      <c r="C21" s="536"/>
      <c r="D21" s="542">
        <v>4397747637</v>
      </c>
      <c r="F21" s="528"/>
      <c r="G21" s="538"/>
      <c r="H21" s="528"/>
      <c r="J21" s="11"/>
      <c r="K21" s="706"/>
    </row>
    <row r="22" spans="2:12">
      <c r="B22" s="536" t="s">
        <v>1609</v>
      </c>
      <c r="C22" s="536"/>
      <c r="D22" s="542">
        <v>27929264</v>
      </c>
      <c r="E22" s="11"/>
      <c r="F22" s="635"/>
      <c r="G22" s="636"/>
      <c r="H22" s="528"/>
      <c r="J22" s="11"/>
      <c r="K22" s="706"/>
    </row>
    <row r="23" spans="2:12">
      <c r="B23" s="536">
        <v>626190</v>
      </c>
      <c r="C23" s="536" t="s">
        <v>809</v>
      </c>
      <c r="D23" s="542">
        <v>27929264</v>
      </c>
      <c r="E23" s="11"/>
      <c r="F23" s="635">
        <f>VLOOKUP(B23,[8]그룹COA!$A$1:$D$945,4,0)</f>
        <v>7263</v>
      </c>
      <c r="G23" s="636">
        <f t="shared" ref="G23:G82" si="0">D23</f>
        <v>27929264</v>
      </c>
      <c r="H23" s="528" t="s">
        <v>1247</v>
      </c>
      <c r="J23" s="11">
        <v>7263</v>
      </c>
      <c r="K23" s="706">
        <v>19400057</v>
      </c>
      <c r="L23" s="351"/>
    </row>
    <row r="24" spans="2:12">
      <c r="B24" s="536" t="s">
        <v>1610</v>
      </c>
      <c r="C24" s="536"/>
      <c r="D24" s="542">
        <v>4369818373</v>
      </c>
      <c r="E24" s="11"/>
      <c r="F24" s="635"/>
      <c r="G24" s="636"/>
      <c r="H24" s="528"/>
      <c r="J24" s="11"/>
      <c r="K24" s="706"/>
      <c r="L24" s="351"/>
    </row>
    <row r="25" spans="2:12">
      <c r="B25" s="536">
        <v>625900</v>
      </c>
      <c r="C25" s="536" t="s">
        <v>62</v>
      </c>
      <c r="D25" s="542">
        <v>614998020</v>
      </c>
      <c r="E25" s="11"/>
      <c r="F25" s="635">
        <f>VLOOKUP(B25,[8]그룹COA!$A$1:$D$945,4,0)</f>
        <v>7268</v>
      </c>
      <c r="G25" s="636">
        <f t="shared" si="0"/>
        <v>614998020</v>
      </c>
      <c r="H25" s="528" t="s">
        <v>1247</v>
      </c>
      <c r="J25" s="11">
        <v>7268</v>
      </c>
      <c r="K25" s="706">
        <v>429824180</v>
      </c>
      <c r="L25" s="351"/>
    </row>
    <row r="26" spans="2:12">
      <c r="B26" s="536">
        <v>625910</v>
      </c>
      <c r="C26" s="536" t="s">
        <v>806</v>
      </c>
      <c r="D26" s="542">
        <v>3754820353</v>
      </c>
      <c r="E26" s="11"/>
      <c r="F26" s="637">
        <v>7268</v>
      </c>
      <c r="G26" s="636">
        <f t="shared" si="0"/>
        <v>3754820353</v>
      </c>
      <c r="H26" s="528" t="s">
        <v>1247</v>
      </c>
      <c r="J26" s="11">
        <v>7268</v>
      </c>
      <c r="K26" s="706">
        <v>2667232257</v>
      </c>
      <c r="L26" s="351"/>
    </row>
    <row r="27" spans="2:12">
      <c r="B27" s="536">
        <v>625400</v>
      </c>
      <c r="C27" s="536" t="s">
        <v>1248</v>
      </c>
      <c r="D27" s="542"/>
      <c r="E27" s="11"/>
      <c r="F27" s="635">
        <v>7268</v>
      </c>
      <c r="G27" s="636">
        <f t="shared" si="0"/>
        <v>0</v>
      </c>
      <c r="H27" s="528" t="s">
        <v>1247</v>
      </c>
      <c r="J27" s="11">
        <v>7268</v>
      </c>
      <c r="K27" s="706">
        <v>0</v>
      </c>
      <c r="L27" s="351"/>
    </row>
    <row r="28" spans="2:12">
      <c r="B28" s="536" t="s">
        <v>1611</v>
      </c>
      <c r="C28" s="536"/>
      <c r="D28" s="542">
        <v>2067971455</v>
      </c>
      <c r="E28" s="11"/>
      <c r="F28" s="635"/>
      <c r="G28" s="636"/>
      <c r="H28" s="528"/>
      <c r="J28" s="11"/>
      <c r="K28" s="706"/>
      <c r="L28" s="351"/>
    </row>
    <row r="29" spans="2:12">
      <c r="B29" s="536" t="s">
        <v>1612</v>
      </c>
      <c r="C29" s="536"/>
      <c r="D29" s="542">
        <v>7429211</v>
      </c>
      <c r="E29" s="11"/>
      <c r="F29" s="635"/>
      <c r="G29" s="636"/>
      <c r="H29" s="528"/>
      <c r="J29" s="11"/>
      <c r="K29" s="706"/>
      <c r="L29" s="351"/>
    </row>
    <row r="30" spans="2:12">
      <c r="B30" s="536">
        <v>672100</v>
      </c>
      <c r="C30" s="536" t="s">
        <v>23</v>
      </c>
      <c r="D30" s="542">
        <v>6750000</v>
      </c>
      <c r="E30" s="11"/>
      <c r="F30" s="635">
        <f>VLOOKUP(B30,[8]그룹COA!$A$1:$D$945,4,0)</f>
        <v>7134</v>
      </c>
      <c r="G30" s="636">
        <f t="shared" si="0"/>
        <v>6750000</v>
      </c>
      <c r="H30" s="528" t="s">
        <v>560</v>
      </c>
      <c r="J30" s="11">
        <v>7134</v>
      </c>
      <c r="K30" s="706">
        <v>4500000</v>
      </c>
      <c r="L30" s="351"/>
    </row>
    <row r="31" spans="2:12">
      <c r="B31" s="536">
        <v>675100</v>
      </c>
      <c r="C31" s="536" t="s">
        <v>22</v>
      </c>
      <c r="D31" s="542">
        <v>679211</v>
      </c>
      <c r="E31" s="11"/>
      <c r="F31" s="635">
        <f>VLOOKUP(B31,[8]그룹COA!$A$1:$D$945,4,0)</f>
        <v>7138</v>
      </c>
      <c r="G31" s="636">
        <f t="shared" si="0"/>
        <v>679211</v>
      </c>
      <c r="H31" s="528" t="s">
        <v>560</v>
      </c>
      <c r="J31" s="11">
        <v>7138</v>
      </c>
      <c r="K31" s="706">
        <v>454140</v>
      </c>
      <c r="L31" s="351"/>
    </row>
    <row r="32" spans="2:12">
      <c r="B32" s="536" t="s">
        <v>1613</v>
      </c>
      <c r="C32" s="536"/>
      <c r="D32" s="542">
        <v>2060542244</v>
      </c>
      <c r="E32" s="11"/>
      <c r="F32" s="635"/>
      <c r="G32" s="636"/>
      <c r="H32" s="528"/>
      <c r="J32" s="11"/>
      <c r="K32" s="706"/>
      <c r="L32" s="351"/>
    </row>
    <row r="33" spans="2:12">
      <c r="B33" s="536">
        <v>679900</v>
      </c>
      <c r="C33" s="536" t="s">
        <v>1249</v>
      </c>
      <c r="D33" s="542">
        <v>2060542244</v>
      </c>
      <c r="E33" s="11"/>
      <c r="F33" s="635">
        <f>VLOOKUP(B33,[8]그룹COA!$A$1:$D$945,4,0)</f>
        <v>7161</v>
      </c>
      <c r="G33" s="636">
        <f t="shared" si="0"/>
        <v>2060542244</v>
      </c>
      <c r="H33" s="528" t="s">
        <v>560</v>
      </c>
      <c r="J33" s="11">
        <v>7161</v>
      </c>
      <c r="K33" s="706">
        <v>1383309551</v>
      </c>
      <c r="L33" s="351"/>
    </row>
    <row r="34" spans="2:12">
      <c r="B34" s="539" t="s">
        <v>1614</v>
      </c>
      <c r="C34" s="539"/>
      <c r="D34" s="734">
        <v>21069597570</v>
      </c>
      <c r="E34" s="11"/>
      <c r="F34" s="635"/>
      <c r="G34" s="636"/>
      <c r="H34" s="528"/>
      <c r="J34" s="11"/>
      <c r="K34" s="706"/>
      <c r="L34" s="351"/>
    </row>
    <row r="35" spans="2:12">
      <c r="B35" s="536" t="s">
        <v>1615</v>
      </c>
      <c r="C35" s="536"/>
      <c r="D35" s="542">
        <v>20630463295</v>
      </c>
      <c r="E35" s="11"/>
      <c r="F35" s="635"/>
      <c r="G35" s="636"/>
      <c r="H35" s="528"/>
      <c r="J35" s="11"/>
      <c r="K35" s="706"/>
      <c r="L35" s="351"/>
    </row>
    <row r="36" spans="2:12">
      <c r="B36" s="536" t="s">
        <v>1616</v>
      </c>
      <c r="C36" s="536"/>
      <c r="D36" s="542">
        <v>18244873108</v>
      </c>
      <c r="E36" s="11"/>
      <c r="F36" s="635"/>
      <c r="G36" s="636"/>
      <c r="H36" s="528"/>
      <c r="J36" s="11"/>
      <c r="K36" s="706"/>
      <c r="L36" s="351"/>
    </row>
    <row r="37" spans="2:12" s="721" customFormat="1">
      <c r="B37" s="736">
        <v>600440</v>
      </c>
      <c r="C37" s="737" t="s">
        <v>1556</v>
      </c>
      <c r="D37" s="542">
        <v>104083018</v>
      </c>
      <c r="E37" s="11"/>
      <c r="F37" s="635">
        <v>7021</v>
      </c>
      <c r="G37" s="636">
        <f t="shared" si="0"/>
        <v>104083018</v>
      </c>
      <c r="H37" s="528" t="s">
        <v>1250</v>
      </c>
      <c r="J37" s="11">
        <v>7021</v>
      </c>
      <c r="K37" s="706">
        <v>59123312</v>
      </c>
      <c r="L37" s="351"/>
    </row>
    <row r="38" spans="2:12">
      <c r="B38" s="536">
        <v>600200</v>
      </c>
      <c r="C38" s="536" t="s">
        <v>97</v>
      </c>
      <c r="D38" s="542">
        <v>7411011807</v>
      </c>
      <c r="E38" s="11"/>
      <c r="F38" s="635">
        <f>VLOOKUP(B38,[8]그룹COA!$A$1:$D$945,4,0)</f>
        <v>7021</v>
      </c>
      <c r="G38" s="636">
        <f t="shared" si="0"/>
        <v>7411011807</v>
      </c>
      <c r="H38" s="528" t="s">
        <v>1250</v>
      </c>
      <c r="J38" s="11">
        <v>7021</v>
      </c>
      <c r="K38" s="706">
        <v>5053084109</v>
      </c>
      <c r="L38" s="351"/>
    </row>
    <row r="39" spans="2:12">
      <c r="B39" s="536">
        <v>600300</v>
      </c>
      <c r="C39" s="536" t="s">
        <v>1251</v>
      </c>
      <c r="D39" s="542">
        <v>4941032518</v>
      </c>
      <c r="E39" s="11"/>
      <c r="F39" s="635">
        <f>VLOOKUP(B39,[8]그룹COA!$A$1:$D$945,4,0)</f>
        <v>7022</v>
      </c>
      <c r="G39" s="636">
        <f t="shared" si="0"/>
        <v>4941032518</v>
      </c>
      <c r="H39" s="528" t="s">
        <v>1250</v>
      </c>
      <c r="J39" s="11">
        <v>7022</v>
      </c>
      <c r="K39" s="706">
        <v>3368899526</v>
      </c>
      <c r="L39" s="351"/>
    </row>
    <row r="40" spans="2:12">
      <c r="B40" s="536">
        <v>600310</v>
      </c>
      <c r="C40" s="536" t="s">
        <v>1252</v>
      </c>
      <c r="D40" s="542">
        <v>2906636590</v>
      </c>
      <c r="E40" s="11"/>
      <c r="F40" s="635">
        <f>VLOOKUP(B40,[8]그룹COA!$A$1:$D$945,4,0)</f>
        <v>7022</v>
      </c>
      <c r="G40" s="636">
        <f t="shared" si="0"/>
        <v>2906636590</v>
      </c>
      <c r="H40" s="528" t="s">
        <v>1250</v>
      </c>
      <c r="J40" s="11">
        <v>7022</v>
      </c>
      <c r="K40" s="706">
        <v>2841136590</v>
      </c>
      <c r="L40" s="351"/>
    </row>
    <row r="41" spans="2:12">
      <c r="B41" s="536">
        <v>600400</v>
      </c>
      <c r="C41" s="536" t="s">
        <v>1253</v>
      </c>
      <c r="D41" s="542">
        <v>1716022876</v>
      </c>
      <c r="E41" s="11"/>
      <c r="F41" s="635">
        <f>VLOOKUP(B41,[8]그룹COA!$A$1:$D$945,4,0)</f>
        <v>7031</v>
      </c>
      <c r="G41" s="636">
        <f t="shared" si="0"/>
        <v>1716022876</v>
      </c>
      <c r="H41" s="528" t="s">
        <v>1250</v>
      </c>
      <c r="J41" s="11">
        <v>7031</v>
      </c>
      <c r="K41" s="706">
        <v>1170262994</v>
      </c>
      <c r="L41" s="351"/>
    </row>
    <row r="42" spans="2:12">
      <c r="B42" s="536">
        <v>600410</v>
      </c>
      <c r="C42" s="536" t="s">
        <v>1254</v>
      </c>
      <c r="D42" s="542">
        <v>41241045</v>
      </c>
      <c r="E42" s="11"/>
      <c r="F42" s="635">
        <f>VLOOKUP(B42,[8]그룹COA!$A$1:$D$945,4,0)</f>
        <v>7031</v>
      </c>
      <c r="G42" s="636">
        <f t="shared" si="0"/>
        <v>41241045</v>
      </c>
      <c r="H42" s="528" t="s">
        <v>1250</v>
      </c>
      <c r="J42" s="11">
        <v>7031</v>
      </c>
      <c r="K42" s="706">
        <v>29667111</v>
      </c>
      <c r="L42" s="351"/>
    </row>
    <row r="43" spans="2:12">
      <c r="B43" s="536">
        <v>600420</v>
      </c>
      <c r="C43" s="536" t="s">
        <v>1255</v>
      </c>
      <c r="D43" s="542">
        <v>59220443</v>
      </c>
      <c r="E43" s="11"/>
      <c r="F43" s="635">
        <f>VLOOKUP(B43,[8]그룹COA!$A$1:$D$945,4,0)</f>
        <v>7031</v>
      </c>
      <c r="G43" s="636">
        <f t="shared" si="0"/>
        <v>59220443</v>
      </c>
      <c r="H43" s="528" t="s">
        <v>1250</v>
      </c>
      <c r="J43" s="11">
        <v>7031</v>
      </c>
      <c r="K43" s="706">
        <v>42177931</v>
      </c>
      <c r="L43" s="351"/>
    </row>
    <row r="44" spans="2:12">
      <c r="B44" s="536">
        <v>600430</v>
      </c>
      <c r="C44" s="536" t="s">
        <v>1256</v>
      </c>
      <c r="D44" s="542">
        <v>125126804</v>
      </c>
      <c r="E44" s="11"/>
      <c r="F44" s="635">
        <f>VLOOKUP(B44,[8]그룹COA!$A$1:$D$945,4,0)</f>
        <v>7031</v>
      </c>
      <c r="G44" s="636">
        <f t="shared" si="0"/>
        <v>125126804</v>
      </c>
      <c r="H44" s="528" t="s">
        <v>1250</v>
      </c>
      <c r="J44" s="11">
        <v>7031</v>
      </c>
      <c r="K44" s="706">
        <v>90002036</v>
      </c>
      <c r="L44" s="351"/>
    </row>
    <row r="45" spans="2:12">
      <c r="B45" s="536">
        <v>600431</v>
      </c>
      <c r="C45" s="536" t="s">
        <v>1257</v>
      </c>
      <c r="D45" s="542">
        <v>300012366</v>
      </c>
      <c r="E45" s="11"/>
      <c r="F45" s="635">
        <f>VLOOKUP(B45,[8]그룹COA!$A$1:$D$945,4,0)</f>
        <v>7031</v>
      </c>
      <c r="G45" s="636">
        <f t="shared" si="0"/>
        <v>300012366</v>
      </c>
      <c r="H45" s="528" t="s">
        <v>1250</v>
      </c>
      <c r="J45" s="11">
        <v>7031</v>
      </c>
      <c r="K45" s="706">
        <v>328110985</v>
      </c>
      <c r="L45" s="351"/>
    </row>
    <row r="46" spans="2:12">
      <c r="B46" s="536">
        <v>600490</v>
      </c>
      <c r="C46" s="536" t="s">
        <v>1258</v>
      </c>
      <c r="D46" s="542">
        <v>9666211</v>
      </c>
      <c r="E46" s="11"/>
      <c r="F46" s="635">
        <f>VLOOKUP(B46,[8]그룹COA!$A$1:$D$945,4,0)</f>
        <v>7031</v>
      </c>
      <c r="G46" s="636">
        <f t="shared" si="0"/>
        <v>9666211</v>
      </c>
      <c r="H46" s="528" t="s">
        <v>1250</v>
      </c>
      <c r="J46" s="11">
        <v>7031</v>
      </c>
      <c r="K46" s="706">
        <v>9666211</v>
      </c>
      <c r="L46" s="351"/>
    </row>
    <row r="47" spans="2:12">
      <c r="B47" s="536">
        <v>600500</v>
      </c>
      <c r="C47" s="536" t="s">
        <v>89</v>
      </c>
      <c r="D47" s="542">
        <v>54735440</v>
      </c>
      <c r="E47" s="11"/>
      <c r="F47" s="635">
        <f>VLOOKUP(B47,[8]그룹COA!$A$1:$D$945,4,0)</f>
        <v>7023</v>
      </c>
      <c r="G47" s="636">
        <f t="shared" si="0"/>
        <v>54735440</v>
      </c>
      <c r="H47" s="528" t="s">
        <v>1250</v>
      </c>
      <c r="J47" s="11">
        <v>7023</v>
      </c>
      <c r="K47" s="706">
        <v>33030600</v>
      </c>
      <c r="L47" s="351"/>
    </row>
    <row r="48" spans="2:12">
      <c r="B48" s="536">
        <v>600700</v>
      </c>
      <c r="C48" s="536" t="s">
        <v>88</v>
      </c>
      <c r="D48" s="542">
        <v>576083990</v>
      </c>
      <c r="E48" s="11"/>
      <c r="F48" s="635">
        <f>VLOOKUP(B48,[8]그룹COA!$A$1:$D$945,4,0)</f>
        <v>7263</v>
      </c>
      <c r="G48" s="636">
        <f t="shared" si="0"/>
        <v>576083990</v>
      </c>
      <c r="H48" s="528" t="s">
        <v>1259</v>
      </c>
      <c r="J48" s="11">
        <v>7263</v>
      </c>
      <c r="K48" s="706">
        <v>395960250</v>
      </c>
      <c r="L48" s="351"/>
    </row>
    <row r="49" spans="2:12">
      <c r="B49" s="536" t="s">
        <v>1617</v>
      </c>
      <c r="C49" s="536"/>
      <c r="D49" s="542">
        <v>2385590187</v>
      </c>
      <c r="E49" s="11"/>
      <c r="F49" s="635"/>
      <c r="G49" s="636"/>
      <c r="H49" s="528"/>
      <c r="J49" s="11"/>
      <c r="K49" s="706"/>
      <c r="L49" s="351"/>
    </row>
    <row r="50" spans="2:12">
      <c r="B50" s="536">
        <v>603100</v>
      </c>
      <c r="C50" s="536" t="s">
        <v>79</v>
      </c>
      <c r="D50" s="542">
        <v>973049670</v>
      </c>
      <c r="E50" s="11"/>
      <c r="F50" s="635">
        <f>VLOOKUP(B50,[8]그룹COA!$A$1:$D$945,4,0)</f>
        <v>7059</v>
      </c>
      <c r="G50" s="636">
        <f t="shared" si="0"/>
        <v>973049670</v>
      </c>
      <c r="H50" s="528" t="s">
        <v>1250</v>
      </c>
      <c r="J50" s="11">
        <v>7059</v>
      </c>
      <c r="K50" s="706">
        <v>659409470</v>
      </c>
      <c r="L50" s="351"/>
    </row>
    <row r="51" spans="2:12">
      <c r="B51" s="536">
        <v>603200</v>
      </c>
      <c r="C51" s="536" t="s">
        <v>1260</v>
      </c>
      <c r="D51" s="542">
        <v>717016200</v>
      </c>
      <c r="E51" s="11"/>
      <c r="F51" s="635">
        <f>VLOOKUP(B51,[8]그룹COA!$A$1:$D$945,4,0)</f>
        <v>7051</v>
      </c>
      <c r="G51" s="636">
        <f t="shared" si="0"/>
        <v>717016200</v>
      </c>
      <c r="H51" s="528" t="s">
        <v>1250</v>
      </c>
      <c r="J51" s="11">
        <v>7051</v>
      </c>
      <c r="K51" s="706">
        <v>492358580</v>
      </c>
      <c r="L51" s="351"/>
    </row>
    <row r="52" spans="2:12">
      <c r="B52" s="536">
        <v>603210</v>
      </c>
      <c r="C52" s="536" t="s">
        <v>1261</v>
      </c>
      <c r="D52" s="542">
        <v>556306317</v>
      </c>
      <c r="E52" s="11"/>
      <c r="F52" s="635">
        <f>VLOOKUP(B52,[8]그룹COA!$A$1:$D$945,4,0)</f>
        <v>7056</v>
      </c>
      <c r="G52" s="636">
        <f t="shared" si="0"/>
        <v>556306317</v>
      </c>
      <c r="H52" s="528" t="s">
        <v>1250</v>
      </c>
      <c r="J52" s="11">
        <v>7056</v>
      </c>
      <c r="K52" s="706">
        <v>367052164</v>
      </c>
      <c r="L52" s="351"/>
    </row>
    <row r="53" spans="2:12">
      <c r="B53" s="536">
        <v>603600</v>
      </c>
      <c r="C53" s="536" t="s">
        <v>68</v>
      </c>
      <c r="D53" s="542">
        <v>112938000</v>
      </c>
      <c r="E53" s="11"/>
      <c r="F53" s="635">
        <f>VLOOKUP(B53,[8]그룹COA!$A$1:$D$945,4,0)</f>
        <v>7059</v>
      </c>
      <c r="G53" s="636">
        <f t="shared" si="0"/>
        <v>112938000</v>
      </c>
      <c r="H53" s="528" t="s">
        <v>1262</v>
      </c>
      <c r="J53" s="11">
        <v>7059</v>
      </c>
      <c r="K53" s="706">
        <v>74676000</v>
      </c>
      <c r="L53" s="351"/>
    </row>
    <row r="54" spans="2:12">
      <c r="B54" s="536">
        <v>603790</v>
      </c>
      <c r="C54" s="536" t="s">
        <v>1263</v>
      </c>
      <c r="D54" s="542">
        <v>26280000</v>
      </c>
      <c r="E54" s="11"/>
      <c r="F54" s="635">
        <f>VLOOKUP(B54,[8]그룹COA!$A$1:$D$945,4,0)</f>
        <v>7055</v>
      </c>
      <c r="G54" s="636">
        <f t="shared" si="0"/>
        <v>26280000</v>
      </c>
      <c r="H54" s="528" t="s">
        <v>1262</v>
      </c>
      <c r="J54" s="11">
        <v>7055</v>
      </c>
      <c r="K54" s="706">
        <v>12990000</v>
      </c>
      <c r="L54" s="351"/>
    </row>
    <row r="55" spans="2:12">
      <c r="B55" s="536">
        <v>654100</v>
      </c>
      <c r="C55" s="536" t="s">
        <v>27</v>
      </c>
      <c r="D55" s="542">
        <v>0</v>
      </c>
      <c r="E55" s="11"/>
      <c r="F55" s="635">
        <f>VLOOKUP(B55,[8]그룹COA!$A$1:$D$945,4,0)</f>
        <v>7439</v>
      </c>
      <c r="G55" s="636">
        <f t="shared" si="0"/>
        <v>0</v>
      </c>
      <c r="H55" s="528" t="s">
        <v>1262</v>
      </c>
      <c r="J55" s="11">
        <v>7439</v>
      </c>
      <c r="K55" s="706">
        <v>0</v>
      </c>
      <c r="L55" s="351"/>
    </row>
    <row r="56" spans="2:12">
      <c r="B56" s="536" t="s">
        <v>1618</v>
      </c>
      <c r="C56" s="536"/>
      <c r="D56" s="542">
        <v>439134275</v>
      </c>
      <c r="E56" s="11"/>
      <c r="F56" s="635"/>
      <c r="G56" s="636"/>
      <c r="H56" s="528"/>
      <c r="J56" s="11"/>
      <c r="K56" s="706"/>
      <c r="L56" s="351"/>
    </row>
    <row r="57" spans="2:12">
      <c r="B57" s="536" t="s">
        <v>1619</v>
      </c>
      <c r="C57" s="536"/>
      <c r="D57" s="542">
        <v>85440350</v>
      </c>
      <c r="E57" s="11"/>
      <c r="F57" s="635"/>
      <c r="G57" s="636"/>
      <c r="H57" s="528"/>
      <c r="J57" s="11"/>
      <c r="K57" s="706"/>
      <c r="L57" s="351"/>
    </row>
    <row r="58" spans="2:12">
      <c r="B58" s="736">
        <v>646100</v>
      </c>
      <c r="C58" s="738" t="s">
        <v>1620</v>
      </c>
      <c r="D58" s="542">
        <v>85440350</v>
      </c>
      <c r="E58" s="11"/>
      <c r="F58" s="635">
        <f>VLOOKUP(B58,[8]그룹COA!$A$1:$D$945,4,0)</f>
        <v>7231</v>
      </c>
      <c r="G58" s="636">
        <f t="shared" si="0"/>
        <v>85440350</v>
      </c>
      <c r="H58" s="528" t="s">
        <v>1262</v>
      </c>
      <c r="J58" s="11">
        <v>7231</v>
      </c>
      <c r="K58" s="706">
        <v>84840350</v>
      </c>
      <c r="L58" s="351"/>
    </row>
    <row r="59" spans="2:12">
      <c r="B59" s="536" t="s">
        <v>1264</v>
      </c>
      <c r="C59" s="536"/>
      <c r="D59" s="542">
        <v>539100</v>
      </c>
      <c r="E59" s="11"/>
      <c r="F59" s="635"/>
      <c r="G59" s="636"/>
      <c r="H59" s="528"/>
      <c r="J59" s="11"/>
      <c r="K59" s="706"/>
      <c r="L59" s="351"/>
    </row>
    <row r="60" spans="2:12">
      <c r="B60" s="536">
        <v>637400</v>
      </c>
      <c r="C60" s="536" t="s">
        <v>350</v>
      </c>
      <c r="D60" s="542">
        <v>539100</v>
      </c>
      <c r="E60" s="11"/>
      <c r="F60" s="635">
        <f>VLOOKUP(B60,[8]그룹COA!$A$1:$D$945,4,0)</f>
        <v>7071</v>
      </c>
      <c r="G60" s="636">
        <f t="shared" si="0"/>
        <v>539100</v>
      </c>
      <c r="H60" s="528" t="s">
        <v>1262</v>
      </c>
      <c r="J60" s="11">
        <v>7071</v>
      </c>
      <c r="K60" s="706">
        <v>359400</v>
      </c>
      <c r="L60" s="351"/>
    </row>
    <row r="61" spans="2:12">
      <c r="B61" s="536" t="s">
        <v>1621</v>
      </c>
      <c r="C61" s="536"/>
      <c r="D61" s="542">
        <v>7552800</v>
      </c>
      <c r="E61" s="11"/>
      <c r="F61" s="635"/>
      <c r="G61" s="636"/>
      <c r="H61" s="528"/>
      <c r="J61" s="11"/>
      <c r="K61" s="706"/>
      <c r="L61" s="351"/>
    </row>
    <row r="62" spans="2:12">
      <c r="B62" s="536">
        <v>642100</v>
      </c>
      <c r="C62" s="536" t="s">
        <v>1265</v>
      </c>
      <c r="D62" s="542">
        <v>2395340</v>
      </c>
      <c r="E62" s="11"/>
      <c r="F62" s="635">
        <f>VLOOKUP(B62,[8]그룹COA!$A$1:$D$945,4,0)</f>
        <v>7181</v>
      </c>
      <c r="G62" s="636">
        <f t="shared" si="0"/>
        <v>2395340</v>
      </c>
      <c r="H62" s="528" t="s">
        <v>1106</v>
      </c>
      <c r="J62" s="11">
        <v>7181</v>
      </c>
      <c r="K62" s="706">
        <v>1329140</v>
      </c>
      <c r="L62" s="351"/>
    </row>
    <row r="63" spans="2:12">
      <c r="B63" s="536">
        <v>642300</v>
      </c>
      <c r="C63" s="536" t="s">
        <v>361</v>
      </c>
      <c r="D63" s="542">
        <v>5157460</v>
      </c>
      <c r="E63" s="11"/>
      <c r="F63" s="635">
        <v>7181</v>
      </c>
      <c r="G63" s="636">
        <f t="shared" si="0"/>
        <v>5157460</v>
      </c>
      <c r="H63" s="528" t="s">
        <v>1262</v>
      </c>
      <c r="J63" s="11">
        <v>7181</v>
      </c>
      <c r="K63" s="706">
        <v>3610310</v>
      </c>
      <c r="L63" s="351"/>
    </row>
    <row r="64" spans="2:12">
      <c r="B64" s="536" t="s">
        <v>1622</v>
      </c>
      <c r="C64" s="536"/>
      <c r="D64" s="542">
        <v>7664521</v>
      </c>
      <c r="E64" s="11"/>
      <c r="F64" s="635"/>
      <c r="G64" s="636"/>
      <c r="H64" s="528"/>
      <c r="J64" s="11"/>
      <c r="K64" s="706"/>
      <c r="L64" s="351"/>
    </row>
    <row r="65" spans="2:12">
      <c r="B65" s="536">
        <v>643100</v>
      </c>
      <c r="C65" s="536" t="s">
        <v>38</v>
      </c>
      <c r="D65" s="542">
        <v>3907115</v>
      </c>
      <c r="E65" s="11"/>
      <c r="F65" s="635">
        <f>VLOOKUP(B65,[8]그룹COA!$A$1:$D$945,4,0)</f>
        <v>7102</v>
      </c>
      <c r="G65" s="636">
        <f t="shared" si="0"/>
        <v>3907115</v>
      </c>
      <c r="H65" s="528" t="s">
        <v>1262</v>
      </c>
      <c r="J65" s="11">
        <v>7102</v>
      </c>
      <c r="K65" s="706">
        <v>2658875</v>
      </c>
      <c r="L65" s="351"/>
    </row>
    <row r="66" spans="2:12">
      <c r="B66" s="536">
        <v>639300</v>
      </c>
      <c r="C66" s="536" t="s">
        <v>42</v>
      </c>
      <c r="D66" s="542">
        <v>3757406</v>
      </c>
      <c r="E66" s="11"/>
      <c r="F66" s="635">
        <f>VLOOKUP(B66,[8]그룹COA!$A$1:$D$945,4,0)</f>
        <v>7103</v>
      </c>
      <c r="G66" s="636">
        <f t="shared" si="0"/>
        <v>3757406</v>
      </c>
      <c r="H66" s="528" t="s">
        <v>1262</v>
      </c>
      <c r="J66" s="11">
        <v>7103</v>
      </c>
      <c r="K66" s="706">
        <v>2508998</v>
      </c>
      <c r="L66" s="351"/>
    </row>
    <row r="67" spans="2:12">
      <c r="B67" s="536" t="s">
        <v>1623</v>
      </c>
      <c r="C67" s="536"/>
      <c r="D67" s="542">
        <v>292378481</v>
      </c>
      <c r="E67" s="11"/>
      <c r="F67" s="635"/>
      <c r="G67" s="636"/>
      <c r="H67" s="528"/>
      <c r="J67" s="11"/>
      <c r="K67" s="706"/>
      <c r="L67" s="351"/>
    </row>
    <row r="68" spans="2:12">
      <c r="B68" s="536">
        <v>603500</v>
      </c>
      <c r="C68" s="536" t="s">
        <v>69</v>
      </c>
      <c r="D68" s="542">
        <v>226887061</v>
      </c>
      <c r="E68" s="11"/>
      <c r="F68" s="635">
        <f>VLOOKUP(B68,[8]그룹COA!$A$1:$D$945,4,0)</f>
        <v>7055</v>
      </c>
      <c r="G68" s="636">
        <f t="shared" si="0"/>
        <v>226887061</v>
      </c>
      <c r="H68" s="528" t="s">
        <v>1262</v>
      </c>
      <c r="J68" s="11">
        <v>7055</v>
      </c>
      <c r="K68" s="706">
        <v>139087048</v>
      </c>
      <c r="L68" s="351"/>
    </row>
    <row r="69" spans="2:12">
      <c r="B69" s="536">
        <v>603700</v>
      </c>
      <c r="C69" s="536" t="s">
        <v>1145</v>
      </c>
      <c r="D69" s="542">
        <v>12209766</v>
      </c>
      <c r="E69" s="11"/>
      <c r="F69" s="635">
        <f>VLOOKUP(B69,[8]그룹COA!$A$1:$D$945,4,0)</f>
        <v>7059</v>
      </c>
      <c r="G69" s="636">
        <f t="shared" si="0"/>
        <v>12209766</v>
      </c>
      <c r="H69" s="528" t="s">
        <v>1262</v>
      </c>
      <c r="J69" s="11">
        <v>7059</v>
      </c>
      <c r="K69" s="706">
        <v>12031239</v>
      </c>
      <c r="L69" s="351"/>
    </row>
    <row r="70" spans="2:12">
      <c r="B70" s="536">
        <v>651100</v>
      </c>
      <c r="C70" s="536" t="s">
        <v>372</v>
      </c>
      <c r="D70" s="542">
        <v>7954</v>
      </c>
      <c r="E70" s="11"/>
      <c r="F70" s="635">
        <f>VLOOKUP(B70,[8]그룹COA!$A$1:$D$945,4,0)</f>
        <v>7359</v>
      </c>
      <c r="G70" s="636">
        <f t="shared" si="0"/>
        <v>7954</v>
      </c>
      <c r="H70" s="528" t="s">
        <v>1262</v>
      </c>
      <c r="J70" s="11">
        <v>7359</v>
      </c>
      <c r="K70" s="706">
        <v>0</v>
      </c>
      <c r="L70" s="351"/>
    </row>
    <row r="71" spans="2:12">
      <c r="B71" s="536">
        <v>651200</v>
      </c>
      <c r="C71" s="536" t="s">
        <v>373</v>
      </c>
      <c r="D71" s="542">
        <v>7920490</v>
      </c>
      <c r="E71" s="11"/>
      <c r="F71" s="635">
        <f>VLOOKUP(B71,[8]그룹COA!$A$1:$D$945,4,0)</f>
        <v>7359</v>
      </c>
      <c r="G71" s="636">
        <f t="shared" si="0"/>
        <v>7920490</v>
      </c>
      <c r="H71" s="528" t="s">
        <v>1262</v>
      </c>
      <c r="J71" s="11">
        <v>7359</v>
      </c>
      <c r="K71" s="706">
        <v>4629365</v>
      </c>
      <c r="L71" s="351"/>
    </row>
    <row r="72" spans="2:12">
      <c r="B72" s="536">
        <v>652100</v>
      </c>
      <c r="C72" s="536" t="s">
        <v>1266</v>
      </c>
      <c r="D72" s="542">
        <v>31208910</v>
      </c>
      <c r="E72" s="11"/>
      <c r="F72" s="635">
        <f>VLOOKUP(B72,[8]그룹COA!$A$1:$D$945,4,0)</f>
        <v>7341</v>
      </c>
      <c r="G72" s="636">
        <f t="shared" si="0"/>
        <v>31208910</v>
      </c>
      <c r="H72" s="528" t="s">
        <v>1262</v>
      </c>
      <c r="J72" s="11">
        <v>7341</v>
      </c>
      <c r="K72" s="706">
        <v>25241510</v>
      </c>
      <c r="L72" s="351"/>
    </row>
    <row r="73" spans="2:12">
      <c r="B73" s="536">
        <v>652160</v>
      </c>
      <c r="C73" s="536" t="s">
        <v>1267</v>
      </c>
      <c r="D73" s="542">
        <v>14144300</v>
      </c>
      <c r="E73" s="11"/>
      <c r="F73" s="635">
        <v>7341</v>
      </c>
      <c r="G73" s="636">
        <f t="shared" si="0"/>
        <v>14144300</v>
      </c>
      <c r="H73" s="528" t="s">
        <v>1262</v>
      </c>
      <c r="J73" s="11">
        <v>7341</v>
      </c>
      <c r="K73" s="706">
        <v>10162600</v>
      </c>
      <c r="L73" s="351"/>
    </row>
    <row r="74" spans="2:12">
      <c r="B74" s="536" t="s">
        <v>1624</v>
      </c>
      <c r="C74" s="536"/>
      <c r="D74" s="542">
        <v>38225660</v>
      </c>
      <c r="E74" s="11"/>
      <c r="F74" s="635"/>
      <c r="G74" s="636"/>
      <c r="H74" s="528"/>
      <c r="J74" s="11"/>
      <c r="K74" s="706"/>
      <c r="L74" s="351"/>
    </row>
    <row r="75" spans="2:12">
      <c r="B75" s="536">
        <v>648100</v>
      </c>
      <c r="C75" s="536" t="s">
        <v>368</v>
      </c>
      <c r="D75" s="542"/>
      <c r="E75" s="11"/>
      <c r="F75" s="635">
        <f>VLOOKUP(B75,[8]그룹COA!$A$1:$D$945,4,0)</f>
        <v>7062</v>
      </c>
      <c r="G75" s="636">
        <f t="shared" si="0"/>
        <v>0</v>
      </c>
      <c r="H75" s="528" t="s">
        <v>1262</v>
      </c>
      <c r="J75" s="11">
        <v>7062</v>
      </c>
      <c r="K75" s="706">
        <v>0</v>
      </c>
      <c r="L75" s="351"/>
    </row>
    <row r="76" spans="2:12">
      <c r="B76" s="536">
        <v>648200</v>
      </c>
      <c r="C76" s="536" t="s">
        <v>31</v>
      </c>
      <c r="D76" s="542">
        <v>971984</v>
      </c>
      <c r="E76" s="11"/>
      <c r="F76" s="635">
        <v>7062</v>
      </c>
      <c r="G76" s="636">
        <f t="shared" si="0"/>
        <v>971984</v>
      </c>
      <c r="H76" s="528" t="s">
        <v>1106</v>
      </c>
      <c r="J76" s="11">
        <v>7062</v>
      </c>
      <c r="K76" s="706">
        <v>950719</v>
      </c>
      <c r="L76" s="351"/>
    </row>
    <row r="77" spans="2:12">
      <c r="B77" s="536">
        <v>648500</v>
      </c>
      <c r="C77" s="536" t="s">
        <v>811</v>
      </c>
      <c r="D77" s="542">
        <v>41091</v>
      </c>
      <c r="E77" s="11"/>
      <c r="F77" s="635">
        <v>7062</v>
      </c>
      <c r="G77" s="636">
        <f t="shared" si="0"/>
        <v>41091</v>
      </c>
      <c r="H77" s="528" t="s">
        <v>1262</v>
      </c>
      <c r="J77" s="11">
        <v>7062</v>
      </c>
      <c r="K77" s="706">
        <v>0</v>
      </c>
      <c r="L77" s="351"/>
    </row>
    <row r="78" spans="2:12">
      <c r="B78" s="536">
        <v>648300</v>
      </c>
      <c r="C78" s="536" t="s">
        <v>369</v>
      </c>
      <c r="D78" s="542"/>
      <c r="E78" s="11"/>
      <c r="F78" s="635">
        <f>VLOOKUP(B78,[8]그룹COA!$A$1:$D$945,4,0)</f>
        <v>7061</v>
      </c>
      <c r="G78" s="636">
        <f t="shared" si="0"/>
        <v>0</v>
      </c>
      <c r="H78" s="528" t="s">
        <v>1262</v>
      </c>
      <c r="J78" s="11">
        <v>7061</v>
      </c>
      <c r="K78" s="706">
        <v>0</v>
      </c>
      <c r="L78" s="351"/>
    </row>
    <row r="79" spans="2:12">
      <c r="B79" s="536">
        <v>648110</v>
      </c>
      <c r="C79" s="536" t="s">
        <v>32</v>
      </c>
      <c r="D79" s="542">
        <v>5484100</v>
      </c>
      <c r="E79" s="11"/>
      <c r="F79" s="635">
        <v>7062</v>
      </c>
      <c r="G79" s="636">
        <f t="shared" si="0"/>
        <v>5484100</v>
      </c>
      <c r="H79" s="528" t="s">
        <v>1262</v>
      </c>
      <c r="J79" s="11">
        <v>7062</v>
      </c>
      <c r="K79" s="706">
        <v>2827500</v>
      </c>
      <c r="L79" s="351"/>
    </row>
    <row r="80" spans="2:12">
      <c r="B80" s="536">
        <v>642200</v>
      </c>
      <c r="C80" s="536" t="s">
        <v>360</v>
      </c>
      <c r="D80" s="542">
        <v>31728485</v>
      </c>
      <c r="E80" s="11"/>
      <c r="F80" s="635">
        <v>7181</v>
      </c>
      <c r="G80" s="636">
        <f t="shared" si="0"/>
        <v>31728485</v>
      </c>
      <c r="H80" s="528" t="s">
        <v>1262</v>
      </c>
      <c r="J80" s="11">
        <v>7181</v>
      </c>
      <c r="K80" s="706">
        <v>20224115</v>
      </c>
      <c r="L80" s="351"/>
    </row>
    <row r="81" spans="2:12">
      <c r="B81" s="536" t="s">
        <v>1625</v>
      </c>
      <c r="C81" s="536"/>
      <c r="D81" s="542">
        <v>7333363</v>
      </c>
      <c r="E81" s="11"/>
      <c r="F81" s="11"/>
      <c r="G81" s="636"/>
      <c r="J81" s="11"/>
      <c r="K81" s="706"/>
      <c r="L81" s="351"/>
    </row>
    <row r="82" spans="2:12">
      <c r="B82" s="536">
        <v>655100</v>
      </c>
      <c r="C82" s="536" t="s">
        <v>655</v>
      </c>
      <c r="D82" s="542">
        <v>7333363</v>
      </c>
      <c r="E82" s="11"/>
      <c r="F82" s="635">
        <f>VLOOKUP(B82,[8]그룹COA!$A$1:$D$945,4,0)</f>
        <v>7439</v>
      </c>
      <c r="G82" s="636">
        <f t="shared" si="0"/>
        <v>7333363</v>
      </c>
      <c r="H82" s="528" t="s">
        <v>1262</v>
      </c>
      <c r="J82" s="11">
        <v>7439</v>
      </c>
      <c r="K82" s="706">
        <v>4632168</v>
      </c>
      <c r="L82" s="351"/>
    </row>
    <row r="83" spans="2:12">
      <c r="B83" s="539" t="s">
        <v>1268</v>
      </c>
      <c r="C83" s="539"/>
      <c r="D83" s="540"/>
      <c r="E83" s="11"/>
      <c r="F83" s="11"/>
      <c r="G83" s="11"/>
      <c r="J83" s="11"/>
      <c r="K83" s="706"/>
      <c r="L83" s="351"/>
    </row>
    <row r="84" spans="2:12">
      <c r="B84" s="739" t="s">
        <v>1269</v>
      </c>
      <c r="C84" s="739"/>
      <c r="D84" s="740">
        <v>27535316662</v>
      </c>
      <c r="E84" s="11"/>
      <c r="F84" s="11"/>
      <c r="G84" s="11"/>
      <c r="J84" s="11"/>
      <c r="K84" s="706"/>
      <c r="L84" s="351"/>
    </row>
    <row r="85" spans="2:12">
      <c r="B85" s="534" t="s">
        <v>1270</v>
      </c>
      <c r="C85" s="534"/>
      <c r="D85" s="535">
        <v>0</v>
      </c>
      <c r="E85" s="11"/>
      <c r="F85" s="11"/>
      <c r="G85" s="11"/>
      <c r="J85" s="11"/>
      <c r="K85" s="706"/>
      <c r="L85" s="351"/>
    </row>
    <row r="86" spans="2:12">
      <c r="B86" s="539" t="s">
        <v>1271</v>
      </c>
      <c r="C86" s="539"/>
      <c r="D86" s="540"/>
      <c r="E86" s="11"/>
      <c r="F86" s="11"/>
      <c r="G86" s="11"/>
      <c r="J86" s="11"/>
      <c r="K86" s="11"/>
      <c r="L86" s="351"/>
    </row>
    <row r="87" spans="2:12">
      <c r="B87" s="536" t="s">
        <v>1272</v>
      </c>
      <c r="C87" s="536"/>
      <c r="D87" s="537"/>
      <c r="E87" s="11"/>
      <c r="F87" s="11"/>
      <c r="G87" s="11"/>
      <c r="J87" s="11"/>
      <c r="K87" s="11"/>
      <c r="L87" s="351"/>
    </row>
    <row r="88" spans="2:12">
      <c r="B88" s="536" t="s">
        <v>1273</v>
      </c>
      <c r="C88" s="536"/>
      <c r="D88" s="537"/>
      <c r="E88" s="11"/>
      <c r="F88" s="11"/>
      <c r="G88" s="11"/>
      <c r="J88" s="11"/>
      <c r="K88" s="11"/>
      <c r="L88" s="351"/>
    </row>
    <row r="89" spans="2:12">
      <c r="B89" s="539" t="s">
        <v>1274</v>
      </c>
      <c r="C89" s="539"/>
      <c r="D89" s="734">
        <v>0</v>
      </c>
      <c r="E89" s="11"/>
      <c r="F89" s="11"/>
      <c r="G89" s="11"/>
      <c r="J89" s="673"/>
      <c r="L89" s="351"/>
    </row>
    <row r="90" spans="2:12">
      <c r="B90" s="536" t="s">
        <v>1275</v>
      </c>
      <c r="C90" s="536"/>
      <c r="D90" s="542">
        <v>0</v>
      </c>
      <c r="E90" s="11"/>
      <c r="F90" s="11"/>
      <c r="G90" s="11"/>
      <c r="J90" s="673"/>
      <c r="L90" s="351"/>
    </row>
    <row r="91" spans="2:12">
      <c r="B91" s="536" t="s">
        <v>1276</v>
      </c>
      <c r="C91" s="536"/>
      <c r="D91" s="542">
        <v>0</v>
      </c>
      <c r="E91" s="11"/>
      <c r="F91" s="11"/>
      <c r="G91" s="11"/>
      <c r="J91" s="673"/>
      <c r="L91" s="351"/>
    </row>
    <row r="92" spans="2:12">
      <c r="B92" s="536" t="s">
        <v>1277</v>
      </c>
      <c r="C92" s="536"/>
      <c r="D92" s="542"/>
      <c r="E92" s="11"/>
      <c r="F92" s="11"/>
      <c r="G92" s="11"/>
      <c r="J92" s="673"/>
      <c r="L92" s="351"/>
    </row>
    <row r="93" spans="2:12">
      <c r="B93" s="741" t="s">
        <v>1278</v>
      </c>
      <c r="C93" s="741"/>
      <c r="D93" s="742">
        <v>27535316662</v>
      </c>
      <c r="E93" s="11"/>
      <c r="F93" s="11"/>
      <c r="G93" s="11"/>
      <c r="J93" s="673"/>
      <c r="L93" s="351"/>
    </row>
    <row r="94" spans="2:12">
      <c r="B94" s="739" t="s">
        <v>1279</v>
      </c>
      <c r="C94" s="739"/>
      <c r="D94" s="740">
        <v>27535316662</v>
      </c>
      <c r="E94" s="11"/>
      <c r="F94" s="11"/>
      <c r="G94" s="11"/>
      <c r="J94" s="673"/>
      <c r="L94" s="351"/>
    </row>
    <row r="95" spans="2:12">
      <c r="J95" s="11"/>
      <c r="L95" s="351"/>
    </row>
    <row r="96" spans="2:12">
      <c r="G96" s="543"/>
      <c r="H96" s="544">
        <f>SUM(H98:H123)</f>
        <v>27535316662</v>
      </c>
      <c r="I96" s="543"/>
      <c r="J96" s="544">
        <f>SUM(J97:J101)</f>
        <v>27535316662</v>
      </c>
      <c r="K96" s="614" t="b">
        <f>H96=J96</f>
        <v>1</v>
      </c>
      <c r="L96" s="351"/>
    </row>
    <row r="97" spans="7:10">
      <c r="G97" s="545" t="s">
        <v>1280</v>
      </c>
      <c r="H97" s="545" t="s">
        <v>1281</v>
      </c>
      <c r="I97" s="546" t="s">
        <v>1282</v>
      </c>
      <c r="J97" s="544">
        <f>SUMIF($H$23:$H$82,I97,$G$23:$G$82)</f>
        <v>0</v>
      </c>
    </row>
    <row r="98" spans="7:10">
      <c r="G98" s="543">
        <v>7268</v>
      </c>
      <c r="H98" s="544">
        <f>SUMIF($F$23:$F$82,G98,$G$23:$G$82)</f>
        <v>4369818373</v>
      </c>
      <c r="I98" s="547" t="s">
        <v>1250</v>
      </c>
      <c r="J98" s="544">
        <f>SUMIF($H$23:$H$82,I98,$G$23:$G$82)</f>
        <v>19915161305</v>
      </c>
    </row>
    <row r="99" spans="7:10">
      <c r="G99" s="543">
        <v>7134</v>
      </c>
      <c r="H99" s="544">
        <f t="shared" ref="H99:H122" si="1">SUMIF($F$23:$F$82,G99,$G$23:$G$82)</f>
        <v>6750000</v>
      </c>
      <c r="I99" s="546" t="s">
        <v>560</v>
      </c>
      <c r="J99" s="544">
        <f>SUMIF($H$23:$H$82,I99,$G$23:$G$82)</f>
        <v>2067971455</v>
      </c>
    </row>
    <row r="100" spans="7:10">
      <c r="G100" s="543">
        <v>7138</v>
      </c>
      <c r="H100" s="544">
        <f>SUMIF($F$23:$F$82,G100,$G$23:$G$82)</f>
        <v>679211</v>
      </c>
      <c r="I100" s="547" t="s">
        <v>1259</v>
      </c>
      <c r="J100" s="544">
        <f>SUMIF($H$23:$H$82,I100,$G$23:$G$82)</f>
        <v>4973831627</v>
      </c>
    </row>
    <row r="101" spans="7:10">
      <c r="G101" s="543">
        <v>7161</v>
      </c>
      <c r="H101" s="544">
        <f t="shared" si="1"/>
        <v>2060542244</v>
      </c>
      <c r="I101" s="546" t="s">
        <v>1262</v>
      </c>
      <c r="J101" s="544">
        <f>SUMIF($H$23:$H$82,I101,$G$23:$G$82)</f>
        <v>578352275</v>
      </c>
    </row>
    <row r="102" spans="7:10">
      <c r="G102" s="543">
        <v>7021</v>
      </c>
      <c r="H102" s="544">
        <f>SUMIF($F$23:$F$82,G102,$G$23:$G$82)</f>
        <v>7515094825</v>
      </c>
      <c r="I102" s="543"/>
      <c r="J102" s="543"/>
    </row>
    <row r="103" spans="7:10">
      <c r="G103" s="543">
        <v>7022</v>
      </c>
      <c r="H103" s="544">
        <f t="shared" si="1"/>
        <v>7847669108</v>
      </c>
      <c r="I103" s="543"/>
      <c r="J103" s="543"/>
    </row>
    <row r="104" spans="7:10">
      <c r="G104" s="543">
        <v>7031</v>
      </c>
      <c r="H104" s="544">
        <f t="shared" si="1"/>
        <v>2251289745</v>
      </c>
      <c r="I104" s="543"/>
      <c r="J104" s="543"/>
    </row>
    <row r="105" spans="7:10">
      <c r="G105" s="543">
        <v>7023</v>
      </c>
      <c r="H105" s="544">
        <f t="shared" si="1"/>
        <v>54735440</v>
      </c>
      <c r="I105" s="543"/>
      <c r="J105" s="543"/>
    </row>
    <row r="106" spans="7:10">
      <c r="G106" s="543">
        <v>7263</v>
      </c>
      <c r="H106" s="544">
        <f t="shared" si="1"/>
        <v>604013254</v>
      </c>
      <c r="I106" s="543"/>
      <c r="J106" s="543"/>
    </row>
    <row r="107" spans="7:10">
      <c r="G107" s="543">
        <v>7059</v>
      </c>
      <c r="H107" s="544">
        <f t="shared" si="1"/>
        <v>1098197436</v>
      </c>
      <c r="I107" s="543"/>
      <c r="J107" s="543"/>
    </row>
    <row r="108" spans="7:10">
      <c r="G108" s="543">
        <v>7051</v>
      </c>
      <c r="H108" s="544">
        <f t="shared" si="1"/>
        <v>717016200</v>
      </c>
      <c r="I108" s="543"/>
      <c r="J108" s="543"/>
    </row>
    <row r="109" spans="7:10">
      <c r="G109" s="543">
        <v>7056</v>
      </c>
      <c r="H109" s="544">
        <f t="shared" si="1"/>
        <v>556306317</v>
      </c>
      <c r="I109" s="543"/>
      <c r="J109" s="543"/>
    </row>
    <row r="110" spans="7:10">
      <c r="G110" s="543">
        <v>7055</v>
      </c>
      <c r="H110" s="544">
        <f t="shared" si="1"/>
        <v>253167061</v>
      </c>
      <c r="I110" s="543"/>
      <c r="J110" s="543"/>
    </row>
    <row r="111" spans="7:10">
      <c r="G111" s="543">
        <v>7439</v>
      </c>
      <c r="H111" s="544">
        <f t="shared" si="1"/>
        <v>7333363</v>
      </c>
      <c r="I111" s="543"/>
      <c r="J111" s="543"/>
    </row>
    <row r="112" spans="7:10">
      <c r="G112" s="543">
        <v>7071</v>
      </c>
      <c r="H112" s="544">
        <f t="shared" si="1"/>
        <v>539100</v>
      </c>
      <c r="I112" s="543"/>
      <c r="J112" s="543"/>
    </row>
    <row r="113" spans="7:10">
      <c r="G113" s="543">
        <v>7181</v>
      </c>
      <c r="H113" s="544">
        <f t="shared" si="1"/>
        <v>39281285</v>
      </c>
      <c r="I113" s="543"/>
      <c r="J113" s="543"/>
    </row>
    <row r="114" spans="7:10">
      <c r="G114" s="543">
        <v>7102</v>
      </c>
      <c r="H114" s="544">
        <f t="shared" si="1"/>
        <v>3907115</v>
      </c>
      <c r="I114" s="543"/>
      <c r="J114" s="543"/>
    </row>
    <row r="115" spans="7:10">
      <c r="G115" s="543">
        <v>7103</v>
      </c>
      <c r="H115" s="544">
        <f t="shared" si="1"/>
        <v>3757406</v>
      </c>
      <c r="I115" s="543"/>
      <c r="J115" s="543"/>
    </row>
    <row r="116" spans="7:10">
      <c r="G116" s="543">
        <v>7359</v>
      </c>
      <c r="H116" s="544">
        <f t="shared" si="1"/>
        <v>7928444</v>
      </c>
      <c r="I116" s="543"/>
      <c r="J116" s="543"/>
    </row>
    <row r="117" spans="7:10">
      <c r="G117" s="543">
        <v>7341</v>
      </c>
      <c r="H117" s="544">
        <f t="shared" si="1"/>
        <v>45353210</v>
      </c>
      <c r="I117" s="543"/>
      <c r="J117" s="543"/>
    </row>
    <row r="118" spans="7:10">
      <c r="G118" s="543">
        <v>7062</v>
      </c>
      <c r="H118" s="544">
        <f t="shared" si="1"/>
        <v>6497175</v>
      </c>
      <c r="I118" s="543"/>
      <c r="J118" s="543"/>
    </row>
    <row r="119" spans="7:10">
      <c r="G119" s="543">
        <v>7252</v>
      </c>
      <c r="H119" s="544">
        <f t="shared" si="1"/>
        <v>0</v>
      </c>
      <c r="I119" s="543"/>
      <c r="J119" s="543"/>
    </row>
    <row r="120" spans="7:10">
      <c r="G120" s="631">
        <v>7233</v>
      </c>
      <c r="H120" s="632">
        <f t="shared" si="1"/>
        <v>0</v>
      </c>
      <c r="I120" s="633" t="s">
        <v>1364</v>
      </c>
      <c r="J120" s="543"/>
    </row>
    <row r="121" spans="7:10">
      <c r="G121" s="543">
        <v>7061</v>
      </c>
      <c r="H121" s="544">
        <f t="shared" si="1"/>
        <v>0</v>
      </c>
      <c r="I121" s="543"/>
      <c r="J121" s="543"/>
    </row>
    <row r="122" spans="7:10">
      <c r="G122" s="543">
        <v>7231</v>
      </c>
      <c r="H122" s="544">
        <f t="shared" si="1"/>
        <v>85440350</v>
      </c>
    </row>
    <row r="123" spans="7:10">
      <c r="G123" s="543"/>
      <c r="H123" s="5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4BC9-6CCF-4CDB-8CB0-E41F70C6D169}">
  <sheetPr>
    <tabColor theme="4" tint="0.79998168889431442"/>
  </sheetPr>
  <dimension ref="A1:J74"/>
  <sheetViews>
    <sheetView zoomScale="85" zoomScaleNormal="85" workbookViewId="0">
      <selection activeCell="E155" sqref="E155"/>
    </sheetView>
  </sheetViews>
  <sheetFormatPr defaultRowHeight="16.5"/>
  <cols>
    <col min="1" max="1" width="33.75" bestFit="1" customWidth="1"/>
  </cols>
  <sheetData>
    <row r="1" spans="1:10">
      <c r="A1" s="715" t="s">
        <v>1510</v>
      </c>
      <c r="B1" s="539" t="s">
        <v>1511</v>
      </c>
      <c r="C1" s="539" t="s">
        <v>1512</v>
      </c>
      <c r="D1" t="s">
        <v>1554</v>
      </c>
      <c r="G1" t="s">
        <v>1552</v>
      </c>
      <c r="H1" t="s">
        <v>1553</v>
      </c>
      <c r="I1" t="s">
        <v>1512</v>
      </c>
      <c r="J1" t="s">
        <v>1554</v>
      </c>
    </row>
    <row r="2" spans="1:10">
      <c r="A2" s="715" t="s">
        <v>1513</v>
      </c>
      <c r="B2" s="539">
        <v>626190</v>
      </c>
      <c r="C2" s="539">
        <v>7263</v>
      </c>
      <c r="D2" t="str">
        <f>VLOOKUP(C2,'경상연구개발비(확정)'!$F$13:$H$94,3,0)</f>
        <v>위탁용역비</v>
      </c>
      <c r="G2" s="719"/>
      <c r="H2" s="719"/>
      <c r="I2" t="e">
        <f>VLOOKUP(G2,$A$2:$C$44,0)</f>
        <v>#N/A</v>
      </c>
    </row>
    <row r="3" spans="1:10">
      <c r="A3" s="715" t="s">
        <v>1514</v>
      </c>
      <c r="B3" s="539">
        <v>625900</v>
      </c>
      <c r="C3" s="539">
        <v>7268</v>
      </c>
      <c r="D3" s="691" t="str">
        <f>VLOOKUP(C3,'경상연구개발비(확정)'!$F$13:$H$94,3,0)</f>
        <v>위탁용역비</v>
      </c>
      <c r="G3" s="719"/>
      <c r="H3" s="719"/>
      <c r="I3" s="691" t="e">
        <f t="shared" ref="I3:I44" si="0">VLOOKUP(G3,$A$2:$C$44,0)</f>
        <v>#N/A</v>
      </c>
    </row>
    <row r="4" spans="1:10">
      <c r="A4" s="715" t="s">
        <v>1515</v>
      </c>
      <c r="B4" s="539">
        <v>625910</v>
      </c>
      <c r="C4" s="539">
        <v>7268</v>
      </c>
      <c r="D4" s="691" t="str">
        <f>VLOOKUP(C4,'경상연구개발비(확정)'!$F$13:$H$94,3,0)</f>
        <v>위탁용역비</v>
      </c>
      <c r="G4" s="719"/>
      <c r="H4" s="719"/>
      <c r="I4" s="691" t="e">
        <f t="shared" si="0"/>
        <v>#N/A</v>
      </c>
    </row>
    <row r="5" spans="1:10">
      <c r="A5" s="715"/>
      <c r="B5" s="539">
        <v>625400</v>
      </c>
      <c r="C5" s="539">
        <v>7268</v>
      </c>
      <c r="D5" s="691" t="str">
        <f>VLOOKUP(C5,'경상연구개발비(확정)'!$F$13:$H$94,3,0)</f>
        <v>위탁용역비</v>
      </c>
      <c r="G5" s="719"/>
      <c r="H5" s="719"/>
      <c r="I5" s="691" t="e">
        <f t="shared" si="0"/>
        <v>#N/A</v>
      </c>
    </row>
    <row r="6" spans="1:10">
      <c r="A6" s="715" t="s">
        <v>1516</v>
      </c>
      <c r="B6" s="539">
        <v>672100</v>
      </c>
      <c r="C6" s="539">
        <v>7134</v>
      </c>
      <c r="D6" s="691" t="str">
        <f>VLOOKUP(C6,'경상연구개발비(확정)'!$F$13:$H$94,3,0)</f>
        <v>감가상각비</v>
      </c>
      <c r="G6" s="719"/>
      <c r="H6" s="719"/>
      <c r="I6" s="691" t="e">
        <f t="shared" si="0"/>
        <v>#N/A</v>
      </c>
    </row>
    <row r="7" spans="1:10">
      <c r="A7" s="715" t="s">
        <v>1517</v>
      </c>
      <c r="B7" s="539">
        <v>675100</v>
      </c>
      <c r="C7" s="539">
        <v>7138</v>
      </c>
      <c r="D7" s="691" t="str">
        <f>VLOOKUP(C7,'경상연구개발비(확정)'!$F$13:$H$94,3,0)</f>
        <v>감가상각비</v>
      </c>
      <c r="G7" s="719"/>
      <c r="H7" s="719"/>
      <c r="I7" s="691" t="e">
        <f t="shared" si="0"/>
        <v>#N/A</v>
      </c>
    </row>
    <row r="8" spans="1:10">
      <c r="A8" s="715" t="s">
        <v>1518</v>
      </c>
      <c r="B8" s="539">
        <v>679900</v>
      </c>
      <c r="C8" s="539">
        <v>7161</v>
      </c>
      <c r="D8" s="691" t="str">
        <f>VLOOKUP(C8,'경상연구개발비(확정)'!$F$13:$H$94,3,0)</f>
        <v>감가상각비</v>
      </c>
      <c r="G8" s="719"/>
      <c r="H8" s="719"/>
      <c r="I8" s="691" t="e">
        <f t="shared" si="0"/>
        <v>#N/A</v>
      </c>
    </row>
    <row r="9" spans="1:10">
      <c r="A9" s="715" t="s">
        <v>1519</v>
      </c>
      <c r="B9" s="539">
        <v>600200</v>
      </c>
      <c r="C9" s="539">
        <v>7021</v>
      </c>
      <c r="D9" s="691" t="str">
        <f>VLOOKUP(C9,'경상연구개발비(확정)'!$F$13:$H$94,3,0)</f>
        <v>인건비</v>
      </c>
      <c r="G9" s="719"/>
      <c r="H9" s="719"/>
      <c r="I9" s="691" t="e">
        <f t="shared" si="0"/>
        <v>#N/A</v>
      </c>
    </row>
    <row r="10" spans="1:10">
      <c r="A10" s="715" t="s">
        <v>1520</v>
      </c>
      <c r="B10" s="539">
        <v>600300</v>
      </c>
      <c r="C10" s="539">
        <v>7022</v>
      </c>
      <c r="D10" s="691" t="str">
        <f>VLOOKUP(C10,'경상연구개발비(확정)'!$F$13:$H$94,3,0)</f>
        <v>인건비</v>
      </c>
      <c r="G10" s="719"/>
      <c r="H10" s="719"/>
      <c r="I10" s="691" t="e">
        <f t="shared" si="0"/>
        <v>#N/A</v>
      </c>
    </row>
    <row r="11" spans="1:10">
      <c r="A11" s="715" t="s">
        <v>1521</v>
      </c>
      <c r="B11" s="539">
        <v>600310</v>
      </c>
      <c r="C11" s="539">
        <v>7022</v>
      </c>
      <c r="D11" s="691" t="str">
        <f>VLOOKUP(C11,'경상연구개발비(확정)'!$F$13:$H$94,3,0)</f>
        <v>인건비</v>
      </c>
      <c r="G11" s="719"/>
      <c r="H11" s="719"/>
      <c r="I11" s="691" t="e">
        <f t="shared" si="0"/>
        <v>#N/A</v>
      </c>
    </row>
    <row r="12" spans="1:10">
      <c r="A12" s="715" t="s">
        <v>1522</v>
      </c>
      <c r="B12" s="539">
        <v>600400</v>
      </c>
      <c r="C12" s="539">
        <v>7031</v>
      </c>
      <c r="D12" s="691" t="str">
        <f>VLOOKUP(C12,'경상연구개발비(확정)'!$F$13:$H$94,3,0)</f>
        <v>인건비</v>
      </c>
      <c r="G12" s="719"/>
      <c r="H12" s="719"/>
      <c r="I12" s="691" t="e">
        <f t="shared" si="0"/>
        <v>#N/A</v>
      </c>
    </row>
    <row r="13" spans="1:10">
      <c r="A13" s="715" t="s">
        <v>1523</v>
      </c>
      <c r="B13" s="539">
        <v>600410</v>
      </c>
      <c r="C13" s="539">
        <v>7031</v>
      </c>
      <c r="D13" s="691" t="str">
        <f>VLOOKUP(C13,'경상연구개발비(확정)'!$F$13:$H$94,3,0)</f>
        <v>인건비</v>
      </c>
      <c r="G13" s="719"/>
      <c r="H13" s="719"/>
      <c r="I13" s="691" t="e">
        <f t="shared" si="0"/>
        <v>#N/A</v>
      </c>
    </row>
    <row r="14" spans="1:10">
      <c r="A14" s="715" t="s">
        <v>1524</v>
      </c>
      <c r="B14" s="539">
        <v>600420</v>
      </c>
      <c r="C14" s="539">
        <v>7031</v>
      </c>
      <c r="D14" s="691" t="str">
        <f>VLOOKUP(C14,'경상연구개발비(확정)'!$F$13:$H$94,3,0)</f>
        <v>인건비</v>
      </c>
      <c r="G14" s="719"/>
      <c r="H14" s="719"/>
      <c r="I14" s="691" t="e">
        <f t="shared" si="0"/>
        <v>#N/A</v>
      </c>
    </row>
    <row r="15" spans="1:10">
      <c r="A15" s="715" t="s">
        <v>1525</v>
      </c>
      <c r="B15" s="539">
        <v>600430</v>
      </c>
      <c r="C15" s="539">
        <v>7031</v>
      </c>
      <c r="D15" s="691" t="str">
        <f>VLOOKUP(C15,'경상연구개발비(확정)'!$F$13:$H$94,3,0)</f>
        <v>인건비</v>
      </c>
      <c r="G15" s="719"/>
      <c r="H15" s="719"/>
      <c r="I15" s="691" t="e">
        <f t="shared" si="0"/>
        <v>#N/A</v>
      </c>
    </row>
    <row r="16" spans="1:10">
      <c r="A16" s="715" t="s">
        <v>1526</v>
      </c>
      <c r="B16" s="539">
        <v>600431</v>
      </c>
      <c r="C16" s="539">
        <v>7031</v>
      </c>
      <c r="D16" s="691" t="str">
        <f>VLOOKUP(C16,'경상연구개발비(확정)'!$F$13:$H$94,3,0)</f>
        <v>인건비</v>
      </c>
      <c r="G16" s="719"/>
      <c r="H16" s="719"/>
      <c r="I16" s="691" t="e">
        <f t="shared" si="0"/>
        <v>#N/A</v>
      </c>
    </row>
    <row r="17" spans="1:9">
      <c r="A17" s="715" t="s">
        <v>1527</v>
      </c>
      <c r="B17" s="539">
        <v>600490</v>
      </c>
      <c r="C17" s="539">
        <v>7031</v>
      </c>
      <c r="D17" s="691" t="str">
        <f>VLOOKUP(C17,'경상연구개발비(확정)'!$F$13:$H$94,3,0)</f>
        <v>인건비</v>
      </c>
      <c r="G17" s="719"/>
      <c r="H17" s="719"/>
      <c r="I17" s="691" t="e">
        <f t="shared" si="0"/>
        <v>#N/A</v>
      </c>
    </row>
    <row r="18" spans="1:9">
      <c r="A18" s="715" t="s">
        <v>1528</v>
      </c>
      <c r="B18" s="539">
        <v>600500</v>
      </c>
      <c r="C18" s="539">
        <v>7023</v>
      </c>
      <c r="D18" s="691" t="str">
        <f>VLOOKUP(C18,'경상연구개발비(확정)'!$F$13:$H$94,3,0)</f>
        <v>인건비</v>
      </c>
      <c r="G18" s="719"/>
      <c r="H18" s="719"/>
      <c r="I18" s="691" t="e">
        <f t="shared" si="0"/>
        <v>#N/A</v>
      </c>
    </row>
    <row r="19" spans="1:9">
      <c r="A19" s="715" t="s">
        <v>1529</v>
      </c>
      <c r="B19" s="539">
        <v>600700</v>
      </c>
      <c r="C19" s="539">
        <v>7263</v>
      </c>
      <c r="D19" s="691" t="str">
        <f>VLOOKUP(C19,'경상연구개발비(확정)'!$F$13:$H$94,3,0)</f>
        <v>위탁용역비</v>
      </c>
      <c r="G19" s="719"/>
      <c r="H19" s="719"/>
      <c r="I19" s="691" t="e">
        <f t="shared" si="0"/>
        <v>#N/A</v>
      </c>
    </row>
    <row r="20" spans="1:9">
      <c r="A20" s="715" t="s">
        <v>1530</v>
      </c>
      <c r="B20" s="539">
        <v>603100</v>
      </c>
      <c r="C20" s="539">
        <v>7059</v>
      </c>
      <c r="D20" s="691" t="str">
        <f>VLOOKUP(C20,'경상연구개발비(확정)'!$F$13:$H$94,3,0)</f>
        <v>인건비</v>
      </c>
      <c r="G20" s="719"/>
      <c r="H20" s="719"/>
      <c r="I20" s="691" t="e">
        <f t="shared" si="0"/>
        <v>#N/A</v>
      </c>
    </row>
    <row r="21" spans="1:9">
      <c r="A21" s="715" t="s">
        <v>1531</v>
      </c>
      <c r="B21" s="539">
        <v>603200</v>
      </c>
      <c r="C21" s="539">
        <v>7051</v>
      </c>
      <c r="D21" s="691" t="str">
        <f>VLOOKUP(C21,'경상연구개발비(확정)'!$F$13:$H$94,3,0)</f>
        <v>인건비</v>
      </c>
      <c r="G21" s="719"/>
      <c r="H21" s="719"/>
      <c r="I21" s="691" t="e">
        <f t="shared" si="0"/>
        <v>#N/A</v>
      </c>
    </row>
    <row r="22" spans="1:9">
      <c r="A22" s="715" t="s">
        <v>1532</v>
      </c>
      <c r="B22" s="539">
        <v>603210</v>
      </c>
      <c r="C22" s="539">
        <v>7056</v>
      </c>
      <c r="D22" s="691" t="str">
        <f>VLOOKUP(C22,'경상연구개발비(확정)'!$F$13:$H$94,3,0)</f>
        <v>인건비</v>
      </c>
      <c r="G22" s="719"/>
      <c r="H22" s="719"/>
      <c r="I22" s="691" t="e">
        <f t="shared" si="0"/>
        <v>#N/A</v>
      </c>
    </row>
    <row r="23" spans="1:9">
      <c r="A23" s="715" t="s">
        <v>1533</v>
      </c>
      <c r="B23" s="539">
        <v>603600</v>
      </c>
      <c r="C23" s="539">
        <v>7059</v>
      </c>
      <c r="D23" s="691" t="str">
        <f>VLOOKUP(C23,'경상연구개발비(확정)'!$F$13:$H$94,3,0)</f>
        <v>인건비</v>
      </c>
      <c r="G23" s="719"/>
      <c r="H23" s="719"/>
      <c r="I23" s="691" t="e">
        <f t="shared" si="0"/>
        <v>#N/A</v>
      </c>
    </row>
    <row r="24" spans="1:9">
      <c r="A24" s="715" t="s">
        <v>1534</v>
      </c>
      <c r="B24" s="539">
        <v>603790</v>
      </c>
      <c r="C24" s="539">
        <v>7055</v>
      </c>
      <c r="D24" s="691" t="str">
        <f>VLOOKUP(C24,'경상연구개발비(확정)'!$F$13:$H$94,3,0)</f>
        <v>기타</v>
      </c>
      <c r="G24" s="719"/>
      <c r="H24" s="719"/>
      <c r="I24" s="691" t="e">
        <f t="shared" si="0"/>
        <v>#N/A</v>
      </c>
    </row>
    <row r="25" spans="1:9">
      <c r="A25" s="715" t="s">
        <v>1535</v>
      </c>
      <c r="B25" s="539">
        <v>654100</v>
      </c>
      <c r="C25" s="539">
        <v>7439</v>
      </c>
      <c r="D25" s="691" t="str">
        <f>VLOOKUP(C25,'경상연구개발비(확정)'!$F$13:$H$94,3,0)</f>
        <v>기타</v>
      </c>
      <c r="G25" s="719"/>
      <c r="H25" s="719"/>
      <c r="I25" s="691" t="e">
        <f t="shared" si="0"/>
        <v>#N/A</v>
      </c>
    </row>
    <row r="26" spans="1:9">
      <c r="A26" s="715" t="s">
        <v>1536</v>
      </c>
      <c r="B26" s="539">
        <v>646100</v>
      </c>
      <c r="C26" s="539">
        <v>7231</v>
      </c>
      <c r="D26" s="691" t="str">
        <f>VLOOKUP(C26,'경상연구개발비(확정)'!$F$13:$H$94,3,0)</f>
        <v>기타</v>
      </c>
      <c r="G26" s="719"/>
      <c r="H26" s="719"/>
      <c r="I26" s="691" t="e">
        <f t="shared" si="0"/>
        <v>#N/A</v>
      </c>
    </row>
    <row r="27" spans="1:9">
      <c r="A27" s="715" t="s">
        <v>1537</v>
      </c>
      <c r="B27" s="539">
        <v>637400</v>
      </c>
      <c r="C27" s="539">
        <v>7071</v>
      </c>
      <c r="D27" s="691" t="str">
        <f>VLOOKUP(C27,'경상연구개발비(확정)'!$F$13:$H$94,3,0)</f>
        <v>기타</v>
      </c>
      <c r="G27" s="719"/>
      <c r="H27" s="719"/>
      <c r="I27" s="691" t="e">
        <f t="shared" si="0"/>
        <v>#N/A</v>
      </c>
    </row>
    <row r="28" spans="1:9">
      <c r="A28" s="715" t="s">
        <v>1538</v>
      </c>
      <c r="B28" s="539">
        <v>642100</v>
      </c>
      <c r="C28" s="539">
        <v>7181</v>
      </c>
      <c r="D28" s="691" t="str">
        <f>VLOOKUP(C28,'경상연구개발비(확정)'!$F$13:$H$94,3,0)</f>
        <v>기타</v>
      </c>
      <c r="G28" s="719"/>
      <c r="H28" s="719"/>
      <c r="I28" s="691" t="e">
        <f t="shared" si="0"/>
        <v>#N/A</v>
      </c>
    </row>
    <row r="29" spans="1:9">
      <c r="A29" s="715" t="s">
        <v>1539</v>
      </c>
      <c r="B29" s="539">
        <v>642300</v>
      </c>
      <c r="C29" s="539">
        <v>7181</v>
      </c>
      <c r="D29" s="691" t="str">
        <f>VLOOKUP(C29,'경상연구개발비(확정)'!$F$13:$H$94,3,0)</f>
        <v>기타</v>
      </c>
      <c r="G29" s="719"/>
      <c r="H29" s="719"/>
      <c r="I29" s="691" t="e">
        <f t="shared" si="0"/>
        <v>#N/A</v>
      </c>
    </row>
    <row r="30" spans="1:9">
      <c r="A30" s="715" t="s">
        <v>1540</v>
      </c>
      <c r="B30" s="539">
        <v>643100</v>
      </c>
      <c r="C30" s="539">
        <v>7102</v>
      </c>
      <c r="D30" s="691" t="str">
        <f>VLOOKUP(C30,'경상연구개발비(확정)'!$F$13:$H$94,3,0)</f>
        <v>기타</v>
      </c>
      <c r="G30" s="719"/>
      <c r="H30" s="719"/>
      <c r="I30" s="691" t="e">
        <f t="shared" si="0"/>
        <v>#N/A</v>
      </c>
    </row>
    <row r="31" spans="1:9">
      <c r="A31" s="715" t="s">
        <v>1541</v>
      </c>
      <c r="B31" s="539">
        <v>639300</v>
      </c>
      <c r="C31" s="539">
        <v>7103</v>
      </c>
      <c r="D31" s="691" t="str">
        <f>VLOOKUP(C31,'경상연구개발비(확정)'!$F$13:$H$94,3,0)</f>
        <v>기타</v>
      </c>
      <c r="G31" s="719"/>
      <c r="H31" s="719"/>
      <c r="I31" s="691" t="e">
        <f t="shared" si="0"/>
        <v>#N/A</v>
      </c>
    </row>
    <row r="32" spans="1:9">
      <c r="A32" s="715" t="s">
        <v>1542</v>
      </c>
      <c r="B32" s="539">
        <v>603500</v>
      </c>
      <c r="C32" s="539">
        <v>7055</v>
      </c>
      <c r="D32" s="691" t="str">
        <f>VLOOKUP(C32,'경상연구개발비(확정)'!$F$13:$H$94,3,0)</f>
        <v>기타</v>
      </c>
      <c r="G32" s="719"/>
      <c r="H32" s="719"/>
      <c r="I32" s="691" t="e">
        <f t="shared" si="0"/>
        <v>#N/A</v>
      </c>
    </row>
    <row r="33" spans="1:9">
      <c r="A33" s="715" t="s">
        <v>1543</v>
      </c>
      <c r="B33" s="539">
        <v>603700</v>
      </c>
      <c r="C33" s="539">
        <v>7059</v>
      </c>
      <c r="D33" s="691" t="str">
        <f>VLOOKUP(C33,'경상연구개발비(확정)'!$F$13:$H$94,3,0)</f>
        <v>인건비</v>
      </c>
      <c r="G33" s="719"/>
      <c r="H33" s="719"/>
      <c r="I33" s="691" t="e">
        <f t="shared" si="0"/>
        <v>#N/A</v>
      </c>
    </row>
    <row r="34" spans="1:9">
      <c r="A34" s="715"/>
      <c r="B34" s="539">
        <v>651100</v>
      </c>
      <c r="C34" s="539">
        <v>7359</v>
      </c>
      <c r="D34" s="691" t="str">
        <f>VLOOKUP(C34,'경상연구개발비(확정)'!$F$13:$H$94,3,0)</f>
        <v>기타</v>
      </c>
      <c r="G34" s="719"/>
      <c r="H34" s="719"/>
      <c r="I34" s="691" t="e">
        <f t="shared" si="0"/>
        <v>#N/A</v>
      </c>
    </row>
    <row r="35" spans="1:9">
      <c r="A35" s="715" t="s">
        <v>1544</v>
      </c>
      <c r="B35" s="539">
        <v>651200</v>
      </c>
      <c r="C35" s="539">
        <v>7359</v>
      </c>
      <c r="D35" s="691" t="str">
        <f>VLOOKUP(C35,'경상연구개발비(확정)'!$F$13:$H$94,3,0)</f>
        <v>기타</v>
      </c>
      <c r="G35" s="719"/>
      <c r="H35" s="719"/>
      <c r="I35" s="691" t="e">
        <f t="shared" si="0"/>
        <v>#N/A</v>
      </c>
    </row>
    <row r="36" spans="1:9">
      <c r="A36" s="715" t="s">
        <v>1545</v>
      </c>
      <c r="B36" s="539">
        <v>652100</v>
      </c>
      <c r="C36" s="539">
        <v>7341</v>
      </c>
      <c r="D36" s="691" t="str">
        <f>VLOOKUP(C36,'경상연구개발비(확정)'!$F$13:$H$94,3,0)</f>
        <v>기타</v>
      </c>
      <c r="G36" s="719"/>
      <c r="H36" s="719"/>
      <c r="I36" s="691" t="e">
        <f t="shared" si="0"/>
        <v>#N/A</v>
      </c>
    </row>
    <row r="37" spans="1:9">
      <c r="A37" s="715" t="s">
        <v>1546</v>
      </c>
      <c r="B37" s="539">
        <v>652160</v>
      </c>
      <c r="C37" s="539">
        <v>7341</v>
      </c>
      <c r="D37" s="691" t="str">
        <f>VLOOKUP(C37,'경상연구개발비(확정)'!$F$13:$H$94,3,0)</f>
        <v>기타</v>
      </c>
      <c r="G37" s="719"/>
      <c r="H37" s="719"/>
      <c r="I37" s="691" t="e">
        <f t="shared" si="0"/>
        <v>#N/A</v>
      </c>
    </row>
    <row r="38" spans="1:9">
      <c r="A38" s="715"/>
      <c r="B38" s="539">
        <v>648100</v>
      </c>
      <c r="C38" s="539">
        <v>7062</v>
      </c>
      <c r="D38" s="691" t="str">
        <f>VLOOKUP(C38,'경상연구개발비(확정)'!$F$13:$H$94,3,0)</f>
        <v>기타</v>
      </c>
      <c r="G38" s="719"/>
      <c r="H38" s="719"/>
      <c r="I38" s="691" t="e">
        <f t="shared" si="0"/>
        <v>#N/A</v>
      </c>
    </row>
    <row r="39" spans="1:9">
      <c r="A39" s="715" t="s">
        <v>1547</v>
      </c>
      <c r="B39" s="539">
        <v>648200</v>
      </c>
      <c r="C39" s="539">
        <v>7062</v>
      </c>
      <c r="D39" s="691" t="str">
        <f>VLOOKUP(C39,'경상연구개발비(확정)'!$F$13:$H$94,3,0)</f>
        <v>기타</v>
      </c>
      <c r="G39" s="719"/>
      <c r="H39" s="719"/>
      <c r="I39" s="691" t="e">
        <f t="shared" si="0"/>
        <v>#N/A</v>
      </c>
    </row>
    <row r="40" spans="1:9">
      <c r="A40" s="715"/>
      <c r="B40" s="539">
        <v>648500</v>
      </c>
      <c r="C40" s="539">
        <v>7062</v>
      </c>
      <c r="D40" s="691" t="str">
        <f>VLOOKUP(C40,'경상연구개발비(확정)'!$F$13:$H$94,3,0)</f>
        <v>기타</v>
      </c>
      <c r="G40" s="719"/>
      <c r="H40" s="719"/>
      <c r="I40" s="691" t="e">
        <f t="shared" si="0"/>
        <v>#N/A</v>
      </c>
    </row>
    <row r="41" spans="1:9">
      <c r="A41" s="715"/>
      <c r="B41" s="539">
        <v>648300</v>
      </c>
      <c r="C41" s="539">
        <v>7061</v>
      </c>
      <c r="D41" s="691" t="str">
        <f>VLOOKUP(C41,'경상연구개발비(확정)'!$F$13:$H$94,3,0)</f>
        <v>기타</v>
      </c>
      <c r="G41" s="719"/>
      <c r="H41" s="719"/>
      <c r="I41" s="691" t="e">
        <f t="shared" si="0"/>
        <v>#N/A</v>
      </c>
    </row>
    <row r="42" spans="1:9">
      <c r="A42" s="715" t="s">
        <v>1548</v>
      </c>
      <c r="B42" s="539">
        <v>648110</v>
      </c>
      <c r="C42" s="539">
        <v>7062</v>
      </c>
      <c r="D42" s="691" t="str">
        <f>VLOOKUP(C42,'경상연구개발비(확정)'!$F$13:$H$94,3,0)</f>
        <v>기타</v>
      </c>
      <c r="G42" s="719"/>
      <c r="H42" s="719"/>
      <c r="I42" s="691" t="e">
        <f t="shared" si="0"/>
        <v>#N/A</v>
      </c>
    </row>
    <row r="43" spans="1:9">
      <c r="A43" s="715" t="s">
        <v>1549</v>
      </c>
      <c r="B43" s="539">
        <v>642200</v>
      </c>
      <c r="C43" s="539">
        <v>7181</v>
      </c>
      <c r="D43" s="691" t="str">
        <f>VLOOKUP(C43,'경상연구개발비(확정)'!$F$13:$H$94,3,0)</f>
        <v>기타</v>
      </c>
      <c r="G43" s="719"/>
      <c r="H43" s="719"/>
      <c r="I43" s="691" t="e">
        <f t="shared" si="0"/>
        <v>#N/A</v>
      </c>
    </row>
    <row r="44" spans="1:9">
      <c r="A44" s="715" t="s">
        <v>1550</v>
      </c>
      <c r="B44" s="539">
        <v>655100</v>
      </c>
      <c r="C44" s="539">
        <v>7439</v>
      </c>
      <c r="D44" s="691" t="str">
        <f>VLOOKUP(C44,'경상연구개발비(확정)'!$F$13:$H$94,3,0)</f>
        <v>기타</v>
      </c>
      <c r="G44" s="719"/>
      <c r="H44" s="719"/>
      <c r="I44" s="691" t="e">
        <f t="shared" si="0"/>
        <v>#N/A</v>
      </c>
    </row>
    <row r="46" spans="1:9" s="691" customFormat="1"/>
    <row r="47" spans="1:9" s="716" customFormat="1">
      <c r="A47" s="717" t="s">
        <v>1551</v>
      </c>
    </row>
    <row r="49" spans="1:4">
      <c r="A49" s="545" t="s">
        <v>1280</v>
      </c>
      <c r="B49" s="545" t="s">
        <v>1281</v>
      </c>
      <c r="C49" s="546" t="s">
        <v>1282</v>
      </c>
      <c r="D49" s="718"/>
    </row>
    <row r="50" spans="1:4">
      <c r="A50" s="543">
        <v>7268</v>
      </c>
      <c r="B50" s="718"/>
      <c r="C50" s="547" t="s">
        <v>1250</v>
      </c>
      <c r="D50" s="718"/>
    </row>
    <row r="51" spans="1:4">
      <c r="A51" s="543">
        <v>7134</v>
      </c>
      <c r="B51" s="718"/>
      <c r="C51" s="546" t="s">
        <v>560</v>
      </c>
      <c r="D51" s="718"/>
    </row>
    <row r="52" spans="1:4">
      <c r="A52" s="543">
        <v>7138</v>
      </c>
      <c r="B52" s="718"/>
      <c r="C52" s="547" t="s">
        <v>1259</v>
      </c>
      <c r="D52" s="718"/>
    </row>
    <row r="53" spans="1:4">
      <c r="A53" s="543">
        <v>7161</v>
      </c>
      <c r="B53" s="718"/>
      <c r="C53" s="546" t="s">
        <v>1262</v>
      </c>
      <c r="D53" s="718"/>
    </row>
    <row r="54" spans="1:4">
      <c r="A54" s="543">
        <v>7021</v>
      </c>
      <c r="B54" s="718"/>
      <c r="C54" s="543"/>
      <c r="D54" s="543"/>
    </row>
    <row r="55" spans="1:4">
      <c r="A55" s="543">
        <v>7022</v>
      </c>
      <c r="B55" s="718"/>
      <c r="C55" s="543"/>
      <c r="D55" s="543"/>
    </row>
    <row r="56" spans="1:4">
      <c r="A56" s="543">
        <v>7031</v>
      </c>
      <c r="B56" s="718"/>
      <c r="C56" s="543"/>
      <c r="D56" s="543"/>
    </row>
    <row r="57" spans="1:4">
      <c r="A57" s="543">
        <v>7023</v>
      </c>
      <c r="B57" s="718"/>
      <c r="C57" s="543"/>
      <c r="D57" s="543"/>
    </row>
    <row r="58" spans="1:4">
      <c r="A58" s="543">
        <v>7263</v>
      </c>
      <c r="B58" s="718"/>
      <c r="C58" s="543"/>
      <c r="D58" s="543"/>
    </row>
    <row r="59" spans="1:4">
      <c r="A59" s="543">
        <v>7059</v>
      </c>
      <c r="B59" s="718"/>
      <c r="C59" s="543"/>
      <c r="D59" s="543"/>
    </row>
    <row r="60" spans="1:4">
      <c r="A60" s="543">
        <v>7051</v>
      </c>
      <c r="B60" s="718"/>
      <c r="C60" s="543"/>
      <c r="D60" s="543"/>
    </row>
    <row r="61" spans="1:4">
      <c r="A61" s="543">
        <v>7056</v>
      </c>
      <c r="B61" s="718"/>
      <c r="C61" s="543"/>
      <c r="D61" s="543"/>
    </row>
    <row r="62" spans="1:4">
      <c r="A62" s="543">
        <v>7055</v>
      </c>
      <c r="B62" s="718"/>
      <c r="C62" s="543"/>
      <c r="D62" s="543"/>
    </row>
    <row r="63" spans="1:4">
      <c r="A63" s="543">
        <v>7439</v>
      </c>
      <c r="B63" s="718"/>
      <c r="C63" s="543"/>
      <c r="D63" s="543"/>
    </row>
    <row r="64" spans="1:4">
      <c r="A64" s="543">
        <v>7071</v>
      </c>
      <c r="B64" s="718"/>
      <c r="C64" s="543"/>
      <c r="D64" s="543"/>
    </row>
    <row r="65" spans="1:4">
      <c r="A65" s="543">
        <v>7181</v>
      </c>
      <c r="B65" s="718"/>
      <c r="C65" s="543"/>
      <c r="D65" s="543"/>
    </row>
    <row r="66" spans="1:4">
      <c r="A66" s="543">
        <v>7102</v>
      </c>
      <c r="B66" s="718"/>
      <c r="C66" s="543"/>
      <c r="D66" s="543"/>
    </row>
    <row r="67" spans="1:4">
      <c r="A67" s="543">
        <v>7103</v>
      </c>
      <c r="B67" s="718"/>
      <c r="C67" s="543"/>
      <c r="D67" s="543"/>
    </row>
    <row r="68" spans="1:4">
      <c r="A68" s="543">
        <v>7359</v>
      </c>
      <c r="B68" s="718"/>
      <c r="C68" s="543"/>
      <c r="D68" s="543"/>
    </row>
    <row r="69" spans="1:4">
      <c r="A69" s="543">
        <v>7341</v>
      </c>
      <c r="B69" s="718"/>
      <c r="C69" s="543"/>
      <c r="D69" s="543"/>
    </row>
    <row r="70" spans="1:4">
      <c r="A70" s="543">
        <v>7062</v>
      </c>
      <c r="B70" s="718"/>
      <c r="C70" s="543"/>
      <c r="D70" s="543"/>
    </row>
    <row r="71" spans="1:4">
      <c r="A71" s="543">
        <v>7252</v>
      </c>
      <c r="B71" s="718"/>
      <c r="C71" s="543"/>
      <c r="D71" s="543"/>
    </row>
    <row r="72" spans="1:4">
      <c r="A72" s="631">
        <v>7233</v>
      </c>
      <c r="B72" s="718"/>
      <c r="C72" s="633" t="s">
        <v>1364</v>
      </c>
      <c r="D72" s="543"/>
    </row>
    <row r="73" spans="1:4">
      <c r="A73" s="543">
        <v>7061</v>
      </c>
      <c r="B73" s="718"/>
      <c r="C73" s="543"/>
      <c r="D73" s="543"/>
    </row>
    <row r="74" spans="1:4">
      <c r="A74" s="543">
        <v>7231</v>
      </c>
      <c r="B74" s="718"/>
      <c r="C74" s="691"/>
      <c r="D74" s="69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79998168889431442"/>
  </sheetPr>
  <dimension ref="A1:AI281"/>
  <sheetViews>
    <sheetView showGridLines="0" zoomScale="70" zoomScaleNormal="70" workbookViewId="0">
      <pane xSplit="8" ySplit="4" topLeftCell="V144" activePane="bottomRight" state="frozen"/>
      <selection activeCell="E155" sqref="E155"/>
      <selection pane="topRight" activeCell="E155" sqref="E155"/>
      <selection pane="bottomLeft" activeCell="E155" sqref="E155"/>
      <selection pane="bottomRight" activeCell="AB103" sqref="AB103"/>
    </sheetView>
  </sheetViews>
  <sheetFormatPr defaultRowHeight="16.5" outlineLevelCol="1"/>
  <cols>
    <col min="1" max="1" width="4.125" style="23" customWidth="1"/>
    <col min="2" max="3" width="9" customWidth="1"/>
    <col min="4" max="4" width="9" style="402" customWidth="1"/>
    <col min="5" max="5" width="23.25" customWidth="1"/>
    <col min="6" max="6" width="27.75" bestFit="1" customWidth="1"/>
    <col min="7" max="7" width="18.375" style="16" customWidth="1" outlineLevel="1"/>
    <col min="8" max="8" width="19.25" style="16" customWidth="1" outlineLevel="1"/>
    <col min="9" max="9" width="17.125" style="16" customWidth="1"/>
    <col min="10" max="10" width="18.25" style="16" customWidth="1" outlineLevel="1"/>
    <col min="11" max="11" width="19" style="16" customWidth="1" outlineLevel="1"/>
    <col min="12" max="15" width="20.75" style="28" customWidth="1" outlineLevel="1"/>
    <col min="16" max="16" width="20.75" style="28" customWidth="1"/>
    <col min="17" max="18" width="20.75" style="28" hidden="1" customWidth="1"/>
    <col min="19" max="19" width="21.375" style="16" hidden="1" customWidth="1"/>
    <col min="20" max="26" width="21.375" style="16" customWidth="1"/>
    <col min="27" max="29" width="21.375" style="16" customWidth="1" outlineLevel="1"/>
    <col min="30" max="30" width="21.375" style="16" customWidth="1"/>
    <col min="31" max="31" width="22.125" style="16" customWidth="1"/>
    <col min="32" max="32" width="20.5" style="16" customWidth="1"/>
    <col min="33" max="33" width="18.375" customWidth="1"/>
    <col min="35" max="35" width="13.625" bestFit="1" customWidth="1"/>
    <col min="38" max="38" width="14.25" bestFit="1" customWidth="1"/>
  </cols>
  <sheetData>
    <row r="1" spans="2:35" ht="36" customHeight="1" thickBot="1">
      <c r="G1" s="229" t="s">
        <v>939</v>
      </c>
      <c r="H1" s="230" t="s">
        <v>940</v>
      </c>
      <c r="I1" s="228"/>
      <c r="J1" s="231" t="s">
        <v>941</v>
      </c>
      <c r="K1" s="232" t="s">
        <v>942</v>
      </c>
      <c r="L1" s="228"/>
      <c r="M1" s="231" t="s">
        <v>943</v>
      </c>
      <c r="N1" s="228"/>
      <c r="O1" s="231" t="s">
        <v>1086</v>
      </c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74"/>
      <c r="AF1" s="223"/>
    </row>
    <row r="2" spans="2:35" ht="16.5" customHeight="1">
      <c r="B2" s="12" t="s">
        <v>274</v>
      </c>
      <c r="C2" s="13" t="s">
        <v>277</v>
      </c>
      <c r="D2" s="762" t="s">
        <v>729</v>
      </c>
      <c r="E2" s="764" t="s">
        <v>278</v>
      </c>
      <c r="F2" s="764" t="s">
        <v>279</v>
      </c>
      <c r="G2" s="183">
        <v>43373</v>
      </c>
      <c r="H2" s="203" t="s">
        <v>839</v>
      </c>
      <c r="I2" s="200">
        <v>43465</v>
      </c>
      <c r="J2" s="211">
        <v>43555</v>
      </c>
      <c r="K2" s="214">
        <v>43646</v>
      </c>
      <c r="L2" s="225">
        <v>43646</v>
      </c>
      <c r="M2" s="235">
        <v>43738</v>
      </c>
      <c r="N2" s="235">
        <v>43738</v>
      </c>
      <c r="O2" s="225">
        <v>43830</v>
      </c>
      <c r="P2" s="399">
        <v>43830</v>
      </c>
      <c r="Q2" s="425">
        <v>43921</v>
      </c>
      <c r="R2" s="486">
        <v>44012</v>
      </c>
      <c r="S2" s="486">
        <v>44104</v>
      </c>
      <c r="T2" s="561">
        <v>44196</v>
      </c>
      <c r="U2" s="575">
        <v>44286</v>
      </c>
      <c r="V2" s="604">
        <v>44377</v>
      </c>
      <c r="W2" s="612">
        <v>44469</v>
      </c>
      <c r="X2" s="713">
        <v>44561</v>
      </c>
      <c r="Y2" s="725">
        <v>44651</v>
      </c>
      <c r="Z2" s="744">
        <v>44742</v>
      </c>
      <c r="AA2" s="612">
        <v>44834</v>
      </c>
      <c r="AB2" s="766" t="s">
        <v>481</v>
      </c>
      <c r="AC2" s="767"/>
      <c r="AD2" s="612">
        <f>AA2</f>
        <v>44834</v>
      </c>
      <c r="AE2" s="760" t="s">
        <v>841</v>
      </c>
      <c r="AF2" s="760" t="s">
        <v>842</v>
      </c>
    </row>
    <row r="3" spans="2:35" ht="17.25" customHeight="1" thickBot="1">
      <c r="B3" s="14" t="s">
        <v>280</v>
      </c>
      <c r="C3" s="15" t="s">
        <v>281</v>
      </c>
      <c r="D3" s="763"/>
      <c r="E3" s="765"/>
      <c r="F3" s="765"/>
      <c r="G3" s="185" t="s">
        <v>931</v>
      </c>
      <c r="H3" s="204" t="s">
        <v>840</v>
      </c>
      <c r="I3" s="202" t="s">
        <v>937</v>
      </c>
      <c r="J3" s="213" t="s">
        <v>938</v>
      </c>
      <c r="K3" s="215" t="s">
        <v>936</v>
      </c>
      <c r="L3" s="227" t="s">
        <v>874</v>
      </c>
      <c r="M3" s="259" t="s">
        <v>840</v>
      </c>
      <c r="N3" s="259" t="s">
        <v>874</v>
      </c>
      <c r="O3" s="227" t="s">
        <v>936</v>
      </c>
      <c r="P3" s="400" t="s">
        <v>874</v>
      </c>
      <c r="Q3" s="427" t="s">
        <v>1136</v>
      </c>
      <c r="R3" s="487" t="s">
        <v>1136</v>
      </c>
      <c r="S3" s="400" t="s">
        <v>474</v>
      </c>
      <c r="T3" s="562" t="s">
        <v>874</v>
      </c>
      <c r="U3" s="576" t="s">
        <v>874</v>
      </c>
      <c r="V3" s="605" t="s">
        <v>874</v>
      </c>
      <c r="W3" s="613" t="s">
        <v>874</v>
      </c>
      <c r="X3" s="714" t="s">
        <v>1557</v>
      </c>
      <c r="Y3" s="726" t="s">
        <v>874</v>
      </c>
      <c r="Z3" s="745" t="s">
        <v>474</v>
      </c>
      <c r="AA3" s="562" t="s">
        <v>474</v>
      </c>
      <c r="AB3" s="515" t="s">
        <v>482</v>
      </c>
      <c r="AC3" s="515" t="s">
        <v>483</v>
      </c>
      <c r="AD3" s="562" t="s">
        <v>874</v>
      </c>
      <c r="AE3" s="761"/>
      <c r="AF3" s="761"/>
    </row>
    <row r="4" spans="2:35" ht="17.25" thickBot="1">
      <c r="B4" s="44" t="s">
        <v>275</v>
      </c>
      <c r="C4" s="45">
        <v>500</v>
      </c>
      <c r="D4" s="403"/>
      <c r="E4" s="46" t="s">
        <v>336</v>
      </c>
      <c r="F4" s="46"/>
      <c r="G4" s="47">
        <f>G5+G7+G12+G15</f>
        <v>51711587723</v>
      </c>
      <c r="H4" s="47">
        <f>I4-G4</f>
        <v>176288545988</v>
      </c>
      <c r="I4" s="47">
        <v>228000133711</v>
      </c>
      <c r="J4" s="47">
        <v>156944536061</v>
      </c>
      <c r="K4" s="47">
        <f>L4-J4</f>
        <v>145810239318</v>
      </c>
      <c r="L4" s="47">
        <v>302754775379</v>
      </c>
      <c r="M4" s="47">
        <f>N4-L4</f>
        <v>140507888139</v>
      </c>
      <c r="N4" s="47">
        <v>443262663518</v>
      </c>
      <c r="O4" s="47">
        <f t="shared" ref="O4:O35" si="0">S4-N4</f>
        <v>-49929734514</v>
      </c>
      <c r="P4" s="47">
        <v>530488787303</v>
      </c>
      <c r="Q4" s="47">
        <v>129305428998</v>
      </c>
      <c r="R4" s="47">
        <f>IFERROR(VLOOKUP(C4,[6]IS_WTB!C$2:U$259,19,),)</f>
        <v>257588503887</v>
      </c>
      <c r="S4" s="52">
        <v>393332929004</v>
      </c>
      <c r="T4" s="47">
        <v>545555728382</v>
      </c>
      <c r="U4" s="47">
        <v>131303600703</v>
      </c>
      <c r="V4" s="47">
        <v>264241607047</v>
      </c>
      <c r="W4" s="47">
        <v>391826444668</v>
      </c>
      <c r="X4" s="47">
        <v>561432979798</v>
      </c>
      <c r="Y4" s="47">
        <v>139980192230</v>
      </c>
      <c r="Z4" s="47">
        <v>281739262207</v>
      </c>
      <c r="AA4" s="47">
        <f>AA5+AA7+AA12+AA15</f>
        <v>471643378426</v>
      </c>
      <c r="AB4" s="47">
        <v>0</v>
      </c>
      <c r="AC4" s="47">
        <v>0</v>
      </c>
      <c r="AD4" s="48">
        <f t="shared" ref="AD4:AD25" si="1">AA4-AB4+AC4</f>
        <v>471643378426</v>
      </c>
      <c r="AE4" s="48">
        <f t="shared" ref="AE4:AE37" si="2">AD4-Q4</f>
        <v>342337949428</v>
      </c>
      <c r="AF4" s="207">
        <f t="shared" ref="AF4:AF37" si="3">IFERROR(AE4/T4,"")</f>
        <v>0.62750317083701079</v>
      </c>
      <c r="AG4" s="17"/>
    </row>
    <row r="5" spans="2:35">
      <c r="B5" s="55" t="s">
        <v>276</v>
      </c>
      <c r="C5" s="56">
        <v>5090</v>
      </c>
      <c r="D5" s="56"/>
      <c r="E5" s="57" t="s">
        <v>111</v>
      </c>
      <c r="F5" s="57"/>
      <c r="G5" s="59">
        <f>SUM(G6)</f>
        <v>1231284968</v>
      </c>
      <c r="H5" s="59">
        <f t="shared" ref="H5:H73" si="4">I5-G5</f>
        <v>4025713047</v>
      </c>
      <c r="I5" s="59">
        <v>5256998015</v>
      </c>
      <c r="J5" s="59">
        <v>2828640676</v>
      </c>
      <c r="K5" s="59">
        <f t="shared" ref="K5:K73" si="5">L5-J5</f>
        <v>2279213683</v>
      </c>
      <c r="L5" s="59">
        <v>5107854359</v>
      </c>
      <c r="M5" s="59">
        <f t="shared" ref="M5:M72" si="6">N5-L5</f>
        <v>2488639024</v>
      </c>
      <c r="N5" s="59">
        <v>7596493383</v>
      </c>
      <c r="O5" s="59">
        <f t="shared" si="0"/>
        <v>4100360112</v>
      </c>
      <c r="P5" s="59">
        <v>12152721779</v>
      </c>
      <c r="Q5" s="59">
        <v>4634387900</v>
      </c>
      <c r="R5" s="59">
        <f>IFERROR(VLOOKUP(C5,[6]IS_WTB!C$2:U$259,19,),)</f>
        <v>7835155523</v>
      </c>
      <c r="S5" s="59">
        <v>11696853495</v>
      </c>
      <c r="T5" s="58">
        <v>18558944049</v>
      </c>
      <c r="U5" s="58">
        <v>4010992416</v>
      </c>
      <c r="V5" s="58">
        <v>7879061056</v>
      </c>
      <c r="W5" s="58">
        <v>12718687326</v>
      </c>
      <c r="X5" s="58">
        <v>23973154722</v>
      </c>
      <c r="Y5" s="58">
        <v>7214950487</v>
      </c>
      <c r="Z5" s="58">
        <v>13994232849</v>
      </c>
      <c r="AA5" s="58">
        <f>SUM(AA6)</f>
        <v>21547527367</v>
      </c>
      <c r="AB5" s="59"/>
      <c r="AC5" s="59"/>
      <c r="AD5" s="63">
        <f t="shared" si="1"/>
        <v>21547527367</v>
      </c>
      <c r="AE5" s="63">
        <f t="shared" si="2"/>
        <v>16913139467</v>
      </c>
      <c r="AF5" s="60">
        <f t="shared" si="3"/>
        <v>0.9113201388152965</v>
      </c>
    </row>
    <row r="6" spans="2:35">
      <c r="B6" s="1" t="s">
        <v>284</v>
      </c>
      <c r="C6" s="2">
        <v>599100</v>
      </c>
      <c r="D6" s="401">
        <v>5249</v>
      </c>
      <c r="E6" s="3" t="s">
        <v>110</v>
      </c>
      <c r="F6" s="3" t="s">
        <v>337</v>
      </c>
      <c r="G6" s="21">
        <v>1231284968</v>
      </c>
      <c r="H6" s="21">
        <f t="shared" si="4"/>
        <v>4025713047</v>
      </c>
      <c r="I6" s="21">
        <v>5256998015</v>
      </c>
      <c r="J6" s="21">
        <v>2828640676</v>
      </c>
      <c r="K6" s="21">
        <f t="shared" si="5"/>
        <v>2279213683</v>
      </c>
      <c r="L6" s="21">
        <v>5107854359</v>
      </c>
      <c r="M6" s="21">
        <f t="shared" si="6"/>
        <v>2488639024</v>
      </c>
      <c r="N6" s="21">
        <v>7596493383</v>
      </c>
      <c r="O6" s="21">
        <f t="shared" si="0"/>
        <v>4100360112</v>
      </c>
      <c r="P6" s="21">
        <v>12152721779</v>
      </c>
      <c r="Q6" s="21">
        <v>4634387900</v>
      </c>
      <c r="R6" s="21">
        <f>IFERROR(VLOOKUP(C6,[6]IS_WTB!C$2:U$259,19,),)</f>
        <v>7835155523</v>
      </c>
      <c r="S6" s="21">
        <v>11696853495</v>
      </c>
      <c r="T6" s="30">
        <v>18558944049</v>
      </c>
      <c r="U6" s="30">
        <v>4010992416</v>
      </c>
      <c r="V6" s="30">
        <v>7879061056</v>
      </c>
      <c r="W6" s="30">
        <v>12718687326</v>
      </c>
      <c r="X6" s="30">
        <v>23973154722</v>
      </c>
      <c r="Y6" s="30">
        <v>7214950487</v>
      </c>
      <c r="Z6" s="30">
        <v>13994232849</v>
      </c>
      <c r="AA6" s="30">
        <f>-IFERROR(VLOOKUP(C6,'전사시산표(3단계)_1013'!$C:$L,10,0),0)</f>
        <v>21547527367</v>
      </c>
      <c r="AB6" s="21">
        <v>0</v>
      </c>
      <c r="AC6" s="21">
        <v>0</v>
      </c>
      <c r="AD6" s="35">
        <f t="shared" si="1"/>
        <v>21547527367</v>
      </c>
      <c r="AE6" s="35">
        <f t="shared" si="2"/>
        <v>16913139467</v>
      </c>
      <c r="AF6" s="38">
        <f t="shared" si="3"/>
        <v>0.9113201388152965</v>
      </c>
    </row>
    <row r="7" spans="2:35">
      <c r="B7" s="64" t="s">
        <v>276</v>
      </c>
      <c r="C7" s="65">
        <v>5350</v>
      </c>
      <c r="D7" s="65"/>
      <c r="E7" s="66" t="s">
        <v>461</v>
      </c>
      <c r="F7" s="66"/>
      <c r="G7" s="61">
        <f>SUM(G8:G11)</f>
        <v>47637552615</v>
      </c>
      <c r="H7" s="61">
        <f t="shared" si="4"/>
        <v>161587906859</v>
      </c>
      <c r="I7" s="61">
        <v>209225459474</v>
      </c>
      <c r="J7" s="61">
        <v>142700679460</v>
      </c>
      <c r="K7" s="61">
        <f t="shared" si="5"/>
        <v>133513230454</v>
      </c>
      <c r="L7" s="61">
        <v>276213909914</v>
      </c>
      <c r="M7" s="61">
        <f t="shared" si="6"/>
        <v>126883302855</v>
      </c>
      <c r="N7" s="61">
        <v>403097212769</v>
      </c>
      <c r="O7" s="61">
        <f t="shared" si="0"/>
        <v>-58398454496</v>
      </c>
      <c r="P7" s="61">
        <v>475588759629</v>
      </c>
      <c r="Q7" s="61">
        <v>110931367815</v>
      </c>
      <c r="R7" s="61">
        <f>IFERROR(VLOOKUP(C7,[6]IS_WTB!C$2:U$259,19,),)</f>
        <v>224650745071</v>
      </c>
      <c r="S7" s="61">
        <v>344698758273</v>
      </c>
      <c r="T7" s="520">
        <v>477380410940</v>
      </c>
      <c r="U7" s="520">
        <v>112489723457</v>
      </c>
      <c r="V7" s="520">
        <v>227309094384</v>
      </c>
      <c r="W7" s="520">
        <v>336544669254</v>
      </c>
      <c r="X7" s="520">
        <v>480667250826</v>
      </c>
      <c r="Y7" s="520">
        <v>120057327479</v>
      </c>
      <c r="Z7" s="520">
        <v>241432863214</v>
      </c>
      <c r="AA7" s="520">
        <f>SUM(AA8:AA11)</f>
        <v>410996795215</v>
      </c>
      <c r="AB7" s="61">
        <v>0</v>
      </c>
      <c r="AC7" s="61">
        <v>0</v>
      </c>
      <c r="AD7" s="67">
        <f t="shared" si="1"/>
        <v>410996795215</v>
      </c>
      <c r="AE7" s="67">
        <f t="shared" si="2"/>
        <v>300065427400</v>
      </c>
      <c r="AF7" s="62">
        <f t="shared" si="3"/>
        <v>0.62856669549793065</v>
      </c>
    </row>
    <row r="8" spans="2:35">
      <c r="B8" s="1" t="s">
        <v>284</v>
      </c>
      <c r="C8" s="2">
        <v>521020</v>
      </c>
      <c r="D8" s="401">
        <v>5244</v>
      </c>
      <c r="E8" s="3" t="s">
        <v>109</v>
      </c>
      <c r="F8" s="3" t="s">
        <v>337</v>
      </c>
      <c r="G8" s="21">
        <v>17680265828</v>
      </c>
      <c r="H8" s="21">
        <f t="shared" si="4"/>
        <v>59988575649</v>
      </c>
      <c r="I8" s="21">
        <v>77668841477</v>
      </c>
      <c r="J8" s="21">
        <v>51058200386</v>
      </c>
      <c r="K8" s="21">
        <f t="shared" si="5"/>
        <v>53182809563</v>
      </c>
      <c r="L8" s="21">
        <v>104241009949</v>
      </c>
      <c r="M8" s="21">
        <f t="shared" si="6"/>
        <v>54083949795</v>
      </c>
      <c r="N8" s="21">
        <v>158324959744</v>
      </c>
      <c r="O8" s="21">
        <f t="shared" si="0"/>
        <v>4103597519</v>
      </c>
      <c r="P8" s="21">
        <v>215435387064</v>
      </c>
      <c r="Q8" s="21">
        <v>52886540207</v>
      </c>
      <c r="R8" s="21">
        <f>IFERROR(VLOOKUP(C8,[6]IS_WTB!C$2:U$259,19,),)</f>
        <v>106085673972</v>
      </c>
      <c r="S8" s="21">
        <v>162428557263</v>
      </c>
      <c r="T8" s="30">
        <v>227249637432</v>
      </c>
      <c r="U8" s="30">
        <v>59911615462</v>
      </c>
      <c r="V8" s="30">
        <v>122744930816</v>
      </c>
      <c r="W8" s="30">
        <v>184323043769</v>
      </c>
      <c r="X8" s="30">
        <v>251278084168</v>
      </c>
      <c r="Y8" s="30">
        <v>56706196230</v>
      </c>
      <c r="Z8" s="30">
        <v>112289397962</v>
      </c>
      <c r="AA8" s="30">
        <f>-IFERROR(VLOOKUP(C8,'전사시산표(3단계)_1013'!$C:$L,10,0),0)</f>
        <v>167625911350</v>
      </c>
      <c r="AB8" s="21">
        <v>0</v>
      </c>
      <c r="AC8" s="21">
        <v>0</v>
      </c>
      <c r="AD8" s="35">
        <f t="shared" si="1"/>
        <v>167625911350</v>
      </c>
      <c r="AE8" s="35">
        <f t="shared" si="2"/>
        <v>114739371143</v>
      </c>
      <c r="AF8" s="38">
        <f t="shared" si="3"/>
        <v>0.50490452895588667</v>
      </c>
    </row>
    <row r="9" spans="2:35">
      <c r="B9" s="1" t="s">
        <v>284</v>
      </c>
      <c r="C9" s="2">
        <v>521030</v>
      </c>
      <c r="D9" s="401">
        <v>5244</v>
      </c>
      <c r="E9" s="3" t="s">
        <v>463</v>
      </c>
      <c r="F9" s="3" t="s">
        <v>337</v>
      </c>
      <c r="G9" s="21">
        <v>81732223</v>
      </c>
      <c r="H9" s="21">
        <f t="shared" si="4"/>
        <v>428763622</v>
      </c>
      <c r="I9" s="21">
        <v>510495845</v>
      </c>
      <c r="J9" s="21">
        <v>295391148</v>
      </c>
      <c r="K9" s="21">
        <f t="shared" si="5"/>
        <v>324304755</v>
      </c>
      <c r="L9" s="21">
        <v>619695903</v>
      </c>
      <c r="M9" s="21">
        <f t="shared" si="6"/>
        <v>332784866</v>
      </c>
      <c r="N9" s="21">
        <v>952480769</v>
      </c>
      <c r="O9" s="21">
        <f t="shared" si="0"/>
        <v>-478771535</v>
      </c>
      <c r="P9" s="21">
        <v>1320214863</v>
      </c>
      <c r="Q9" s="21">
        <v>281173523</v>
      </c>
      <c r="R9" s="21">
        <f>IFERROR(VLOOKUP(C9,[6]IS_WTB!C$2:U$259,19,),)</f>
        <v>379636685</v>
      </c>
      <c r="S9" s="21">
        <v>473709234</v>
      </c>
      <c r="T9" s="30">
        <v>960514089</v>
      </c>
      <c r="U9" s="30">
        <v>137523114</v>
      </c>
      <c r="V9" s="30">
        <v>334232514</v>
      </c>
      <c r="W9" s="30">
        <v>498008348</v>
      </c>
      <c r="X9" s="30">
        <v>694188425</v>
      </c>
      <c r="Y9" s="30">
        <v>148311035</v>
      </c>
      <c r="Z9" s="30">
        <v>300720334</v>
      </c>
      <c r="AA9" s="30">
        <f>-IFERROR(VLOOKUP(C9,'전사시산표(3단계)_1013'!$C:$L,10,0),0)</f>
        <v>435107699</v>
      </c>
      <c r="AB9" s="21">
        <v>0</v>
      </c>
      <c r="AC9" s="21">
        <v>0</v>
      </c>
      <c r="AD9" s="35">
        <f t="shared" si="1"/>
        <v>435107699</v>
      </c>
      <c r="AE9" s="35">
        <f t="shared" si="2"/>
        <v>153934176</v>
      </c>
      <c r="AF9" s="38">
        <f t="shared" si="3"/>
        <v>0.16026227804764662</v>
      </c>
      <c r="AG9" s="187"/>
    </row>
    <row r="10" spans="2:35">
      <c r="B10" s="1" t="s">
        <v>284</v>
      </c>
      <c r="C10" s="2">
        <v>523110</v>
      </c>
      <c r="D10" s="401">
        <v>5244</v>
      </c>
      <c r="E10" s="3" t="s">
        <v>108</v>
      </c>
      <c r="F10" s="3" t="s">
        <v>337</v>
      </c>
      <c r="G10" s="21">
        <v>3227013236</v>
      </c>
      <c r="H10" s="21">
        <f t="shared" si="4"/>
        <v>9163778507</v>
      </c>
      <c r="I10" s="21">
        <v>12390791743</v>
      </c>
      <c r="J10" s="21">
        <v>5958786207</v>
      </c>
      <c r="K10" s="21">
        <f t="shared" si="5"/>
        <v>2549287165</v>
      </c>
      <c r="L10" s="21">
        <v>8508073372</v>
      </c>
      <c r="M10" s="21">
        <f t="shared" si="6"/>
        <v>1436237849</v>
      </c>
      <c r="N10" s="21">
        <v>9944311221</v>
      </c>
      <c r="O10" s="21">
        <f t="shared" si="0"/>
        <v>-4149391949</v>
      </c>
      <c r="P10" s="21">
        <v>11556118890</v>
      </c>
      <c r="Q10" s="21">
        <v>1813510731</v>
      </c>
      <c r="R10" s="21">
        <f>IFERROR(VLOOKUP(C10,[6]IS_WTB!C$2:U$259,19,),)</f>
        <v>3757003627</v>
      </c>
      <c r="S10" s="21">
        <v>5794919272</v>
      </c>
      <c r="T10" s="30">
        <v>7359433794</v>
      </c>
      <c r="U10" s="30">
        <v>1300861238</v>
      </c>
      <c r="V10" s="30">
        <v>2954475581</v>
      </c>
      <c r="W10" s="30">
        <v>6006809998</v>
      </c>
      <c r="X10" s="30">
        <v>13725172500</v>
      </c>
      <c r="Y10" s="30">
        <v>15349369199</v>
      </c>
      <c r="Z10" s="30">
        <v>36475170640</v>
      </c>
      <c r="AA10" s="30">
        <f>-IFERROR(VLOOKUP(C10,'전사시산표(3단계)_1013'!$C:$L,10,0),0)</f>
        <v>107954442134</v>
      </c>
      <c r="AB10" s="21">
        <v>0</v>
      </c>
      <c r="AC10" s="21">
        <v>0</v>
      </c>
      <c r="AD10" s="35">
        <f t="shared" si="1"/>
        <v>107954442134</v>
      </c>
      <c r="AE10" s="35">
        <f t="shared" si="2"/>
        <v>106140931403</v>
      </c>
      <c r="AF10" s="38">
        <f t="shared" si="3"/>
        <v>14.422431721518386</v>
      </c>
      <c r="AI10" s="187"/>
    </row>
    <row r="11" spans="2:35">
      <c r="B11" s="1" t="s">
        <v>284</v>
      </c>
      <c r="C11" s="2">
        <v>528100</v>
      </c>
      <c r="D11" s="401">
        <v>5244</v>
      </c>
      <c r="E11" s="3" t="s">
        <v>107</v>
      </c>
      <c r="F11" s="3" t="s">
        <v>337</v>
      </c>
      <c r="G11" s="21">
        <v>26648541328</v>
      </c>
      <c r="H11" s="21">
        <f t="shared" si="4"/>
        <v>92006789081</v>
      </c>
      <c r="I11" s="21">
        <v>118655330409</v>
      </c>
      <c r="J11" s="21">
        <v>85388301719</v>
      </c>
      <c r="K11" s="21">
        <f t="shared" si="5"/>
        <v>77456828971</v>
      </c>
      <c r="L11" s="21">
        <v>162845130690</v>
      </c>
      <c r="M11" s="21">
        <f t="shared" si="6"/>
        <v>71030330345</v>
      </c>
      <c r="N11" s="21">
        <v>233875461035</v>
      </c>
      <c r="O11" s="21">
        <f t="shared" si="0"/>
        <v>-57873888531</v>
      </c>
      <c r="P11" s="21">
        <v>247277038812</v>
      </c>
      <c r="Q11" s="21">
        <v>55950143354</v>
      </c>
      <c r="R11" s="21">
        <f>IFERROR(VLOOKUP(C11,[6]IS_WTB!C$2:U$259,19,),)</f>
        <v>114428430787</v>
      </c>
      <c r="S11" s="21">
        <v>176001572504</v>
      </c>
      <c r="T11" s="30">
        <v>241810825625</v>
      </c>
      <c r="U11" s="30">
        <v>51139723643</v>
      </c>
      <c r="V11" s="30">
        <v>101275455473</v>
      </c>
      <c r="W11" s="30">
        <v>145716807139</v>
      </c>
      <c r="X11" s="30">
        <v>214969805733</v>
      </c>
      <c r="Y11" s="30">
        <v>47853451015</v>
      </c>
      <c r="Z11" s="30">
        <v>92367574278</v>
      </c>
      <c r="AA11" s="30">
        <f>-IFERROR(VLOOKUP(C11,'전사시산표(3단계)_1013'!$C:$L,10,0),0)</f>
        <v>134981334032</v>
      </c>
      <c r="AB11" s="21">
        <v>0</v>
      </c>
      <c r="AC11" s="21">
        <v>0</v>
      </c>
      <c r="AD11" s="35">
        <f t="shared" si="1"/>
        <v>134981334032</v>
      </c>
      <c r="AE11" s="35">
        <f t="shared" si="2"/>
        <v>79031190678</v>
      </c>
      <c r="AF11" s="38">
        <f t="shared" si="3"/>
        <v>0.32683065563227304</v>
      </c>
    </row>
    <row r="12" spans="2:35">
      <c r="B12" s="64" t="s">
        <v>276</v>
      </c>
      <c r="C12" s="65">
        <v>5370</v>
      </c>
      <c r="D12" s="65"/>
      <c r="E12" s="66" t="s">
        <v>460</v>
      </c>
      <c r="F12" s="66"/>
      <c r="G12" s="61">
        <f>SUM(G13:G14)</f>
        <v>936141982</v>
      </c>
      <c r="H12" s="61">
        <f t="shared" si="4"/>
        <v>3912988635</v>
      </c>
      <c r="I12" s="61">
        <v>4849130617</v>
      </c>
      <c r="J12" s="61">
        <v>4270842949</v>
      </c>
      <c r="K12" s="61">
        <f t="shared" si="5"/>
        <v>4452851789</v>
      </c>
      <c r="L12" s="61">
        <v>8723694738</v>
      </c>
      <c r="M12" s="61">
        <f t="shared" si="6"/>
        <v>3922630797</v>
      </c>
      <c r="N12" s="61">
        <v>12646325535</v>
      </c>
      <c r="O12" s="61">
        <f t="shared" si="0"/>
        <v>-1888044119</v>
      </c>
      <c r="P12" s="61">
        <v>16566372036</v>
      </c>
      <c r="Q12" s="61">
        <v>3915904069</v>
      </c>
      <c r="R12" s="61">
        <f>IFERROR(VLOOKUP(C12,[6]IS_WTB!C$2:U$259,19,),)</f>
        <v>7760552362</v>
      </c>
      <c r="S12" s="61">
        <v>10758281416</v>
      </c>
      <c r="T12" s="520">
        <v>14190763527</v>
      </c>
      <c r="U12" s="520">
        <v>3095009184</v>
      </c>
      <c r="V12" s="520">
        <v>6771558368</v>
      </c>
      <c r="W12" s="520">
        <v>9636194383</v>
      </c>
      <c r="X12" s="520">
        <v>12388636322</v>
      </c>
      <c r="Y12" s="520">
        <v>2768235919</v>
      </c>
      <c r="Z12" s="520">
        <v>6532487491</v>
      </c>
      <c r="AA12" s="520">
        <f>SUM(AA13:AA14)</f>
        <v>9546032181</v>
      </c>
      <c r="AB12" s="61">
        <v>0</v>
      </c>
      <c r="AC12" s="61">
        <v>0</v>
      </c>
      <c r="AD12" s="67">
        <f t="shared" si="1"/>
        <v>9546032181</v>
      </c>
      <c r="AE12" s="67">
        <f t="shared" si="2"/>
        <v>5630128112</v>
      </c>
      <c r="AF12" s="62">
        <f t="shared" si="3"/>
        <v>0.39674596094056946</v>
      </c>
    </row>
    <row r="13" spans="2:35">
      <c r="B13" s="1" t="s">
        <v>284</v>
      </c>
      <c r="C13" s="2">
        <v>510201</v>
      </c>
      <c r="D13" s="401">
        <v>5244</v>
      </c>
      <c r="E13" s="3" t="s">
        <v>252</v>
      </c>
      <c r="F13" s="3" t="s">
        <v>337</v>
      </c>
      <c r="G13" s="21">
        <v>911320052</v>
      </c>
      <c r="H13" s="21">
        <f t="shared" si="4"/>
        <v>3253096583</v>
      </c>
      <c r="I13" s="21">
        <v>4164416635</v>
      </c>
      <c r="J13" s="21">
        <v>3858681512</v>
      </c>
      <c r="K13" s="21">
        <f t="shared" si="5"/>
        <v>3836648422</v>
      </c>
      <c r="L13" s="21">
        <v>7695329934</v>
      </c>
      <c r="M13" s="21">
        <f t="shared" si="6"/>
        <v>3395063450</v>
      </c>
      <c r="N13" s="21">
        <v>11090393384</v>
      </c>
      <c r="O13" s="21">
        <f t="shared" si="0"/>
        <v>-1612249370</v>
      </c>
      <c r="P13" s="21">
        <v>14317268269</v>
      </c>
      <c r="Q13" s="21">
        <v>3393362427</v>
      </c>
      <c r="R13" s="21">
        <f>IFERROR(VLOOKUP(C13,[6]IS_WTB!C$2:U$259,19,),)</f>
        <v>6966104526</v>
      </c>
      <c r="S13" s="21">
        <v>9478144014</v>
      </c>
      <c r="T13" s="30">
        <v>11987584750</v>
      </c>
      <c r="U13" s="30">
        <v>2480678688</v>
      </c>
      <c r="V13" s="30">
        <v>5572753987</v>
      </c>
      <c r="W13" s="30">
        <v>8245068528</v>
      </c>
      <c r="X13" s="30">
        <v>10790977565</v>
      </c>
      <c r="Y13" s="30">
        <v>2499970522</v>
      </c>
      <c r="Z13" s="30">
        <v>6119822675</v>
      </c>
      <c r="AA13" s="30">
        <f>-IFERROR(VLOOKUP(C13,'전사시산표(3단계)_1013'!$C:$L,10,0),0)</f>
        <v>8846502136</v>
      </c>
      <c r="AB13" s="21">
        <v>0</v>
      </c>
      <c r="AC13" s="21">
        <v>0</v>
      </c>
      <c r="AD13" s="35">
        <f t="shared" si="1"/>
        <v>8846502136</v>
      </c>
      <c r="AE13" s="35">
        <f t="shared" si="2"/>
        <v>5453139709</v>
      </c>
      <c r="AF13" s="38">
        <f t="shared" si="3"/>
        <v>0.45489894943182779</v>
      </c>
    </row>
    <row r="14" spans="2:35">
      <c r="B14" s="1" t="s">
        <v>284</v>
      </c>
      <c r="C14" s="2">
        <v>510202</v>
      </c>
      <c r="D14" s="401">
        <v>5244</v>
      </c>
      <c r="E14" s="3" t="s">
        <v>251</v>
      </c>
      <c r="F14" s="3" t="s">
        <v>337</v>
      </c>
      <c r="G14" s="21">
        <v>24821930</v>
      </c>
      <c r="H14" s="21">
        <f t="shared" si="4"/>
        <v>659892052</v>
      </c>
      <c r="I14" s="21">
        <v>684713982</v>
      </c>
      <c r="J14" s="21">
        <v>412161437</v>
      </c>
      <c r="K14" s="21">
        <f t="shared" si="5"/>
        <v>616203367</v>
      </c>
      <c r="L14" s="21">
        <v>1028364804</v>
      </c>
      <c r="M14" s="21">
        <f t="shared" si="6"/>
        <v>527567347</v>
      </c>
      <c r="N14" s="21">
        <v>1555932151</v>
      </c>
      <c r="O14" s="21">
        <f t="shared" si="0"/>
        <v>-275794749</v>
      </c>
      <c r="P14" s="21">
        <v>2249103767</v>
      </c>
      <c r="Q14" s="21">
        <v>522541642</v>
      </c>
      <c r="R14" s="21">
        <f>IFERROR(VLOOKUP(C14,[6]IS_WTB!C$2:U$259,19,),)</f>
        <v>794447836</v>
      </c>
      <c r="S14" s="21">
        <v>1280137402</v>
      </c>
      <c r="T14" s="30">
        <v>2203178777</v>
      </c>
      <c r="U14" s="30">
        <v>614330496</v>
      </c>
      <c r="V14" s="30">
        <v>1198804381</v>
      </c>
      <c r="W14" s="30">
        <v>1391125855</v>
      </c>
      <c r="X14" s="30">
        <v>1597658757</v>
      </c>
      <c r="Y14" s="30">
        <v>268265397</v>
      </c>
      <c r="Z14" s="30">
        <v>412664816</v>
      </c>
      <c r="AA14" s="30">
        <f>-IFERROR(VLOOKUP(C14,'전사시산표(3단계)_1013'!$C:$L,10,0),0)</f>
        <v>699530045</v>
      </c>
      <c r="AB14" s="21">
        <v>0</v>
      </c>
      <c r="AC14" s="21">
        <v>0</v>
      </c>
      <c r="AD14" s="35">
        <f t="shared" si="1"/>
        <v>699530045</v>
      </c>
      <c r="AE14" s="35">
        <f t="shared" si="2"/>
        <v>176988403</v>
      </c>
      <c r="AF14" s="38">
        <f t="shared" si="3"/>
        <v>8.0333200758678155E-2</v>
      </c>
    </row>
    <row r="15" spans="2:35">
      <c r="B15" s="64" t="s">
        <v>276</v>
      </c>
      <c r="C15" s="65">
        <v>5585</v>
      </c>
      <c r="D15" s="65"/>
      <c r="E15" s="66" t="s">
        <v>462</v>
      </c>
      <c r="F15" s="66"/>
      <c r="G15" s="61">
        <f>SUM(G16:G25)</f>
        <v>1906608158</v>
      </c>
      <c r="H15" s="61">
        <f t="shared" si="4"/>
        <v>6761937447</v>
      </c>
      <c r="I15" s="61">
        <v>8668545605</v>
      </c>
      <c r="J15" s="61">
        <v>7144372976</v>
      </c>
      <c r="K15" s="61">
        <f t="shared" si="5"/>
        <v>5564943392</v>
      </c>
      <c r="L15" s="61">
        <v>12709316368</v>
      </c>
      <c r="M15" s="61">
        <f t="shared" si="6"/>
        <v>7213315463</v>
      </c>
      <c r="N15" s="61">
        <v>19922631831</v>
      </c>
      <c r="O15" s="61">
        <f t="shared" si="0"/>
        <v>6256403989</v>
      </c>
      <c r="P15" s="61">
        <v>26180933859</v>
      </c>
      <c r="Q15" s="61">
        <v>9823769214</v>
      </c>
      <c r="R15" s="61">
        <f>IFERROR(VLOOKUP(C15,[6]IS_WTB!C$2:U$259,19,),)</f>
        <v>17342050931</v>
      </c>
      <c r="S15" s="61">
        <v>26179035820</v>
      </c>
      <c r="T15" s="520">
        <v>35425609866</v>
      </c>
      <c r="U15" s="520">
        <v>11707875646</v>
      </c>
      <c r="V15" s="520">
        <v>22281893239</v>
      </c>
      <c r="W15" s="520">
        <v>32926893705</v>
      </c>
      <c r="X15" s="520">
        <v>44403937928</v>
      </c>
      <c r="Y15" s="520">
        <v>9939678345</v>
      </c>
      <c r="Z15" s="520">
        <v>19779678653</v>
      </c>
      <c r="AA15" s="520">
        <f>SUM(AA16:AA25)</f>
        <v>29553023663</v>
      </c>
      <c r="AB15" s="61">
        <v>0</v>
      </c>
      <c r="AC15" s="61">
        <v>0</v>
      </c>
      <c r="AD15" s="67">
        <f t="shared" si="1"/>
        <v>29553023663</v>
      </c>
      <c r="AE15" s="67">
        <f t="shared" si="2"/>
        <v>19729254449</v>
      </c>
      <c r="AF15" s="62">
        <f t="shared" si="3"/>
        <v>0.55692067189887118</v>
      </c>
    </row>
    <row r="16" spans="2:35">
      <c r="B16" s="1" t="s">
        <v>284</v>
      </c>
      <c r="C16" s="2">
        <v>558740</v>
      </c>
      <c r="D16" s="401">
        <v>5244</v>
      </c>
      <c r="E16" s="3" t="s">
        <v>105</v>
      </c>
      <c r="F16" s="3" t="s">
        <v>337</v>
      </c>
      <c r="G16" s="21">
        <v>7748279</v>
      </c>
      <c r="H16" s="21">
        <f t="shared" si="4"/>
        <v>32222720</v>
      </c>
      <c r="I16" s="21">
        <v>39970999</v>
      </c>
      <c r="J16" s="21">
        <v>56822342</v>
      </c>
      <c r="K16" s="21">
        <f t="shared" si="5"/>
        <v>51482189</v>
      </c>
      <c r="L16" s="21">
        <v>108304531</v>
      </c>
      <c r="M16" s="21">
        <f t="shared" si="6"/>
        <v>33457302</v>
      </c>
      <c r="N16" s="21">
        <v>141761833</v>
      </c>
      <c r="O16" s="21">
        <f t="shared" si="0"/>
        <v>40431492</v>
      </c>
      <c r="P16" s="21">
        <v>207621150</v>
      </c>
      <c r="Q16" s="21">
        <v>59514084</v>
      </c>
      <c r="R16" s="21">
        <f>IFERROR(VLOOKUP(C16,[6]IS_WTB!C$2:U$259,19,),)</f>
        <v>106036912</v>
      </c>
      <c r="S16" s="21">
        <v>182193325</v>
      </c>
      <c r="T16" s="30">
        <v>227330802</v>
      </c>
      <c r="U16" s="30">
        <v>47639968</v>
      </c>
      <c r="V16" s="30">
        <v>73932363</v>
      </c>
      <c r="W16" s="30">
        <v>119179688</v>
      </c>
      <c r="X16" s="30">
        <v>166578102</v>
      </c>
      <c r="Y16" s="30">
        <v>-583259</v>
      </c>
      <c r="Z16" s="30">
        <v>841795</v>
      </c>
      <c r="AA16" s="30">
        <f>-IFERROR(VLOOKUP(C16,'전사시산표(3단계)_1013'!$C:$L,10,0),0)</f>
        <v>3136591</v>
      </c>
      <c r="AB16" s="21">
        <v>0</v>
      </c>
      <c r="AC16" s="21">
        <v>0</v>
      </c>
      <c r="AD16" s="35">
        <f t="shared" si="1"/>
        <v>3136591</v>
      </c>
      <c r="AE16" s="35">
        <f t="shared" si="2"/>
        <v>-56377493</v>
      </c>
      <c r="AF16" s="38">
        <f t="shared" si="3"/>
        <v>-0.24799759867120866</v>
      </c>
    </row>
    <row r="17" spans="2:32">
      <c r="B17" s="1" t="s">
        <v>284</v>
      </c>
      <c r="C17" s="2">
        <v>558750</v>
      </c>
      <c r="D17" s="401">
        <v>5244</v>
      </c>
      <c r="E17" s="3" t="s">
        <v>104</v>
      </c>
      <c r="F17" s="3" t="s">
        <v>337</v>
      </c>
      <c r="G17" s="21">
        <v>128717608</v>
      </c>
      <c r="H17" s="21">
        <f t="shared" si="4"/>
        <v>455466546</v>
      </c>
      <c r="I17" s="21">
        <v>584184154</v>
      </c>
      <c r="J17" s="21">
        <v>417408327</v>
      </c>
      <c r="K17" s="21">
        <f t="shared" si="5"/>
        <v>345375684</v>
      </c>
      <c r="L17" s="21">
        <v>762784011</v>
      </c>
      <c r="M17" s="21">
        <f t="shared" si="6"/>
        <v>223339128</v>
      </c>
      <c r="N17" s="21">
        <v>986123139</v>
      </c>
      <c r="O17" s="21">
        <f t="shared" si="0"/>
        <v>-398877781</v>
      </c>
      <c r="P17" s="21">
        <v>1249001757</v>
      </c>
      <c r="Q17" s="21">
        <v>212498781</v>
      </c>
      <c r="R17" s="21">
        <f>IFERROR(VLOOKUP(C17,[6]IS_WTB!C$2:U$259,19,),)</f>
        <v>407641673</v>
      </c>
      <c r="S17" s="21">
        <v>587245358</v>
      </c>
      <c r="T17" s="30">
        <v>794832164</v>
      </c>
      <c r="U17" s="30">
        <v>215625544</v>
      </c>
      <c r="V17" s="30">
        <v>440516949</v>
      </c>
      <c r="W17" s="30">
        <v>642606114</v>
      </c>
      <c r="X17" s="30">
        <v>864761904</v>
      </c>
      <c r="Y17" s="30">
        <v>200657275</v>
      </c>
      <c r="Z17" s="30">
        <v>378709985</v>
      </c>
      <c r="AA17" s="30">
        <f>-IFERROR(VLOOKUP(C17,'전사시산표(3단계)_1013'!$C:$L,10,0),0)</f>
        <v>542260508</v>
      </c>
      <c r="AB17" s="21">
        <v>0</v>
      </c>
      <c r="AC17" s="21">
        <v>0</v>
      </c>
      <c r="AD17" s="35">
        <f t="shared" si="1"/>
        <v>542260508</v>
      </c>
      <c r="AE17" s="35">
        <f t="shared" si="2"/>
        <v>329761727</v>
      </c>
      <c r="AF17" s="38">
        <f t="shared" si="3"/>
        <v>0.41488221279379428</v>
      </c>
    </row>
    <row r="18" spans="2:32">
      <c r="B18" s="1" t="s">
        <v>284</v>
      </c>
      <c r="C18" s="2">
        <v>558760</v>
      </c>
      <c r="D18" s="401">
        <v>5244</v>
      </c>
      <c r="E18" s="3" t="s">
        <v>103</v>
      </c>
      <c r="F18" s="3" t="s">
        <v>337</v>
      </c>
      <c r="G18" s="21">
        <v>603759551</v>
      </c>
      <c r="H18" s="21">
        <f t="shared" si="4"/>
        <v>2204160413</v>
      </c>
      <c r="I18" s="21">
        <v>2807919964</v>
      </c>
      <c r="J18" s="21">
        <v>2766251102</v>
      </c>
      <c r="K18" s="21">
        <f t="shared" si="5"/>
        <v>2287438454</v>
      </c>
      <c r="L18" s="21">
        <v>5053689556</v>
      </c>
      <c r="M18" s="21">
        <f t="shared" si="6"/>
        <v>3681755412</v>
      </c>
      <c r="N18" s="21">
        <v>8735444968</v>
      </c>
      <c r="O18" s="21">
        <f t="shared" si="0"/>
        <v>7318317558</v>
      </c>
      <c r="P18" s="21">
        <v>11304670476</v>
      </c>
      <c r="Q18" s="21">
        <v>6190099761</v>
      </c>
      <c r="R18" s="21">
        <f>IFERROR(VLOOKUP(C18,[6]IS_WTB!C$2:U$259,19,),)</f>
        <v>10552853075</v>
      </c>
      <c r="S18" s="21">
        <v>16053762526</v>
      </c>
      <c r="T18" s="30">
        <v>21087029814</v>
      </c>
      <c r="U18" s="30">
        <v>6837148634</v>
      </c>
      <c r="V18" s="30">
        <v>12958396798</v>
      </c>
      <c r="W18" s="30">
        <v>18861186631</v>
      </c>
      <c r="X18" s="30">
        <v>25189854115</v>
      </c>
      <c r="Y18" s="30">
        <v>4898532967</v>
      </c>
      <c r="Z18" s="30">
        <v>10133139970</v>
      </c>
      <c r="AA18" s="30">
        <f>-IFERROR(VLOOKUP(C18,'전사시산표(3단계)_1013'!$C:$L,10,0),0)</f>
        <v>14863177092</v>
      </c>
      <c r="AB18" s="21">
        <v>0</v>
      </c>
      <c r="AC18" s="21">
        <v>0</v>
      </c>
      <c r="AD18" s="35">
        <f t="shared" si="1"/>
        <v>14863177092</v>
      </c>
      <c r="AE18" s="35">
        <f t="shared" si="2"/>
        <v>8673077331</v>
      </c>
      <c r="AF18" s="38">
        <f t="shared" si="3"/>
        <v>0.41129914490099556</v>
      </c>
    </row>
    <row r="19" spans="2:32">
      <c r="B19" s="1" t="s">
        <v>284</v>
      </c>
      <c r="C19" s="2">
        <v>558950</v>
      </c>
      <c r="D19" s="401">
        <v>5244</v>
      </c>
      <c r="E19" s="3" t="s">
        <v>249</v>
      </c>
      <c r="F19" s="3" t="s">
        <v>337</v>
      </c>
      <c r="G19" s="21">
        <v>487690854</v>
      </c>
      <c r="H19" s="21">
        <f t="shared" si="4"/>
        <v>1563937603</v>
      </c>
      <c r="I19" s="21">
        <v>2051628457</v>
      </c>
      <c r="J19" s="21">
        <v>1697648486</v>
      </c>
      <c r="K19" s="21">
        <f t="shared" si="5"/>
        <v>1146141300</v>
      </c>
      <c r="L19" s="21">
        <v>2843789786</v>
      </c>
      <c r="M19" s="21">
        <f t="shared" si="6"/>
        <v>1296856870</v>
      </c>
      <c r="N19" s="21">
        <v>4140646656</v>
      </c>
      <c r="O19" s="21">
        <f t="shared" si="0"/>
        <v>-63264143</v>
      </c>
      <c r="P19" s="21">
        <v>5707348593</v>
      </c>
      <c r="Q19" s="21">
        <v>1688665266</v>
      </c>
      <c r="R19" s="21">
        <f>IFERROR(VLOOKUP(C19,[6]IS_WTB!C$2:U$259,19,),)</f>
        <v>2772808220</v>
      </c>
      <c r="S19" s="21">
        <v>4077382513</v>
      </c>
      <c r="T19" s="30">
        <v>5685982393</v>
      </c>
      <c r="U19" s="30">
        <v>1988610593</v>
      </c>
      <c r="V19" s="30">
        <v>3321668667</v>
      </c>
      <c r="W19" s="30">
        <v>4891733557</v>
      </c>
      <c r="X19" s="30">
        <v>6861747828</v>
      </c>
      <c r="Y19" s="30">
        <v>2100475317</v>
      </c>
      <c r="Z19" s="30">
        <v>3731004401</v>
      </c>
      <c r="AA19" s="30">
        <f>-IFERROR(VLOOKUP(C19,'전사시산표(3단계)_1013'!$C:$L,10,0),0)</f>
        <v>5610410605</v>
      </c>
      <c r="AB19" s="21">
        <v>0</v>
      </c>
      <c r="AC19" s="21">
        <v>0</v>
      </c>
      <c r="AD19" s="35">
        <f t="shared" si="1"/>
        <v>5610410605</v>
      </c>
      <c r="AE19" s="35">
        <f t="shared" si="2"/>
        <v>3921745339</v>
      </c>
      <c r="AF19" s="38">
        <f t="shared" si="3"/>
        <v>0.68972168183778615</v>
      </c>
    </row>
    <row r="20" spans="2:32">
      <c r="B20" s="1" t="s">
        <v>284</v>
      </c>
      <c r="C20" s="2">
        <v>558960</v>
      </c>
      <c r="D20" s="401">
        <v>5244</v>
      </c>
      <c r="E20" s="3" t="s">
        <v>248</v>
      </c>
      <c r="F20" s="3" t="s">
        <v>337</v>
      </c>
      <c r="G20" s="21">
        <v>503526875</v>
      </c>
      <c r="H20" s="21">
        <f t="shared" si="4"/>
        <v>1633910705</v>
      </c>
      <c r="I20" s="21">
        <v>2137437580</v>
      </c>
      <c r="J20" s="21">
        <v>1466868904</v>
      </c>
      <c r="K20" s="21">
        <f t="shared" si="5"/>
        <v>1235185769</v>
      </c>
      <c r="L20" s="21">
        <v>2702054673</v>
      </c>
      <c r="M20" s="21">
        <f t="shared" si="6"/>
        <v>1578908120</v>
      </c>
      <c r="N20" s="21">
        <v>4280962793</v>
      </c>
      <c r="O20" s="21">
        <f t="shared" si="0"/>
        <v>-631799721</v>
      </c>
      <c r="P20" s="21">
        <v>5634709054</v>
      </c>
      <c r="Q20" s="21">
        <v>1172478845</v>
      </c>
      <c r="R20" s="21">
        <f>IFERROR(VLOOKUP(C20,[6]IS_WTB!C$2:U$259,19,),)</f>
        <v>2369545894</v>
      </c>
      <c r="S20" s="21">
        <v>3649163072</v>
      </c>
      <c r="T20" s="30">
        <v>5419599800</v>
      </c>
      <c r="U20" s="30">
        <v>1958855497</v>
      </c>
      <c r="V20" s="30">
        <v>3739738341</v>
      </c>
      <c r="W20" s="30">
        <v>5708649374</v>
      </c>
      <c r="X20" s="30">
        <v>7943768509</v>
      </c>
      <c r="Y20" s="30">
        <v>2271365955</v>
      </c>
      <c r="Z20" s="30">
        <v>4670467993</v>
      </c>
      <c r="AA20" s="30">
        <f>-IFERROR(VLOOKUP(C20,'전사시산표(3단계)_1013'!$C:$L,10,0),0)</f>
        <v>7344637261</v>
      </c>
      <c r="AB20" s="21">
        <v>0</v>
      </c>
      <c r="AC20" s="21">
        <v>0</v>
      </c>
      <c r="AD20" s="35">
        <f t="shared" si="1"/>
        <v>7344637261</v>
      </c>
      <c r="AE20" s="35">
        <f t="shared" si="2"/>
        <v>6172158416</v>
      </c>
      <c r="AF20" s="38">
        <f t="shared" si="3"/>
        <v>1.1388587061354605</v>
      </c>
    </row>
    <row r="21" spans="2:32">
      <c r="B21" s="1" t="s">
        <v>284</v>
      </c>
      <c r="C21" s="2">
        <v>558970</v>
      </c>
      <c r="D21" s="401">
        <v>5244</v>
      </c>
      <c r="E21" s="3" t="s">
        <v>247</v>
      </c>
      <c r="F21" s="3" t="s">
        <v>337</v>
      </c>
      <c r="G21" s="21">
        <v>5969600</v>
      </c>
      <c r="H21" s="21">
        <f t="shared" si="4"/>
        <v>17406700</v>
      </c>
      <c r="I21" s="21">
        <v>23376300</v>
      </c>
      <c r="J21" s="21">
        <v>0</v>
      </c>
      <c r="K21" s="21">
        <f t="shared" si="5"/>
        <v>0</v>
      </c>
      <c r="L21" s="21">
        <v>0</v>
      </c>
      <c r="M21" s="21">
        <f t="shared" si="6"/>
        <v>0</v>
      </c>
      <c r="N21" s="21">
        <v>0</v>
      </c>
      <c r="O21" s="21">
        <f t="shared" si="0"/>
        <v>0</v>
      </c>
      <c r="P21" s="21">
        <v>0</v>
      </c>
      <c r="Q21" s="21">
        <v>0</v>
      </c>
      <c r="R21" s="21">
        <f>IFERROR(VLOOKUP(C21,[6]IS_WTB!C$2:U$259,19,),)</f>
        <v>0</v>
      </c>
      <c r="S21" s="21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f>-IFERROR(VLOOKUP(C21,'전사시산표(3단계)_1013'!$C:$L,10,0),0)</f>
        <v>0</v>
      </c>
      <c r="AB21" s="21">
        <v>0</v>
      </c>
      <c r="AC21" s="21">
        <v>0</v>
      </c>
      <c r="AD21" s="35">
        <f t="shared" si="1"/>
        <v>0</v>
      </c>
      <c r="AE21" s="35">
        <f t="shared" si="2"/>
        <v>0</v>
      </c>
      <c r="AF21" s="38" t="str">
        <f t="shared" si="3"/>
        <v/>
      </c>
    </row>
    <row r="22" spans="2:32">
      <c r="B22" s="1" t="s">
        <v>284</v>
      </c>
      <c r="C22" s="2">
        <v>558990</v>
      </c>
      <c r="D22" s="401">
        <v>5244</v>
      </c>
      <c r="E22" s="3" t="s">
        <v>246</v>
      </c>
      <c r="F22" s="3" t="s">
        <v>337</v>
      </c>
      <c r="G22" s="21">
        <v>2727300</v>
      </c>
      <c r="H22" s="21">
        <f t="shared" si="4"/>
        <v>9390900</v>
      </c>
      <c r="I22" s="21">
        <v>12118200</v>
      </c>
      <c r="J22" s="21">
        <v>0</v>
      </c>
      <c r="K22" s="21">
        <f t="shared" si="5"/>
        <v>0</v>
      </c>
      <c r="L22" s="21">
        <v>0</v>
      </c>
      <c r="M22" s="21">
        <f t="shared" si="6"/>
        <v>0</v>
      </c>
      <c r="N22" s="21">
        <v>0</v>
      </c>
      <c r="O22" s="21">
        <f t="shared" si="0"/>
        <v>0</v>
      </c>
      <c r="P22" s="21">
        <v>0</v>
      </c>
      <c r="Q22" s="21">
        <v>0</v>
      </c>
      <c r="R22" s="21">
        <f>IFERROR(VLOOKUP(C22,[6]IS_WTB!C$2:U$259,19,),)</f>
        <v>0</v>
      </c>
      <c r="S22" s="21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f>-IFERROR(VLOOKUP(C22,'전사시산표(3단계)_1013'!$C:$L,10,0),0)</f>
        <v>0</v>
      </c>
      <c r="AB22" s="21">
        <v>0</v>
      </c>
      <c r="AC22" s="21">
        <v>0</v>
      </c>
      <c r="AD22" s="35">
        <f t="shared" si="1"/>
        <v>0</v>
      </c>
      <c r="AE22" s="35">
        <f t="shared" si="2"/>
        <v>0</v>
      </c>
      <c r="AF22" s="38" t="str">
        <f t="shared" si="3"/>
        <v/>
      </c>
    </row>
    <row r="23" spans="2:32">
      <c r="B23" s="1" t="s">
        <v>284</v>
      </c>
      <c r="C23" s="2">
        <v>558850</v>
      </c>
      <c r="D23" s="401">
        <v>5244</v>
      </c>
      <c r="E23" s="3" t="s">
        <v>102</v>
      </c>
      <c r="F23" s="3" t="s">
        <v>337</v>
      </c>
      <c r="G23" s="21">
        <v>320068460</v>
      </c>
      <c r="H23" s="21">
        <f t="shared" si="4"/>
        <v>2738180669</v>
      </c>
      <c r="I23" s="21">
        <v>3058249129</v>
      </c>
      <c r="J23" s="21">
        <v>1546393137</v>
      </c>
      <c r="K23" s="21">
        <f t="shared" si="5"/>
        <v>1522429933</v>
      </c>
      <c r="L23" s="21">
        <v>3068823070</v>
      </c>
      <c r="M23" s="21">
        <f t="shared" si="6"/>
        <v>1379007360</v>
      </c>
      <c r="N23" s="21">
        <v>4447830430</v>
      </c>
      <c r="O23" s="21">
        <f t="shared" si="0"/>
        <v>18589275518</v>
      </c>
      <c r="P23" s="21">
        <v>13095221961</v>
      </c>
      <c r="Q23" s="21">
        <v>9067267415</v>
      </c>
      <c r="R23" s="21">
        <f>IFERROR(VLOOKUP(C23,[6]IS_WTB!C$2:U$259,19,),)</f>
        <v>15154893305</v>
      </c>
      <c r="S23" s="21">
        <v>23037105948</v>
      </c>
      <c r="T23" s="30">
        <v>43151966371</v>
      </c>
      <c r="U23" s="30">
        <v>7027997107</v>
      </c>
      <c r="V23" s="30">
        <v>12812601673</v>
      </c>
      <c r="W23" s="30">
        <v>22180149419</v>
      </c>
      <c r="X23" s="30">
        <v>36300304027</v>
      </c>
      <c r="Y23" s="30">
        <v>9675674737</v>
      </c>
      <c r="Z23" s="30">
        <v>15895835375</v>
      </c>
      <c r="AA23" s="30">
        <f>-IFERROR(VLOOKUP(C23,'전사시산표(3단계)_1013'!$C:$L,10,0),0)</f>
        <v>23716763075</v>
      </c>
      <c r="AB23" s="21">
        <v>0</v>
      </c>
      <c r="AC23" s="21">
        <v>0</v>
      </c>
      <c r="AD23" s="35">
        <f t="shared" si="1"/>
        <v>23716763075</v>
      </c>
      <c r="AE23" s="35">
        <f t="shared" si="2"/>
        <v>14649495660</v>
      </c>
      <c r="AF23" s="38">
        <f t="shared" si="3"/>
        <v>0.33948616695820144</v>
      </c>
    </row>
    <row r="24" spans="2:32">
      <c r="B24" s="1" t="s">
        <v>284</v>
      </c>
      <c r="C24" s="2">
        <v>558860</v>
      </c>
      <c r="D24" s="401">
        <v>5244</v>
      </c>
      <c r="E24" s="3" t="s">
        <v>101</v>
      </c>
      <c r="F24" s="3" t="s">
        <v>337</v>
      </c>
      <c r="G24" s="21">
        <v>-271360643</v>
      </c>
      <c r="H24" s="21">
        <f t="shared" si="4"/>
        <v>-2495019218</v>
      </c>
      <c r="I24" s="21">
        <v>-2766379861</v>
      </c>
      <c r="J24" s="21">
        <v>-1380269326</v>
      </c>
      <c r="K24" s="21">
        <f t="shared" si="5"/>
        <v>-1373747437</v>
      </c>
      <c r="L24" s="21">
        <v>-2754016763</v>
      </c>
      <c r="M24" s="21">
        <f t="shared" si="6"/>
        <v>-1255503664</v>
      </c>
      <c r="N24" s="21">
        <v>-4009520427</v>
      </c>
      <c r="O24" s="21">
        <f t="shared" si="0"/>
        <v>-18856186718</v>
      </c>
      <c r="P24" s="21">
        <v>-12516013765</v>
      </c>
      <c r="Q24" s="21">
        <v>-8948781588</v>
      </c>
      <c r="R24" s="21">
        <f>IFERROR(VLOOKUP(C24,[6]IS_WTB!C$2:U$259,19,),)</f>
        <v>-14993400821</v>
      </c>
      <c r="S24" s="21">
        <v>-22865707145</v>
      </c>
      <c r="T24" s="30">
        <v>-42952076445</v>
      </c>
      <c r="U24" s="30">
        <v>-7014506300</v>
      </c>
      <c r="V24" s="30">
        <v>-12782383227</v>
      </c>
      <c r="W24" s="30">
        <v>-22132027973</v>
      </c>
      <c r="X24" s="30">
        <v>-36236116782</v>
      </c>
      <c r="Y24" s="30">
        <v>-9653182036</v>
      </c>
      <c r="Z24" s="30">
        <v>-15856340273</v>
      </c>
      <c r="AA24" s="30">
        <f>-IFERROR(VLOOKUP(C24,'전사시산표(3단계)_1013'!$C:$L,10,0),0)</f>
        <v>-23663417673</v>
      </c>
      <c r="AB24" s="21">
        <v>0</v>
      </c>
      <c r="AC24" s="21">
        <v>0</v>
      </c>
      <c r="AD24" s="35">
        <f t="shared" si="1"/>
        <v>-23663417673</v>
      </c>
      <c r="AE24" s="35">
        <f t="shared" si="2"/>
        <v>-14714636085</v>
      </c>
      <c r="AF24" s="38">
        <f t="shared" si="3"/>
        <v>0.34258264798541338</v>
      </c>
    </row>
    <row r="25" spans="2:32" ht="17.25" thickBot="1">
      <c r="B25" s="9" t="s">
        <v>284</v>
      </c>
      <c r="C25" s="34">
        <v>558880</v>
      </c>
      <c r="D25" s="405">
        <v>5244</v>
      </c>
      <c r="E25" s="33" t="s">
        <v>100</v>
      </c>
      <c r="F25" s="33" t="s">
        <v>337</v>
      </c>
      <c r="G25" s="36">
        <v>117760274</v>
      </c>
      <c r="H25" s="36">
        <f t="shared" si="4"/>
        <v>602280409</v>
      </c>
      <c r="I25" s="36">
        <v>720040683</v>
      </c>
      <c r="J25" s="36">
        <v>573250004</v>
      </c>
      <c r="K25" s="36">
        <f t="shared" si="5"/>
        <v>350637500</v>
      </c>
      <c r="L25" s="36">
        <v>923887504</v>
      </c>
      <c r="M25" s="36">
        <f t="shared" si="6"/>
        <v>275494935</v>
      </c>
      <c r="N25" s="36">
        <v>1199382439</v>
      </c>
      <c r="O25" s="36">
        <f t="shared" si="0"/>
        <v>258507784</v>
      </c>
      <c r="P25" s="36">
        <v>1498374633</v>
      </c>
      <c r="Q25" s="36">
        <v>382026650</v>
      </c>
      <c r="R25" s="36">
        <f>IFERROR(VLOOKUP(C25,[6]IS_WTB!C$2:U$259,19,),)</f>
        <v>971672673</v>
      </c>
      <c r="S25" s="36">
        <v>1457890223</v>
      </c>
      <c r="T25" s="39">
        <v>2010944967</v>
      </c>
      <c r="U25" s="39">
        <v>646504603</v>
      </c>
      <c r="V25" s="39">
        <v>1717421675</v>
      </c>
      <c r="W25" s="39">
        <v>2655416895</v>
      </c>
      <c r="X25" s="39">
        <v>3313040225</v>
      </c>
      <c r="Y25" s="39">
        <v>446737389</v>
      </c>
      <c r="Z25" s="39">
        <v>826019407</v>
      </c>
      <c r="AA25" s="39">
        <f>-IFERROR(VLOOKUP(C25,'전사시산표(3단계)_1013'!$C:$L,10,0),0)</f>
        <v>1136056204</v>
      </c>
      <c r="AB25" s="36">
        <v>0</v>
      </c>
      <c r="AC25" s="36">
        <v>0</v>
      </c>
      <c r="AD25" s="37">
        <f t="shared" si="1"/>
        <v>1136056204</v>
      </c>
      <c r="AE25" s="37">
        <f t="shared" si="2"/>
        <v>754029554</v>
      </c>
      <c r="AF25" s="40">
        <f t="shared" si="3"/>
        <v>0.37496279926789267</v>
      </c>
    </row>
    <row r="26" spans="2:32" ht="17.25" thickBot="1">
      <c r="B26" s="44" t="s">
        <v>275</v>
      </c>
      <c r="C26" s="49">
        <v>600</v>
      </c>
      <c r="D26" s="404"/>
      <c r="E26" s="46" t="s">
        <v>338</v>
      </c>
      <c r="F26" s="46"/>
      <c r="G26" s="50">
        <f>-SUM(G27,G41,G45,G52,G70,G74,G82,G89,G95,G98,G104,G108,G117,G122,G129,G132,G140,G142,G145,G147,G150,G152,G156,G161,G165,G177,G179,G181,G183,G188,G191,G193)</f>
        <v>-53613655015</v>
      </c>
      <c r="H26" s="50">
        <f t="shared" si="4"/>
        <v>-193994352580</v>
      </c>
      <c r="I26" s="50">
        <v>-247608007595</v>
      </c>
      <c r="J26" s="50">
        <v>-152640324170</v>
      </c>
      <c r="K26" s="50">
        <f t="shared" si="5"/>
        <v>-145385158530</v>
      </c>
      <c r="L26" s="50">
        <v>-298025482700</v>
      </c>
      <c r="M26" s="50">
        <f t="shared" si="6"/>
        <v>-140167898619</v>
      </c>
      <c r="N26" s="50">
        <v>-438193381319</v>
      </c>
      <c r="O26" s="50">
        <f t="shared" si="0"/>
        <v>36456632933</v>
      </c>
      <c r="P26" s="50">
        <v>-529060378643</v>
      </c>
      <c r="Q26" s="50">
        <v>-134152550146</v>
      </c>
      <c r="R26" s="50">
        <f>IFERROR(VLOOKUP(C26,[6]IS_WTB!C$2:U$259,19,),)</f>
        <v>-267407563145</v>
      </c>
      <c r="S26" s="50">
        <v>-401736748386</v>
      </c>
      <c r="T26" s="52">
        <v>-555321371302</v>
      </c>
      <c r="U26" s="52">
        <v>-135331165202</v>
      </c>
      <c r="V26" s="52">
        <v>-282255887262</v>
      </c>
      <c r="W26" s="52">
        <v>-428749933839</v>
      </c>
      <c r="X26" s="52">
        <v>-630801139807</v>
      </c>
      <c r="Y26" s="52">
        <v>-164736155818</v>
      </c>
      <c r="Z26" s="52">
        <v>-351495265742</v>
      </c>
      <c r="AA26" s="52">
        <f>-SUM(AA27,AA41,AA45,AA52,AA70,AA74,AA82,AA89,AA95,AA98,AA104,AA108,AA117,AA122,AA129,AA132,AA140,AA142,AA145,AA147,AA150,AA152,AA156,AA161,AA165,AA177,AA179,AA181,AA183,AA188,AA191,AA193,AA43)</f>
        <v>-577766092181</v>
      </c>
      <c r="AB26" s="50">
        <f>SUM(AB27,AB41,AB45,AB52,AB70,AB74,AB82,AB89,AB95,AB98,AB104,AB108,AB117,AB122,AB129,AB132,AB140,AB142,AB145,AB147,AB150,AB152,AB156,AB161,AB165,AB177,AB179,AB181,AB183,AB188,AB191,AB193)</f>
        <v>27535316662</v>
      </c>
      <c r="AC26" s="50">
        <f>SUM(AC27,AC41,AC45,AC52,AC70,AC74,AC82,AC89,AC95,AC98,AC104,AC108,AC117,AC122,AC129,AC132,AC140,AC142,AC145,AC147,AC150,AC152,AC156,AC161,AC165,AC177,AC179,AC181,AC183,AC188,AC191,AC193)</f>
        <v>27535316662</v>
      </c>
      <c r="AD26" s="51">
        <f t="shared" ref="AD26:AD57" si="7">AA26+AB26-AC26</f>
        <v>-577766092181</v>
      </c>
      <c r="AE26" s="51">
        <f t="shared" si="2"/>
        <v>-443613542035</v>
      </c>
      <c r="AF26" s="53">
        <f t="shared" si="3"/>
        <v>0.79884111248034428</v>
      </c>
    </row>
    <row r="27" spans="2:32">
      <c r="B27" s="55" t="s">
        <v>276</v>
      </c>
      <c r="C27" s="56">
        <v>6001</v>
      </c>
      <c r="D27" s="56"/>
      <c r="E27" s="57" t="s">
        <v>99</v>
      </c>
      <c r="F27" s="57"/>
      <c r="G27" s="59">
        <f>SUM(G28:G40)</f>
        <v>5442181653</v>
      </c>
      <c r="H27" s="59">
        <f t="shared" si="4"/>
        <v>21274849717</v>
      </c>
      <c r="I27" s="59">
        <v>26717031370</v>
      </c>
      <c r="J27" s="59">
        <v>11606603316</v>
      </c>
      <c r="K27" s="59">
        <f t="shared" si="5"/>
        <v>9308245532</v>
      </c>
      <c r="L27" s="59">
        <v>20914848848</v>
      </c>
      <c r="M27" s="59">
        <f t="shared" si="6"/>
        <v>13613876212</v>
      </c>
      <c r="N27" s="59">
        <v>34528725060</v>
      </c>
      <c r="O27" s="59">
        <f t="shared" si="0"/>
        <v>14426801140</v>
      </c>
      <c r="P27" s="59">
        <v>48566877197</v>
      </c>
      <c r="Q27" s="59">
        <v>17213951640</v>
      </c>
      <c r="R27" s="59">
        <f>IFERROR(VLOOKUP(C27,[6]IS_WTB!C$2:U$259,19,),)</f>
        <v>34150143875</v>
      </c>
      <c r="S27" s="59">
        <v>48955526200</v>
      </c>
      <c r="T27" s="58">
        <v>66370481795</v>
      </c>
      <c r="U27" s="58">
        <v>14343603955</v>
      </c>
      <c r="V27" s="58">
        <v>34077595962</v>
      </c>
      <c r="W27" s="58">
        <v>52031023181</v>
      </c>
      <c r="X27" s="58">
        <v>70038420427</v>
      </c>
      <c r="Y27" s="58">
        <v>16293249021</v>
      </c>
      <c r="Z27" s="58">
        <v>52099061295</v>
      </c>
      <c r="AA27" s="58">
        <f>SUM(AA28:AA40)</f>
        <v>76037963713</v>
      </c>
      <c r="AB27" s="59">
        <v>0</v>
      </c>
      <c r="AC27" s="59">
        <f>SUM(AC28:AC40)</f>
        <v>17668789118</v>
      </c>
      <c r="AD27" s="63">
        <f t="shared" si="7"/>
        <v>58369174595</v>
      </c>
      <c r="AE27" s="63">
        <f t="shared" si="2"/>
        <v>41155222955</v>
      </c>
      <c r="AF27" s="60">
        <f t="shared" si="3"/>
        <v>0.62008323341869154</v>
      </c>
    </row>
    <row r="28" spans="2:32">
      <c r="B28" s="1" t="s">
        <v>284</v>
      </c>
      <c r="C28" s="2">
        <v>600100</v>
      </c>
      <c r="D28" s="401">
        <v>7011</v>
      </c>
      <c r="E28" s="3" t="s">
        <v>98</v>
      </c>
      <c r="F28" s="3" t="s">
        <v>341</v>
      </c>
      <c r="G28" s="21">
        <v>142418000</v>
      </c>
      <c r="H28" s="21">
        <f t="shared" si="4"/>
        <v>471229830</v>
      </c>
      <c r="I28" s="21">
        <v>613647830</v>
      </c>
      <c r="J28" s="21">
        <v>641358820</v>
      </c>
      <c r="K28" s="21">
        <f t="shared" si="5"/>
        <v>635133000</v>
      </c>
      <c r="L28" s="21">
        <v>1276491820</v>
      </c>
      <c r="M28" s="21">
        <f t="shared" si="6"/>
        <v>623058000</v>
      </c>
      <c r="N28" s="21">
        <v>1899549820</v>
      </c>
      <c r="O28" s="21">
        <f t="shared" si="0"/>
        <v>-126031866</v>
      </c>
      <c r="P28" s="21">
        <v>2488926470</v>
      </c>
      <c r="Q28" s="21">
        <v>563473550</v>
      </c>
      <c r="R28" s="21">
        <f>IFERROR(VLOOKUP(C28,[6]IS_WTB!C$2:U$259,19,),)</f>
        <v>1274447100</v>
      </c>
      <c r="S28" s="21">
        <v>1773517954</v>
      </c>
      <c r="T28" s="30">
        <v>2161738214</v>
      </c>
      <c r="U28" s="30">
        <v>719444080</v>
      </c>
      <c r="V28" s="30">
        <v>1612504450</v>
      </c>
      <c r="W28" s="30">
        <v>2393949140</v>
      </c>
      <c r="X28" s="30">
        <v>3274310600</v>
      </c>
      <c r="Y28" s="30">
        <v>905121360</v>
      </c>
      <c r="Z28" s="30">
        <v>1701491010</v>
      </c>
      <c r="AA28" s="30">
        <f>IFERROR(VLOOKUP(C28,'전사시산표(3단계)_1013'!$C:$L,10,0),0)</f>
        <v>2518994010</v>
      </c>
      <c r="AB28" s="21"/>
      <c r="AC28" s="21">
        <f>IFERROR(VLOOKUP(C28,경상연구개발비대체!$A$2:$B$83,2,0),0)</f>
        <v>0</v>
      </c>
      <c r="AD28" s="35">
        <f t="shared" si="7"/>
        <v>2518994010</v>
      </c>
      <c r="AE28" s="35">
        <f t="shared" si="2"/>
        <v>1955520460</v>
      </c>
      <c r="AF28" s="38">
        <f t="shared" si="3"/>
        <v>0.9046055842171461</v>
      </c>
    </row>
    <row r="29" spans="2:32">
      <c r="B29" s="1" t="s">
        <v>833</v>
      </c>
      <c r="C29" s="2">
        <v>600102</v>
      </c>
      <c r="D29" s="401">
        <v>7012</v>
      </c>
      <c r="E29" s="3" t="s">
        <v>832</v>
      </c>
      <c r="F29" s="3" t="s">
        <v>341</v>
      </c>
      <c r="G29" s="21">
        <v>0</v>
      </c>
      <c r="H29" s="21">
        <f t="shared" si="4"/>
        <v>0</v>
      </c>
      <c r="I29" s="21">
        <v>0</v>
      </c>
      <c r="J29" s="21">
        <v>898821000</v>
      </c>
      <c r="K29" s="21">
        <f t="shared" si="5"/>
        <v>0</v>
      </c>
      <c r="L29" s="21">
        <v>898821000</v>
      </c>
      <c r="M29" s="21">
        <f t="shared" si="6"/>
        <v>0</v>
      </c>
      <c r="N29" s="21">
        <v>898821000</v>
      </c>
      <c r="O29" s="21">
        <f t="shared" si="0"/>
        <v>1607837000</v>
      </c>
      <c r="P29" s="21">
        <v>898821000</v>
      </c>
      <c r="Q29" s="21">
        <v>2156658000</v>
      </c>
      <c r="R29" s="21">
        <f>IFERROR(VLOOKUP(C29,[6]IS_WTB!C$2:U$259,19,),)</f>
        <v>2456658000</v>
      </c>
      <c r="S29" s="21">
        <v>2506658000</v>
      </c>
      <c r="T29" s="30">
        <v>2631658000</v>
      </c>
      <c r="U29" s="30">
        <v>1573101830</v>
      </c>
      <c r="V29" s="30">
        <v>1913101830</v>
      </c>
      <c r="W29" s="30">
        <v>1913101830</v>
      </c>
      <c r="X29" s="30">
        <v>1893101830</v>
      </c>
      <c r="Y29" s="30">
        <v>1929838420</v>
      </c>
      <c r="Z29" s="30">
        <v>1961393960</v>
      </c>
      <c r="AA29" s="30">
        <f>IFERROR(VLOOKUP(C29,'전사시산표(3단계)_1013'!$C:$L,10,0),0)</f>
        <v>1943338430</v>
      </c>
      <c r="AB29" s="21"/>
      <c r="AC29" s="21">
        <f>IFERROR(VLOOKUP(C29,경상연구개발비대체!$A$2:$B$83,2,0),0)</f>
        <v>0</v>
      </c>
      <c r="AD29" s="35">
        <f t="shared" si="7"/>
        <v>1943338430</v>
      </c>
      <c r="AE29" s="35">
        <f t="shared" si="2"/>
        <v>-213319570</v>
      </c>
      <c r="AF29" s="38">
        <f t="shared" si="3"/>
        <v>-8.1059001587592314E-2</v>
      </c>
    </row>
    <row r="30" spans="2:32">
      <c r="B30" s="1" t="s">
        <v>284</v>
      </c>
      <c r="C30" s="2">
        <v>600200</v>
      </c>
      <c r="D30" s="401">
        <v>7021</v>
      </c>
      <c r="E30" s="3" t="s">
        <v>97</v>
      </c>
      <c r="F30" s="3" t="s">
        <v>341</v>
      </c>
      <c r="G30" s="21">
        <v>2080821574</v>
      </c>
      <c r="H30" s="21">
        <f t="shared" si="4"/>
        <v>6281738259</v>
      </c>
      <c r="I30" s="21">
        <v>8362559833</v>
      </c>
      <c r="J30" s="21">
        <v>7586617910</v>
      </c>
      <c r="K30" s="21">
        <f t="shared" si="5"/>
        <v>4243501242</v>
      </c>
      <c r="L30" s="21">
        <v>11830119152</v>
      </c>
      <c r="M30" s="21">
        <f t="shared" si="6"/>
        <v>5808614504</v>
      </c>
      <c r="N30" s="21">
        <v>17638733656</v>
      </c>
      <c r="O30" s="21">
        <f t="shared" si="0"/>
        <v>1266076121</v>
      </c>
      <c r="P30" s="21">
        <v>23608866382</v>
      </c>
      <c r="Q30" s="21">
        <v>6090372747</v>
      </c>
      <c r="R30" s="21">
        <f>IFERROR(VLOOKUP(C30,[6]IS_WTB!C$2:U$259,19,),)</f>
        <v>13150636506</v>
      </c>
      <c r="S30" s="21">
        <v>18904809777</v>
      </c>
      <c r="T30" s="30">
        <v>25190940498</v>
      </c>
      <c r="U30" s="30">
        <v>6455825084</v>
      </c>
      <c r="V30" s="30">
        <v>13952930247</v>
      </c>
      <c r="W30" s="30">
        <v>21047764466</v>
      </c>
      <c r="X30" s="30">
        <v>28233516502</v>
      </c>
      <c r="Y30" s="30">
        <v>7221291238</v>
      </c>
      <c r="Z30" s="30">
        <v>20140518187</v>
      </c>
      <c r="AA30" s="30">
        <f>IFERROR(VLOOKUP(C30,'전사시산표(3단계)_1013'!$C:$L,10,0),0)</f>
        <v>30149926098</v>
      </c>
      <c r="AB30" s="21"/>
      <c r="AC30" s="21">
        <f>IFERROR(VLOOKUP(C30,경상연구개발비대체!$A$2:$B$83,2,0),0)</f>
        <v>7411011807</v>
      </c>
      <c r="AD30" s="35">
        <f t="shared" si="7"/>
        <v>22738914291</v>
      </c>
      <c r="AE30" s="35">
        <f t="shared" si="2"/>
        <v>16648541544</v>
      </c>
      <c r="AF30" s="38">
        <f t="shared" si="3"/>
        <v>0.66089400454587188</v>
      </c>
    </row>
    <row r="31" spans="2:32">
      <c r="B31" s="1" t="s">
        <v>284</v>
      </c>
      <c r="C31" s="2">
        <v>600300</v>
      </c>
      <c r="D31" s="401">
        <v>7022</v>
      </c>
      <c r="E31" s="3" t="s">
        <v>96</v>
      </c>
      <c r="F31" s="3" t="s">
        <v>341</v>
      </c>
      <c r="G31" s="21">
        <v>1387419753</v>
      </c>
      <c r="H31" s="21">
        <f t="shared" si="4"/>
        <v>4182633168</v>
      </c>
      <c r="I31" s="21">
        <v>5570052921</v>
      </c>
      <c r="J31" s="21">
        <v>5050979590</v>
      </c>
      <c r="K31" s="21">
        <f t="shared" si="5"/>
        <v>2822272575</v>
      </c>
      <c r="L31" s="21">
        <v>7873252165</v>
      </c>
      <c r="M31" s="21">
        <f t="shared" si="6"/>
        <v>3870847568</v>
      </c>
      <c r="N31" s="21">
        <v>11744099733</v>
      </c>
      <c r="O31" s="21">
        <f t="shared" si="0"/>
        <v>856434153</v>
      </c>
      <c r="P31" s="21">
        <v>15722333936</v>
      </c>
      <c r="Q31" s="21">
        <v>4059669380</v>
      </c>
      <c r="R31" s="21">
        <f>IFERROR(VLOOKUP(C31,[6]IS_WTB!C$2:U$259,19,),)</f>
        <v>8766944579</v>
      </c>
      <c r="S31" s="21">
        <v>12600533886</v>
      </c>
      <c r="T31" s="30">
        <v>16784542491</v>
      </c>
      <c r="U31" s="30">
        <v>4302482152</v>
      </c>
      <c r="V31" s="30">
        <v>9300702413</v>
      </c>
      <c r="W31" s="30">
        <v>14025710130</v>
      </c>
      <c r="X31" s="30">
        <v>18815271024</v>
      </c>
      <c r="Y31" s="30">
        <v>4814507873</v>
      </c>
      <c r="Z31" s="30">
        <v>13426870437</v>
      </c>
      <c r="AA31" s="30">
        <f>IFERROR(VLOOKUP(C31,'전사시산표(3단계)_1013'!$C:$L,10,0),0)</f>
        <v>20130090663</v>
      </c>
      <c r="AB31" s="21"/>
      <c r="AC31" s="21">
        <f>IFERROR(VLOOKUP(C31,경상연구개발비대체!$A$2:$B$83,2,0),0)</f>
        <v>4941032518</v>
      </c>
      <c r="AD31" s="35">
        <f t="shared" si="7"/>
        <v>15189058145</v>
      </c>
      <c r="AE31" s="35">
        <f t="shared" si="2"/>
        <v>11129388765</v>
      </c>
      <c r="AF31" s="38">
        <f t="shared" si="3"/>
        <v>0.66307370433049717</v>
      </c>
    </row>
    <row r="32" spans="2:32">
      <c r="B32" s="1" t="s">
        <v>284</v>
      </c>
      <c r="C32" s="2">
        <v>600310</v>
      </c>
      <c r="D32" s="401">
        <v>7022</v>
      </c>
      <c r="E32" s="3" t="s">
        <v>95</v>
      </c>
      <c r="F32" s="3" t="s">
        <v>341</v>
      </c>
      <c r="G32" s="21">
        <v>1073199440</v>
      </c>
      <c r="H32" s="21">
        <f t="shared" si="4"/>
        <v>8349321800</v>
      </c>
      <c r="I32" s="21">
        <v>9422521240</v>
      </c>
      <c r="J32" s="21">
        <v>-5072462802</v>
      </c>
      <c r="K32" s="21">
        <f t="shared" si="5"/>
        <v>228443200</v>
      </c>
      <c r="L32" s="21">
        <v>-4844019602</v>
      </c>
      <c r="M32" s="21">
        <f t="shared" si="6"/>
        <v>1468000000</v>
      </c>
      <c r="N32" s="21">
        <v>-3376019602</v>
      </c>
      <c r="O32" s="21">
        <f t="shared" si="0"/>
        <v>9619197692</v>
      </c>
      <c r="P32" s="21">
        <v>-1882019602</v>
      </c>
      <c r="Q32" s="21">
        <v>2047474980</v>
      </c>
      <c r="R32" s="21">
        <f>IFERROR(VLOOKUP(C32,[6]IS_WTB!C$2:U$259,19,),)</f>
        <v>3809085960</v>
      </c>
      <c r="S32" s="21">
        <v>6243178090</v>
      </c>
      <c r="T32" s="30">
        <v>10640627550</v>
      </c>
      <c r="U32" s="30">
        <v>-1176072830</v>
      </c>
      <c r="V32" s="30">
        <v>1728611430</v>
      </c>
      <c r="W32" s="30">
        <v>4542607910</v>
      </c>
      <c r="X32" s="30">
        <v>7390339600</v>
      </c>
      <c r="Y32" s="30">
        <v>-1414387760</v>
      </c>
      <c r="Z32" s="30">
        <v>6930107630</v>
      </c>
      <c r="AA32" s="30">
        <f>IFERROR(VLOOKUP(C32,'전사시산표(3단계)_1013'!$C:$L,10,0),0)</f>
        <v>9923940920</v>
      </c>
      <c r="AB32" s="21"/>
      <c r="AC32" s="21">
        <f>IFERROR(VLOOKUP(C32,경상연구개발비대체!$A$2:$B$83,2,0),0)</f>
        <v>2906636590</v>
      </c>
      <c r="AD32" s="35">
        <f t="shared" si="7"/>
        <v>7017304330</v>
      </c>
      <c r="AE32" s="35">
        <f t="shared" si="2"/>
        <v>4969829350</v>
      </c>
      <c r="AF32" s="38">
        <f t="shared" si="3"/>
        <v>0.46706167720342773</v>
      </c>
    </row>
    <row r="33" spans="1:32">
      <c r="B33" s="1" t="s">
        <v>284</v>
      </c>
      <c r="C33" s="2">
        <v>600400</v>
      </c>
      <c r="D33" s="401">
        <v>7031</v>
      </c>
      <c r="E33" s="3" t="s">
        <v>94</v>
      </c>
      <c r="F33" s="3" t="s">
        <v>341</v>
      </c>
      <c r="G33" s="21">
        <v>457731549</v>
      </c>
      <c r="H33" s="21">
        <f t="shared" si="4"/>
        <v>1440820734</v>
      </c>
      <c r="I33" s="21">
        <v>1898552283</v>
      </c>
      <c r="J33" s="21">
        <v>1707477630</v>
      </c>
      <c r="K33" s="21">
        <f t="shared" si="5"/>
        <v>942399680</v>
      </c>
      <c r="L33" s="21">
        <v>2649877310</v>
      </c>
      <c r="M33" s="21">
        <f t="shared" si="6"/>
        <v>1312363223</v>
      </c>
      <c r="N33" s="21">
        <v>3962240533</v>
      </c>
      <c r="O33" s="21">
        <f t="shared" si="0"/>
        <v>344897281</v>
      </c>
      <c r="P33" s="21">
        <v>5328000978</v>
      </c>
      <c r="Q33" s="21">
        <v>1367749337</v>
      </c>
      <c r="R33" s="21">
        <f>IFERROR(VLOOKUP(C33,[6]IS_WTB!C$2:U$259,19,),)</f>
        <v>2988187375</v>
      </c>
      <c r="S33" s="21">
        <v>4307137814</v>
      </c>
      <c r="T33" s="30">
        <v>5808122397</v>
      </c>
      <c r="U33" s="30">
        <v>1532957189</v>
      </c>
      <c r="V33" s="30">
        <v>3298669272</v>
      </c>
      <c r="W33" s="30">
        <v>4973825980</v>
      </c>
      <c r="X33" s="30">
        <v>6766294180</v>
      </c>
      <c r="Y33" s="30">
        <v>1690199232</v>
      </c>
      <c r="Z33" s="30">
        <v>4760091341</v>
      </c>
      <c r="AA33" s="30">
        <f>IFERROR(VLOOKUP(C33,'전사시산표(3단계)_1013'!$C:$L,10,0),0)</f>
        <v>7108534952</v>
      </c>
      <c r="AB33" s="21"/>
      <c r="AC33" s="21">
        <f>IFERROR(VLOOKUP(C33,경상연구개발비대체!$A$2:$B$83,2,0),0)</f>
        <v>1716022876</v>
      </c>
      <c r="AD33" s="35">
        <f t="shared" si="7"/>
        <v>5392512076</v>
      </c>
      <c r="AE33" s="35">
        <f t="shared" si="2"/>
        <v>4024762739</v>
      </c>
      <c r="AF33" s="38">
        <f t="shared" si="3"/>
        <v>0.69295418792807506</v>
      </c>
    </row>
    <row r="34" spans="1:32">
      <c r="B34" s="1" t="s">
        <v>284</v>
      </c>
      <c r="C34" s="2">
        <v>600410</v>
      </c>
      <c r="D34" s="401">
        <v>7031</v>
      </c>
      <c r="E34" s="3" t="s">
        <v>93</v>
      </c>
      <c r="F34" s="3" t="s">
        <v>341</v>
      </c>
      <c r="G34" s="21">
        <v>2530956</v>
      </c>
      <c r="H34" s="21">
        <f t="shared" si="4"/>
        <v>53948814</v>
      </c>
      <c r="I34" s="21">
        <v>56479770</v>
      </c>
      <c r="J34" s="21">
        <v>26393070</v>
      </c>
      <c r="K34" s="21">
        <f t="shared" si="5"/>
        <v>24421702</v>
      </c>
      <c r="L34" s="21">
        <v>50814772</v>
      </c>
      <c r="M34" s="21">
        <f t="shared" si="6"/>
        <v>37510140</v>
      </c>
      <c r="N34" s="21">
        <v>88324912</v>
      </c>
      <c r="O34" s="21">
        <f t="shared" si="0"/>
        <v>11487754</v>
      </c>
      <c r="P34" s="21">
        <v>155870319</v>
      </c>
      <c r="Q34" s="21">
        <v>26215010</v>
      </c>
      <c r="R34" s="21">
        <f>IFERROR(VLOOKUP(C34,[6]IS_WTB!C$2:U$259,19,),)</f>
        <v>62685882</v>
      </c>
      <c r="S34" s="21">
        <v>99812666</v>
      </c>
      <c r="T34" s="30">
        <v>172255059</v>
      </c>
      <c r="U34" s="30">
        <v>36314319</v>
      </c>
      <c r="V34" s="30">
        <v>79848103</v>
      </c>
      <c r="W34" s="30">
        <v>111399366</v>
      </c>
      <c r="X34" s="30">
        <v>205401158</v>
      </c>
      <c r="Y34" s="30">
        <v>43812553</v>
      </c>
      <c r="Z34" s="30">
        <v>126605590</v>
      </c>
      <c r="AA34" s="30">
        <f>IFERROR(VLOOKUP(C34,'전사시산표(3단계)_1013'!$C:$L,10,0),0)</f>
        <v>179750700</v>
      </c>
      <c r="AB34" s="21"/>
      <c r="AC34" s="21">
        <f>IFERROR(VLOOKUP(C34,경상연구개발비대체!$A$2:$B$83,2,0),0)</f>
        <v>41241045</v>
      </c>
      <c r="AD34" s="35">
        <f t="shared" si="7"/>
        <v>138509655</v>
      </c>
      <c r="AE34" s="35">
        <f t="shared" si="2"/>
        <v>112294645</v>
      </c>
      <c r="AF34" s="38">
        <f t="shared" si="3"/>
        <v>0.65190912622194741</v>
      </c>
    </row>
    <row r="35" spans="1:32">
      <c r="B35" s="1" t="s">
        <v>284</v>
      </c>
      <c r="C35" s="2">
        <v>600420</v>
      </c>
      <c r="D35" s="401">
        <v>7031</v>
      </c>
      <c r="E35" s="3" t="s">
        <v>92</v>
      </c>
      <c r="F35" s="3" t="s">
        <v>341</v>
      </c>
      <c r="G35" s="21">
        <v>6467760</v>
      </c>
      <c r="H35" s="21">
        <f t="shared" si="4"/>
        <v>174455618</v>
      </c>
      <c r="I35" s="21">
        <v>180923378</v>
      </c>
      <c r="J35" s="21">
        <v>63409740</v>
      </c>
      <c r="K35" s="21">
        <f t="shared" si="5"/>
        <v>58441206</v>
      </c>
      <c r="L35" s="21">
        <v>121850946</v>
      </c>
      <c r="M35" s="21">
        <f t="shared" si="6"/>
        <v>85078780</v>
      </c>
      <c r="N35" s="21">
        <v>206929726</v>
      </c>
      <c r="O35" s="21">
        <f t="shared" si="0"/>
        <v>30974173</v>
      </c>
      <c r="P35" s="21">
        <v>369017882</v>
      </c>
      <c r="Q35" s="21">
        <v>70427158</v>
      </c>
      <c r="R35" s="21">
        <f>IFERROR(VLOOKUP(C35,[6]IS_WTB!C$2:U$259,19,),)</f>
        <v>153063603</v>
      </c>
      <c r="S35" s="21">
        <v>237903899</v>
      </c>
      <c r="T35" s="30">
        <v>418452958</v>
      </c>
      <c r="U35" s="30">
        <v>52886097</v>
      </c>
      <c r="V35" s="30">
        <v>126188314</v>
      </c>
      <c r="W35" s="30">
        <v>198284928</v>
      </c>
      <c r="X35" s="30">
        <v>417012842</v>
      </c>
      <c r="Y35" s="30">
        <v>67552814</v>
      </c>
      <c r="Z35" s="30">
        <v>212435790</v>
      </c>
      <c r="AA35" s="30">
        <f>IFERROR(VLOOKUP(C35,'전사시산표(3단계)_1013'!$C:$L,10,0),0)</f>
        <v>326116390</v>
      </c>
      <c r="AB35" s="21"/>
      <c r="AC35" s="21">
        <f>IFERROR(VLOOKUP(C35,경상연구개발비대체!$A$2:$B$83,2,0),0)</f>
        <v>59220443</v>
      </c>
      <c r="AD35" s="35">
        <f t="shared" si="7"/>
        <v>266895947</v>
      </c>
      <c r="AE35" s="35">
        <f t="shared" si="2"/>
        <v>196468789</v>
      </c>
      <c r="AF35" s="38">
        <f t="shared" si="3"/>
        <v>0.46951224801713554</v>
      </c>
    </row>
    <row r="36" spans="1:32">
      <c r="B36" s="1" t="s">
        <v>284</v>
      </c>
      <c r="C36" s="2">
        <v>600430</v>
      </c>
      <c r="D36" s="401">
        <v>7031</v>
      </c>
      <c r="E36" s="3" t="s">
        <v>91</v>
      </c>
      <c r="F36" s="3" t="s">
        <v>341</v>
      </c>
      <c r="G36" s="21">
        <v>980160</v>
      </c>
      <c r="H36" s="21">
        <f t="shared" si="4"/>
        <v>941316344</v>
      </c>
      <c r="I36" s="21">
        <v>942296504</v>
      </c>
      <c r="J36" s="21">
        <v>121622560</v>
      </c>
      <c r="K36" s="21">
        <f t="shared" si="5"/>
        <v>8283560</v>
      </c>
      <c r="L36" s="21">
        <v>129906120</v>
      </c>
      <c r="M36" s="21">
        <f t="shared" si="6"/>
        <v>40118760</v>
      </c>
      <c r="N36" s="21">
        <v>170024880</v>
      </c>
      <c r="O36" s="21">
        <f t="shared" ref="O36:O65" si="8">S36-N36</f>
        <v>-59162208</v>
      </c>
      <c r="P36" s="21">
        <v>1103625784</v>
      </c>
      <c r="Q36" s="21">
        <v>47380040</v>
      </c>
      <c r="R36" s="21">
        <f>IFERROR(VLOOKUP(C36,[6]IS_WTB!C$2:U$259,19,),)</f>
        <v>91068360</v>
      </c>
      <c r="S36" s="21">
        <v>110862672</v>
      </c>
      <c r="T36" s="30">
        <v>1346620974</v>
      </c>
      <c r="U36" s="30">
        <v>64329504</v>
      </c>
      <c r="V36" s="30">
        <v>132068448</v>
      </c>
      <c r="W36" s="30">
        <v>158466908</v>
      </c>
      <c r="X36" s="30">
        <v>1523797621</v>
      </c>
      <c r="Y36" s="30">
        <v>42641992</v>
      </c>
      <c r="Z36" s="30">
        <v>185957640</v>
      </c>
      <c r="AA36" s="30">
        <f>IFERROR(VLOOKUP(C36,'전사시산표(3단계)_1013'!$C:$L,10,0),0)</f>
        <v>267852800</v>
      </c>
      <c r="AB36" s="21"/>
      <c r="AC36" s="21">
        <f>IFERROR(VLOOKUP(C36,경상연구개발비대체!$A$2:$B$83,2,0),0)</f>
        <v>125126804</v>
      </c>
      <c r="AD36" s="35">
        <f t="shared" si="7"/>
        <v>142725996</v>
      </c>
      <c r="AE36" s="35">
        <f t="shared" si="2"/>
        <v>95345956</v>
      </c>
      <c r="AF36" s="38">
        <f t="shared" si="3"/>
        <v>7.0803854864063626E-2</v>
      </c>
    </row>
    <row r="37" spans="1:32">
      <c r="B37" s="1" t="s">
        <v>284</v>
      </c>
      <c r="C37" s="2">
        <v>600431</v>
      </c>
      <c r="D37" s="401">
        <v>7031</v>
      </c>
      <c r="E37" s="3" t="s">
        <v>90</v>
      </c>
      <c r="F37" s="3" t="s">
        <v>341</v>
      </c>
      <c r="G37" s="21">
        <v>258125631</v>
      </c>
      <c r="H37" s="21">
        <f t="shared" si="4"/>
        <v>-748205810</v>
      </c>
      <c r="I37" s="21">
        <v>-490080179</v>
      </c>
      <c r="J37" s="21">
        <v>413532248</v>
      </c>
      <c r="K37" s="21">
        <f t="shared" si="5"/>
        <v>40752697</v>
      </c>
      <c r="L37" s="21">
        <v>454284945</v>
      </c>
      <c r="M37" s="21">
        <f t="shared" si="6"/>
        <v>133305077</v>
      </c>
      <c r="N37" s="21">
        <v>587590022</v>
      </c>
      <c r="O37" s="21">
        <f t="shared" si="8"/>
        <v>771988958</v>
      </c>
      <c r="P37" s="21">
        <v>-154987540</v>
      </c>
      <c r="Q37" s="21">
        <v>517110378</v>
      </c>
      <c r="R37" s="21">
        <f>IFERROR(VLOOKUP(C37,[6]IS_WTB!C$2:U$259,19,),)</f>
        <v>907894990</v>
      </c>
      <c r="S37" s="21">
        <v>1359578980</v>
      </c>
      <c r="T37" s="30">
        <v>122976600</v>
      </c>
      <c r="U37" s="30">
        <v>565777560</v>
      </c>
      <c r="V37" s="30">
        <v>1371647905</v>
      </c>
      <c r="W37" s="30">
        <v>1846548003</v>
      </c>
      <c r="X37" s="30">
        <v>446967560</v>
      </c>
      <c r="Y37" s="30">
        <v>711638979</v>
      </c>
      <c r="Z37" s="30">
        <v>1796460340</v>
      </c>
      <c r="AA37" s="30">
        <f>IFERROR(VLOOKUP(C37,'전사시산표(3단계)_1013'!$C:$L,10,0),0)</f>
        <v>2129844460</v>
      </c>
      <c r="AB37" s="21"/>
      <c r="AC37" s="21">
        <f>IFERROR(VLOOKUP(C37,경상연구개발비대체!$A$2:$B$83,2,0),0)</f>
        <v>300012366</v>
      </c>
      <c r="AD37" s="35">
        <f t="shared" si="7"/>
        <v>1829832094</v>
      </c>
      <c r="AE37" s="35">
        <f t="shared" si="2"/>
        <v>1312721716</v>
      </c>
      <c r="AF37" s="38">
        <f t="shared" si="3"/>
        <v>10.674565047334209</v>
      </c>
    </row>
    <row r="38" spans="1:32" s="721" customFormat="1">
      <c r="A38" s="23"/>
      <c r="B38" s="1" t="s">
        <v>284</v>
      </c>
      <c r="C38" s="2">
        <v>600440</v>
      </c>
      <c r="D38" s="401">
        <v>7031</v>
      </c>
      <c r="E38" s="3" t="s">
        <v>1558</v>
      </c>
      <c r="F38" s="3" t="s">
        <v>341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59903230</v>
      </c>
      <c r="Z38" s="30">
        <v>299741470</v>
      </c>
      <c r="AA38" s="30">
        <f>IFERROR(VLOOKUP(C38,'전사시산표(3단계)_1013'!$C:$L,10,0),0)</f>
        <v>529166810</v>
      </c>
      <c r="AB38" s="21"/>
      <c r="AC38" s="21">
        <f>IFERROR(VLOOKUP(C38,경상연구개발비대체!$A$2:$B$83,2,0),0)</f>
        <v>104083018</v>
      </c>
      <c r="AD38" s="35">
        <f t="shared" si="7"/>
        <v>425083792</v>
      </c>
      <c r="AE38" s="35"/>
      <c r="AF38" s="38"/>
    </row>
    <row r="39" spans="1:32">
      <c r="B39" s="1" t="s">
        <v>284</v>
      </c>
      <c r="C39" s="2">
        <v>600490</v>
      </c>
      <c r="D39" s="401">
        <v>7031</v>
      </c>
      <c r="E39" s="3" t="s">
        <v>658</v>
      </c>
      <c r="F39" s="3" t="s">
        <v>341</v>
      </c>
      <c r="G39" s="21">
        <v>0</v>
      </c>
      <c r="H39" s="21">
        <f t="shared" si="4"/>
        <v>127160</v>
      </c>
      <c r="I39" s="21">
        <v>127160</v>
      </c>
      <c r="J39" s="21">
        <v>0</v>
      </c>
      <c r="K39" s="21">
        <f t="shared" si="5"/>
        <v>157692850</v>
      </c>
      <c r="L39" s="21">
        <v>157692850</v>
      </c>
      <c r="M39" s="21">
        <f t="shared" si="6"/>
        <v>-38475130</v>
      </c>
      <c r="N39" s="21">
        <v>119217720</v>
      </c>
      <c r="O39" s="21">
        <f t="shared" si="8"/>
        <v>-69611520</v>
      </c>
      <c r="P39" s="21">
        <v>119217720</v>
      </c>
      <c r="Q39" s="21">
        <v>0</v>
      </c>
      <c r="R39" s="21">
        <f>IFERROR(VLOOKUP(C39,[6]IS_WTB!C$2:U$259,19,),)</f>
        <v>0</v>
      </c>
      <c r="S39" s="21">
        <v>49606200</v>
      </c>
      <c r="T39" s="30">
        <v>49606200</v>
      </c>
      <c r="U39" s="30">
        <v>0</v>
      </c>
      <c r="V39" s="30">
        <v>127215430</v>
      </c>
      <c r="W39" s="30">
        <v>127215430</v>
      </c>
      <c r="X39" s="30">
        <v>127215430</v>
      </c>
      <c r="Y39" s="30">
        <v>-1811100</v>
      </c>
      <c r="Z39" s="30">
        <v>102392530</v>
      </c>
      <c r="AA39" s="30">
        <f>IFERROR(VLOOKUP(C39,'전사시산표(3단계)_1013'!$C:$L,10,0),0)</f>
        <v>102392530</v>
      </c>
      <c r="AB39" s="21"/>
      <c r="AC39" s="21">
        <f>IFERROR(VLOOKUP(C39,경상연구개발비대체!$A$2:$B$83,2,0),0)</f>
        <v>9666211</v>
      </c>
      <c r="AD39" s="35">
        <f t="shared" si="7"/>
        <v>92726319</v>
      </c>
      <c r="AE39" s="35">
        <f t="shared" ref="AE39:AE102" si="9">AD39-Q39</f>
        <v>92726319</v>
      </c>
      <c r="AF39" s="38">
        <f t="shared" ref="AF39:AF102" si="10">IFERROR(AE39/T39,"")</f>
        <v>1.8692485818304969</v>
      </c>
    </row>
    <row r="40" spans="1:32">
      <c r="B40" s="1" t="s">
        <v>284</v>
      </c>
      <c r="C40" s="2">
        <v>600500</v>
      </c>
      <c r="D40" s="401">
        <v>7023</v>
      </c>
      <c r="E40" s="3" t="s">
        <v>89</v>
      </c>
      <c r="F40" s="3" t="s">
        <v>341</v>
      </c>
      <c r="G40" s="21">
        <v>32486830</v>
      </c>
      <c r="H40" s="21">
        <f t="shared" si="4"/>
        <v>127463800</v>
      </c>
      <c r="I40" s="21">
        <v>159950630</v>
      </c>
      <c r="J40" s="21">
        <v>168853550</v>
      </c>
      <c r="K40" s="21">
        <f t="shared" si="5"/>
        <v>146903820</v>
      </c>
      <c r="L40" s="21">
        <v>315757370</v>
      </c>
      <c r="M40" s="21">
        <f t="shared" si="6"/>
        <v>273455290</v>
      </c>
      <c r="N40" s="21">
        <v>589212660</v>
      </c>
      <c r="O40" s="21">
        <f t="shared" si="8"/>
        <v>172713602</v>
      </c>
      <c r="P40" s="21">
        <v>809203868</v>
      </c>
      <c r="Q40" s="21">
        <v>267421060</v>
      </c>
      <c r="R40" s="21">
        <f>IFERROR(VLOOKUP(C40,[6]IS_WTB!C$2:U$259,19,),)</f>
        <v>489471520</v>
      </c>
      <c r="S40" s="21">
        <v>761926262</v>
      </c>
      <c r="T40" s="30">
        <v>1042940854</v>
      </c>
      <c r="U40" s="30">
        <v>216558970</v>
      </c>
      <c r="V40" s="30">
        <v>434108120</v>
      </c>
      <c r="W40" s="30">
        <v>692149090</v>
      </c>
      <c r="X40" s="30">
        <v>945192080</v>
      </c>
      <c r="Y40" s="30">
        <v>222940190</v>
      </c>
      <c r="Z40" s="30">
        <v>454995370</v>
      </c>
      <c r="AA40" s="30">
        <f>IFERROR(VLOOKUP(C40,'전사시산표(3단계)_1013'!$C:$L,10,0),0)</f>
        <v>728014950</v>
      </c>
      <c r="AB40" s="21"/>
      <c r="AC40" s="21">
        <f>IFERROR(VLOOKUP(C40,경상연구개발비대체!$A$2:$B$83,2,0),0)</f>
        <v>54735440</v>
      </c>
      <c r="AD40" s="35">
        <f t="shared" si="7"/>
        <v>673279510</v>
      </c>
      <c r="AE40" s="35">
        <f t="shared" si="9"/>
        <v>405858450</v>
      </c>
      <c r="AF40" s="38">
        <f t="shared" si="10"/>
        <v>0.38914809832543007</v>
      </c>
    </row>
    <row r="41" spans="1:32">
      <c r="B41" s="64" t="s">
        <v>276</v>
      </c>
      <c r="C41" s="65">
        <v>6007</v>
      </c>
      <c r="D41" s="65"/>
      <c r="E41" s="66" t="s">
        <v>88</v>
      </c>
      <c r="F41" s="66"/>
      <c r="G41" s="61">
        <f>SUM(G42)</f>
        <v>178149867</v>
      </c>
      <c r="H41" s="61">
        <f t="shared" si="4"/>
        <v>612914314</v>
      </c>
      <c r="I41" s="61">
        <v>791064181</v>
      </c>
      <c r="J41" s="61">
        <v>986538295</v>
      </c>
      <c r="K41" s="61">
        <f t="shared" si="5"/>
        <v>624516980</v>
      </c>
      <c r="L41" s="61">
        <v>1611055275</v>
      </c>
      <c r="M41" s="61">
        <f t="shared" si="6"/>
        <v>770496925</v>
      </c>
      <c r="N41" s="61">
        <v>2381552200</v>
      </c>
      <c r="O41" s="61">
        <f t="shared" si="8"/>
        <v>804341759</v>
      </c>
      <c r="P41" s="61">
        <v>3102889740</v>
      </c>
      <c r="Q41" s="61">
        <v>1045371550</v>
      </c>
      <c r="R41" s="61">
        <f>IFERROR(VLOOKUP(C41,[6]IS_WTB!C$2:U$259,19,),)</f>
        <v>1974833350</v>
      </c>
      <c r="S41" s="61">
        <v>3185893959</v>
      </c>
      <c r="T41" s="520">
        <v>4322831329</v>
      </c>
      <c r="U41" s="520">
        <v>1327008439</v>
      </c>
      <c r="V41" s="520">
        <v>2531549629</v>
      </c>
      <c r="W41" s="520">
        <v>3909384439</v>
      </c>
      <c r="X41" s="520">
        <v>5378192529</v>
      </c>
      <c r="Y41" s="520">
        <v>1844095740</v>
      </c>
      <c r="Z41" s="520">
        <v>3846702260</v>
      </c>
      <c r="AA41" s="520">
        <f>SUM(AA42)</f>
        <v>5811244430</v>
      </c>
      <c r="AB41" s="61"/>
      <c r="AC41" s="61">
        <f>SUM(AC42)</f>
        <v>576083990</v>
      </c>
      <c r="AD41" s="67">
        <f t="shared" si="7"/>
        <v>5235160440</v>
      </c>
      <c r="AE41" s="67">
        <f t="shared" si="9"/>
        <v>4189788890</v>
      </c>
      <c r="AF41" s="62">
        <f t="shared" si="10"/>
        <v>0.96922331017000918</v>
      </c>
    </row>
    <row r="42" spans="1:32">
      <c r="B42" s="1" t="s">
        <v>284</v>
      </c>
      <c r="C42" s="2">
        <v>600700</v>
      </c>
      <c r="D42" s="401">
        <v>7263</v>
      </c>
      <c r="E42" s="3" t="s">
        <v>88</v>
      </c>
      <c r="F42" s="3" t="s">
        <v>339</v>
      </c>
      <c r="G42" s="21">
        <v>178149867</v>
      </c>
      <c r="H42" s="21">
        <f t="shared" si="4"/>
        <v>612914314</v>
      </c>
      <c r="I42" s="21">
        <v>791064181</v>
      </c>
      <c r="J42" s="21">
        <v>986538295</v>
      </c>
      <c r="K42" s="21">
        <f t="shared" si="5"/>
        <v>624516980</v>
      </c>
      <c r="L42" s="21">
        <v>1611055275</v>
      </c>
      <c r="M42" s="21">
        <f t="shared" si="6"/>
        <v>770496925</v>
      </c>
      <c r="N42" s="21">
        <v>2381552200</v>
      </c>
      <c r="O42" s="21">
        <f t="shared" si="8"/>
        <v>804341759</v>
      </c>
      <c r="P42" s="21">
        <v>3102889740</v>
      </c>
      <c r="Q42" s="21">
        <v>1045371550</v>
      </c>
      <c r="R42" s="21">
        <f>IFERROR(VLOOKUP(C42,[6]IS_WTB!C$2:U$259,19,),)</f>
        <v>1974833350</v>
      </c>
      <c r="S42" s="21">
        <v>3185893959</v>
      </c>
      <c r="T42" s="30">
        <v>4322831329</v>
      </c>
      <c r="U42" s="30">
        <v>1327008439</v>
      </c>
      <c r="V42" s="30">
        <v>2531549629</v>
      </c>
      <c r="W42" s="30">
        <v>3909384439</v>
      </c>
      <c r="X42" s="30">
        <v>5378192529</v>
      </c>
      <c r="Y42" s="30">
        <v>1844095740</v>
      </c>
      <c r="Z42" s="30">
        <v>3846702260</v>
      </c>
      <c r="AA42" s="30">
        <f>IFERROR(VLOOKUP(C42,'전사시산표(3단계)_1013'!$C:$L,10,0),0)</f>
        <v>5811244430</v>
      </c>
      <c r="AB42" s="21"/>
      <c r="AC42" s="21">
        <f>IFERROR(VLOOKUP(C42,경상연구개발비대체!$A$2:$B$83,2,0),0)</f>
        <v>576083990</v>
      </c>
      <c r="AD42" s="35">
        <f t="shared" si="7"/>
        <v>5235160440</v>
      </c>
      <c r="AE42" s="35">
        <f t="shared" si="9"/>
        <v>4189788890</v>
      </c>
      <c r="AF42" s="38">
        <f t="shared" si="10"/>
        <v>0.96922331017000918</v>
      </c>
    </row>
    <row r="43" spans="1:32" s="606" customFormat="1">
      <c r="A43" s="23"/>
      <c r="B43" s="64" t="s">
        <v>276</v>
      </c>
      <c r="C43" s="65">
        <v>6009</v>
      </c>
      <c r="D43" s="65"/>
      <c r="E43" s="66" t="s">
        <v>1338</v>
      </c>
      <c r="F43" s="66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520">
        <v>0</v>
      </c>
      <c r="U43" s="520"/>
      <c r="V43" s="520">
        <v>0</v>
      </c>
      <c r="W43" s="520">
        <v>477851825</v>
      </c>
      <c r="X43" s="520">
        <v>1097860647</v>
      </c>
      <c r="Y43" s="520">
        <v>604982737</v>
      </c>
      <c r="Z43" s="520">
        <v>1086362085</v>
      </c>
      <c r="AA43" s="520">
        <f>SUM(AA44)</f>
        <v>1681512874</v>
      </c>
      <c r="AB43" s="61"/>
      <c r="AC43" s="61">
        <f>SUM(AC44)</f>
        <v>0</v>
      </c>
      <c r="AD43" s="67">
        <f t="shared" si="7"/>
        <v>1681512874</v>
      </c>
      <c r="AE43" s="67">
        <f t="shared" si="9"/>
        <v>1681512874</v>
      </c>
      <c r="AF43" s="62" t="str">
        <f t="shared" si="10"/>
        <v/>
      </c>
    </row>
    <row r="44" spans="1:32" s="606" customFormat="1">
      <c r="A44" s="23"/>
      <c r="B44" s="1" t="s">
        <v>284</v>
      </c>
      <c r="C44" s="2">
        <v>600900</v>
      </c>
      <c r="D44" s="401">
        <v>7421</v>
      </c>
      <c r="E44" s="3" t="s">
        <v>1338</v>
      </c>
      <c r="F44" s="3" t="s">
        <v>1338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30">
        <v>0</v>
      </c>
      <c r="U44" s="30"/>
      <c r="V44" s="30">
        <v>0</v>
      </c>
      <c r="W44" s="30">
        <v>477851825</v>
      </c>
      <c r="X44" s="30">
        <v>1097860647</v>
      </c>
      <c r="Y44" s="30">
        <v>604982737</v>
      </c>
      <c r="Z44" s="30">
        <v>1086362085</v>
      </c>
      <c r="AA44" s="30">
        <f>IFERROR(VLOOKUP(C44,'전사시산표(3단계)_1013'!$C:$L,10,0),0)</f>
        <v>1681512874</v>
      </c>
      <c r="AB44" s="21"/>
      <c r="AC44" s="21">
        <f>IFERROR(VLOOKUP(C44,경상연구개발비대체!$A$2:$B$83,2,0),0)</f>
        <v>0</v>
      </c>
      <c r="AD44" s="35">
        <f t="shared" si="7"/>
        <v>1681512874</v>
      </c>
      <c r="AE44" s="35">
        <f t="shared" si="9"/>
        <v>1681512874</v>
      </c>
      <c r="AF44" s="38" t="str">
        <f t="shared" si="10"/>
        <v/>
      </c>
    </row>
    <row r="45" spans="1:32">
      <c r="B45" s="64" t="s">
        <v>276</v>
      </c>
      <c r="C45" s="65">
        <v>6021</v>
      </c>
      <c r="D45" s="65"/>
      <c r="E45" s="66" t="s">
        <v>87</v>
      </c>
      <c r="F45" s="66"/>
      <c r="G45" s="61">
        <f>SUM(G46:G51)</f>
        <v>465855144</v>
      </c>
      <c r="H45" s="61">
        <f t="shared" si="4"/>
        <v>2211793079</v>
      </c>
      <c r="I45" s="61">
        <v>2677648223</v>
      </c>
      <c r="J45" s="61">
        <v>1589819176</v>
      </c>
      <c r="K45" s="61">
        <f t="shared" si="5"/>
        <v>1589004008</v>
      </c>
      <c r="L45" s="61">
        <v>3178823184</v>
      </c>
      <c r="M45" s="61">
        <f t="shared" si="6"/>
        <v>1592255687</v>
      </c>
      <c r="N45" s="61">
        <v>4771078871</v>
      </c>
      <c r="O45" s="61">
        <f t="shared" si="8"/>
        <v>472014648</v>
      </c>
      <c r="P45" s="61">
        <v>6473698862</v>
      </c>
      <c r="Q45" s="61">
        <v>1742695909</v>
      </c>
      <c r="R45" s="61">
        <f>IFERROR(VLOOKUP(C45,[6]IS_WTB!C$2:U$259,19,),)</f>
        <v>3488339250</v>
      </c>
      <c r="S45" s="61">
        <v>5243093519</v>
      </c>
      <c r="T45" s="520">
        <v>7008460670</v>
      </c>
      <c r="U45" s="520">
        <v>1700926877</v>
      </c>
      <c r="V45" s="520">
        <v>3331241966</v>
      </c>
      <c r="W45" s="520">
        <v>4964559706</v>
      </c>
      <c r="X45" s="520">
        <v>6738156030</v>
      </c>
      <c r="Y45" s="520">
        <v>1796568997</v>
      </c>
      <c r="Z45" s="520">
        <v>3577662624</v>
      </c>
      <c r="AA45" s="520">
        <f>SUM(AA46:AA51)</f>
        <v>5404712841</v>
      </c>
      <c r="AB45" s="61"/>
      <c r="AC45" s="61">
        <f>SUM(AC46:AC51)</f>
        <v>0</v>
      </c>
      <c r="AD45" s="67">
        <f t="shared" si="7"/>
        <v>5404712841</v>
      </c>
      <c r="AE45" s="67">
        <f t="shared" si="9"/>
        <v>3662016932</v>
      </c>
      <c r="AF45" s="62">
        <f t="shared" si="10"/>
        <v>0.52251373082186392</v>
      </c>
    </row>
    <row r="46" spans="1:32">
      <c r="B46" s="1" t="s">
        <v>284</v>
      </c>
      <c r="C46" s="2">
        <v>602110</v>
      </c>
      <c r="D46" s="401">
        <v>7043</v>
      </c>
      <c r="E46" s="3" t="s">
        <v>86</v>
      </c>
      <c r="F46" s="3" t="s">
        <v>341</v>
      </c>
      <c r="G46" s="21">
        <v>451659792</v>
      </c>
      <c r="H46" s="21">
        <f t="shared" si="4"/>
        <v>1970576843</v>
      </c>
      <c r="I46" s="21">
        <v>2422236635</v>
      </c>
      <c r="J46" s="21">
        <v>1471897258</v>
      </c>
      <c r="K46" s="21">
        <f t="shared" si="5"/>
        <v>1471082088</v>
      </c>
      <c r="L46" s="21">
        <v>2942979346</v>
      </c>
      <c r="M46" s="21">
        <f t="shared" si="6"/>
        <v>1474333768</v>
      </c>
      <c r="N46" s="21">
        <v>4417313114</v>
      </c>
      <c r="O46" s="21">
        <f t="shared" si="8"/>
        <v>446470501</v>
      </c>
      <c r="P46" s="21">
        <v>5902011186</v>
      </c>
      <c r="Q46" s="21">
        <v>1616259275</v>
      </c>
      <c r="R46" s="21">
        <f>IFERROR(VLOOKUP(C46,[6]IS_WTB!C$2:U$259,19,),)</f>
        <v>3235465980</v>
      </c>
      <c r="S46" s="21">
        <v>4863783615</v>
      </c>
      <c r="T46" s="30">
        <v>6502714130</v>
      </c>
      <c r="U46" s="30">
        <v>1484266478</v>
      </c>
      <c r="V46" s="30">
        <v>2972921167</v>
      </c>
      <c r="W46" s="30">
        <v>4464578506</v>
      </c>
      <c r="X46" s="30">
        <v>6092556141</v>
      </c>
      <c r="Y46" s="30">
        <v>1646108437</v>
      </c>
      <c r="Z46" s="30">
        <v>3296991505</v>
      </c>
      <c r="AA46" s="30">
        <f>IFERROR(VLOOKUP(C46,'전사시산표(3단계)_1013'!$C:$L,10,0),0)</f>
        <v>4973581163</v>
      </c>
      <c r="AB46" s="21"/>
      <c r="AC46" s="21">
        <f>IFERROR(VLOOKUP(C46,경상연구개발비대체!$A$2:$B$83,2,0),0)</f>
        <v>0</v>
      </c>
      <c r="AD46" s="35">
        <f t="shared" si="7"/>
        <v>4973581163</v>
      </c>
      <c r="AE46" s="35">
        <f t="shared" si="9"/>
        <v>3357321888</v>
      </c>
      <c r="AF46" s="38">
        <f t="shared" si="10"/>
        <v>0.51629547614758819</v>
      </c>
    </row>
    <row r="47" spans="1:32">
      <c r="B47" s="1" t="s">
        <v>284</v>
      </c>
      <c r="C47" s="2">
        <v>602112</v>
      </c>
      <c r="D47" s="401">
        <v>7043</v>
      </c>
      <c r="E47" s="3" t="s">
        <v>85</v>
      </c>
      <c r="F47" s="3" t="s">
        <v>341</v>
      </c>
      <c r="G47" s="21">
        <v>6613133</v>
      </c>
      <c r="H47" s="21">
        <f t="shared" si="4"/>
        <v>28927112</v>
      </c>
      <c r="I47" s="21">
        <v>35540245</v>
      </c>
      <c r="J47" s="21">
        <v>72927453</v>
      </c>
      <c r="K47" s="21">
        <f>L47-J47</f>
        <v>72927454</v>
      </c>
      <c r="L47" s="21">
        <v>145854907</v>
      </c>
      <c r="M47" s="21">
        <f t="shared" si="6"/>
        <v>72927453</v>
      </c>
      <c r="N47" s="21">
        <v>218782360</v>
      </c>
      <c r="O47" s="21">
        <f t="shared" si="8"/>
        <v>64693794</v>
      </c>
      <c r="P47" s="21">
        <v>391709814</v>
      </c>
      <c r="Q47" s="21">
        <v>94492051</v>
      </c>
      <c r="R47" s="21">
        <f>IFERROR(VLOOKUP(C47,[6]IS_WTB!C$2:U$259,19,),)</f>
        <v>188984103</v>
      </c>
      <c r="S47" s="21">
        <v>283476154</v>
      </c>
      <c r="T47" s="30">
        <v>377968206</v>
      </c>
      <c r="U47" s="30">
        <v>182061368</v>
      </c>
      <c r="V47" s="30">
        <v>289122736</v>
      </c>
      <c r="W47" s="30">
        <v>396184104</v>
      </c>
      <c r="X47" s="30">
        <v>476437287</v>
      </c>
      <c r="Y47" s="30">
        <v>118143308</v>
      </c>
      <c r="Z47" s="30">
        <v>216036616</v>
      </c>
      <c r="AA47" s="30">
        <f>IFERROR(VLOOKUP(C47,'전사시산표(3단계)_1013'!$C:$L,10,0),0)</f>
        <v>334179924</v>
      </c>
      <c r="AB47" s="21"/>
      <c r="AC47" s="21">
        <f>IFERROR(VLOOKUP(C47,경상연구개발비대체!$A$2:$B$83,2,0),0)</f>
        <v>0</v>
      </c>
      <c r="AD47" s="35">
        <f t="shared" si="7"/>
        <v>334179924</v>
      </c>
      <c r="AE47" s="35">
        <f t="shared" si="9"/>
        <v>239687873</v>
      </c>
      <c r="AF47" s="38">
        <f t="shared" si="10"/>
        <v>0.63414824102956424</v>
      </c>
    </row>
    <row r="48" spans="1:32">
      <c r="B48" s="1" t="s">
        <v>284</v>
      </c>
      <c r="C48" s="2">
        <v>602130</v>
      </c>
      <c r="D48" s="401">
        <v>7043</v>
      </c>
      <c r="E48" s="3" t="s">
        <v>84</v>
      </c>
      <c r="F48" s="3" t="s">
        <v>341</v>
      </c>
      <c r="G48" s="21">
        <v>72214557</v>
      </c>
      <c r="H48" s="21">
        <f t="shared" si="4"/>
        <v>199476990</v>
      </c>
      <c r="I48" s="21">
        <v>271691547</v>
      </c>
      <c r="J48" s="21">
        <v>197106582</v>
      </c>
      <c r="K48" s="21">
        <f t="shared" si="5"/>
        <v>197106582</v>
      </c>
      <c r="L48" s="21">
        <v>394213164</v>
      </c>
      <c r="M48" s="21">
        <f t="shared" si="6"/>
        <v>197106582</v>
      </c>
      <c r="N48" s="21">
        <v>591319746</v>
      </c>
      <c r="O48" s="21">
        <f t="shared" si="8"/>
        <v>-12639569</v>
      </c>
      <c r="P48" s="21">
        <v>788426328</v>
      </c>
      <c r="Q48" s="21">
        <v>192893392</v>
      </c>
      <c r="R48" s="21">
        <f>IFERROR(VLOOKUP(C48,[6]IS_WTB!C$2:U$259,19,),)</f>
        <v>385786785</v>
      </c>
      <c r="S48" s="21">
        <v>578680177</v>
      </c>
      <c r="T48" s="30">
        <v>771573570</v>
      </c>
      <c r="U48" s="30">
        <v>184215432</v>
      </c>
      <c r="V48" s="30">
        <v>368430865</v>
      </c>
      <c r="W48" s="30">
        <v>552646298</v>
      </c>
      <c r="X48" s="30">
        <v>786423083</v>
      </c>
      <c r="Y48" s="30">
        <v>247330050</v>
      </c>
      <c r="Z48" s="30">
        <v>494660100</v>
      </c>
      <c r="AA48" s="30">
        <f>IFERROR(VLOOKUP(C48,'전사시산표(3단계)_1013'!$C:$L,10,0),0)</f>
        <v>741990150</v>
      </c>
      <c r="AB48" s="21"/>
      <c r="AC48" s="21">
        <f>IFERROR(VLOOKUP(C48,경상연구개발비대체!$A$2:$B$83,2,0),0)</f>
        <v>0</v>
      </c>
      <c r="AD48" s="35">
        <f t="shared" si="7"/>
        <v>741990150</v>
      </c>
      <c r="AE48" s="35">
        <f t="shared" si="9"/>
        <v>549096758</v>
      </c>
      <c r="AF48" s="38">
        <f t="shared" si="10"/>
        <v>0.71165832961333808</v>
      </c>
    </row>
    <row r="49" spans="2:32">
      <c r="B49" s="1" t="s">
        <v>284</v>
      </c>
      <c r="C49" s="2">
        <v>602131</v>
      </c>
      <c r="D49" s="401">
        <v>7043</v>
      </c>
      <c r="E49" s="3" t="s">
        <v>83</v>
      </c>
      <c r="F49" s="3" t="s">
        <v>341</v>
      </c>
      <c r="G49" s="21">
        <v>1225067</v>
      </c>
      <c r="H49" s="21">
        <f t="shared" si="4"/>
        <v>2379689</v>
      </c>
      <c r="I49" s="21">
        <v>3604756</v>
      </c>
      <c r="J49" s="21">
        <v>4278527</v>
      </c>
      <c r="K49" s="21">
        <f t="shared" si="5"/>
        <v>4278528</v>
      </c>
      <c r="L49" s="21">
        <v>8557055</v>
      </c>
      <c r="M49" s="21">
        <f t="shared" si="6"/>
        <v>4278528</v>
      </c>
      <c r="N49" s="21">
        <v>12835583</v>
      </c>
      <c r="O49" s="21">
        <f t="shared" si="8"/>
        <v>6061800</v>
      </c>
      <c r="P49" s="21">
        <v>17114111</v>
      </c>
      <c r="Q49" s="21">
        <v>6299127</v>
      </c>
      <c r="R49" s="21">
        <f>IFERROR(VLOOKUP(C49,[6]IS_WTB!C$2:U$259,19,),)</f>
        <v>12598255</v>
      </c>
      <c r="S49" s="21">
        <v>18897383</v>
      </c>
      <c r="T49" s="30">
        <v>25196511</v>
      </c>
      <c r="U49" s="30">
        <v>7549067</v>
      </c>
      <c r="V49" s="30">
        <v>15098135</v>
      </c>
      <c r="W49" s="30">
        <v>22647203</v>
      </c>
      <c r="X49" s="30">
        <v>32227273</v>
      </c>
      <c r="Y49" s="30">
        <v>10135477</v>
      </c>
      <c r="Z49" s="30">
        <v>20270954</v>
      </c>
      <c r="AA49" s="30">
        <f>IFERROR(VLOOKUP(C49,'전사시산표(3단계)_1013'!$C:$L,10,0),0)</f>
        <v>30406431</v>
      </c>
      <c r="AB49" s="21"/>
      <c r="AC49" s="21">
        <f>IFERROR(VLOOKUP(C49,경상연구개발비대체!$A$2:$B$83,2,0),0)</f>
        <v>0</v>
      </c>
      <c r="AD49" s="35">
        <f t="shared" si="7"/>
        <v>30406431</v>
      </c>
      <c r="AE49" s="35">
        <f t="shared" si="9"/>
        <v>24107304</v>
      </c>
      <c r="AF49" s="38">
        <f t="shared" si="10"/>
        <v>0.9567715149133148</v>
      </c>
    </row>
    <row r="50" spans="2:32">
      <c r="B50" s="1" t="s">
        <v>284</v>
      </c>
      <c r="C50" s="2">
        <v>602140</v>
      </c>
      <c r="D50" s="401">
        <v>7043</v>
      </c>
      <c r="E50" s="3" t="s">
        <v>82</v>
      </c>
      <c r="F50" s="3" t="s">
        <v>341</v>
      </c>
      <c r="G50" s="21">
        <v>-64968391</v>
      </c>
      <c r="H50" s="21">
        <f t="shared" si="4"/>
        <v>10592240</v>
      </c>
      <c r="I50" s="21">
        <v>-54376151</v>
      </c>
      <c r="J50" s="21">
        <v>-148788635</v>
      </c>
      <c r="K50" s="21">
        <f t="shared" si="5"/>
        <v>-148788634</v>
      </c>
      <c r="L50" s="21">
        <v>-297577269</v>
      </c>
      <c r="M50" s="21">
        <f t="shared" si="6"/>
        <v>-148788635</v>
      </c>
      <c r="N50" s="21">
        <v>-446365904</v>
      </c>
      <c r="O50" s="21">
        <f t="shared" si="8"/>
        <v>-26693106</v>
      </c>
      <c r="P50" s="21">
        <v>-595154540</v>
      </c>
      <c r="Q50" s="21">
        <v>-157686336</v>
      </c>
      <c r="R50" s="21">
        <f>IFERROR(VLOOKUP(C50,[6]IS_WTB!C$2:U$259,19,),)</f>
        <v>-315372673</v>
      </c>
      <c r="S50" s="21">
        <v>-473059010</v>
      </c>
      <c r="T50" s="30">
        <v>-630745347</v>
      </c>
      <c r="U50" s="30">
        <v>-145963693</v>
      </c>
      <c r="V50" s="30">
        <v>-291927386</v>
      </c>
      <c r="W50" s="30">
        <v>-437891079</v>
      </c>
      <c r="X50" s="30">
        <v>-603196313</v>
      </c>
      <c r="Y50" s="30">
        <v>-209101109</v>
      </c>
      <c r="Z50" s="30">
        <v>-418202218</v>
      </c>
      <c r="AA50" s="30">
        <f>IFERROR(VLOOKUP(C50,'전사시산표(3단계)_1013'!$C:$L,10,0),0)</f>
        <v>-627303328</v>
      </c>
      <c r="AB50" s="21"/>
      <c r="AC50" s="21">
        <f>IFERROR(VLOOKUP(C50,경상연구개발비대체!$A$2:$B$83,2,0),0)</f>
        <v>0</v>
      </c>
      <c r="AD50" s="35">
        <f t="shared" si="7"/>
        <v>-627303328</v>
      </c>
      <c r="AE50" s="35">
        <f t="shared" si="9"/>
        <v>-469616992</v>
      </c>
      <c r="AF50" s="38">
        <f t="shared" si="10"/>
        <v>0.74454293516968262</v>
      </c>
    </row>
    <row r="51" spans="2:32">
      <c r="B51" s="1" t="s">
        <v>284</v>
      </c>
      <c r="C51" s="2">
        <v>602141</v>
      </c>
      <c r="D51" s="401">
        <v>7043</v>
      </c>
      <c r="E51" s="3" t="s">
        <v>81</v>
      </c>
      <c r="F51" s="3" t="s">
        <v>341</v>
      </c>
      <c r="G51" s="21">
        <v>-889014</v>
      </c>
      <c r="H51" s="21">
        <f t="shared" si="4"/>
        <v>-159795</v>
      </c>
      <c r="I51" s="21">
        <v>-1048809</v>
      </c>
      <c r="J51" s="21">
        <v>-7602009</v>
      </c>
      <c r="K51" s="21">
        <f t="shared" si="5"/>
        <v>-7602010</v>
      </c>
      <c r="L51" s="21">
        <v>-15204019</v>
      </c>
      <c r="M51" s="21">
        <f t="shared" si="6"/>
        <v>-7602009</v>
      </c>
      <c r="N51" s="21">
        <v>-22806028</v>
      </c>
      <c r="O51" s="21">
        <f t="shared" si="8"/>
        <v>-5878772</v>
      </c>
      <c r="P51" s="21">
        <v>-30408037</v>
      </c>
      <c r="Q51" s="21">
        <v>-9561600</v>
      </c>
      <c r="R51" s="21">
        <f>IFERROR(VLOOKUP(C51,[6]IS_WTB!C$2:U$259,19,),)</f>
        <v>-19123200</v>
      </c>
      <c r="S51" s="21">
        <v>-28684800</v>
      </c>
      <c r="T51" s="30">
        <v>-38246400</v>
      </c>
      <c r="U51" s="30">
        <v>-11201775</v>
      </c>
      <c r="V51" s="30">
        <v>-22403551</v>
      </c>
      <c r="W51" s="30">
        <v>-33605326</v>
      </c>
      <c r="X51" s="30">
        <v>-46291441</v>
      </c>
      <c r="Y51" s="30">
        <v>-16047166</v>
      </c>
      <c r="Z51" s="30">
        <v>-32094333</v>
      </c>
      <c r="AA51" s="30">
        <f>IFERROR(VLOOKUP(C51,'전사시산표(3단계)_1013'!$C:$L,10,0),0)</f>
        <v>-48141499</v>
      </c>
      <c r="AB51" s="21"/>
      <c r="AC51" s="21">
        <f>IFERROR(VLOOKUP(C51,경상연구개발비대체!$A$2:$B$83,2,0),0)</f>
        <v>0</v>
      </c>
      <c r="AD51" s="35">
        <f t="shared" si="7"/>
        <v>-48141499</v>
      </c>
      <c r="AE51" s="35">
        <f t="shared" si="9"/>
        <v>-38579899</v>
      </c>
      <c r="AF51" s="38">
        <f t="shared" si="10"/>
        <v>1.008719748786814</v>
      </c>
    </row>
    <row r="52" spans="2:32">
      <c r="B52" s="64" t="s">
        <v>276</v>
      </c>
      <c r="C52" s="65">
        <v>6031</v>
      </c>
      <c r="D52" s="65"/>
      <c r="E52" s="66" t="s">
        <v>80</v>
      </c>
      <c r="F52" s="66"/>
      <c r="G52" s="61">
        <f>SUM(G53:G69)</f>
        <v>1212233134</v>
      </c>
      <c r="H52" s="61">
        <f t="shared" si="4"/>
        <v>4953303166</v>
      </c>
      <c r="I52" s="61">
        <v>6165536300</v>
      </c>
      <c r="J52" s="61">
        <v>4302572887</v>
      </c>
      <c r="K52" s="61">
        <f t="shared" si="5"/>
        <v>2588465333</v>
      </c>
      <c r="L52" s="61">
        <v>6891038220</v>
      </c>
      <c r="M52" s="61">
        <f t="shared" si="6"/>
        <v>3438248587</v>
      </c>
      <c r="N52" s="61">
        <v>10329286807</v>
      </c>
      <c r="O52" s="61">
        <f t="shared" si="8"/>
        <v>3522937608</v>
      </c>
      <c r="P52" s="61">
        <v>15724450244</v>
      </c>
      <c r="Q52" s="61">
        <v>3740940872</v>
      </c>
      <c r="R52" s="61">
        <f>IFERROR(VLOOKUP(C52,[6]IS_WTB!C$2:U$259,19,),)</f>
        <v>8358795123</v>
      </c>
      <c r="S52" s="61">
        <v>13852224415</v>
      </c>
      <c r="T52" s="520">
        <v>18530961323</v>
      </c>
      <c r="U52" s="520">
        <v>4643764903</v>
      </c>
      <c r="V52" s="520">
        <v>9906935790</v>
      </c>
      <c r="W52" s="520">
        <v>14842480864</v>
      </c>
      <c r="X52" s="520">
        <v>23238415973</v>
      </c>
      <c r="Y52" s="520">
        <v>5594079767</v>
      </c>
      <c r="Z52" s="520">
        <v>13643047948</v>
      </c>
      <c r="AA52" s="520">
        <f>SUM(AA53:AA69)</f>
        <v>20902380946</v>
      </c>
      <c r="AB52" s="61"/>
      <c r="AC52" s="61">
        <f>SUM(AC53:AC69)</f>
        <v>2624687014</v>
      </c>
      <c r="AD52" s="67">
        <f t="shared" si="7"/>
        <v>18277693932</v>
      </c>
      <c r="AE52" s="67">
        <f t="shared" si="9"/>
        <v>14536753060</v>
      </c>
      <c r="AF52" s="62">
        <f t="shared" si="10"/>
        <v>0.78445757921676063</v>
      </c>
    </row>
    <row r="53" spans="2:32">
      <c r="B53" s="1" t="s">
        <v>284</v>
      </c>
      <c r="C53" s="2">
        <v>603100</v>
      </c>
      <c r="D53" s="2">
        <v>7059</v>
      </c>
      <c r="E53" s="3" t="s">
        <v>79</v>
      </c>
      <c r="F53" s="3" t="s">
        <v>341</v>
      </c>
      <c r="G53" s="21">
        <v>230152348</v>
      </c>
      <c r="H53" s="21">
        <f t="shared" si="4"/>
        <v>741219953</v>
      </c>
      <c r="I53" s="21">
        <v>971372301</v>
      </c>
      <c r="J53" s="21">
        <v>903764760</v>
      </c>
      <c r="K53" s="21">
        <f t="shared" si="5"/>
        <v>449768737</v>
      </c>
      <c r="L53" s="21">
        <v>1353533497</v>
      </c>
      <c r="M53" s="21">
        <f t="shared" si="6"/>
        <v>667777363</v>
      </c>
      <c r="N53" s="21">
        <v>2021310860</v>
      </c>
      <c r="O53" s="21">
        <f t="shared" si="8"/>
        <v>522835527</v>
      </c>
      <c r="P53" s="21">
        <v>2712679068</v>
      </c>
      <c r="Q53" s="21">
        <v>849608927</v>
      </c>
      <c r="R53" s="21">
        <f>IFERROR(VLOOKUP(C53,[6]IS_WTB!C$2:U$259,19,),)</f>
        <v>1695143101</v>
      </c>
      <c r="S53" s="21">
        <v>2544146387</v>
      </c>
      <c r="T53" s="30">
        <v>3394327726</v>
      </c>
      <c r="U53" s="30">
        <v>876348222</v>
      </c>
      <c r="V53" s="30">
        <v>1749897282</v>
      </c>
      <c r="W53" s="30">
        <v>2636222615</v>
      </c>
      <c r="X53" s="30">
        <v>3539612840</v>
      </c>
      <c r="Y53" s="30">
        <v>920288841</v>
      </c>
      <c r="Z53" s="30">
        <v>2494753978</v>
      </c>
      <c r="AA53" s="30">
        <f>IFERROR(VLOOKUP(C53,'전사시산표(3단계)_1013'!$C:$L,10,0),0)</f>
        <v>3746860532</v>
      </c>
      <c r="AB53" s="21"/>
      <c r="AC53" s="21">
        <f>IFERROR(VLOOKUP(C53,경상연구개발비대체!$A$2:$B$83,2,0),0)</f>
        <v>973049670</v>
      </c>
      <c r="AD53" s="35">
        <f t="shared" si="7"/>
        <v>2773810862</v>
      </c>
      <c r="AE53" s="35">
        <f t="shared" si="9"/>
        <v>1924201935</v>
      </c>
      <c r="AF53" s="38">
        <f t="shared" si="10"/>
        <v>0.56688749299630825</v>
      </c>
    </row>
    <row r="54" spans="2:32">
      <c r="B54" s="1" t="s">
        <v>284</v>
      </c>
      <c r="C54" s="2">
        <v>603200</v>
      </c>
      <c r="D54" s="401">
        <v>7051</v>
      </c>
      <c r="E54" s="3" t="s">
        <v>78</v>
      </c>
      <c r="F54" s="3" t="s">
        <v>341</v>
      </c>
      <c r="G54" s="21">
        <v>177088056</v>
      </c>
      <c r="H54" s="21">
        <f t="shared" si="4"/>
        <v>531551226</v>
      </c>
      <c r="I54" s="21">
        <v>708639282</v>
      </c>
      <c r="J54" s="21">
        <v>669215750</v>
      </c>
      <c r="K54" s="21">
        <f t="shared" si="5"/>
        <v>235938294</v>
      </c>
      <c r="L54" s="21">
        <v>905154044</v>
      </c>
      <c r="M54" s="21">
        <f t="shared" si="6"/>
        <v>493527872</v>
      </c>
      <c r="N54" s="21">
        <v>1398681916</v>
      </c>
      <c r="O54" s="21">
        <f t="shared" si="8"/>
        <v>282873586</v>
      </c>
      <c r="P54" s="21">
        <v>1881638055</v>
      </c>
      <c r="Q54" s="21">
        <v>519293978</v>
      </c>
      <c r="R54" s="21">
        <f>IFERROR(VLOOKUP(C54,[6]IS_WTB!C$2:U$259,19,),)</f>
        <v>1111140470</v>
      </c>
      <c r="S54" s="21">
        <v>1681555502</v>
      </c>
      <c r="T54" s="30">
        <v>2269149163</v>
      </c>
      <c r="U54" s="30">
        <v>612242097</v>
      </c>
      <c r="V54" s="30">
        <v>1433571849</v>
      </c>
      <c r="W54" s="30">
        <v>2106976806</v>
      </c>
      <c r="X54" s="30">
        <v>2785993433</v>
      </c>
      <c r="Y54" s="30">
        <v>691591553</v>
      </c>
      <c r="Z54" s="30">
        <v>2053039350</v>
      </c>
      <c r="AA54" s="30">
        <f>IFERROR(VLOOKUP(C54,'전사시산표(3단계)_1013'!$C:$L,10,0),0)</f>
        <v>3058039150</v>
      </c>
      <c r="AB54" s="21"/>
      <c r="AC54" s="21">
        <f>IFERROR(VLOOKUP(C54,경상연구개발비대체!$A$2:$B$83,2,0),0)</f>
        <v>717016200</v>
      </c>
      <c r="AD54" s="35">
        <f t="shared" si="7"/>
        <v>2341022950</v>
      </c>
      <c r="AE54" s="35">
        <f t="shared" si="9"/>
        <v>1821728972</v>
      </c>
      <c r="AF54" s="38">
        <f t="shared" si="10"/>
        <v>0.80282468940540075</v>
      </c>
    </row>
    <row r="55" spans="2:32">
      <c r="B55" s="1" t="s">
        <v>284</v>
      </c>
      <c r="C55" s="2">
        <v>603210</v>
      </c>
      <c r="D55" s="401">
        <v>7056</v>
      </c>
      <c r="E55" s="3" t="s">
        <v>77</v>
      </c>
      <c r="F55" s="3" t="s">
        <v>341</v>
      </c>
      <c r="G55" s="21">
        <v>159356238</v>
      </c>
      <c r="H55" s="21">
        <f t="shared" si="4"/>
        <v>478283320</v>
      </c>
      <c r="I55" s="21">
        <v>637639558</v>
      </c>
      <c r="J55" s="21">
        <v>587580290</v>
      </c>
      <c r="K55" s="21">
        <f t="shared" si="5"/>
        <v>300939200</v>
      </c>
      <c r="L55" s="21">
        <v>888519490</v>
      </c>
      <c r="M55" s="21">
        <f t="shared" si="6"/>
        <v>439022124</v>
      </c>
      <c r="N55" s="21">
        <v>1327541614</v>
      </c>
      <c r="O55" s="21">
        <f t="shared" si="8"/>
        <v>73627880</v>
      </c>
      <c r="P55" s="21">
        <v>1765958203</v>
      </c>
      <c r="Q55" s="21">
        <v>455234781</v>
      </c>
      <c r="R55" s="21">
        <f>IFERROR(VLOOKUP(C55,[6]IS_WTB!C$2:U$259,19,),)</f>
        <v>912484450</v>
      </c>
      <c r="S55" s="21">
        <v>1401169494</v>
      </c>
      <c r="T55" s="30">
        <v>1889651457</v>
      </c>
      <c r="U55" s="30">
        <v>500537916</v>
      </c>
      <c r="V55" s="30">
        <v>1008371255</v>
      </c>
      <c r="W55" s="30">
        <v>1557667207</v>
      </c>
      <c r="X55" s="30">
        <v>2117062529</v>
      </c>
      <c r="Y55" s="30">
        <v>559485844</v>
      </c>
      <c r="Z55" s="30">
        <v>1490761160</v>
      </c>
      <c r="AA55" s="30">
        <f>IFERROR(VLOOKUP(C55,'전사시산표(3단계)_1013'!$C:$L,10,0),0)</f>
        <v>2292355330</v>
      </c>
      <c r="AB55" s="21"/>
      <c r="AC55" s="21">
        <f>IFERROR(VLOOKUP(C55,경상연구개발비대체!$A$2:$B$83,2,0),0)</f>
        <v>556306317</v>
      </c>
      <c r="AD55" s="35">
        <f t="shared" si="7"/>
        <v>1736049013</v>
      </c>
      <c r="AE55" s="35">
        <f t="shared" si="9"/>
        <v>1280814232</v>
      </c>
      <c r="AF55" s="38">
        <f t="shared" si="10"/>
        <v>0.67780448466058041</v>
      </c>
    </row>
    <row r="56" spans="2:32">
      <c r="B56" s="1" t="s">
        <v>284</v>
      </c>
      <c r="C56" s="2">
        <v>603220</v>
      </c>
      <c r="D56" s="401">
        <v>7052</v>
      </c>
      <c r="E56" s="3" t="s">
        <v>76</v>
      </c>
      <c r="F56" s="3" t="s">
        <v>341</v>
      </c>
      <c r="G56" s="21">
        <v>73410000</v>
      </c>
      <c r="H56" s="21">
        <f t="shared" si="4"/>
        <v>221120490</v>
      </c>
      <c r="I56" s="21">
        <v>294530490</v>
      </c>
      <c r="J56" s="21">
        <v>201593740</v>
      </c>
      <c r="K56" s="21">
        <f t="shared" si="5"/>
        <v>120498800</v>
      </c>
      <c r="L56" s="21">
        <v>322092540</v>
      </c>
      <c r="M56" s="21">
        <f t="shared" si="6"/>
        <v>167633820</v>
      </c>
      <c r="N56" s="21">
        <v>489726360</v>
      </c>
      <c r="O56" s="21">
        <f t="shared" si="8"/>
        <v>100509610</v>
      </c>
      <c r="P56" s="21">
        <v>637716110</v>
      </c>
      <c r="Q56" s="21">
        <v>170925410</v>
      </c>
      <c r="R56" s="21">
        <f>IFERROR(VLOOKUP(C56,[6]IS_WTB!C$2:U$259,19,),)</f>
        <v>411848460</v>
      </c>
      <c r="S56" s="21">
        <v>590235970</v>
      </c>
      <c r="T56" s="30">
        <v>774384040</v>
      </c>
      <c r="U56" s="30">
        <v>191543420</v>
      </c>
      <c r="V56" s="30">
        <v>492651780</v>
      </c>
      <c r="W56" s="30">
        <v>702847190</v>
      </c>
      <c r="X56" s="30">
        <v>889210950</v>
      </c>
      <c r="Y56" s="30">
        <v>213124530</v>
      </c>
      <c r="Z56" s="30">
        <v>528549980</v>
      </c>
      <c r="AA56" s="30">
        <f>IFERROR(VLOOKUP(C56,'전사시산표(3단계)_1013'!$C:$L,10,0),0)</f>
        <v>738523340</v>
      </c>
      <c r="AB56" s="21"/>
      <c r="AC56" s="21">
        <f>IFERROR(VLOOKUP(C56,경상연구개발비대체!$A$2:$B$83,2,0),0)</f>
        <v>0</v>
      </c>
      <c r="AD56" s="35">
        <f t="shared" si="7"/>
        <v>738523340</v>
      </c>
      <c r="AE56" s="35">
        <f t="shared" si="9"/>
        <v>567597930</v>
      </c>
      <c r="AF56" s="38">
        <f t="shared" si="10"/>
        <v>0.73296697850332759</v>
      </c>
    </row>
    <row r="57" spans="2:32">
      <c r="B57" s="1" t="s">
        <v>284</v>
      </c>
      <c r="C57" s="2">
        <v>603230</v>
      </c>
      <c r="D57" s="401">
        <v>7056</v>
      </c>
      <c r="E57" s="3" t="s">
        <v>75</v>
      </c>
      <c r="F57" s="3" t="s">
        <v>341</v>
      </c>
      <c r="G57" s="21">
        <v>136300000</v>
      </c>
      <c r="H57" s="21">
        <f t="shared" si="4"/>
        <v>269214940</v>
      </c>
      <c r="I57" s="21">
        <v>405514940</v>
      </c>
      <c r="J57" s="21">
        <v>305199060</v>
      </c>
      <c r="K57" s="21">
        <f t="shared" si="5"/>
        <v>171773760</v>
      </c>
      <c r="L57" s="21">
        <v>476972820</v>
      </c>
      <c r="M57" s="21">
        <f t="shared" si="6"/>
        <v>244562960</v>
      </c>
      <c r="N57" s="21">
        <v>721535780</v>
      </c>
      <c r="O57" s="21">
        <f t="shared" si="8"/>
        <v>283640910</v>
      </c>
      <c r="P57" s="21">
        <v>992431830</v>
      </c>
      <c r="Q57" s="21">
        <v>280344430</v>
      </c>
      <c r="R57" s="21">
        <f>IFERROR(VLOOKUP(C57,[6]IS_WTB!C$2:U$259,19,),)</f>
        <v>686710720</v>
      </c>
      <c r="S57" s="21">
        <v>1005176690</v>
      </c>
      <c r="T57" s="30">
        <v>1315434930</v>
      </c>
      <c r="U57" s="30">
        <v>329577480</v>
      </c>
      <c r="V57" s="30">
        <v>851415450</v>
      </c>
      <c r="W57" s="30">
        <v>1212358510</v>
      </c>
      <c r="X57" s="30">
        <v>1574903240</v>
      </c>
      <c r="Y57" s="30">
        <v>366983710</v>
      </c>
      <c r="Z57" s="30">
        <v>918727170</v>
      </c>
      <c r="AA57" s="30">
        <f>IFERROR(VLOOKUP(C57,'전사시산표(3단계)_1013'!$C:$L,10,0),0)</f>
        <v>1337810020</v>
      </c>
      <c r="AB57" s="21"/>
      <c r="AC57" s="21">
        <f>IFERROR(VLOOKUP(C57,경상연구개발비대체!$A$2:$B$83,2,0),0)</f>
        <v>0</v>
      </c>
      <c r="AD57" s="35">
        <f t="shared" si="7"/>
        <v>1337810020</v>
      </c>
      <c r="AE57" s="35">
        <f t="shared" si="9"/>
        <v>1057465590</v>
      </c>
      <c r="AF57" s="38">
        <f t="shared" si="10"/>
        <v>0.80389045925669622</v>
      </c>
    </row>
    <row r="58" spans="2:32">
      <c r="B58" s="1" t="s">
        <v>284</v>
      </c>
      <c r="C58" s="2">
        <v>603300</v>
      </c>
      <c r="D58" s="401">
        <v>7051</v>
      </c>
      <c r="E58" s="3" t="s">
        <v>74</v>
      </c>
      <c r="F58" s="3" t="s">
        <v>341</v>
      </c>
      <c r="G58" s="21">
        <v>3422041</v>
      </c>
      <c r="H58" s="21">
        <f t="shared" si="4"/>
        <v>280793022</v>
      </c>
      <c r="I58" s="21">
        <v>284215063</v>
      </c>
      <c r="J58" s="21">
        <v>95108095</v>
      </c>
      <c r="K58" s="21">
        <f t="shared" si="5"/>
        <v>140653599</v>
      </c>
      <c r="L58" s="21">
        <v>235761694</v>
      </c>
      <c r="M58" s="21">
        <f t="shared" si="6"/>
        <v>190877283</v>
      </c>
      <c r="N58" s="21">
        <v>426638977</v>
      </c>
      <c r="O58" s="21">
        <f t="shared" si="8"/>
        <v>-285409336</v>
      </c>
      <c r="P58" s="21">
        <v>804655738</v>
      </c>
      <c r="Q58" s="21">
        <v>6442691</v>
      </c>
      <c r="R58" s="21">
        <f>IFERROR(VLOOKUP(C58,[6]IS_WTB!C$2:U$259,19,),)</f>
        <v>58645382</v>
      </c>
      <c r="S58" s="21">
        <v>141229641</v>
      </c>
      <c r="T58" s="30">
        <v>401653240</v>
      </c>
      <c r="U58" s="30">
        <v>404723</v>
      </c>
      <c r="V58" s="30">
        <v>110056314</v>
      </c>
      <c r="W58" s="30">
        <v>212680573</v>
      </c>
      <c r="X58" s="30">
        <v>434003732</v>
      </c>
      <c r="Y58" s="30">
        <v>141123</v>
      </c>
      <c r="Z58" s="30">
        <v>80891533</v>
      </c>
      <c r="AA58" s="30">
        <f>IFERROR(VLOOKUP(C58,'전사시산표(3단계)_1013'!$C:$L,10,0),0)</f>
        <v>217442919</v>
      </c>
      <c r="AB58" s="21"/>
      <c r="AC58" s="21">
        <f>IFERROR(VLOOKUP(C58,경상연구개발비대체!$A$2:$B$83,2,0),0)</f>
        <v>0</v>
      </c>
      <c r="AD58" s="35">
        <f t="shared" ref="AD58:AD89" si="11">AA58+AB58-AC58</f>
        <v>217442919</v>
      </c>
      <c r="AE58" s="35">
        <f t="shared" si="9"/>
        <v>211000228</v>
      </c>
      <c r="AF58" s="38">
        <f t="shared" si="10"/>
        <v>0.52532933134063597</v>
      </c>
    </row>
    <row r="59" spans="2:32">
      <c r="B59" s="1" t="s">
        <v>284</v>
      </c>
      <c r="C59" s="2">
        <v>603310</v>
      </c>
      <c r="D59" s="401">
        <v>7051</v>
      </c>
      <c r="E59" s="3" t="s">
        <v>1084</v>
      </c>
      <c r="F59" s="3" t="s">
        <v>341</v>
      </c>
      <c r="G59" s="21">
        <v>0</v>
      </c>
      <c r="H59" s="21">
        <v>0</v>
      </c>
      <c r="I59" s="21">
        <v>0</v>
      </c>
      <c r="J59" s="21">
        <v>0</v>
      </c>
      <c r="K59" s="21">
        <f t="shared" ref="K59" si="12">L59-J59</f>
        <v>0</v>
      </c>
      <c r="L59" s="21">
        <v>0</v>
      </c>
      <c r="M59" s="21">
        <f t="shared" si="6"/>
        <v>0</v>
      </c>
      <c r="N59" s="21">
        <v>0</v>
      </c>
      <c r="O59" s="21">
        <f t="shared" si="8"/>
        <v>11189998</v>
      </c>
      <c r="P59" s="21">
        <v>90909</v>
      </c>
      <c r="Q59" s="21">
        <v>2204545</v>
      </c>
      <c r="R59" s="21">
        <f>IFERROR(VLOOKUP(C59,[6]IS_WTB!C$2:U$259,19,),)</f>
        <v>7390908</v>
      </c>
      <c r="S59" s="21">
        <v>11189998</v>
      </c>
      <c r="T59" s="30">
        <v>14797270</v>
      </c>
      <c r="U59" s="30">
        <v>3771817</v>
      </c>
      <c r="V59" s="30">
        <v>10371634</v>
      </c>
      <c r="W59" s="30">
        <v>13190724</v>
      </c>
      <c r="X59" s="30">
        <v>15538905</v>
      </c>
      <c r="Y59" s="30">
        <v>6379999</v>
      </c>
      <c r="Z59" s="30">
        <v>11949089</v>
      </c>
      <c r="AA59" s="30">
        <f>IFERROR(VLOOKUP(C59,'전사시산표(3단계)_1013'!$C:$L,10,0),0)</f>
        <v>15304270</v>
      </c>
      <c r="AB59" s="21"/>
      <c r="AC59" s="21">
        <f>IFERROR(VLOOKUP(C59,경상연구개발비대체!$A$2:$B$83,2,0),0)</f>
        <v>0</v>
      </c>
      <c r="AD59" s="35">
        <f t="shared" si="11"/>
        <v>15304270</v>
      </c>
      <c r="AE59" s="35">
        <f t="shared" si="9"/>
        <v>13099725</v>
      </c>
      <c r="AF59" s="38">
        <f t="shared" si="10"/>
        <v>0.88527985229707917</v>
      </c>
    </row>
    <row r="60" spans="2:32">
      <c r="B60" s="1" t="s">
        <v>284</v>
      </c>
      <c r="C60" s="2">
        <v>603320</v>
      </c>
      <c r="D60" s="401">
        <v>7059</v>
      </c>
      <c r="E60" s="3" t="s">
        <v>494</v>
      </c>
      <c r="F60" s="3" t="s">
        <v>341</v>
      </c>
      <c r="G60" s="21">
        <v>0</v>
      </c>
      <c r="H60" s="21">
        <f t="shared" si="4"/>
        <v>2346300</v>
      </c>
      <c r="I60" s="21">
        <v>2346300</v>
      </c>
      <c r="J60" s="21">
        <v>1989900</v>
      </c>
      <c r="K60" s="21">
        <f t="shared" si="5"/>
        <v>0</v>
      </c>
      <c r="L60" s="21">
        <v>1989900</v>
      </c>
      <c r="M60" s="21">
        <f t="shared" si="6"/>
        <v>0</v>
      </c>
      <c r="N60" s="21">
        <v>1989900</v>
      </c>
      <c r="O60" s="21">
        <f t="shared" si="8"/>
        <v>-1989900</v>
      </c>
      <c r="P60" s="21">
        <v>1989900</v>
      </c>
      <c r="Q60" s="21">
        <v>0</v>
      </c>
      <c r="R60" s="21">
        <f>IFERROR(VLOOKUP(C60,[6]IS_WTB!C$2:U$259,19,),)</f>
        <v>0</v>
      </c>
      <c r="S60" s="21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f>IFERROR(VLOOKUP(C60,'전사시산표(3단계)_1013'!$C:$L,10,0),0)</f>
        <v>0</v>
      </c>
      <c r="AB60" s="21"/>
      <c r="AC60" s="21">
        <f>IFERROR(VLOOKUP(C60,경상연구개발비대체!$A$2:$B$83,2,0),0)</f>
        <v>0</v>
      </c>
      <c r="AD60" s="35">
        <f t="shared" si="11"/>
        <v>0</v>
      </c>
      <c r="AE60" s="35">
        <f t="shared" si="9"/>
        <v>0</v>
      </c>
      <c r="AF60" s="38" t="str">
        <f t="shared" si="10"/>
        <v/>
      </c>
    </row>
    <row r="61" spans="2:32">
      <c r="B61" s="1" t="s">
        <v>284</v>
      </c>
      <c r="C61" s="2">
        <v>603390</v>
      </c>
      <c r="D61" s="401">
        <v>7059</v>
      </c>
      <c r="E61" s="3" t="s">
        <v>73</v>
      </c>
      <c r="F61" s="3" t="s">
        <v>341</v>
      </c>
      <c r="G61" s="21">
        <v>20728369</v>
      </c>
      <c r="H61" s="21">
        <f t="shared" si="4"/>
        <v>1950591531</v>
      </c>
      <c r="I61" s="21">
        <v>1971319900</v>
      </c>
      <c r="J61" s="21">
        <v>934680766</v>
      </c>
      <c r="K61" s="21">
        <f t="shared" si="5"/>
        <v>648577301</v>
      </c>
      <c r="L61" s="21">
        <v>1583258067</v>
      </c>
      <c r="M61" s="21">
        <f t="shared" si="6"/>
        <v>785259967</v>
      </c>
      <c r="N61" s="21">
        <v>2368518034</v>
      </c>
      <c r="O61" s="21">
        <f t="shared" si="8"/>
        <v>1963519216</v>
      </c>
      <c r="P61" s="21">
        <v>4699461051</v>
      </c>
      <c r="Q61" s="21">
        <v>738696125</v>
      </c>
      <c r="R61" s="21">
        <f>IFERROR(VLOOKUP(C61,[6]IS_WTB!C$2:U$259,19,),)</f>
        <v>2079291611</v>
      </c>
      <c r="S61" s="21">
        <v>4332037250</v>
      </c>
      <c r="T61" s="30">
        <v>5642451672</v>
      </c>
      <c r="U61" s="30">
        <v>1645176256</v>
      </c>
      <c r="V61" s="30">
        <v>3311441714</v>
      </c>
      <c r="W61" s="30">
        <v>4983173706</v>
      </c>
      <c r="X61" s="30">
        <v>9123577523</v>
      </c>
      <c r="Y61" s="30">
        <v>2264725208</v>
      </c>
      <c r="Z61" s="30">
        <v>4543702524</v>
      </c>
      <c r="AA61" s="30">
        <f>IFERROR(VLOOKUP(C61,'전사시산표(3단계)_1013'!$C:$L,10,0),0)</f>
        <v>6849009485</v>
      </c>
      <c r="AB61" s="21"/>
      <c r="AC61" s="21">
        <f>IFERROR(VLOOKUP(C61,경상연구개발비대체!$A$2:$B$83,2,0),0)</f>
        <v>0</v>
      </c>
      <c r="AD61" s="35">
        <f t="shared" si="11"/>
        <v>6849009485</v>
      </c>
      <c r="AE61" s="35">
        <f t="shared" si="9"/>
        <v>6110313360</v>
      </c>
      <c r="AF61" s="38">
        <f t="shared" si="10"/>
        <v>1.0829181560068486</v>
      </c>
    </row>
    <row r="62" spans="2:32">
      <c r="B62" s="1" t="s">
        <v>284</v>
      </c>
      <c r="C62" s="2">
        <v>603392</v>
      </c>
      <c r="D62" s="401">
        <v>7059</v>
      </c>
      <c r="E62" s="3" t="s">
        <v>72</v>
      </c>
      <c r="F62" s="3" t="s">
        <v>341</v>
      </c>
      <c r="G62" s="21">
        <v>35744581</v>
      </c>
      <c r="H62" s="21">
        <f t="shared" si="4"/>
        <v>244781120</v>
      </c>
      <c r="I62" s="21">
        <v>280525701</v>
      </c>
      <c r="J62" s="21">
        <v>116663353</v>
      </c>
      <c r="K62" s="21">
        <f t="shared" si="5"/>
        <v>116663353</v>
      </c>
      <c r="L62" s="21">
        <v>233326706</v>
      </c>
      <c r="M62" s="21">
        <f t="shared" si="6"/>
        <v>116663353</v>
      </c>
      <c r="N62" s="21">
        <v>349990059</v>
      </c>
      <c r="O62" s="21">
        <f t="shared" si="8"/>
        <v>47268052</v>
      </c>
      <c r="P62" s="21">
        <v>485093051</v>
      </c>
      <c r="Q62" s="21">
        <v>132419370</v>
      </c>
      <c r="R62" s="21">
        <f>IFERROR(VLOOKUP(C62,[6]IS_WTB!C$2:U$259,19,),)</f>
        <v>264838741</v>
      </c>
      <c r="S62" s="21">
        <v>397258111</v>
      </c>
      <c r="T62" s="30">
        <v>529677482</v>
      </c>
      <c r="U62" s="30">
        <v>19964791</v>
      </c>
      <c r="V62" s="30">
        <v>39929583</v>
      </c>
      <c r="W62" s="30">
        <v>59894374</v>
      </c>
      <c r="X62" s="30">
        <v>754976091</v>
      </c>
      <c r="Y62" s="30">
        <v>115735454</v>
      </c>
      <c r="Z62" s="30">
        <v>231470908</v>
      </c>
      <c r="AA62" s="30">
        <f>IFERROR(VLOOKUP(C62,'전사시산표(3단계)_1013'!$C:$L,10,0),0)</f>
        <v>593365911</v>
      </c>
      <c r="AB62" s="21"/>
      <c r="AC62" s="21">
        <f>IFERROR(VLOOKUP(C62,경상연구개발비대체!$A$2:$B$83,2,0),0)</f>
        <v>0</v>
      </c>
      <c r="AD62" s="35">
        <f t="shared" si="11"/>
        <v>593365911</v>
      </c>
      <c r="AE62" s="35">
        <f t="shared" si="9"/>
        <v>460946541</v>
      </c>
      <c r="AF62" s="38">
        <f t="shared" si="10"/>
        <v>0.87024001711290422</v>
      </c>
    </row>
    <row r="63" spans="2:32">
      <c r="B63" s="1" t="s">
        <v>284</v>
      </c>
      <c r="C63" s="2">
        <v>603393</v>
      </c>
      <c r="D63" s="401">
        <v>7059</v>
      </c>
      <c r="E63" s="3" t="s">
        <v>71</v>
      </c>
      <c r="F63" s="3" t="s">
        <v>341</v>
      </c>
      <c r="G63" s="21">
        <v>6548501</v>
      </c>
      <c r="H63" s="21">
        <f t="shared" si="4"/>
        <v>15259858</v>
      </c>
      <c r="I63" s="21">
        <v>21808359</v>
      </c>
      <c r="J63" s="21">
        <v>15730392</v>
      </c>
      <c r="K63" s="21">
        <f t="shared" si="5"/>
        <v>15730393</v>
      </c>
      <c r="L63" s="21">
        <v>31460785</v>
      </c>
      <c r="M63" s="21">
        <f t="shared" si="6"/>
        <v>15730393</v>
      </c>
      <c r="N63" s="21">
        <v>47191178</v>
      </c>
      <c r="O63" s="21">
        <f t="shared" si="8"/>
        <v>-9730160</v>
      </c>
      <c r="P63" s="21">
        <v>62921571</v>
      </c>
      <c r="Q63" s="21">
        <v>12487006</v>
      </c>
      <c r="R63" s="21">
        <f>IFERROR(VLOOKUP(C63,[6]IS_WTB!C$2:U$259,19,),)</f>
        <v>24974012</v>
      </c>
      <c r="S63" s="21">
        <v>37461018</v>
      </c>
      <c r="T63" s="30">
        <v>49948024</v>
      </c>
      <c r="U63" s="30">
        <v>10242544</v>
      </c>
      <c r="V63" s="30">
        <v>20485089</v>
      </c>
      <c r="W63" s="30">
        <v>30727634</v>
      </c>
      <c r="X63" s="30">
        <v>43793754</v>
      </c>
      <c r="Y63" s="30">
        <v>13725261</v>
      </c>
      <c r="Z63" s="30">
        <v>27450522</v>
      </c>
      <c r="AA63" s="30">
        <f>IFERROR(VLOOKUP(C63,'전사시산표(3단계)_1013'!$C:$L,10,0),0)</f>
        <v>41175783</v>
      </c>
      <c r="AB63" s="21"/>
      <c r="AC63" s="21">
        <f>IFERROR(VLOOKUP(C63,경상연구개발비대체!$A$2:$B$83,2,0),0)</f>
        <v>0</v>
      </c>
      <c r="AD63" s="35">
        <f t="shared" si="11"/>
        <v>41175783</v>
      </c>
      <c r="AE63" s="35">
        <f t="shared" si="9"/>
        <v>28688777</v>
      </c>
      <c r="AF63" s="38">
        <f t="shared" si="10"/>
        <v>0.57437261181743648</v>
      </c>
    </row>
    <row r="64" spans="2:32">
      <c r="B64" s="1" t="s">
        <v>284</v>
      </c>
      <c r="C64" s="2">
        <v>603400</v>
      </c>
      <c r="D64" s="401">
        <v>7059</v>
      </c>
      <c r="E64" s="3" t="s">
        <v>70</v>
      </c>
      <c r="F64" s="3" t="s">
        <v>341</v>
      </c>
      <c r="G64" s="21">
        <v>3230177</v>
      </c>
      <c r="H64" s="21">
        <f t="shared" si="4"/>
        <v>60190545</v>
      </c>
      <c r="I64" s="21">
        <v>63420722</v>
      </c>
      <c r="J64" s="21">
        <v>34512601</v>
      </c>
      <c r="K64" s="21">
        <f t="shared" si="5"/>
        <v>39589638</v>
      </c>
      <c r="L64" s="21">
        <v>74102239</v>
      </c>
      <c r="M64" s="21">
        <f t="shared" si="6"/>
        <v>33984892</v>
      </c>
      <c r="N64" s="21">
        <v>108087131</v>
      </c>
      <c r="O64" s="21">
        <f t="shared" si="8"/>
        <v>265718536</v>
      </c>
      <c r="P64" s="21">
        <v>155712708</v>
      </c>
      <c r="Q64" s="21">
        <v>243006068</v>
      </c>
      <c r="R64" s="21">
        <f>IFERROR(VLOOKUP(C64,[6]IS_WTB!C$2:U$259,19,),)</f>
        <v>274905994</v>
      </c>
      <c r="S64" s="21">
        <v>373805667</v>
      </c>
      <c r="T64" s="30">
        <v>456288977</v>
      </c>
      <c r="U64" s="30">
        <v>83294780</v>
      </c>
      <c r="V64" s="30">
        <v>152151156</v>
      </c>
      <c r="W64" s="30">
        <v>234666946</v>
      </c>
      <c r="X64" s="30">
        <v>339927705</v>
      </c>
      <c r="Y64" s="30">
        <v>80305269</v>
      </c>
      <c r="Z64" s="30">
        <v>152128356</v>
      </c>
      <c r="AA64" s="30">
        <f>IFERROR(VLOOKUP(C64,'전사시산표(3단계)_1013'!$C:$L,10,0),0)</f>
        <v>221198435</v>
      </c>
      <c r="AB64" s="21"/>
      <c r="AC64" s="21">
        <f>IFERROR(VLOOKUP(C64,경상연구개발비대체!$A$2:$B$83,2,0),0)</f>
        <v>0</v>
      </c>
      <c r="AD64" s="35">
        <f t="shared" si="11"/>
        <v>221198435</v>
      </c>
      <c r="AE64" s="35">
        <f t="shared" si="9"/>
        <v>-21807633</v>
      </c>
      <c r="AF64" s="38">
        <f t="shared" si="10"/>
        <v>-4.7793468830609073E-2</v>
      </c>
    </row>
    <row r="65" spans="2:32">
      <c r="B65" s="1" t="s">
        <v>284</v>
      </c>
      <c r="C65" s="2">
        <v>603500</v>
      </c>
      <c r="D65" s="401">
        <v>7055</v>
      </c>
      <c r="E65" s="3" t="s">
        <v>69</v>
      </c>
      <c r="F65" s="3" t="s">
        <v>341</v>
      </c>
      <c r="G65" s="21">
        <v>350000000</v>
      </c>
      <c r="H65" s="21">
        <f t="shared" si="4"/>
        <v>31171978</v>
      </c>
      <c r="I65" s="21">
        <v>381171978</v>
      </c>
      <c r="J65" s="21">
        <v>305715724</v>
      </c>
      <c r="K65" s="21">
        <f t="shared" si="5"/>
        <v>311635187</v>
      </c>
      <c r="L65" s="21">
        <v>617350911</v>
      </c>
      <c r="M65" s="21">
        <f t="shared" si="6"/>
        <v>190423111</v>
      </c>
      <c r="N65" s="21">
        <v>807774022</v>
      </c>
      <c r="O65" s="21">
        <f t="shared" si="8"/>
        <v>75285064</v>
      </c>
      <c r="P65" s="21">
        <v>1134437333</v>
      </c>
      <c r="Q65" s="21">
        <v>167408897</v>
      </c>
      <c r="R65" s="21">
        <f>IFERROR(VLOOKUP(C65,[6]IS_WTB!C$2:U$259,19,),)</f>
        <v>529294569</v>
      </c>
      <c r="S65" s="21">
        <v>883059086</v>
      </c>
      <c r="T65" s="30">
        <v>1157092045</v>
      </c>
      <c r="U65" s="30">
        <v>197574289</v>
      </c>
      <c r="V65" s="30">
        <v>394890053</v>
      </c>
      <c r="W65" s="30">
        <v>573154235</v>
      </c>
      <c r="X65" s="30">
        <v>882349222</v>
      </c>
      <c r="Y65" s="30">
        <v>173793321</v>
      </c>
      <c r="Z65" s="30">
        <v>676475062</v>
      </c>
      <c r="AA65" s="30">
        <f>IFERROR(VLOOKUP(C65,'전사시산표(3단계)_1013'!$C:$L,10,0),0)</f>
        <v>1149037264</v>
      </c>
      <c r="AB65" s="21"/>
      <c r="AC65" s="21">
        <f>IFERROR(VLOOKUP(C65,경상연구개발비대체!$A$2:$B$83,2,0),0)</f>
        <v>226887061</v>
      </c>
      <c r="AD65" s="35">
        <f t="shared" si="11"/>
        <v>922150203</v>
      </c>
      <c r="AE65" s="35">
        <f t="shared" si="9"/>
        <v>754741306</v>
      </c>
      <c r="AF65" s="38">
        <f t="shared" si="10"/>
        <v>0.65227421557461318</v>
      </c>
    </row>
    <row r="66" spans="2:32">
      <c r="B66" s="1" t="s">
        <v>284</v>
      </c>
      <c r="C66" s="2">
        <v>603700</v>
      </c>
      <c r="D66" s="401">
        <v>7055</v>
      </c>
      <c r="E66" s="3" t="s">
        <v>1148</v>
      </c>
      <c r="F66" s="3" t="s">
        <v>341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>
        <v>44781957</v>
      </c>
      <c r="R66" s="21">
        <f>IFERROR(VLOOKUP(C66,[6]IS_WTB!C$2:U$259,19,),)</f>
        <v>98078391</v>
      </c>
      <c r="S66" s="21">
        <v>153716924</v>
      </c>
      <c r="T66" s="30">
        <v>207404802</v>
      </c>
      <c r="U66" s="30">
        <v>53209407</v>
      </c>
      <c r="V66" s="30">
        <v>109158941</v>
      </c>
      <c r="W66" s="30">
        <v>167776637</v>
      </c>
      <c r="X66" s="30">
        <v>229726055</v>
      </c>
      <c r="Y66" s="30">
        <v>38375233</v>
      </c>
      <c r="Z66" s="30">
        <v>51597757</v>
      </c>
      <c r="AA66" s="30">
        <f>IFERROR(VLOOKUP(C66,'전사시산표(3단계)_1013'!$C:$L,10,0),0)</f>
        <v>52139858</v>
      </c>
      <c r="AB66" s="21"/>
      <c r="AC66" s="21">
        <f>IFERROR(VLOOKUP(C66,경상연구개발비대체!$A$2:$B$83,2,0),0)</f>
        <v>12209766</v>
      </c>
      <c r="AD66" s="35">
        <f t="shared" si="11"/>
        <v>39930092</v>
      </c>
      <c r="AE66" s="35">
        <f t="shared" si="9"/>
        <v>-4851865</v>
      </c>
      <c r="AF66" s="38">
        <f t="shared" si="10"/>
        <v>-2.33932143962607E-2</v>
      </c>
    </row>
    <row r="67" spans="2:32">
      <c r="B67" s="1" t="s">
        <v>284</v>
      </c>
      <c r="C67" s="2">
        <v>603600</v>
      </c>
      <c r="D67" s="401">
        <v>7059</v>
      </c>
      <c r="E67" s="3" t="s">
        <v>68</v>
      </c>
      <c r="F67" s="3" t="s">
        <v>341</v>
      </c>
      <c r="G67" s="21">
        <v>16252823</v>
      </c>
      <c r="H67" s="21">
        <f t="shared" si="4"/>
        <v>80840687</v>
      </c>
      <c r="I67" s="21">
        <v>97093510</v>
      </c>
      <c r="J67" s="21">
        <v>83475000</v>
      </c>
      <c r="K67" s="21">
        <f t="shared" si="5"/>
        <v>43435000</v>
      </c>
      <c r="L67" s="21">
        <v>126910000</v>
      </c>
      <c r="M67" s="21">
        <f t="shared" si="6"/>
        <v>70924000</v>
      </c>
      <c r="N67" s="21">
        <v>197834000</v>
      </c>
      <c r="O67" s="21">
        <f t="shared" ref="O67:O99" si="13">S67-N67</f>
        <v>581000</v>
      </c>
      <c r="P67" s="21">
        <v>290899000</v>
      </c>
      <c r="Q67" s="21">
        <v>67718000</v>
      </c>
      <c r="R67" s="21">
        <f>IFERROR(VLOOKUP(C67,[6]IS_WTB!C$2:U$259,19,),)</f>
        <v>128534000</v>
      </c>
      <c r="S67" s="21">
        <v>198415000</v>
      </c>
      <c r="T67" s="30">
        <v>292096000</v>
      </c>
      <c r="U67" s="30">
        <v>75341000</v>
      </c>
      <c r="V67" s="30">
        <v>159390000</v>
      </c>
      <c r="W67" s="30">
        <v>241150000</v>
      </c>
      <c r="X67" s="30">
        <v>356846000</v>
      </c>
      <c r="Y67" s="30">
        <v>112084000</v>
      </c>
      <c r="Z67" s="30">
        <v>307524000</v>
      </c>
      <c r="AA67" s="30">
        <f>IFERROR(VLOOKUP(C67,'전사시산표(3단계)_1013'!$C:$L,10,0),0)</f>
        <v>470344000</v>
      </c>
      <c r="AB67" s="21"/>
      <c r="AC67" s="21">
        <f>IFERROR(VLOOKUP(C67,경상연구개발비대체!$A$2:$B$83,2,0),0)</f>
        <v>112938000</v>
      </c>
      <c r="AD67" s="35">
        <f t="shared" si="11"/>
        <v>357406000</v>
      </c>
      <c r="AE67" s="35">
        <f t="shared" si="9"/>
        <v>289688000</v>
      </c>
      <c r="AF67" s="38">
        <f t="shared" si="10"/>
        <v>0.99175613496932513</v>
      </c>
    </row>
    <row r="68" spans="2:32">
      <c r="B68" s="1" t="s">
        <v>284</v>
      </c>
      <c r="C68" s="2">
        <v>603790</v>
      </c>
      <c r="D68" s="401">
        <v>7055</v>
      </c>
      <c r="E68" s="3" t="s">
        <v>657</v>
      </c>
      <c r="F68" s="3" t="s">
        <v>341</v>
      </c>
      <c r="G68" s="21">
        <v>0</v>
      </c>
      <c r="H68" s="21">
        <f t="shared" si="4"/>
        <v>37196638</v>
      </c>
      <c r="I68" s="21">
        <v>37196638</v>
      </c>
      <c r="J68" s="21">
        <v>44655708</v>
      </c>
      <c r="K68" s="21">
        <f t="shared" si="5"/>
        <v>-8436307</v>
      </c>
      <c r="L68" s="21">
        <v>36219401</v>
      </c>
      <c r="M68" s="21">
        <f t="shared" si="6"/>
        <v>4929773</v>
      </c>
      <c r="N68" s="21">
        <v>41149174</v>
      </c>
      <c r="O68" s="21">
        <f t="shared" si="13"/>
        <v>51019214</v>
      </c>
      <c r="P68" s="21">
        <v>69058619</v>
      </c>
      <c r="Q68" s="21">
        <v>49352505</v>
      </c>
      <c r="R68" s="21">
        <f>IFERROR(VLOOKUP(C68,[6]IS_WTB!C$2:U$259,19,),)</f>
        <v>68582570</v>
      </c>
      <c r="S68" s="21">
        <v>92168388</v>
      </c>
      <c r="T68" s="30">
        <v>120891256</v>
      </c>
      <c r="U68" s="30">
        <v>44360613</v>
      </c>
      <c r="V68" s="30">
        <v>59182249</v>
      </c>
      <c r="W68" s="30">
        <v>97417149</v>
      </c>
      <c r="X68" s="30">
        <v>130458130</v>
      </c>
      <c r="Y68" s="30">
        <v>36594934</v>
      </c>
      <c r="Z68" s="30">
        <v>66513479</v>
      </c>
      <c r="AA68" s="30">
        <f>IFERROR(VLOOKUP(C68,'전사시산표(3단계)_1013'!$C:$L,10,0),0)</f>
        <v>112215751</v>
      </c>
      <c r="AB68" s="21"/>
      <c r="AC68" s="21">
        <f>IFERROR(VLOOKUP(C68,경상연구개발비대체!$A$2:$B$83,2,0),0)</f>
        <v>26280000</v>
      </c>
      <c r="AD68" s="35">
        <f t="shared" si="11"/>
        <v>85935751</v>
      </c>
      <c r="AE68" s="35">
        <f t="shared" si="9"/>
        <v>36583246</v>
      </c>
      <c r="AF68" s="38">
        <f t="shared" si="10"/>
        <v>0.30261283744127865</v>
      </c>
    </row>
    <row r="69" spans="2:32">
      <c r="B69" s="1" t="s">
        <v>284</v>
      </c>
      <c r="C69" s="2">
        <v>653100</v>
      </c>
      <c r="D69" s="401">
        <v>7054</v>
      </c>
      <c r="E69" s="3" t="s">
        <v>652</v>
      </c>
      <c r="F69" s="3" t="s">
        <v>341</v>
      </c>
      <c r="G69" s="21">
        <v>0</v>
      </c>
      <c r="H69" s="21">
        <f t="shared" si="4"/>
        <v>8741558</v>
      </c>
      <c r="I69" s="21">
        <v>8741558</v>
      </c>
      <c r="J69" s="21">
        <v>2687748</v>
      </c>
      <c r="K69" s="21">
        <f t="shared" si="5"/>
        <v>1698378</v>
      </c>
      <c r="L69" s="21">
        <v>4386126</v>
      </c>
      <c r="M69" s="21">
        <f t="shared" si="6"/>
        <v>16931676</v>
      </c>
      <c r="N69" s="21">
        <v>21317802</v>
      </c>
      <c r="O69" s="21">
        <f t="shared" si="13"/>
        <v>-11718513</v>
      </c>
      <c r="P69" s="21">
        <v>29707098</v>
      </c>
      <c r="Q69" s="21">
        <v>1016182</v>
      </c>
      <c r="R69" s="21">
        <f>IFERROR(VLOOKUP(C69,[6]IS_WTB!C$2:U$259,19,),)</f>
        <v>6931744</v>
      </c>
      <c r="S69" s="21">
        <v>9599289</v>
      </c>
      <c r="T69" s="30">
        <v>15713239</v>
      </c>
      <c r="U69" s="30">
        <v>175548</v>
      </c>
      <c r="V69" s="30">
        <v>3971441</v>
      </c>
      <c r="W69" s="30">
        <v>12576558</v>
      </c>
      <c r="X69" s="30">
        <v>20435864</v>
      </c>
      <c r="Y69" s="30">
        <v>745487</v>
      </c>
      <c r="Z69" s="30">
        <v>7513080</v>
      </c>
      <c r="AA69" s="30">
        <f>IFERROR(VLOOKUP(C69,'전사시산표(3단계)_1013'!$C:$L,10,0),0)</f>
        <v>7558898</v>
      </c>
      <c r="AB69" s="21"/>
      <c r="AC69" s="21">
        <f>IFERROR(VLOOKUP(C69,경상연구개발비대체!$A$2:$B$83,2,0),0)</f>
        <v>0</v>
      </c>
      <c r="AD69" s="35">
        <f t="shared" si="11"/>
        <v>7558898</v>
      </c>
      <c r="AE69" s="35">
        <f t="shared" si="9"/>
        <v>6542716</v>
      </c>
      <c r="AF69" s="38">
        <f t="shared" si="10"/>
        <v>0.41638238939788291</v>
      </c>
    </row>
    <row r="70" spans="2:32">
      <c r="B70" s="64" t="s">
        <v>276</v>
      </c>
      <c r="C70" s="65">
        <v>6203</v>
      </c>
      <c r="D70" s="65"/>
      <c r="E70" s="66" t="s">
        <v>451</v>
      </c>
      <c r="F70" s="66"/>
      <c r="G70" s="61">
        <f>SUM(G71:G73)</f>
        <v>12667549119</v>
      </c>
      <c r="H70" s="61">
        <f t="shared" si="4"/>
        <v>49032329251</v>
      </c>
      <c r="I70" s="61">
        <v>61699878370</v>
      </c>
      <c r="J70" s="61">
        <v>34776066902</v>
      </c>
      <c r="K70" s="61">
        <f t="shared" si="5"/>
        <v>28397519252</v>
      </c>
      <c r="L70" s="61">
        <v>63173586154</v>
      </c>
      <c r="M70" s="61">
        <f t="shared" si="6"/>
        <v>28231317398</v>
      </c>
      <c r="N70" s="61">
        <v>91404903552</v>
      </c>
      <c r="O70" s="61">
        <f t="shared" si="13"/>
        <v>-53720955480</v>
      </c>
      <c r="P70" s="61">
        <v>60044286159</v>
      </c>
      <c r="Q70" s="61">
        <v>13027444755</v>
      </c>
      <c r="R70" s="61">
        <f>IFERROR(VLOOKUP(C70,[6]IS_WTB!C$2:U$259,19,),)</f>
        <v>24622680392</v>
      </c>
      <c r="S70" s="61">
        <v>37683948072</v>
      </c>
      <c r="T70" s="520">
        <v>59068499608</v>
      </c>
      <c r="U70" s="520">
        <v>13813994405</v>
      </c>
      <c r="V70" s="520">
        <v>32049180528</v>
      </c>
      <c r="W70" s="520">
        <v>47825104549</v>
      </c>
      <c r="X70" s="520">
        <v>97959159313</v>
      </c>
      <c r="Y70" s="520">
        <v>24889076271</v>
      </c>
      <c r="Z70" s="520">
        <v>51600503046</v>
      </c>
      <c r="AA70" s="520">
        <f>SUM(AA71:AA73)</f>
        <v>76236969235</v>
      </c>
      <c r="AB70" s="61">
        <f>SUM(AB71:AB73)</f>
        <v>0</v>
      </c>
      <c r="AC70" s="61">
        <f>SUM(AC71:AC73)</f>
        <v>0</v>
      </c>
      <c r="AD70" s="67">
        <f t="shared" si="11"/>
        <v>76236969235</v>
      </c>
      <c r="AE70" s="67">
        <f t="shared" si="9"/>
        <v>63209524480</v>
      </c>
      <c r="AF70" s="62">
        <f t="shared" si="10"/>
        <v>1.0701054690652605</v>
      </c>
    </row>
    <row r="71" spans="2:32">
      <c r="B71" s="1" t="s">
        <v>284</v>
      </c>
      <c r="C71" s="2">
        <v>624300</v>
      </c>
      <c r="D71" s="401">
        <v>7266</v>
      </c>
      <c r="E71" s="3" t="s">
        <v>65</v>
      </c>
      <c r="F71" s="3" t="s">
        <v>339</v>
      </c>
      <c r="G71" s="21">
        <v>12667549119</v>
      </c>
      <c r="H71" s="21">
        <f t="shared" si="4"/>
        <v>48660921113</v>
      </c>
      <c r="I71" s="21">
        <v>61328470232</v>
      </c>
      <c r="J71" s="21">
        <v>34791893991</v>
      </c>
      <c r="K71" s="21">
        <f t="shared" si="5"/>
        <v>28397519252</v>
      </c>
      <c r="L71" s="21">
        <v>63189413243</v>
      </c>
      <c r="M71" s="21">
        <f t="shared" si="6"/>
        <v>28231317398</v>
      </c>
      <c r="N71" s="21">
        <v>91420730641</v>
      </c>
      <c r="O71" s="21">
        <f t="shared" si="13"/>
        <v>-53736782569</v>
      </c>
      <c r="P71" s="21">
        <v>60060113248</v>
      </c>
      <c r="Q71" s="21">
        <v>13027444755</v>
      </c>
      <c r="R71" s="21">
        <f>IFERROR(VLOOKUP(C71,[6]IS_WTB!C$2:U$259,19,),)</f>
        <v>24622680392</v>
      </c>
      <c r="S71" s="21">
        <v>37683948072</v>
      </c>
      <c r="T71" s="30">
        <v>59068499608</v>
      </c>
      <c r="U71" s="30">
        <v>13813994405</v>
      </c>
      <c r="V71" s="30">
        <v>32049180528</v>
      </c>
      <c r="W71" s="30">
        <v>47825104549</v>
      </c>
      <c r="X71" s="30">
        <v>97959159313</v>
      </c>
      <c r="Y71" s="30">
        <v>24889076271</v>
      </c>
      <c r="Z71" s="30">
        <v>51600503046</v>
      </c>
      <c r="AA71" s="30">
        <f>IFERROR(VLOOKUP(C71,'전사시산표(3단계)_1013'!$C:$L,10,0),0)</f>
        <v>76236969235</v>
      </c>
      <c r="AB71" s="21"/>
      <c r="AC71" s="21">
        <f>IFERROR(VLOOKUP(C71,경상연구개발비대체!$A$2:$B$83,2,0),0)</f>
        <v>0</v>
      </c>
      <c r="AD71" s="35">
        <f t="shared" si="11"/>
        <v>76236969235</v>
      </c>
      <c r="AE71" s="35">
        <f t="shared" si="9"/>
        <v>63209524480</v>
      </c>
      <c r="AF71" s="38">
        <f t="shared" si="10"/>
        <v>1.0701054690652605</v>
      </c>
    </row>
    <row r="72" spans="2:32">
      <c r="B72" s="1" t="s">
        <v>284</v>
      </c>
      <c r="C72" s="2">
        <v>623900</v>
      </c>
      <c r="D72" s="401">
        <v>7264</v>
      </c>
      <c r="E72" s="3" t="s">
        <v>659</v>
      </c>
      <c r="F72" s="3" t="s">
        <v>339</v>
      </c>
      <c r="G72" s="21">
        <v>0</v>
      </c>
      <c r="H72" s="21">
        <f t="shared" si="4"/>
        <v>11358170</v>
      </c>
      <c r="I72" s="21">
        <v>11358170</v>
      </c>
      <c r="J72" s="21">
        <v>5933807</v>
      </c>
      <c r="K72" s="21">
        <f t="shared" si="5"/>
        <v>0</v>
      </c>
      <c r="L72" s="21">
        <v>5933807</v>
      </c>
      <c r="M72" s="21">
        <f t="shared" si="6"/>
        <v>0</v>
      </c>
      <c r="N72" s="21">
        <v>5933807</v>
      </c>
      <c r="O72" s="21">
        <f t="shared" si="13"/>
        <v>-5933807</v>
      </c>
      <c r="P72" s="21">
        <v>5933807</v>
      </c>
      <c r="Q72" s="21">
        <v>0</v>
      </c>
      <c r="R72" s="21">
        <f>IFERROR(VLOOKUP(C72,[6]IS_WTB!C$2:U$259,19,),)</f>
        <v>0</v>
      </c>
      <c r="S72" s="21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f>IFERROR(VLOOKUP(C72,'전사시산표(3단계)_1013'!$C:$L,10,0),0)</f>
        <v>0</v>
      </c>
      <c r="AB72" s="21"/>
      <c r="AC72" s="21">
        <f>IFERROR(VLOOKUP(C72,경상연구개발비대체!$A$2:$B$83,2,0),0)</f>
        <v>0</v>
      </c>
      <c r="AD72" s="35">
        <f t="shared" si="11"/>
        <v>0</v>
      </c>
      <c r="AE72" s="35">
        <f t="shared" si="9"/>
        <v>0</v>
      </c>
      <c r="AF72" s="38" t="str">
        <f t="shared" si="10"/>
        <v/>
      </c>
    </row>
    <row r="73" spans="2:32">
      <c r="B73" s="1" t="s">
        <v>284</v>
      </c>
      <c r="C73" s="2">
        <v>625410</v>
      </c>
      <c r="D73" s="401">
        <v>7268</v>
      </c>
      <c r="E73" s="3" t="s">
        <v>660</v>
      </c>
      <c r="F73" s="3" t="s">
        <v>339</v>
      </c>
      <c r="G73" s="21">
        <v>0</v>
      </c>
      <c r="H73" s="21">
        <f t="shared" si="4"/>
        <v>360049968</v>
      </c>
      <c r="I73" s="21">
        <v>360049968</v>
      </c>
      <c r="J73" s="21">
        <v>-21760896</v>
      </c>
      <c r="K73" s="21">
        <f t="shared" si="5"/>
        <v>0</v>
      </c>
      <c r="L73" s="21">
        <v>-21760896</v>
      </c>
      <c r="M73" s="21">
        <f t="shared" ref="M73:M138" si="14">N73-L73</f>
        <v>0</v>
      </c>
      <c r="N73" s="21">
        <v>-21760896</v>
      </c>
      <c r="O73" s="21">
        <f t="shared" si="13"/>
        <v>21760896</v>
      </c>
      <c r="P73" s="21">
        <v>-21760896</v>
      </c>
      <c r="Q73" s="21">
        <v>0</v>
      </c>
      <c r="R73" s="21">
        <f>IFERROR(VLOOKUP(C73,[6]IS_WTB!C$2:U$259,19,),)</f>
        <v>0</v>
      </c>
      <c r="S73" s="21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f>IFERROR(VLOOKUP(C73,'전사시산표(3단계)_1013'!$C:$L,10,0),0)</f>
        <v>0</v>
      </c>
      <c r="AB73" s="21"/>
      <c r="AC73" s="21">
        <f>IFERROR(VLOOKUP(C73,경상연구개발비대체!$A$2:$B$83,2,0),0)</f>
        <v>0</v>
      </c>
      <c r="AD73" s="35">
        <f t="shared" si="11"/>
        <v>0</v>
      </c>
      <c r="AE73" s="35">
        <f t="shared" si="9"/>
        <v>0</v>
      </c>
      <c r="AF73" s="38" t="str">
        <f t="shared" si="10"/>
        <v/>
      </c>
    </row>
    <row r="74" spans="2:32">
      <c r="B74" s="64" t="s">
        <v>276</v>
      </c>
      <c r="C74" s="65">
        <v>6251</v>
      </c>
      <c r="D74" s="65"/>
      <c r="E74" s="66" t="s">
        <v>64</v>
      </c>
      <c r="F74" s="66"/>
      <c r="G74" s="61">
        <f>SUM(G75:G81)</f>
        <v>5019235006</v>
      </c>
      <c r="H74" s="61">
        <f t="shared" ref="H74:H141" si="15">I74-G74</f>
        <v>15294248565</v>
      </c>
      <c r="I74" s="61">
        <v>20313483571</v>
      </c>
      <c r="J74" s="61">
        <v>16937454128</v>
      </c>
      <c r="K74" s="61">
        <f t="shared" ref="K74:K139" si="16">L74-J74</f>
        <v>12344977741</v>
      </c>
      <c r="L74" s="61">
        <v>29282431869</v>
      </c>
      <c r="M74" s="61">
        <f t="shared" si="14"/>
        <v>12521825516</v>
      </c>
      <c r="N74" s="61">
        <v>41804257385</v>
      </c>
      <c r="O74" s="61">
        <f t="shared" si="13"/>
        <v>-2164259047</v>
      </c>
      <c r="P74" s="61">
        <v>54608069829</v>
      </c>
      <c r="Q74" s="61">
        <v>13242178252</v>
      </c>
      <c r="R74" s="61">
        <f>IFERROR(VLOOKUP(C74,[6]IS_WTB!C$2:U$259,19,),)</f>
        <v>26373913281</v>
      </c>
      <c r="S74" s="61">
        <v>39639998338</v>
      </c>
      <c r="T74" s="520">
        <v>52626422036</v>
      </c>
      <c r="U74" s="520">
        <v>13038967399</v>
      </c>
      <c r="V74" s="520">
        <v>25407462161</v>
      </c>
      <c r="W74" s="520">
        <v>38335793947</v>
      </c>
      <c r="X74" s="520">
        <v>50139174364</v>
      </c>
      <c r="Y74" s="520">
        <v>13198658349</v>
      </c>
      <c r="Z74" s="520">
        <v>28910036693</v>
      </c>
      <c r="AA74" s="520">
        <f>SUM(AA75:AA81)</f>
        <v>42659788912</v>
      </c>
      <c r="AB74" s="61">
        <f>SUM(AB75:AB81)</f>
        <v>0</v>
      </c>
      <c r="AC74" s="61">
        <f>SUM(AC75:AC81)</f>
        <v>4369818373</v>
      </c>
      <c r="AD74" s="67">
        <f t="shared" si="11"/>
        <v>38289970539</v>
      </c>
      <c r="AE74" s="67">
        <f t="shared" si="9"/>
        <v>25047792287</v>
      </c>
      <c r="AF74" s="62">
        <f t="shared" si="10"/>
        <v>0.47595468811969832</v>
      </c>
    </row>
    <row r="75" spans="2:32">
      <c r="B75" s="1" t="s">
        <v>284</v>
      </c>
      <c r="C75" s="2">
        <v>625300</v>
      </c>
      <c r="D75" s="401">
        <v>7221</v>
      </c>
      <c r="E75" s="3" t="s">
        <v>342</v>
      </c>
      <c r="F75" s="3" t="s">
        <v>339</v>
      </c>
      <c r="G75" s="21">
        <v>518555953</v>
      </c>
      <c r="H75" s="21">
        <f t="shared" si="15"/>
        <v>1578844600</v>
      </c>
      <c r="I75" s="21">
        <v>2097400553</v>
      </c>
      <c r="J75" s="21">
        <v>1504302613</v>
      </c>
      <c r="K75" s="21">
        <f t="shared" si="16"/>
        <v>1409741884</v>
      </c>
      <c r="L75" s="21">
        <v>2914044497</v>
      </c>
      <c r="M75" s="21">
        <f t="shared" si="14"/>
        <v>1375941075</v>
      </c>
      <c r="N75" s="21">
        <v>4289985572</v>
      </c>
      <c r="O75" s="21">
        <f t="shared" si="13"/>
        <v>-19149337</v>
      </c>
      <c r="P75" s="21">
        <v>5676935302</v>
      </c>
      <c r="Q75" s="21">
        <v>1382471113</v>
      </c>
      <c r="R75" s="21">
        <f>IFERROR(VLOOKUP(C75,[6]IS_WTB!C$2:U$259,19,),)</f>
        <v>2830688303</v>
      </c>
      <c r="S75" s="21">
        <v>4270836235</v>
      </c>
      <c r="T75" s="30">
        <v>5713180518</v>
      </c>
      <c r="U75" s="30">
        <v>1428791847</v>
      </c>
      <c r="V75" s="30">
        <v>2799829020</v>
      </c>
      <c r="W75" s="30">
        <v>4152718150</v>
      </c>
      <c r="X75" s="30">
        <v>5765297418</v>
      </c>
      <c r="Y75" s="30">
        <v>1511069994</v>
      </c>
      <c r="Z75" s="30">
        <v>3016054930</v>
      </c>
      <c r="AA75" s="30">
        <f>IFERROR(VLOOKUP(C75,'전사시산표(3단계)_1013'!$C:$L,10,0),0)</f>
        <v>4618402344</v>
      </c>
      <c r="AB75" s="21"/>
      <c r="AC75" s="21">
        <f>IFERROR(VLOOKUP(C75,경상연구개발비대체!$A$2:$B$83,2,0),0)</f>
        <v>0</v>
      </c>
      <c r="AD75" s="35">
        <f t="shared" si="11"/>
        <v>4618402344</v>
      </c>
      <c r="AE75" s="35">
        <f t="shared" si="9"/>
        <v>3235931231</v>
      </c>
      <c r="AF75" s="38">
        <f t="shared" si="10"/>
        <v>0.5663975119996375</v>
      </c>
    </row>
    <row r="76" spans="2:32">
      <c r="B76" s="1" t="s">
        <v>284</v>
      </c>
      <c r="C76" s="2">
        <v>625200</v>
      </c>
      <c r="D76" s="401">
        <v>7268</v>
      </c>
      <c r="E76" s="3" t="s">
        <v>879</v>
      </c>
      <c r="F76" s="3" t="s">
        <v>339</v>
      </c>
      <c r="G76" s="21">
        <v>0</v>
      </c>
      <c r="H76" s="21">
        <f t="shared" si="15"/>
        <v>80000000</v>
      </c>
      <c r="I76" s="21">
        <v>80000000</v>
      </c>
      <c r="J76" s="21">
        <v>0</v>
      </c>
      <c r="K76" s="21">
        <f t="shared" si="16"/>
        <v>12960000</v>
      </c>
      <c r="L76" s="21">
        <v>12960000</v>
      </c>
      <c r="M76" s="21">
        <f t="shared" si="14"/>
        <v>0</v>
      </c>
      <c r="N76" s="21">
        <v>12960000</v>
      </c>
      <c r="O76" s="21">
        <f t="shared" si="13"/>
        <v>14840000</v>
      </c>
      <c r="P76" s="21">
        <v>80160000</v>
      </c>
      <c r="Q76" s="21">
        <v>0</v>
      </c>
      <c r="R76" s="21">
        <f>IFERROR(VLOOKUP(C76,[6]IS_WTB!C$2:U$259,19,),)</f>
        <v>23900000</v>
      </c>
      <c r="S76" s="21">
        <v>27800000</v>
      </c>
      <c r="T76" s="30">
        <v>65000000</v>
      </c>
      <c r="U76" s="30">
        <v>0</v>
      </c>
      <c r="V76" s="30">
        <v>6900000</v>
      </c>
      <c r="W76" s="30">
        <v>23700000</v>
      </c>
      <c r="X76" s="30">
        <v>43700000</v>
      </c>
      <c r="Y76" s="30">
        <v>0</v>
      </c>
      <c r="Z76" s="30">
        <v>17100000</v>
      </c>
      <c r="AA76" s="30">
        <f>IFERROR(VLOOKUP(C76,'전사시산표(3단계)_1013'!$C:$L,10,0),0)</f>
        <v>17100000</v>
      </c>
      <c r="AB76" s="21"/>
      <c r="AC76" s="21">
        <f>IFERROR(VLOOKUP(C76,경상연구개발비대체!$A$2:$B$83,2,0),0)</f>
        <v>0</v>
      </c>
      <c r="AD76" s="35">
        <f t="shared" si="11"/>
        <v>17100000</v>
      </c>
      <c r="AE76" s="35">
        <f t="shared" si="9"/>
        <v>17100000</v>
      </c>
      <c r="AF76" s="38">
        <f t="shared" si="10"/>
        <v>0.2630769230769231</v>
      </c>
    </row>
    <row r="77" spans="2:32">
      <c r="B77" s="1" t="s">
        <v>284</v>
      </c>
      <c r="C77" s="2">
        <v>625400</v>
      </c>
      <c r="D77" s="401">
        <v>7252</v>
      </c>
      <c r="E77" s="3" t="s">
        <v>343</v>
      </c>
      <c r="F77" s="3" t="s">
        <v>339</v>
      </c>
      <c r="G77" s="21">
        <v>202325917</v>
      </c>
      <c r="H77" s="21">
        <f t="shared" si="15"/>
        <v>775688275</v>
      </c>
      <c r="I77" s="21">
        <v>978014192</v>
      </c>
      <c r="J77" s="21">
        <v>458568999</v>
      </c>
      <c r="K77" s="21">
        <f t="shared" si="16"/>
        <v>-6416666</v>
      </c>
      <c r="L77" s="21">
        <v>452152333</v>
      </c>
      <c r="M77" s="21">
        <f t="shared" si="14"/>
        <v>0</v>
      </c>
      <c r="N77" s="21">
        <v>452152333</v>
      </c>
      <c r="O77" s="21">
        <f t="shared" si="13"/>
        <v>-452152333</v>
      </c>
      <c r="P77" s="21">
        <v>452152333</v>
      </c>
      <c r="Q77" s="21">
        <v>0</v>
      </c>
      <c r="R77" s="21">
        <f>IFERROR(VLOOKUP(C77,[6]IS_WTB!C$2:U$259,19,),)</f>
        <v>0</v>
      </c>
      <c r="S77" s="21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f>IFERROR(VLOOKUP(C77,'전사시산표(3단계)_1013'!$C:$L,10,0),0)</f>
        <v>0</v>
      </c>
      <c r="AB77" s="21"/>
      <c r="AC77" s="21" t="str">
        <f>IFERROR(VLOOKUP(C77,경상연구개발비대체!$A$2:$B$83,2,0),0)</f>
        <v xml:space="preserve"> </v>
      </c>
      <c r="AD77" s="35" t="e">
        <f t="shared" si="11"/>
        <v>#VALUE!</v>
      </c>
      <c r="AE77" s="35" t="e">
        <f t="shared" si="9"/>
        <v>#VALUE!</v>
      </c>
      <c r="AF77" s="38" t="str">
        <f t="shared" si="10"/>
        <v/>
      </c>
    </row>
    <row r="78" spans="2:32">
      <c r="B78" s="1" t="s">
        <v>284</v>
      </c>
      <c r="C78" s="2">
        <v>625900</v>
      </c>
      <c r="D78" s="401">
        <v>7268</v>
      </c>
      <c r="E78" s="3" t="s">
        <v>344</v>
      </c>
      <c r="F78" s="3" t="s">
        <v>339</v>
      </c>
      <c r="G78" s="21">
        <v>2160788063</v>
      </c>
      <c r="H78" s="21">
        <f t="shared" si="15"/>
        <v>6605305295</v>
      </c>
      <c r="I78" s="21">
        <v>8766093358</v>
      </c>
      <c r="J78" s="21">
        <v>4024996732</v>
      </c>
      <c r="K78" s="21">
        <f t="shared" si="16"/>
        <v>4240404976</v>
      </c>
      <c r="L78" s="21">
        <v>8265401708</v>
      </c>
      <c r="M78" s="21">
        <f t="shared" si="14"/>
        <v>3769778120</v>
      </c>
      <c r="N78" s="21">
        <v>12035179828</v>
      </c>
      <c r="O78" s="21">
        <f t="shared" si="13"/>
        <v>-3274257448</v>
      </c>
      <c r="P78" s="21">
        <v>15756411061</v>
      </c>
      <c r="Q78" s="21">
        <v>2755854463</v>
      </c>
      <c r="R78" s="21">
        <f>IFERROR(VLOOKUP(C78,[6]IS_WTB!C$2:U$259,19,),)</f>
        <v>5646354898</v>
      </c>
      <c r="S78" s="21">
        <v>8760922380</v>
      </c>
      <c r="T78" s="30">
        <v>11219635941</v>
      </c>
      <c r="U78" s="30">
        <v>2894478352</v>
      </c>
      <c r="V78" s="30">
        <v>5645604600</v>
      </c>
      <c r="W78" s="30">
        <v>8613201854</v>
      </c>
      <c r="X78" s="30">
        <v>12085357907</v>
      </c>
      <c r="Y78" s="30">
        <v>3094966663</v>
      </c>
      <c r="Z78" s="30">
        <v>6596094314</v>
      </c>
      <c r="AA78" s="30">
        <f>IFERROR(VLOOKUP(C78,'전사시산표(3단계)_1013'!$C:$L,10,0),0)</f>
        <v>10152820716</v>
      </c>
      <c r="AB78" s="21"/>
      <c r="AC78" s="21">
        <f>IFERROR(VLOOKUP(C78,경상연구개발비대체!$A$2:$B$83,2,0),0)</f>
        <v>614998020</v>
      </c>
      <c r="AD78" s="35">
        <f t="shared" si="11"/>
        <v>9537822696</v>
      </c>
      <c r="AE78" s="35">
        <f t="shared" si="9"/>
        <v>6781968233</v>
      </c>
      <c r="AF78" s="38">
        <f t="shared" si="10"/>
        <v>0.60447311023850625</v>
      </c>
    </row>
    <row r="79" spans="2:32">
      <c r="B79" s="1" t="s">
        <v>284</v>
      </c>
      <c r="C79" s="2">
        <v>625910</v>
      </c>
      <c r="D79" s="401">
        <v>7268</v>
      </c>
      <c r="E79" s="3" t="s">
        <v>457</v>
      </c>
      <c r="F79" s="3" t="s">
        <v>339</v>
      </c>
      <c r="G79" s="21">
        <v>107452640</v>
      </c>
      <c r="H79" s="21">
        <f t="shared" si="15"/>
        <v>155192237</v>
      </c>
      <c r="I79" s="21">
        <v>262644877</v>
      </c>
      <c r="J79" s="21">
        <v>4871994420</v>
      </c>
      <c r="K79" s="21">
        <f t="shared" si="16"/>
        <v>604479480</v>
      </c>
      <c r="L79" s="21">
        <v>5476473900</v>
      </c>
      <c r="M79" s="21">
        <f t="shared" si="14"/>
        <v>2212399905</v>
      </c>
      <c r="N79" s="21">
        <v>7688873805</v>
      </c>
      <c r="O79" s="21">
        <f t="shared" si="13"/>
        <v>3495836074</v>
      </c>
      <c r="P79" s="21">
        <v>9936897075</v>
      </c>
      <c r="Q79" s="21">
        <v>3652456731</v>
      </c>
      <c r="R79" s="21">
        <f>IFERROR(VLOOKUP(C79,[6]IS_WTB!C$2:U$259,19,),)</f>
        <v>7340275977</v>
      </c>
      <c r="S79" s="21">
        <v>11184709879</v>
      </c>
      <c r="T79" s="30">
        <v>15245871334</v>
      </c>
      <c r="U79" s="30">
        <v>4206476604</v>
      </c>
      <c r="V79" s="30">
        <v>8364244279</v>
      </c>
      <c r="W79" s="30">
        <v>12707591769</v>
      </c>
      <c r="X79" s="30">
        <v>14814169168</v>
      </c>
      <c r="Y79" s="30">
        <v>3517831262</v>
      </c>
      <c r="Z79" s="30">
        <v>9672912986</v>
      </c>
      <c r="AA79" s="30">
        <f>IFERROR(VLOOKUP(C79,'전사시산표(3단계)_1013'!$C:$L,10,0),0)</f>
        <v>13701215917</v>
      </c>
      <c r="AB79" s="21"/>
      <c r="AC79" s="21">
        <f>IFERROR(VLOOKUP(C79,경상연구개발비대체!$A$2:$B$83,2,0),0)</f>
        <v>3754820353</v>
      </c>
      <c r="AD79" s="35">
        <f t="shared" si="11"/>
        <v>9946395564</v>
      </c>
      <c r="AE79" s="35">
        <f t="shared" si="9"/>
        <v>6293938833</v>
      </c>
      <c r="AF79" s="38">
        <f t="shared" si="10"/>
        <v>0.41282906664467328</v>
      </c>
    </row>
    <row r="80" spans="2:32">
      <c r="B80" s="1" t="s">
        <v>284</v>
      </c>
      <c r="C80" s="2">
        <v>625920</v>
      </c>
      <c r="D80" s="401">
        <v>7268</v>
      </c>
      <c r="E80" s="3" t="s">
        <v>458</v>
      </c>
      <c r="F80" s="3" t="s">
        <v>339</v>
      </c>
      <c r="G80" s="21">
        <v>0</v>
      </c>
      <c r="H80" s="21">
        <f t="shared" si="15"/>
        <v>0</v>
      </c>
      <c r="I80" s="21">
        <v>0</v>
      </c>
      <c r="J80" s="21">
        <v>0</v>
      </c>
      <c r="K80" s="21">
        <f t="shared" si="16"/>
        <v>0</v>
      </c>
      <c r="L80" s="21">
        <v>0</v>
      </c>
      <c r="M80" s="21">
        <f t="shared" si="14"/>
        <v>0</v>
      </c>
      <c r="N80" s="21">
        <v>0</v>
      </c>
      <c r="O80" s="21">
        <f t="shared" si="13"/>
        <v>0</v>
      </c>
      <c r="P80" s="21">
        <v>0</v>
      </c>
      <c r="Q80" s="21">
        <v>0</v>
      </c>
      <c r="R80" s="21">
        <f>IFERROR(VLOOKUP(C80,[6]IS_WTB!C$2:U$259,19,),)</f>
        <v>0</v>
      </c>
      <c r="S80" s="21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f>IFERROR(VLOOKUP(C80,'전사시산표(3단계)_1013'!$C:$L,10,0),0)</f>
        <v>0</v>
      </c>
      <c r="AB80" s="21"/>
      <c r="AC80" s="21">
        <f>IFERROR(VLOOKUP(C80,경상연구개발비대체!$A$2:$B$83,2,0),0)</f>
        <v>0</v>
      </c>
      <c r="AD80" s="35">
        <f t="shared" si="11"/>
        <v>0</v>
      </c>
      <c r="AE80" s="35">
        <f t="shared" si="9"/>
        <v>0</v>
      </c>
      <c r="AF80" s="38" t="str">
        <f t="shared" si="10"/>
        <v/>
      </c>
    </row>
    <row r="81" spans="1:32">
      <c r="B81" s="1" t="s">
        <v>284</v>
      </c>
      <c r="C81" s="2">
        <v>625930</v>
      </c>
      <c r="D81" s="401">
        <v>7268</v>
      </c>
      <c r="E81" s="3" t="s">
        <v>459</v>
      </c>
      <c r="F81" s="3" t="s">
        <v>339</v>
      </c>
      <c r="G81" s="21">
        <v>2030112433</v>
      </c>
      <c r="H81" s="21">
        <f t="shared" si="15"/>
        <v>6099218158</v>
      </c>
      <c r="I81" s="21">
        <v>8129330591</v>
      </c>
      <c r="J81" s="21">
        <v>6077591364</v>
      </c>
      <c r="K81" s="21">
        <f t="shared" si="16"/>
        <v>6083808067</v>
      </c>
      <c r="L81" s="21">
        <v>12161399431</v>
      </c>
      <c r="M81" s="21">
        <f t="shared" si="14"/>
        <v>5163706416</v>
      </c>
      <c r="N81" s="21">
        <v>17325105847</v>
      </c>
      <c r="O81" s="21">
        <f t="shared" si="13"/>
        <v>-1929376003</v>
      </c>
      <c r="P81" s="21">
        <v>22705514058</v>
      </c>
      <c r="Q81" s="21">
        <v>5451395945</v>
      </c>
      <c r="R81" s="21">
        <f>IFERROR(VLOOKUP(C81,[6]IS_WTB!C$2:U$259,19,),)</f>
        <v>10532694103</v>
      </c>
      <c r="S81" s="21">
        <v>15395729844</v>
      </c>
      <c r="T81" s="30">
        <v>20382734243</v>
      </c>
      <c r="U81" s="30">
        <v>4509220596</v>
      </c>
      <c r="V81" s="30">
        <v>8590884262</v>
      </c>
      <c r="W81" s="30">
        <v>12838582174</v>
      </c>
      <c r="X81" s="30">
        <v>17430649871</v>
      </c>
      <c r="Y81" s="30">
        <v>5074790430</v>
      </c>
      <c r="Z81" s="30">
        <v>9607874463</v>
      </c>
      <c r="AA81" s="30">
        <f>IFERROR(VLOOKUP(C81,'전사시산표(3단계)_1013'!$C:$L,10,0),0)</f>
        <v>14170249935</v>
      </c>
      <c r="AB81" s="21"/>
      <c r="AC81" s="21">
        <f>IFERROR(VLOOKUP(C81,경상연구개발비대체!$A$2:$B$83,2,0),0)</f>
        <v>0</v>
      </c>
      <c r="AD81" s="35">
        <f t="shared" si="11"/>
        <v>14170249935</v>
      </c>
      <c r="AE81" s="35">
        <f t="shared" si="9"/>
        <v>8718853990</v>
      </c>
      <c r="AF81" s="38">
        <f t="shared" si="10"/>
        <v>0.42775683998305075</v>
      </c>
    </row>
    <row r="82" spans="1:32">
      <c r="B82" s="64" t="s">
        <v>276</v>
      </c>
      <c r="C82" s="65">
        <v>6261</v>
      </c>
      <c r="D82" s="65"/>
      <c r="E82" s="66" t="s">
        <v>61</v>
      </c>
      <c r="F82" s="66"/>
      <c r="G82" s="61">
        <f>SUM(G83:G88)</f>
        <v>2660004056</v>
      </c>
      <c r="H82" s="61">
        <f t="shared" si="15"/>
        <v>9450569405</v>
      </c>
      <c r="I82" s="61">
        <v>12110573461</v>
      </c>
      <c r="J82" s="61">
        <v>8948579790</v>
      </c>
      <c r="K82" s="61">
        <f t="shared" si="16"/>
        <v>8432772264</v>
      </c>
      <c r="L82" s="61">
        <v>17381352054</v>
      </c>
      <c r="M82" s="61">
        <f t="shared" si="14"/>
        <v>6979460679</v>
      </c>
      <c r="N82" s="61">
        <v>24360812733</v>
      </c>
      <c r="O82" s="61">
        <f t="shared" si="13"/>
        <v>-5194448795</v>
      </c>
      <c r="P82" s="61">
        <v>31615014619</v>
      </c>
      <c r="Q82" s="61">
        <v>5978927593</v>
      </c>
      <c r="R82" s="61">
        <f>IFERROR(VLOOKUP(C82,[6]IS_WTB!C$2:U$259,19,),)</f>
        <v>12367762611</v>
      </c>
      <c r="S82" s="61">
        <v>19166363938</v>
      </c>
      <c r="T82" s="520">
        <v>26922565216</v>
      </c>
      <c r="U82" s="520">
        <v>6890811305</v>
      </c>
      <c r="V82" s="520">
        <v>14451784633</v>
      </c>
      <c r="W82" s="520">
        <v>22818481076</v>
      </c>
      <c r="X82" s="520">
        <v>33788908611</v>
      </c>
      <c r="Y82" s="520">
        <v>10749980996</v>
      </c>
      <c r="Z82" s="520">
        <v>23587540637</v>
      </c>
      <c r="AA82" s="520">
        <f>SUM(AA83:AA88)</f>
        <v>39222276191</v>
      </c>
      <c r="AB82" s="61"/>
      <c r="AC82" s="61">
        <f>SUM(AC83:AC88)</f>
        <v>27929264</v>
      </c>
      <c r="AD82" s="67">
        <f t="shared" si="11"/>
        <v>39194346927</v>
      </c>
      <c r="AE82" s="67">
        <f t="shared" si="9"/>
        <v>33215419334</v>
      </c>
      <c r="AF82" s="62">
        <f t="shared" si="10"/>
        <v>1.2337390240310451</v>
      </c>
    </row>
    <row r="83" spans="1:32">
      <c r="B83" s="1" t="s">
        <v>284</v>
      </c>
      <c r="C83" s="2">
        <v>626180</v>
      </c>
      <c r="D83" s="401">
        <v>7263</v>
      </c>
      <c r="E83" s="3" t="s">
        <v>345</v>
      </c>
      <c r="F83" s="3" t="s">
        <v>339</v>
      </c>
      <c r="G83" s="21">
        <v>861613309</v>
      </c>
      <c r="H83" s="21">
        <f t="shared" si="15"/>
        <v>2848122402</v>
      </c>
      <c r="I83" s="21">
        <v>3709735711</v>
      </c>
      <c r="J83" s="21">
        <v>3058361639</v>
      </c>
      <c r="K83" s="21">
        <f t="shared" si="16"/>
        <v>2534927522</v>
      </c>
      <c r="L83" s="21">
        <v>5593289161</v>
      </c>
      <c r="M83" s="21">
        <f t="shared" si="14"/>
        <v>1678165949</v>
      </c>
      <c r="N83" s="21">
        <v>7271455110</v>
      </c>
      <c r="O83" s="21">
        <f t="shared" si="13"/>
        <v>-3470573350</v>
      </c>
      <c r="P83" s="21">
        <v>8742118451</v>
      </c>
      <c r="Q83" s="21">
        <v>1314590142</v>
      </c>
      <c r="R83" s="21">
        <f>IFERROR(VLOOKUP(C83,[6]IS_WTB!C$2:U$259,19,),)</f>
        <v>2578744304</v>
      </c>
      <c r="S83" s="21">
        <v>3800881760</v>
      </c>
      <c r="T83" s="30">
        <v>5031032784</v>
      </c>
      <c r="U83" s="30">
        <v>1091497625</v>
      </c>
      <c r="V83" s="30">
        <v>2789463573</v>
      </c>
      <c r="W83" s="30">
        <v>4562826439</v>
      </c>
      <c r="X83" s="30">
        <v>7385353400</v>
      </c>
      <c r="Y83" s="30">
        <v>4328420567</v>
      </c>
      <c r="Z83" s="30">
        <v>9660648378</v>
      </c>
      <c r="AA83" s="30">
        <f>IFERROR(VLOOKUP(C83,'전사시산표(3단계)_1013'!$C:$L,10,0),0)</f>
        <v>17873041876</v>
      </c>
      <c r="AB83" s="21"/>
      <c r="AC83" s="21">
        <f>IFERROR(VLOOKUP(C83,경상연구개발비대체!$A$2:$B$83,2,0),0)</f>
        <v>0</v>
      </c>
      <c r="AD83" s="35">
        <f t="shared" si="11"/>
        <v>17873041876</v>
      </c>
      <c r="AE83" s="35">
        <f t="shared" si="9"/>
        <v>16558451734</v>
      </c>
      <c r="AF83" s="38">
        <f t="shared" si="10"/>
        <v>3.2912629364412425</v>
      </c>
    </row>
    <row r="84" spans="1:32" s="727" customFormat="1">
      <c r="A84" s="23"/>
      <c r="B84" s="1" t="s">
        <v>284</v>
      </c>
      <c r="C84" s="2">
        <v>626181</v>
      </c>
      <c r="D84" s="401">
        <v>7263</v>
      </c>
      <c r="E84" s="3" t="s">
        <v>1570</v>
      </c>
      <c r="F84" s="3" t="s">
        <v>339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687000000</v>
      </c>
      <c r="AA84" s="30">
        <f>IFERROR(VLOOKUP(C84,'전사시산표(3단계)_1013'!$C:$L,10,0),0)</f>
        <v>1468773216</v>
      </c>
      <c r="AB84" s="21"/>
      <c r="AC84" s="21">
        <f>IFERROR(VLOOKUP(C84,경상연구개발비대체!$A$2:$B$83,2,0),0)</f>
        <v>0</v>
      </c>
      <c r="AD84" s="35">
        <f t="shared" si="11"/>
        <v>1468773216</v>
      </c>
      <c r="AE84" s="35">
        <f t="shared" si="9"/>
        <v>1468773216</v>
      </c>
      <c r="AF84" s="38" t="str">
        <f t="shared" si="10"/>
        <v/>
      </c>
    </row>
    <row r="85" spans="1:32">
      <c r="B85" s="1" t="s">
        <v>284</v>
      </c>
      <c r="C85" s="2">
        <v>626100</v>
      </c>
      <c r="D85" s="401">
        <v>7271</v>
      </c>
      <c r="E85" s="3" t="s">
        <v>60</v>
      </c>
      <c r="F85" s="3" t="s">
        <v>339</v>
      </c>
      <c r="G85" s="21">
        <v>0</v>
      </c>
      <c r="H85" s="21">
        <f t="shared" si="15"/>
        <v>402934774</v>
      </c>
      <c r="I85" s="21">
        <v>402934774</v>
      </c>
      <c r="J85" s="21">
        <v>249612315</v>
      </c>
      <c r="K85" s="21">
        <f t="shared" si="16"/>
        <v>158461921</v>
      </c>
      <c r="L85" s="21">
        <v>408074236</v>
      </c>
      <c r="M85" s="21">
        <f t="shared" si="14"/>
        <v>205148102</v>
      </c>
      <c r="N85" s="21">
        <v>613222338</v>
      </c>
      <c r="O85" s="21">
        <f t="shared" si="13"/>
        <v>1024847022</v>
      </c>
      <c r="P85" s="21">
        <v>809028588</v>
      </c>
      <c r="Q85" s="21">
        <v>161006910</v>
      </c>
      <c r="R85" s="21">
        <f>IFERROR(VLOOKUP(C85,[6]IS_WTB!C$2:U$259,19,),)</f>
        <v>798470860</v>
      </c>
      <c r="S85" s="21">
        <v>1638069360</v>
      </c>
      <c r="T85" s="30">
        <v>1942577660</v>
      </c>
      <c r="U85" s="30">
        <v>673958500</v>
      </c>
      <c r="V85" s="30">
        <v>967924910</v>
      </c>
      <c r="W85" s="30">
        <v>1459446645</v>
      </c>
      <c r="X85" s="30">
        <v>1869973395</v>
      </c>
      <c r="Y85" s="30">
        <v>311203200</v>
      </c>
      <c r="Z85" s="30">
        <v>900232379</v>
      </c>
      <c r="AA85" s="30">
        <f>IFERROR(VLOOKUP(C85,'전사시산표(3단계)_1013'!$C:$L,10,0),0)</f>
        <v>1326998369</v>
      </c>
      <c r="AB85" s="21"/>
      <c r="AC85" s="21">
        <f>IFERROR(VLOOKUP(C85,경상연구개발비대체!$A$2:$B$83,2,0),0)</f>
        <v>0</v>
      </c>
      <c r="AD85" s="35">
        <f t="shared" si="11"/>
        <v>1326998369</v>
      </c>
      <c r="AE85" s="35">
        <f t="shared" si="9"/>
        <v>1165991459</v>
      </c>
      <c r="AF85" s="38">
        <f t="shared" si="10"/>
        <v>0.60022900654586953</v>
      </c>
    </row>
    <row r="86" spans="1:32">
      <c r="B86" s="1" t="s">
        <v>825</v>
      </c>
      <c r="C86" s="2">
        <v>626170</v>
      </c>
      <c r="D86" s="401">
        <v>7263</v>
      </c>
      <c r="E86" s="3" t="s">
        <v>808</v>
      </c>
      <c r="F86" s="3" t="s">
        <v>339</v>
      </c>
      <c r="G86" s="21">
        <v>0</v>
      </c>
      <c r="H86" s="21">
        <f t="shared" si="15"/>
        <v>0</v>
      </c>
      <c r="I86" s="21">
        <v>0</v>
      </c>
      <c r="J86" s="21">
        <v>3157306277</v>
      </c>
      <c r="K86" s="21">
        <f t="shared" si="16"/>
        <v>3730077539</v>
      </c>
      <c r="L86" s="21">
        <v>6887383816</v>
      </c>
      <c r="M86" s="21">
        <f t="shared" si="14"/>
        <v>3713865905</v>
      </c>
      <c r="N86" s="21">
        <v>10601249721</v>
      </c>
      <c r="O86" s="21">
        <f t="shared" si="13"/>
        <v>70739372</v>
      </c>
      <c r="P86" s="21">
        <v>14499947544</v>
      </c>
      <c r="Q86" s="21">
        <v>3570892337</v>
      </c>
      <c r="R86" s="21">
        <f>IFERROR(VLOOKUP(C86,[6]IS_WTB!C$2:U$259,19,),)</f>
        <v>7045388218</v>
      </c>
      <c r="S86" s="21">
        <v>10671989093</v>
      </c>
      <c r="T86" s="30">
        <v>14976137906</v>
      </c>
      <c r="U86" s="30">
        <v>3669873857</v>
      </c>
      <c r="V86" s="30">
        <v>7608570756</v>
      </c>
      <c r="W86" s="30">
        <v>11723629037</v>
      </c>
      <c r="X86" s="30">
        <v>16248723744</v>
      </c>
      <c r="Y86" s="30">
        <v>3895520623</v>
      </c>
      <c r="Z86" s="30">
        <v>7635224045</v>
      </c>
      <c r="AA86" s="30">
        <f>IFERROR(VLOOKUP(C86,'전사시산표(3단계)_1013'!$C:$L,10,0),0)</f>
        <v>11446882734</v>
      </c>
      <c r="AB86" s="21"/>
      <c r="AC86" s="21">
        <f>IFERROR(VLOOKUP(C86,경상연구개발비대체!$A$2:$B$83,2,0),0)</f>
        <v>0</v>
      </c>
      <c r="AD86" s="35">
        <f t="shared" si="11"/>
        <v>11446882734</v>
      </c>
      <c r="AE86" s="35">
        <f t="shared" si="9"/>
        <v>7875990397</v>
      </c>
      <c r="AF86" s="38">
        <f t="shared" si="10"/>
        <v>0.52590263567515527</v>
      </c>
    </row>
    <row r="87" spans="1:32">
      <c r="B87" s="1" t="s">
        <v>284</v>
      </c>
      <c r="C87" s="2">
        <v>626190</v>
      </c>
      <c r="D87" s="401">
        <v>7263</v>
      </c>
      <c r="E87" s="3" t="s">
        <v>346</v>
      </c>
      <c r="F87" s="3" t="s">
        <v>339</v>
      </c>
      <c r="G87" s="21">
        <v>1798390747</v>
      </c>
      <c r="H87" s="21">
        <f t="shared" ref="H87" si="17">I87-G87</f>
        <v>6199512229</v>
      </c>
      <c r="I87" s="21">
        <v>7997902976</v>
      </c>
      <c r="J87" s="21">
        <v>2483299559</v>
      </c>
      <c r="K87" s="21">
        <f t="shared" si="16"/>
        <v>2009305282</v>
      </c>
      <c r="L87" s="21">
        <v>4492604841</v>
      </c>
      <c r="M87" s="21">
        <f t="shared" si="14"/>
        <v>1334748723</v>
      </c>
      <c r="N87" s="21">
        <v>5827353564</v>
      </c>
      <c r="O87" s="21">
        <f t="shared" si="13"/>
        <v>-3094993839</v>
      </c>
      <c r="P87" s="21">
        <v>7468856036</v>
      </c>
      <c r="Q87" s="21">
        <v>884906204</v>
      </c>
      <c r="R87" s="21">
        <f>IFERROR(VLOOKUP(C87,[6]IS_WTB!C$2:U$259,19,),)</f>
        <v>1729783229</v>
      </c>
      <c r="S87" s="21">
        <v>2732359725</v>
      </c>
      <c r="T87" s="30">
        <v>4542064866</v>
      </c>
      <c r="U87" s="30">
        <v>1347793323</v>
      </c>
      <c r="V87" s="30">
        <v>2867671394</v>
      </c>
      <c r="W87" s="30">
        <v>4745347955</v>
      </c>
      <c r="X87" s="30">
        <v>7848550072</v>
      </c>
      <c r="Y87" s="30">
        <v>2105759606</v>
      </c>
      <c r="Z87" s="30">
        <v>4487907835</v>
      </c>
      <c r="AA87" s="30">
        <f>IFERROR(VLOOKUP(C87,'전사시산표(3단계)_1013'!$C:$L,10,0),0)</f>
        <v>6781787996</v>
      </c>
      <c r="AB87" s="21"/>
      <c r="AC87" s="21">
        <f>IFERROR(VLOOKUP(C87,경상연구개발비대체!$A$2:$B$83,2,0),0)</f>
        <v>27929264</v>
      </c>
      <c r="AD87" s="35">
        <f t="shared" si="11"/>
        <v>6753858732</v>
      </c>
      <c r="AE87" s="35">
        <f t="shared" si="9"/>
        <v>5868952528</v>
      </c>
      <c r="AF87" s="38">
        <f t="shared" si="10"/>
        <v>1.2921331379330416</v>
      </c>
    </row>
    <row r="88" spans="1:32">
      <c r="B88" s="1" t="s">
        <v>284</v>
      </c>
      <c r="C88" s="2">
        <v>626200</v>
      </c>
      <c r="D88" s="401">
        <v>7263</v>
      </c>
      <c r="E88" s="3" t="s">
        <v>932</v>
      </c>
      <c r="F88" s="3" t="s">
        <v>339</v>
      </c>
      <c r="G88" s="21">
        <v>0</v>
      </c>
      <c r="H88" s="21">
        <v>0</v>
      </c>
      <c r="I88" s="21">
        <v>0</v>
      </c>
      <c r="J88" s="21">
        <v>0</v>
      </c>
      <c r="K88" s="21">
        <f t="shared" si="16"/>
        <v>0</v>
      </c>
      <c r="L88" s="21"/>
      <c r="M88" s="21">
        <f t="shared" si="14"/>
        <v>47532000</v>
      </c>
      <c r="N88" s="21">
        <v>47532000</v>
      </c>
      <c r="O88" s="21">
        <f t="shared" si="13"/>
        <v>275532000</v>
      </c>
      <c r="P88" s="21">
        <v>95064000</v>
      </c>
      <c r="Q88" s="21">
        <v>47532000</v>
      </c>
      <c r="R88" s="21">
        <f>IFERROR(VLOOKUP(C88,[6]IS_WTB!C$2:U$259,19,),)</f>
        <v>215376000</v>
      </c>
      <c r="S88" s="21">
        <v>323064000</v>
      </c>
      <c r="T88" s="30">
        <v>430752000</v>
      </c>
      <c r="U88" s="30">
        <v>107688000</v>
      </c>
      <c r="V88" s="30">
        <v>218154000</v>
      </c>
      <c r="W88" s="30">
        <v>327231000</v>
      </c>
      <c r="X88" s="30">
        <v>436308000</v>
      </c>
      <c r="Y88" s="30">
        <v>109077000</v>
      </c>
      <c r="Z88" s="30">
        <v>216528000</v>
      </c>
      <c r="AA88" s="30">
        <f>IFERROR(VLOOKUP(C88,'전사시산표(3단계)_1013'!$C:$L,10,0),0)</f>
        <v>324792000</v>
      </c>
      <c r="AB88" s="21"/>
      <c r="AC88" s="21">
        <f>IFERROR(VLOOKUP(C88,경상연구개발비대체!$A$2:$B$83,2,0),0)</f>
        <v>0</v>
      </c>
      <c r="AD88" s="35">
        <f t="shared" si="11"/>
        <v>324792000</v>
      </c>
      <c r="AE88" s="35">
        <f t="shared" si="9"/>
        <v>277260000</v>
      </c>
      <c r="AF88" s="38">
        <f t="shared" si="10"/>
        <v>0.64366503231557837</v>
      </c>
    </row>
    <row r="89" spans="1:32">
      <c r="B89" s="64" t="s">
        <v>276</v>
      </c>
      <c r="C89" s="65">
        <v>6301</v>
      </c>
      <c r="D89" s="65"/>
      <c r="E89" s="66" t="s">
        <v>57</v>
      </c>
      <c r="F89" s="66"/>
      <c r="G89" s="61">
        <f>SUM(G90:G94)</f>
        <v>7203894943</v>
      </c>
      <c r="H89" s="61">
        <f t="shared" si="15"/>
        <v>30662386506</v>
      </c>
      <c r="I89" s="61">
        <v>37866281449</v>
      </c>
      <c r="J89" s="61">
        <v>23861835915</v>
      </c>
      <c r="K89" s="61">
        <f t="shared" si="16"/>
        <v>22415071365</v>
      </c>
      <c r="L89" s="61">
        <v>46276907280</v>
      </c>
      <c r="M89" s="61">
        <f t="shared" si="14"/>
        <v>25121164616</v>
      </c>
      <c r="N89" s="61">
        <v>71398071896</v>
      </c>
      <c r="O89" s="61">
        <f t="shared" si="13"/>
        <v>7219756063</v>
      </c>
      <c r="P89" s="61">
        <v>99728514494</v>
      </c>
      <c r="Q89" s="61">
        <v>26814791532</v>
      </c>
      <c r="R89" s="61">
        <f>IFERROR(VLOOKUP(C89,[6]IS_WTB!C$2:U$259,19,),)</f>
        <v>51860128032</v>
      </c>
      <c r="S89" s="61">
        <v>78617827959</v>
      </c>
      <c r="T89" s="520">
        <v>109241078388</v>
      </c>
      <c r="U89" s="520">
        <v>28191924234</v>
      </c>
      <c r="V89" s="520">
        <v>56861573859</v>
      </c>
      <c r="W89" s="520">
        <v>89089542285</v>
      </c>
      <c r="X89" s="520">
        <v>128374483435</v>
      </c>
      <c r="Y89" s="520">
        <v>27356684424</v>
      </c>
      <c r="Z89" s="520">
        <v>61657191621</v>
      </c>
      <c r="AA89" s="520">
        <f>SUM(AA90:AA94)</f>
        <v>91611616672</v>
      </c>
      <c r="AB89" s="61"/>
      <c r="AC89" s="61">
        <f>SUM(AC90:AC94)</f>
        <v>0</v>
      </c>
      <c r="AD89" s="67">
        <f t="shared" si="11"/>
        <v>91611616672</v>
      </c>
      <c r="AE89" s="67">
        <f t="shared" si="9"/>
        <v>64796825140</v>
      </c>
      <c r="AF89" s="62">
        <f t="shared" si="10"/>
        <v>0.59315438932098508</v>
      </c>
    </row>
    <row r="90" spans="1:32">
      <c r="B90" s="1" t="s">
        <v>284</v>
      </c>
      <c r="C90" s="2">
        <v>630190</v>
      </c>
      <c r="D90" s="401">
        <v>7201</v>
      </c>
      <c r="E90" s="3" t="s">
        <v>56</v>
      </c>
      <c r="F90" s="3" t="s">
        <v>57</v>
      </c>
      <c r="G90" s="21">
        <v>266350544</v>
      </c>
      <c r="H90" s="21">
        <f t="shared" si="15"/>
        <v>1532080710</v>
      </c>
      <c r="I90" s="21">
        <v>1798431254</v>
      </c>
      <c r="J90" s="21">
        <v>720787832</v>
      </c>
      <c r="K90" s="21">
        <f t="shared" si="16"/>
        <v>553131140</v>
      </c>
      <c r="L90" s="21">
        <v>1273918972</v>
      </c>
      <c r="M90" s="21">
        <f t="shared" si="14"/>
        <v>608059939</v>
      </c>
      <c r="N90" s="21">
        <v>1881978911</v>
      </c>
      <c r="O90" s="21">
        <f t="shared" si="13"/>
        <v>2206584813</v>
      </c>
      <c r="P90" s="21">
        <v>3059644719</v>
      </c>
      <c r="Q90" s="21">
        <v>1119047890</v>
      </c>
      <c r="R90" s="21">
        <f>IFERROR(VLOOKUP(C90,[6]IS_WTB!C$2:U$259,19,),)</f>
        <v>2335975561</v>
      </c>
      <c r="S90" s="21">
        <v>4088563724</v>
      </c>
      <c r="T90" s="30">
        <v>7002353042</v>
      </c>
      <c r="U90" s="30">
        <v>1161890786</v>
      </c>
      <c r="V90" s="30">
        <v>2772566440</v>
      </c>
      <c r="W90" s="30">
        <v>7182555206</v>
      </c>
      <c r="X90" s="30">
        <v>11765553183</v>
      </c>
      <c r="Y90" s="30">
        <v>1032837485</v>
      </c>
      <c r="Z90" s="30">
        <v>3462146777</v>
      </c>
      <c r="AA90" s="30">
        <f>IFERROR(VLOOKUP(C90,'전사시산표(3단계)_1013'!$C:$L,10,0),0)</f>
        <v>7239352695</v>
      </c>
      <c r="AB90" s="21"/>
      <c r="AC90" s="21">
        <f>IFERROR(VLOOKUP(C90,경상연구개발비대체!$A$2:$B$83,2,0),0)</f>
        <v>0</v>
      </c>
      <c r="AD90" s="35">
        <f t="shared" ref="AD90:AD121" si="18">AA90+AB90-AC90</f>
        <v>7239352695</v>
      </c>
      <c r="AE90" s="35">
        <f t="shared" si="9"/>
        <v>6120304805</v>
      </c>
      <c r="AF90" s="38">
        <f t="shared" si="10"/>
        <v>0.87403545183890485</v>
      </c>
    </row>
    <row r="91" spans="1:32">
      <c r="B91" s="1" t="s">
        <v>284</v>
      </c>
      <c r="C91" s="2">
        <v>630195</v>
      </c>
      <c r="D91" s="401">
        <v>7201</v>
      </c>
      <c r="E91" s="3" t="s">
        <v>55</v>
      </c>
      <c r="F91" s="3" t="s">
        <v>57</v>
      </c>
      <c r="G91" s="21">
        <v>219495763</v>
      </c>
      <c r="H91" s="21">
        <f t="shared" si="15"/>
        <v>4747749028</v>
      </c>
      <c r="I91" s="21">
        <v>4967244791</v>
      </c>
      <c r="J91" s="21">
        <v>761786000</v>
      </c>
      <c r="K91" s="21">
        <f t="shared" si="16"/>
        <v>348576562</v>
      </c>
      <c r="L91" s="21">
        <v>1110362562</v>
      </c>
      <c r="M91" s="21">
        <f t="shared" si="14"/>
        <v>371748000</v>
      </c>
      <c r="N91" s="21">
        <v>1482110562</v>
      </c>
      <c r="O91" s="21">
        <f t="shared" si="13"/>
        <v>-1482110562</v>
      </c>
      <c r="P91" s="21">
        <v>4052299167</v>
      </c>
      <c r="Q91" s="21">
        <v>0</v>
      </c>
      <c r="R91" s="21">
        <f>IFERROR(VLOOKUP(C91,[6]IS_WTB!C$2:U$259,19,),)</f>
        <v>0</v>
      </c>
      <c r="S91" s="21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f>IFERROR(VLOOKUP(C91,'전사시산표(3단계)_1013'!$C:$L,10,0),0)</f>
        <v>0</v>
      </c>
      <c r="AB91" s="21"/>
      <c r="AC91" s="21">
        <f>IFERROR(VLOOKUP(C91,경상연구개발비대체!$A$2:$B$83,2,0),0)</f>
        <v>0</v>
      </c>
      <c r="AD91" s="35">
        <f t="shared" si="18"/>
        <v>0</v>
      </c>
      <c r="AE91" s="35">
        <f t="shared" si="9"/>
        <v>0</v>
      </c>
      <c r="AF91" s="38" t="str">
        <f t="shared" si="10"/>
        <v/>
      </c>
    </row>
    <row r="92" spans="1:32">
      <c r="B92" s="1" t="s">
        <v>284</v>
      </c>
      <c r="C92" s="2">
        <v>632100</v>
      </c>
      <c r="D92" s="401">
        <v>7201</v>
      </c>
      <c r="E92" s="3" t="s">
        <v>54</v>
      </c>
      <c r="F92" s="3" t="s">
        <v>57</v>
      </c>
      <c r="G92" s="21">
        <v>674462062</v>
      </c>
      <c r="H92" s="21">
        <f t="shared" si="15"/>
        <v>4872161157</v>
      </c>
      <c r="I92" s="21">
        <v>5546623219</v>
      </c>
      <c r="J92" s="21">
        <v>2717405497</v>
      </c>
      <c r="K92" s="21">
        <f t="shared" si="16"/>
        <v>2080114468</v>
      </c>
      <c r="L92" s="21">
        <v>4797519965</v>
      </c>
      <c r="M92" s="21">
        <f t="shared" si="14"/>
        <v>4942455566</v>
      </c>
      <c r="N92" s="21">
        <v>9739975531</v>
      </c>
      <c r="O92" s="21">
        <f t="shared" si="13"/>
        <v>9335657670</v>
      </c>
      <c r="P92" s="21">
        <v>14981199175</v>
      </c>
      <c r="Q92" s="21">
        <v>7247245175</v>
      </c>
      <c r="R92" s="21">
        <f>IFERROR(VLOOKUP(C92,[6]IS_WTB!C$2:U$259,19,),)</f>
        <v>12634191082</v>
      </c>
      <c r="S92" s="21">
        <v>19075633201</v>
      </c>
      <c r="T92" s="30">
        <v>26683684992</v>
      </c>
      <c r="U92" s="30">
        <v>7962015344</v>
      </c>
      <c r="V92" s="30">
        <v>15547647868</v>
      </c>
      <c r="W92" s="30">
        <v>22034766322</v>
      </c>
      <c r="X92" s="30">
        <v>30749238774</v>
      </c>
      <c r="Y92" s="30">
        <v>5130949328</v>
      </c>
      <c r="Z92" s="30">
        <v>10625857448</v>
      </c>
      <c r="AA92" s="30">
        <f>IFERROR(VLOOKUP(C92,'전사시산표(3단계)_1013'!$C:$L,10,0),0)</f>
        <v>15213582089</v>
      </c>
      <c r="AB92" s="21"/>
      <c r="AC92" s="21">
        <f>IFERROR(VLOOKUP(C92,경상연구개발비대체!$A$2:$B$83,2,0),0)</f>
        <v>0</v>
      </c>
      <c r="AD92" s="35">
        <f t="shared" si="18"/>
        <v>15213582089</v>
      </c>
      <c r="AE92" s="35">
        <f t="shared" si="9"/>
        <v>7966336914</v>
      </c>
      <c r="AF92" s="38">
        <f t="shared" si="10"/>
        <v>0.29854710533377893</v>
      </c>
    </row>
    <row r="93" spans="1:32">
      <c r="B93" s="1" t="s">
        <v>284</v>
      </c>
      <c r="C93" s="2">
        <v>633900</v>
      </c>
      <c r="D93" s="401">
        <v>7201</v>
      </c>
      <c r="E93" s="3" t="s">
        <v>53</v>
      </c>
      <c r="F93" s="3" t="s">
        <v>57</v>
      </c>
      <c r="G93" s="21">
        <v>127693760</v>
      </c>
      <c r="H93" s="21">
        <f t="shared" si="15"/>
        <v>90611023</v>
      </c>
      <c r="I93" s="21">
        <v>218304783</v>
      </c>
      <c r="J93" s="21">
        <v>27077958</v>
      </c>
      <c r="K93" s="21">
        <f t="shared" si="16"/>
        <v>17412959</v>
      </c>
      <c r="L93" s="21">
        <v>44490917</v>
      </c>
      <c r="M93" s="21">
        <f t="shared" si="14"/>
        <v>59017407</v>
      </c>
      <c r="N93" s="21">
        <v>103508324</v>
      </c>
      <c r="O93" s="21">
        <f t="shared" si="13"/>
        <v>14938663</v>
      </c>
      <c r="P93" s="21">
        <v>219616400</v>
      </c>
      <c r="Q93" s="21">
        <v>51190153</v>
      </c>
      <c r="R93" s="21">
        <f>IFERROR(VLOOKUP(C93,[6]IS_WTB!C$2:U$259,19,),)</f>
        <v>49808236</v>
      </c>
      <c r="S93" s="21">
        <v>118446987</v>
      </c>
      <c r="T93" s="30">
        <v>1044278949</v>
      </c>
      <c r="U93" s="30">
        <v>257467216</v>
      </c>
      <c r="V93" s="30">
        <v>467331901</v>
      </c>
      <c r="W93" s="30">
        <v>757488121</v>
      </c>
      <c r="X93" s="30">
        <v>1559277179</v>
      </c>
      <c r="Y93" s="30">
        <v>343425251</v>
      </c>
      <c r="Z93" s="30">
        <v>504560557</v>
      </c>
      <c r="AA93" s="30">
        <f>IFERROR(VLOOKUP(C93,'전사시산표(3단계)_1013'!$C:$L,10,0),0)</f>
        <v>564453800</v>
      </c>
      <c r="AB93" s="21"/>
      <c r="AC93" s="21">
        <f>IFERROR(VLOOKUP(C93,경상연구개발비대체!$A$2:$B$83,2,0),0)</f>
        <v>0</v>
      </c>
      <c r="AD93" s="35">
        <f t="shared" si="18"/>
        <v>564453800</v>
      </c>
      <c r="AE93" s="35">
        <f t="shared" si="9"/>
        <v>513263647</v>
      </c>
      <c r="AF93" s="38">
        <f t="shared" si="10"/>
        <v>0.49150052051848842</v>
      </c>
    </row>
    <row r="94" spans="1:32">
      <c r="B94" s="1" t="s">
        <v>284</v>
      </c>
      <c r="C94" s="2">
        <v>634100</v>
      </c>
      <c r="D94" s="401">
        <v>7201</v>
      </c>
      <c r="E94" s="3" t="s">
        <v>52</v>
      </c>
      <c r="F94" s="3" t="s">
        <v>57</v>
      </c>
      <c r="G94" s="21">
        <v>5915892814</v>
      </c>
      <c r="H94" s="21">
        <f t="shared" si="15"/>
        <v>19419784588</v>
      </c>
      <c r="I94" s="21">
        <v>25335677402</v>
      </c>
      <c r="J94" s="21">
        <v>19634778628</v>
      </c>
      <c r="K94" s="21">
        <f t="shared" si="16"/>
        <v>19415836236</v>
      </c>
      <c r="L94" s="21">
        <v>39050614864</v>
      </c>
      <c r="M94" s="21">
        <f t="shared" si="14"/>
        <v>19139883704</v>
      </c>
      <c r="N94" s="21">
        <v>58190498568</v>
      </c>
      <c r="O94" s="21">
        <f t="shared" si="13"/>
        <v>-2855314521</v>
      </c>
      <c r="P94" s="21">
        <v>77415755033</v>
      </c>
      <c r="Q94" s="21">
        <v>18397308314</v>
      </c>
      <c r="R94" s="21">
        <f>IFERROR(VLOOKUP(C94,[6]IS_WTB!C$2:U$259,19,),)</f>
        <v>36840153153</v>
      </c>
      <c r="S94" s="21">
        <v>55335184047</v>
      </c>
      <c r="T94" s="30">
        <v>74510761405</v>
      </c>
      <c r="U94" s="30">
        <v>18810550888</v>
      </c>
      <c r="V94" s="30">
        <v>38074027650</v>
      </c>
      <c r="W94" s="30">
        <v>59114732636</v>
      </c>
      <c r="X94" s="30">
        <v>84300414299</v>
      </c>
      <c r="Y94" s="30">
        <v>20849472360</v>
      </c>
      <c r="Z94" s="30">
        <v>47064626839</v>
      </c>
      <c r="AA94" s="30">
        <f>IFERROR(VLOOKUP(C94,'전사시산표(3단계)_1013'!$C:$L,10,0),0)</f>
        <v>68594228088</v>
      </c>
      <c r="AB94" s="21"/>
      <c r="AC94" s="21">
        <f>IFERROR(VLOOKUP(C94,경상연구개발비대체!$A$2:$B$83,2,0),0)</f>
        <v>0</v>
      </c>
      <c r="AD94" s="35">
        <f t="shared" si="18"/>
        <v>68594228088</v>
      </c>
      <c r="AE94" s="35">
        <f t="shared" si="9"/>
        <v>50196919774</v>
      </c>
      <c r="AF94" s="38">
        <f t="shared" si="10"/>
        <v>0.67368684506063259</v>
      </c>
    </row>
    <row r="95" spans="1:32">
      <c r="B95" s="64" t="s">
        <v>276</v>
      </c>
      <c r="C95" s="65">
        <v>6341</v>
      </c>
      <c r="D95" s="65"/>
      <c r="E95" s="66" t="s">
        <v>51</v>
      </c>
      <c r="F95" s="66"/>
      <c r="G95" s="61">
        <f>SUM(G96:G97)</f>
        <v>7890000</v>
      </c>
      <c r="H95" s="61">
        <f t="shared" si="15"/>
        <v>8306210</v>
      </c>
      <c r="I95" s="61">
        <v>16196210</v>
      </c>
      <c r="J95" s="61">
        <v>1660000</v>
      </c>
      <c r="K95" s="61">
        <f t="shared" si="16"/>
        <v>1159500</v>
      </c>
      <c r="L95" s="61">
        <v>2819500</v>
      </c>
      <c r="M95" s="61">
        <f t="shared" si="14"/>
        <v>3830000</v>
      </c>
      <c r="N95" s="61">
        <v>6649500</v>
      </c>
      <c r="O95" s="61">
        <f t="shared" si="13"/>
        <v>3310591</v>
      </c>
      <c r="P95" s="61">
        <v>18494300</v>
      </c>
      <c r="Q95" s="61">
        <v>2080000</v>
      </c>
      <c r="R95" s="61">
        <f>IFERROR(VLOOKUP(C95,[6]IS_WTB!C$2:U$259,19,),)</f>
        <v>5149091</v>
      </c>
      <c r="S95" s="61">
        <v>9960091</v>
      </c>
      <c r="T95" s="520">
        <v>23792091</v>
      </c>
      <c r="U95" s="520">
        <v>1368000</v>
      </c>
      <c r="V95" s="520">
        <v>12091050</v>
      </c>
      <c r="W95" s="520">
        <v>23095650</v>
      </c>
      <c r="X95" s="520">
        <v>24229550</v>
      </c>
      <c r="Y95" s="520">
        <v>45832500</v>
      </c>
      <c r="Z95" s="520">
        <v>69894200</v>
      </c>
      <c r="AA95" s="520">
        <f>SUM(AA96:AA97)</f>
        <v>80691700</v>
      </c>
      <c r="AB95" s="61"/>
      <c r="AC95" s="61">
        <f>SUM(AC96:AC97)</f>
        <v>0</v>
      </c>
      <c r="AD95" s="67">
        <f t="shared" si="18"/>
        <v>80691700</v>
      </c>
      <c r="AE95" s="67">
        <f t="shared" si="9"/>
        <v>78611700</v>
      </c>
      <c r="AF95" s="62">
        <f t="shared" si="10"/>
        <v>3.3041105970887554</v>
      </c>
    </row>
    <row r="96" spans="1:32">
      <c r="B96" s="1" t="s">
        <v>284</v>
      </c>
      <c r="C96" s="2">
        <v>634300</v>
      </c>
      <c r="D96" s="401">
        <v>7171</v>
      </c>
      <c r="E96" s="3" t="s">
        <v>50</v>
      </c>
      <c r="F96" s="3" t="s">
        <v>741</v>
      </c>
      <c r="G96" s="21">
        <v>7890000</v>
      </c>
      <c r="H96" s="21">
        <f t="shared" si="15"/>
        <v>7306210</v>
      </c>
      <c r="I96" s="21">
        <v>15196210</v>
      </c>
      <c r="J96" s="21">
        <v>1660000</v>
      </c>
      <c r="K96" s="21">
        <f t="shared" si="16"/>
        <v>1159500</v>
      </c>
      <c r="L96" s="21">
        <v>2819500</v>
      </c>
      <c r="M96" s="21">
        <f t="shared" si="14"/>
        <v>3830000</v>
      </c>
      <c r="N96" s="21">
        <v>6649500</v>
      </c>
      <c r="O96" s="21">
        <f t="shared" si="13"/>
        <v>2810591</v>
      </c>
      <c r="P96" s="21">
        <v>18494300</v>
      </c>
      <c r="Q96" s="21">
        <v>2080000</v>
      </c>
      <c r="R96" s="21">
        <f>IFERROR(VLOOKUP(C96,[6]IS_WTB!C$2:U$259,19,),)</f>
        <v>5149091</v>
      </c>
      <c r="S96" s="21">
        <v>9460091</v>
      </c>
      <c r="T96" s="30">
        <v>23292091</v>
      </c>
      <c r="U96" s="30">
        <v>1368000</v>
      </c>
      <c r="V96" s="30">
        <v>12091050</v>
      </c>
      <c r="W96" s="30">
        <v>23095650</v>
      </c>
      <c r="X96" s="30">
        <v>24229550</v>
      </c>
      <c r="Y96" s="30">
        <v>45832500</v>
      </c>
      <c r="Z96" s="30">
        <v>69894200</v>
      </c>
      <c r="AA96" s="30">
        <f>IFERROR(VLOOKUP(C96,'전사시산표(3단계)_1013'!$C:$L,10,0),0)</f>
        <v>80691700</v>
      </c>
      <c r="AB96" s="21"/>
      <c r="AC96" s="21">
        <f>IFERROR(VLOOKUP(C96,경상연구개발비대체!$A$2:$B$83,2,0),0)</f>
        <v>0</v>
      </c>
      <c r="AD96" s="35">
        <f t="shared" si="18"/>
        <v>80691700</v>
      </c>
      <c r="AE96" s="35">
        <f t="shared" si="9"/>
        <v>78611700</v>
      </c>
      <c r="AF96" s="38">
        <f t="shared" si="10"/>
        <v>3.3750383338275642</v>
      </c>
    </row>
    <row r="97" spans="2:32">
      <c r="B97" s="1" t="s">
        <v>284</v>
      </c>
      <c r="C97" s="2">
        <v>634400</v>
      </c>
      <c r="D97" s="401">
        <v>7171</v>
      </c>
      <c r="E97" s="3" t="s">
        <v>649</v>
      </c>
      <c r="F97" s="3" t="s">
        <v>741</v>
      </c>
      <c r="G97" s="21">
        <v>0</v>
      </c>
      <c r="H97" s="21">
        <f t="shared" si="15"/>
        <v>1000000</v>
      </c>
      <c r="I97" s="21">
        <v>1000000</v>
      </c>
      <c r="J97" s="21">
        <v>0</v>
      </c>
      <c r="K97" s="21">
        <f t="shared" si="16"/>
        <v>0</v>
      </c>
      <c r="L97" s="21">
        <v>0</v>
      </c>
      <c r="M97" s="21">
        <f t="shared" si="14"/>
        <v>0</v>
      </c>
      <c r="N97" s="21">
        <v>0</v>
      </c>
      <c r="O97" s="21">
        <f t="shared" si="13"/>
        <v>500000</v>
      </c>
      <c r="P97" s="21">
        <v>0</v>
      </c>
      <c r="Q97" s="21">
        <v>0</v>
      </c>
      <c r="R97" s="21">
        <f>IFERROR(VLOOKUP(C97,[6]IS_WTB!C$2:U$259,19,),)</f>
        <v>0</v>
      </c>
      <c r="S97" s="21">
        <v>500000</v>
      </c>
      <c r="T97" s="30">
        <v>500000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f>IFERROR(VLOOKUP(C97,'전사시산표(3단계)_1013'!$C:$L,10,0),0)</f>
        <v>0</v>
      </c>
      <c r="AB97" s="21"/>
      <c r="AC97" s="21">
        <f>IFERROR(VLOOKUP(C97,경상연구개발비대체!$A$2:$B$83,2,0),0)</f>
        <v>0</v>
      </c>
      <c r="AD97" s="35">
        <f t="shared" si="18"/>
        <v>0</v>
      </c>
      <c r="AE97" s="35">
        <f t="shared" si="9"/>
        <v>0</v>
      </c>
      <c r="AF97" s="38">
        <f t="shared" si="10"/>
        <v>0</v>
      </c>
    </row>
    <row r="98" spans="2:32">
      <c r="B98" s="64" t="s">
        <v>276</v>
      </c>
      <c r="C98" s="65">
        <v>6351</v>
      </c>
      <c r="D98" s="65"/>
      <c r="E98" s="66" t="s">
        <v>49</v>
      </c>
      <c r="F98" s="66"/>
      <c r="G98" s="61">
        <f>SUM(G99:G102)</f>
        <v>1070664729</v>
      </c>
      <c r="H98" s="61">
        <f t="shared" si="15"/>
        <v>3071785484</v>
      </c>
      <c r="I98" s="61">
        <v>4142450213</v>
      </c>
      <c r="J98" s="61">
        <v>314430691</v>
      </c>
      <c r="K98" s="61">
        <f t="shared" si="16"/>
        <v>233394980</v>
      </c>
      <c r="L98" s="61">
        <v>547825671</v>
      </c>
      <c r="M98" s="61">
        <f t="shared" si="14"/>
        <v>102582092</v>
      </c>
      <c r="N98" s="61">
        <v>650407763</v>
      </c>
      <c r="O98" s="61">
        <f t="shared" si="13"/>
        <v>-448822866</v>
      </c>
      <c r="P98" s="61">
        <v>746768450</v>
      </c>
      <c r="Q98" s="61">
        <v>83360534</v>
      </c>
      <c r="R98" s="61">
        <f>IFERROR(VLOOKUP(C98,[6]IS_WTB!C$2:U$259,19,),)</f>
        <v>126325262</v>
      </c>
      <c r="S98" s="61">
        <v>201584897</v>
      </c>
      <c r="T98" s="520">
        <v>205132344</v>
      </c>
      <c r="U98" s="520">
        <v>-211687726</v>
      </c>
      <c r="V98" s="520">
        <v>-201529576</v>
      </c>
      <c r="W98" s="520">
        <v>-170969893</v>
      </c>
      <c r="X98" s="520">
        <v>49507385</v>
      </c>
      <c r="Y98" s="520">
        <v>8843692</v>
      </c>
      <c r="Z98" s="520">
        <v>5440148</v>
      </c>
      <c r="AA98" s="520">
        <f>SUM(AA99:AA103)</f>
        <v>162537337</v>
      </c>
      <c r="AB98" s="61"/>
      <c r="AC98" s="61">
        <f>SUM(AC99:AC103)</f>
        <v>0</v>
      </c>
      <c r="AD98" s="67">
        <f t="shared" si="18"/>
        <v>162537337</v>
      </c>
      <c r="AE98" s="67">
        <f t="shared" si="9"/>
        <v>79176803</v>
      </c>
      <c r="AF98" s="62">
        <f t="shared" si="10"/>
        <v>0.38597912672416007</v>
      </c>
    </row>
    <row r="99" spans="2:32">
      <c r="B99" s="1" t="s">
        <v>284</v>
      </c>
      <c r="C99" s="2">
        <v>635200</v>
      </c>
      <c r="D99" s="401">
        <v>7111</v>
      </c>
      <c r="E99" s="3" t="s">
        <v>48</v>
      </c>
      <c r="F99" s="3" t="s">
        <v>347</v>
      </c>
      <c r="G99" s="21">
        <v>1043734469</v>
      </c>
      <c r="H99" s="21">
        <f t="shared" si="15"/>
        <v>2998302184</v>
      </c>
      <c r="I99" s="21">
        <v>4042036653</v>
      </c>
      <c r="J99" s="21">
        <v>190366768</v>
      </c>
      <c r="K99" s="21">
        <f t="shared" si="16"/>
        <v>-190366768</v>
      </c>
      <c r="L99" s="21">
        <v>0</v>
      </c>
      <c r="M99" s="21">
        <f t="shared" si="14"/>
        <v>0</v>
      </c>
      <c r="N99" s="21">
        <v>0</v>
      </c>
      <c r="O99" s="21">
        <f t="shared" si="13"/>
        <v>0</v>
      </c>
      <c r="P99" s="21">
        <v>0</v>
      </c>
      <c r="Q99" s="21">
        <v>0</v>
      </c>
      <c r="R99" s="21">
        <f>IFERROR(VLOOKUP(C99,[6]IS_WTB!C$2:U$259,19,),)</f>
        <v>0</v>
      </c>
      <c r="S99" s="21">
        <v>0</v>
      </c>
      <c r="T99" s="30">
        <v>0</v>
      </c>
      <c r="U99" s="30">
        <v>0</v>
      </c>
      <c r="V99" s="30">
        <v>12</v>
      </c>
      <c r="W99" s="30">
        <v>12</v>
      </c>
      <c r="X99" s="30">
        <v>0</v>
      </c>
      <c r="Y99" s="30">
        <v>0</v>
      </c>
      <c r="Z99" s="30">
        <v>0</v>
      </c>
      <c r="AA99" s="30">
        <f>IFERROR(VLOOKUP(C99,'전사시산표(3단계)_1013'!$C:$L,10,0),0)</f>
        <v>0</v>
      </c>
      <c r="AB99" s="21"/>
      <c r="AC99" s="21">
        <f>IFERROR(VLOOKUP(C99,경상연구개발비대체!$A$2:$B$83,2,0),0)</f>
        <v>0</v>
      </c>
      <c r="AD99" s="35">
        <f t="shared" si="18"/>
        <v>0</v>
      </c>
      <c r="AE99" s="35">
        <f t="shared" si="9"/>
        <v>0</v>
      </c>
      <c r="AF99" s="38" t="str">
        <f t="shared" si="10"/>
        <v/>
      </c>
    </row>
    <row r="100" spans="2:32">
      <c r="B100" s="1" t="s">
        <v>284</v>
      </c>
      <c r="C100" s="2">
        <v>635600</v>
      </c>
      <c r="D100" s="401">
        <v>7111</v>
      </c>
      <c r="E100" s="3" t="s">
        <v>47</v>
      </c>
      <c r="F100" s="3" t="s">
        <v>347</v>
      </c>
      <c r="G100" s="21">
        <v>7872460</v>
      </c>
      <c r="H100" s="21">
        <f t="shared" si="15"/>
        <v>15217360</v>
      </c>
      <c r="I100" s="21">
        <v>23089820</v>
      </c>
      <c r="J100" s="21">
        <v>6020900</v>
      </c>
      <c r="K100" s="21">
        <f t="shared" si="16"/>
        <v>-6020900</v>
      </c>
      <c r="L100" s="21">
        <v>0</v>
      </c>
      <c r="M100" s="21">
        <f t="shared" si="14"/>
        <v>0</v>
      </c>
      <c r="N100" s="21">
        <v>0</v>
      </c>
      <c r="O100" s="21">
        <f t="shared" ref="O100:O132" si="19">S100-N100</f>
        <v>0</v>
      </c>
      <c r="P100" s="21">
        <v>0</v>
      </c>
      <c r="Q100" s="21">
        <v>0</v>
      </c>
      <c r="R100" s="21">
        <f>IFERROR(VLOOKUP(C100,[6]IS_WTB!C$2:U$259,19,),)</f>
        <v>0</v>
      </c>
      <c r="S100" s="21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f>IFERROR(VLOOKUP(C100,'전사시산표(3단계)_1013'!$C:$L,10,0),0)</f>
        <v>0</v>
      </c>
      <c r="AB100" s="21"/>
      <c r="AC100" s="21">
        <f>IFERROR(VLOOKUP(C100,경상연구개발비대체!$A$2:$B$83,2,0),0)</f>
        <v>0</v>
      </c>
      <c r="AD100" s="35">
        <f t="shared" si="18"/>
        <v>0</v>
      </c>
      <c r="AE100" s="35">
        <f t="shared" si="9"/>
        <v>0</v>
      </c>
      <c r="AF100" s="38" t="str">
        <f t="shared" si="10"/>
        <v/>
      </c>
    </row>
    <row r="101" spans="2:32">
      <c r="B101" s="1" t="s">
        <v>284</v>
      </c>
      <c r="C101" s="2">
        <v>635700</v>
      </c>
      <c r="D101" s="401">
        <v>7111</v>
      </c>
      <c r="E101" s="3" t="s">
        <v>46</v>
      </c>
      <c r="F101" s="3" t="s">
        <v>347</v>
      </c>
      <c r="G101" s="21">
        <v>15357800</v>
      </c>
      <c r="H101" s="21">
        <f t="shared" si="15"/>
        <v>47165940</v>
      </c>
      <c r="I101" s="21">
        <v>62523740</v>
      </c>
      <c r="J101" s="21">
        <v>20368684</v>
      </c>
      <c r="K101" s="21">
        <f t="shared" si="16"/>
        <v>-20368684</v>
      </c>
      <c r="L101" s="21">
        <v>0</v>
      </c>
      <c r="M101" s="21">
        <f t="shared" si="14"/>
        <v>0</v>
      </c>
      <c r="N101" s="21">
        <v>0</v>
      </c>
      <c r="O101" s="21">
        <f t="shared" si="19"/>
        <v>0</v>
      </c>
      <c r="P101" s="21">
        <v>0</v>
      </c>
      <c r="Q101" s="21">
        <v>0</v>
      </c>
      <c r="R101" s="21">
        <f>IFERROR(VLOOKUP(C101,[6]IS_WTB!C$2:U$259,19,),)</f>
        <v>0</v>
      </c>
      <c r="S101" s="21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-237600</v>
      </c>
      <c r="Y101" s="30">
        <v>0</v>
      </c>
      <c r="Z101" s="30">
        <v>0</v>
      </c>
      <c r="AA101" s="30">
        <f>IFERROR(VLOOKUP(C101,'전사시산표(3단계)_1013'!$C:$L,10,0),0)</f>
        <v>0</v>
      </c>
      <c r="AB101" s="21"/>
      <c r="AC101" s="21">
        <f>IFERROR(VLOOKUP(C101,경상연구개발비대체!$A$2:$B$83,2,0),0)</f>
        <v>0</v>
      </c>
      <c r="AD101" s="35">
        <f t="shared" si="18"/>
        <v>0</v>
      </c>
      <c r="AE101" s="35">
        <f t="shared" si="9"/>
        <v>0</v>
      </c>
      <c r="AF101" s="38" t="str">
        <f t="shared" si="10"/>
        <v/>
      </c>
    </row>
    <row r="102" spans="2:32">
      <c r="B102" s="1" t="s">
        <v>284</v>
      </c>
      <c r="C102" s="2">
        <v>636900</v>
      </c>
      <c r="D102" s="401">
        <v>7111</v>
      </c>
      <c r="E102" s="3" t="s">
        <v>45</v>
      </c>
      <c r="F102" s="3" t="s">
        <v>347</v>
      </c>
      <c r="G102" s="21">
        <v>3700000</v>
      </c>
      <c r="H102" s="21">
        <f t="shared" si="15"/>
        <v>11100000</v>
      </c>
      <c r="I102" s="21">
        <v>14800000</v>
      </c>
      <c r="J102" s="21">
        <v>7400000</v>
      </c>
      <c r="K102" s="21">
        <f t="shared" si="16"/>
        <v>-7400000</v>
      </c>
      <c r="L102" s="21">
        <v>0</v>
      </c>
      <c r="M102" s="21">
        <f t="shared" si="14"/>
        <v>0</v>
      </c>
      <c r="N102" s="21">
        <v>0</v>
      </c>
      <c r="O102" s="21">
        <f t="shared" si="19"/>
        <v>0</v>
      </c>
      <c r="P102" s="21">
        <v>0</v>
      </c>
      <c r="Q102" s="21">
        <v>0</v>
      </c>
      <c r="R102" s="21">
        <f>IFERROR(VLOOKUP(C102,[6]IS_WTB!C$2:U$259,19,),)</f>
        <v>0</v>
      </c>
      <c r="S102" s="21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f>IFERROR(VLOOKUP(C102,'전사시산표(3단계)_1013'!$C:$L,10,0),0)</f>
        <v>0</v>
      </c>
      <c r="AB102" s="21"/>
      <c r="AC102" s="21">
        <f>IFERROR(VLOOKUP(C102,경상연구개발비대체!$A$2:$B$83,2,0),0)</f>
        <v>0</v>
      </c>
      <c r="AD102" s="35">
        <f t="shared" si="18"/>
        <v>0</v>
      </c>
      <c r="AE102" s="35">
        <f t="shared" si="9"/>
        <v>0</v>
      </c>
      <c r="AF102" s="38" t="str">
        <f t="shared" si="10"/>
        <v/>
      </c>
    </row>
    <row r="103" spans="2:32">
      <c r="B103" s="1" t="s">
        <v>846</v>
      </c>
      <c r="C103" s="2">
        <v>635500</v>
      </c>
      <c r="D103" s="401">
        <v>7112</v>
      </c>
      <c r="E103" s="3" t="s">
        <v>845</v>
      </c>
      <c r="F103" s="3" t="s">
        <v>347</v>
      </c>
      <c r="G103" s="21"/>
      <c r="H103" s="21"/>
      <c r="I103" s="21"/>
      <c r="J103" s="21">
        <v>90274339</v>
      </c>
      <c r="K103" s="21">
        <f t="shared" si="16"/>
        <v>457551332</v>
      </c>
      <c r="L103" s="21">
        <v>547825671</v>
      </c>
      <c r="M103" s="21">
        <f t="shared" si="14"/>
        <v>102582092</v>
      </c>
      <c r="N103" s="21">
        <v>650407763</v>
      </c>
      <c r="O103" s="21">
        <f t="shared" si="19"/>
        <v>-448822866</v>
      </c>
      <c r="P103" s="21">
        <v>746768450</v>
      </c>
      <c r="Q103" s="21">
        <v>83360534</v>
      </c>
      <c r="R103" s="21">
        <f>IFERROR(VLOOKUP(C103,[6]IS_WTB!C$2:U$259,19,),)</f>
        <v>126325262</v>
      </c>
      <c r="S103" s="21">
        <v>201584897</v>
      </c>
      <c r="T103" s="30">
        <v>205132344</v>
      </c>
      <c r="U103" s="30">
        <v>-211687726</v>
      </c>
      <c r="V103" s="30">
        <v>-201529588</v>
      </c>
      <c r="W103" s="30">
        <v>-170969905</v>
      </c>
      <c r="X103" s="30">
        <v>49744985</v>
      </c>
      <c r="Y103" s="30">
        <v>8843692</v>
      </c>
      <c r="Z103" s="30">
        <v>5440148</v>
      </c>
      <c r="AA103" s="30">
        <f>IFERROR(VLOOKUP(C103,'전사시산표(3단계)_1013'!$C:$L,10,0),0)</f>
        <v>162537337</v>
      </c>
      <c r="AB103" s="21"/>
      <c r="AC103" s="21">
        <f>IFERROR(VLOOKUP(C103,경상연구개발비대체!$A$2:$B$83,2,0),0)</f>
        <v>0</v>
      </c>
      <c r="AD103" s="35">
        <f t="shared" si="18"/>
        <v>162537337</v>
      </c>
      <c r="AE103" s="35">
        <f t="shared" ref="AE103:AE166" si="20">AD103-Q103</f>
        <v>79176803</v>
      </c>
      <c r="AF103" s="38">
        <f t="shared" ref="AF103:AF166" si="21">IFERROR(AE103/T103,"")</f>
        <v>0.38597912672416007</v>
      </c>
    </row>
    <row r="104" spans="2:32">
      <c r="B104" s="64" t="s">
        <v>276</v>
      </c>
      <c r="C104" s="65">
        <v>6391</v>
      </c>
      <c r="D104" s="65"/>
      <c r="E104" s="66" t="s">
        <v>44</v>
      </c>
      <c r="F104" s="66"/>
      <c r="G104" s="61">
        <f>SUM(G105:G107)</f>
        <v>57563497</v>
      </c>
      <c r="H104" s="61">
        <f t="shared" si="15"/>
        <v>94766397</v>
      </c>
      <c r="I104" s="61">
        <v>152329894</v>
      </c>
      <c r="J104" s="61">
        <v>78033081</v>
      </c>
      <c r="K104" s="61">
        <f t="shared" si="16"/>
        <v>87736582</v>
      </c>
      <c r="L104" s="61">
        <v>165769663</v>
      </c>
      <c r="M104" s="61">
        <f t="shared" si="14"/>
        <v>99240090</v>
      </c>
      <c r="N104" s="61">
        <v>265009753</v>
      </c>
      <c r="O104" s="61">
        <f t="shared" si="19"/>
        <v>-15085975</v>
      </c>
      <c r="P104" s="61">
        <v>379412193</v>
      </c>
      <c r="Q104" s="61">
        <v>83992569</v>
      </c>
      <c r="R104" s="61">
        <f>IFERROR(VLOOKUP(C104,[6]IS_WTB!C$2:U$259,19,),)</f>
        <v>202735973</v>
      </c>
      <c r="S104" s="61">
        <v>249923778</v>
      </c>
      <c r="T104" s="520">
        <v>313387712</v>
      </c>
      <c r="U104" s="520">
        <v>76563650</v>
      </c>
      <c r="V104" s="520">
        <v>171848394</v>
      </c>
      <c r="W104" s="520">
        <v>218375833</v>
      </c>
      <c r="X104" s="520">
        <v>363501990</v>
      </c>
      <c r="Y104" s="520">
        <v>95953084</v>
      </c>
      <c r="Z104" s="520">
        <v>184206236</v>
      </c>
      <c r="AA104" s="520">
        <f>SUM(AA105:AA107)</f>
        <v>259202926</v>
      </c>
      <c r="AB104" s="61"/>
      <c r="AC104" s="61">
        <f>SUM(AC105:AC107)</f>
        <v>3757406</v>
      </c>
      <c r="AD104" s="67">
        <f t="shared" si="18"/>
        <v>255445520</v>
      </c>
      <c r="AE104" s="67">
        <f t="shared" si="20"/>
        <v>171452951</v>
      </c>
      <c r="AF104" s="62">
        <f t="shared" si="21"/>
        <v>0.54709532133793426</v>
      </c>
    </row>
    <row r="105" spans="2:32">
      <c r="B105" s="1" t="s">
        <v>284</v>
      </c>
      <c r="C105" s="2">
        <v>639200</v>
      </c>
      <c r="D105" s="401">
        <v>7109</v>
      </c>
      <c r="E105" s="3" t="s">
        <v>43</v>
      </c>
      <c r="F105" s="3" t="s">
        <v>742</v>
      </c>
      <c r="G105" s="21">
        <v>2100000</v>
      </c>
      <c r="H105" s="21">
        <f t="shared" si="15"/>
        <v>12949221</v>
      </c>
      <c r="I105" s="21">
        <v>15049221</v>
      </c>
      <c r="J105" s="21">
        <v>1370160</v>
      </c>
      <c r="K105" s="21">
        <f t="shared" si="16"/>
        <v>1932319</v>
      </c>
      <c r="L105" s="21">
        <v>3302479</v>
      </c>
      <c r="M105" s="21">
        <f t="shared" si="14"/>
        <v>20918196</v>
      </c>
      <c r="N105" s="21">
        <v>24220675</v>
      </c>
      <c r="O105" s="21">
        <f t="shared" si="19"/>
        <v>-16376414</v>
      </c>
      <c r="P105" s="21">
        <v>29541055</v>
      </c>
      <c r="Q105" s="21">
        <v>2056127</v>
      </c>
      <c r="R105" s="21">
        <f>IFERROR(VLOOKUP(C105,[6]IS_WTB!C$2:U$259,19,),)</f>
        <v>6168244</v>
      </c>
      <c r="S105" s="21">
        <v>7844261</v>
      </c>
      <c r="T105" s="30">
        <v>8749761</v>
      </c>
      <c r="U105" s="30">
        <v>16394800</v>
      </c>
      <c r="V105" s="30">
        <v>22993109</v>
      </c>
      <c r="W105" s="30">
        <v>26328299</v>
      </c>
      <c r="X105" s="30">
        <v>28622669</v>
      </c>
      <c r="Y105" s="30">
        <v>14379382</v>
      </c>
      <c r="Z105" s="30">
        <v>25164982</v>
      </c>
      <c r="AA105" s="30">
        <f>IFERROR(VLOOKUP(C105,'전사시산표(3단계)_1013'!$C:$L,10,0),0)</f>
        <v>26415218</v>
      </c>
      <c r="AB105" s="21"/>
      <c r="AC105" s="21">
        <f>IFERROR(VLOOKUP(C105,경상연구개발비대체!$A$2:$B$83,2,0),0)</f>
        <v>0</v>
      </c>
      <c r="AD105" s="35">
        <f t="shared" si="18"/>
        <v>26415218</v>
      </c>
      <c r="AE105" s="35">
        <f t="shared" si="20"/>
        <v>24359091</v>
      </c>
      <c r="AF105" s="38">
        <f t="shared" si="21"/>
        <v>2.7839721564966173</v>
      </c>
    </row>
    <row r="106" spans="2:32">
      <c r="B106" s="1" t="s">
        <v>284</v>
      </c>
      <c r="C106" s="2">
        <v>639300</v>
      </c>
      <c r="D106" s="401">
        <v>7103</v>
      </c>
      <c r="E106" s="3" t="s">
        <v>42</v>
      </c>
      <c r="F106" s="3" t="s">
        <v>742</v>
      </c>
      <c r="G106" s="21">
        <v>51412497</v>
      </c>
      <c r="H106" s="21">
        <f t="shared" si="15"/>
        <v>61703015</v>
      </c>
      <c r="I106" s="21">
        <v>113115512</v>
      </c>
      <c r="J106" s="21">
        <v>34669022</v>
      </c>
      <c r="K106" s="21">
        <f t="shared" si="16"/>
        <v>17540943</v>
      </c>
      <c r="L106" s="21">
        <v>52209965</v>
      </c>
      <c r="M106" s="21">
        <f t="shared" si="14"/>
        <v>29734589</v>
      </c>
      <c r="N106" s="21">
        <v>81944554</v>
      </c>
      <c r="O106" s="21">
        <f t="shared" si="19"/>
        <v>18036863</v>
      </c>
      <c r="P106" s="21">
        <v>131667161</v>
      </c>
      <c r="Q106" s="21">
        <v>37975842</v>
      </c>
      <c r="R106" s="21">
        <f>IFERROR(VLOOKUP(C106,[6]IS_WTB!C$2:U$259,19,),)</f>
        <v>73414128</v>
      </c>
      <c r="S106" s="21">
        <v>99981417</v>
      </c>
      <c r="T106" s="30">
        <v>138105365</v>
      </c>
      <c r="U106" s="30">
        <v>19150409</v>
      </c>
      <c r="V106" s="30">
        <v>43405404</v>
      </c>
      <c r="W106" s="30">
        <v>62139650</v>
      </c>
      <c r="X106" s="30">
        <v>167001280</v>
      </c>
      <c r="Y106" s="30">
        <v>55236317</v>
      </c>
      <c r="Z106" s="30">
        <v>95540868</v>
      </c>
      <c r="AA106" s="30">
        <f>IFERROR(VLOOKUP(C106,'전사시산표(3단계)_1013'!$C:$L,10,0),0)</f>
        <v>145015595</v>
      </c>
      <c r="AB106" s="21"/>
      <c r="AC106" s="21">
        <f>IFERROR(VLOOKUP(C106,경상연구개발비대체!$A$2:$B$83,2,0),0)</f>
        <v>3757406</v>
      </c>
      <c r="AD106" s="35">
        <f t="shared" si="18"/>
        <v>141258189</v>
      </c>
      <c r="AE106" s="35">
        <f t="shared" si="20"/>
        <v>103282347</v>
      </c>
      <c r="AF106" s="38">
        <f t="shared" si="21"/>
        <v>0.7478518086534871</v>
      </c>
    </row>
    <row r="107" spans="2:32">
      <c r="B107" s="1" t="s">
        <v>284</v>
      </c>
      <c r="C107" s="2">
        <v>639400</v>
      </c>
      <c r="D107" s="401">
        <v>7103</v>
      </c>
      <c r="E107" s="3" t="s">
        <v>456</v>
      </c>
      <c r="F107" s="3" t="s">
        <v>743</v>
      </c>
      <c r="G107" s="21">
        <v>4051000</v>
      </c>
      <c r="H107" s="21">
        <f t="shared" si="15"/>
        <v>20114161</v>
      </c>
      <c r="I107" s="21">
        <v>24165161</v>
      </c>
      <c r="J107" s="21">
        <v>41993899</v>
      </c>
      <c r="K107" s="21">
        <f t="shared" si="16"/>
        <v>68263320</v>
      </c>
      <c r="L107" s="21">
        <v>110257219</v>
      </c>
      <c r="M107" s="21">
        <f t="shared" si="14"/>
        <v>48587305</v>
      </c>
      <c r="N107" s="21">
        <v>158844524</v>
      </c>
      <c r="O107" s="21">
        <f t="shared" si="19"/>
        <v>-16746424</v>
      </c>
      <c r="P107" s="21">
        <v>218203977</v>
      </c>
      <c r="Q107" s="21">
        <v>43960600</v>
      </c>
      <c r="R107" s="21">
        <f>IFERROR(VLOOKUP(C107,[6]IS_WTB!C$2:U$259,19,),)</f>
        <v>123153601</v>
      </c>
      <c r="S107" s="21">
        <v>142098100</v>
      </c>
      <c r="T107" s="30">
        <v>166532586</v>
      </c>
      <c r="U107" s="30">
        <v>41018441</v>
      </c>
      <c r="V107" s="30">
        <v>105449881</v>
      </c>
      <c r="W107" s="30">
        <v>129907884</v>
      </c>
      <c r="X107" s="30">
        <v>167878041</v>
      </c>
      <c r="Y107" s="30">
        <v>26337385</v>
      </c>
      <c r="Z107" s="30">
        <v>63500386</v>
      </c>
      <c r="AA107" s="30">
        <f>IFERROR(VLOOKUP(C107,'전사시산표(3단계)_1013'!$C:$L,10,0),0)</f>
        <v>87772113</v>
      </c>
      <c r="AB107" s="21"/>
      <c r="AC107" s="21">
        <f>IFERROR(VLOOKUP(C107,경상연구개발비대체!$A$2:$B$83,2,0),0)</f>
        <v>0</v>
      </c>
      <c r="AD107" s="35">
        <f t="shared" si="18"/>
        <v>87772113</v>
      </c>
      <c r="AE107" s="35">
        <f t="shared" si="20"/>
        <v>43811513</v>
      </c>
      <c r="AF107" s="38">
        <f t="shared" si="21"/>
        <v>0.26308072223174389</v>
      </c>
    </row>
    <row r="108" spans="2:32">
      <c r="B108" s="64" t="s">
        <v>276</v>
      </c>
      <c r="C108" s="65">
        <v>6401</v>
      </c>
      <c r="D108" s="65"/>
      <c r="E108" s="66" t="s">
        <v>41</v>
      </c>
      <c r="F108" s="66"/>
      <c r="G108" s="61">
        <f>SUM(G109:G116)</f>
        <v>62000000</v>
      </c>
      <c r="H108" s="61">
        <f t="shared" si="15"/>
        <v>96874386</v>
      </c>
      <c r="I108" s="61">
        <v>158874386</v>
      </c>
      <c r="J108" s="61">
        <v>273077465</v>
      </c>
      <c r="K108" s="61">
        <f t="shared" si="16"/>
        <v>104938670</v>
      </c>
      <c r="L108" s="61">
        <v>378016135</v>
      </c>
      <c r="M108" s="61">
        <f t="shared" si="14"/>
        <v>119284550</v>
      </c>
      <c r="N108" s="61">
        <v>497300685</v>
      </c>
      <c r="O108" s="61">
        <f t="shared" si="19"/>
        <v>160220073</v>
      </c>
      <c r="P108" s="61">
        <v>608918536</v>
      </c>
      <c r="Q108" s="61">
        <v>320912359</v>
      </c>
      <c r="R108" s="61">
        <f>IFERROR(VLOOKUP(C108,[6]IS_WTB!C$2:U$259,19,),)</f>
        <v>508439144</v>
      </c>
      <c r="S108" s="61">
        <v>657520758</v>
      </c>
      <c r="T108" s="520">
        <v>913135730</v>
      </c>
      <c r="U108" s="520">
        <v>157945034</v>
      </c>
      <c r="V108" s="520">
        <v>395338744</v>
      </c>
      <c r="W108" s="520">
        <v>605938990</v>
      </c>
      <c r="X108" s="520">
        <v>759719767</v>
      </c>
      <c r="Y108" s="520">
        <v>365039504</v>
      </c>
      <c r="Z108" s="520">
        <v>569104601</v>
      </c>
      <c r="AA108" s="520">
        <f>SUM(AA109:AA116)</f>
        <v>778514541</v>
      </c>
      <c r="AB108" s="61"/>
      <c r="AC108" s="61">
        <f>SUM(AC109:AC116)</f>
        <v>0</v>
      </c>
      <c r="AD108" s="67">
        <f t="shared" si="18"/>
        <v>778514541</v>
      </c>
      <c r="AE108" s="67">
        <f t="shared" si="20"/>
        <v>457602182</v>
      </c>
      <c r="AF108" s="62">
        <f t="shared" si="21"/>
        <v>0.50113270893473849</v>
      </c>
    </row>
    <row r="109" spans="2:32">
      <c r="B109" s="1" t="s">
        <v>284</v>
      </c>
      <c r="C109" s="2">
        <v>640100</v>
      </c>
      <c r="D109" s="401">
        <v>7099</v>
      </c>
      <c r="E109" s="3" t="s">
        <v>353</v>
      </c>
      <c r="F109" s="3" t="s">
        <v>744</v>
      </c>
      <c r="G109" s="21">
        <v>0</v>
      </c>
      <c r="H109" s="21">
        <f t="shared" si="15"/>
        <v>0</v>
      </c>
      <c r="I109" s="21">
        <v>0</v>
      </c>
      <c r="J109" s="21">
        <v>0</v>
      </c>
      <c r="K109" s="21">
        <f t="shared" si="16"/>
        <v>0</v>
      </c>
      <c r="L109" s="21">
        <v>0</v>
      </c>
      <c r="M109" s="21">
        <f t="shared" si="14"/>
        <v>11326180</v>
      </c>
      <c r="N109" s="21">
        <v>11326180</v>
      </c>
      <c r="O109" s="21">
        <f t="shared" si="19"/>
        <v>2921530</v>
      </c>
      <c r="P109" s="21">
        <v>11326180</v>
      </c>
      <c r="Q109" s="21">
        <v>0</v>
      </c>
      <c r="R109" s="21">
        <f>IFERROR(VLOOKUP(C109,[6]IS_WTB!C$2:U$259,19,),)</f>
        <v>0</v>
      </c>
      <c r="S109" s="21">
        <v>14247710</v>
      </c>
      <c r="T109" s="30">
        <v>14247710</v>
      </c>
      <c r="U109" s="30">
        <v>0</v>
      </c>
      <c r="V109" s="30">
        <v>0</v>
      </c>
      <c r="W109" s="30">
        <v>14694430</v>
      </c>
      <c r="X109" s="30">
        <v>14694430</v>
      </c>
      <c r="Y109" s="30">
        <v>0</v>
      </c>
      <c r="Z109" s="30">
        <v>0</v>
      </c>
      <c r="AA109" s="30">
        <f>IFERROR(VLOOKUP(C109,'전사시산표(3단계)_1013'!$C:$L,10,0),0)</f>
        <v>15073930</v>
      </c>
      <c r="AB109" s="21"/>
      <c r="AC109" s="21">
        <f>IFERROR(VLOOKUP(C109,경상연구개발비대체!$A$2:$B$83,2,0),0)</f>
        <v>0</v>
      </c>
      <c r="AD109" s="35">
        <f t="shared" si="18"/>
        <v>15073930</v>
      </c>
      <c r="AE109" s="35">
        <f t="shared" si="20"/>
        <v>15073930</v>
      </c>
      <c r="AF109" s="38">
        <f t="shared" si="21"/>
        <v>1.0579896699188851</v>
      </c>
    </row>
    <row r="110" spans="2:32">
      <c r="B110" s="1" t="s">
        <v>284</v>
      </c>
      <c r="C110" s="2">
        <v>640200</v>
      </c>
      <c r="D110" s="401">
        <v>7099</v>
      </c>
      <c r="E110" s="3" t="s">
        <v>354</v>
      </c>
      <c r="F110" s="3" t="s">
        <v>41</v>
      </c>
      <c r="G110" s="21">
        <v>0</v>
      </c>
      <c r="H110" s="21">
        <f t="shared" si="15"/>
        <v>0</v>
      </c>
      <c r="I110" s="21">
        <v>0</v>
      </c>
      <c r="J110" s="21">
        <v>0</v>
      </c>
      <c r="K110" s="21">
        <f t="shared" si="16"/>
        <v>0</v>
      </c>
      <c r="L110" s="21">
        <v>0</v>
      </c>
      <c r="M110" s="21">
        <f t="shared" si="14"/>
        <v>26090</v>
      </c>
      <c r="N110" s="21">
        <v>26090</v>
      </c>
      <c r="O110" s="21">
        <f t="shared" si="19"/>
        <v>610</v>
      </c>
      <c r="P110" s="21">
        <v>26090</v>
      </c>
      <c r="Q110" s="21">
        <v>0</v>
      </c>
      <c r="R110" s="21">
        <f>IFERROR(VLOOKUP(C110,[6]IS_WTB!C$2:U$259,19,),)</f>
        <v>0</v>
      </c>
      <c r="S110" s="21">
        <v>26700</v>
      </c>
      <c r="T110" s="30">
        <v>26700</v>
      </c>
      <c r="U110" s="30">
        <v>0</v>
      </c>
      <c r="V110" s="30">
        <v>0</v>
      </c>
      <c r="W110" s="30">
        <v>29020</v>
      </c>
      <c r="X110" s="30">
        <v>29020</v>
      </c>
      <c r="Y110" s="30">
        <v>0</v>
      </c>
      <c r="Z110" s="30">
        <v>0</v>
      </c>
      <c r="AA110" s="30">
        <f>IFERROR(VLOOKUP(C110,'전사시산표(3단계)_1013'!$C:$L,10,0),0)</f>
        <v>31310</v>
      </c>
      <c r="AB110" s="21"/>
      <c r="AC110" s="21">
        <f>IFERROR(VLOOKUP(C110,경상연구개발비대체!$A$2:$B$83,2,0),0)</f>
        <v>0</v>
      </c>
      <c r="AD110" s="35">
        <f t="shared" si="18"/>
        <v>31310</v>
      </c>
      <c r="AE110" s="35">
        <f t="shared" si="20"/>
        <v>31310</v>
      </c>
      <c r="AF110" s="38">
        <f t="shared" si="21"/>
        <v>1.1726591760299625</v>
      </c>
    </row>
    <row r="111" spans="2:32">
      <c r="B111" s="1" t="s">
        <v>284</v>
      </c>
      <c r="C111" s="2">
        <v>640250</v>
      </c>
      <c r="D111" s="401">
        <v>7099</v>
      </c>
      <c r="E111" s="3" t="s">
        <v>355</v>
      </c>
      <c r="F111" s="3" t="s">
        <v>41</v>
      </c>
      <c r="G111" s="21">
        <v>0</v>
      </c>
      <c r="H111" s="21">
        <f t="shared" si="15"/>
        <v>0</v>
      </c>
      <c r="I111" s="21">
        <v>0</v>
      </c>
      <c r="J111" s="21">
        <v>0</v>
      </c>
      <c r="K111" s="21">
        <f t="shared" si="16"/>
        <v>0</v>
      </c>
      <c r="L111" s="21">
        <v>0</v>
      </c>
      <c r="M111" s="21">
        <f t="shared" si="14"/>
        <v>0</v>
      </c>
      <c r="N111" s="21">
        <v>0</v>
      </c>
      <c r="O111" s="21">
        <f t="shared" si="19"/>
        <v>0</v>
      </c>
      <c r="P111" s="21">
        <v>0</v>
      </c>
      <c r="Q111" s="21">
        <v>0</v>
      </c>
      <c r="R111" s="21">
        <f>IFERROR(VLOOKUP(C111,[6]IS_WTB!C$2:U$259,19,),)</f>
        <v>0</v>
      </c>
      <c r="S111" s="21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f>IFERROR(VLOOKUP(C111,'전사시산표(3단계)_1013'!$C:$L,10,0),0)</f>
        <v>0</v>
      </c>
      <c r="AB111" s="21"/>
      <c r="AC111" s="21">
        <f>IFERROR(VLOOKUP(C111,경상연구개발비대체!$A$2:$B$83,2,0),0)</f>
        <v>0</v>
      </c>
      <c r="AD111" s="35">
        <f t="shared" si="18"/>
        <v>0</v>
      </c>
      <c r="AE111" s="35">
        <f t="shared" si="20"/>
        <v>0</v>
      </c>
      <c r="AF111" s="38" t="str">
        <f t="shared" si="21"/>
        <v/>
      </c>
    </row>
    <row r="112" spans="2:32">
      <c r="B112" s="1" t="s">
        <v>284</v>
      </c>
      <c r="C112" s="2">
        <v>640300</v>
      </c>
      <c r="D112" s="401">
        <v>7099</v>
      </c>
      <c r="E112" s="3" t="s">
        <v>356</v>
      </c>
      <c r="F112" s="3" t="s">
        <v>41</v>
      </c>
      <c r="G112" s="21">
        <v>0</v>
      </c>
      <c r="H112" s="21">
        <f t="shared" si="15"/>
        <v>0</v>
      </c>
      <c r="I112" s="21">
        <v>0</v>
      </c>
      <c r="J112" s="21">
        <v>0</v>
      </c>
      <c r="K112" s="21">
        <f t="shared" si="16"/>
        <v>0</v>
      </c>
      <c r="L112" s="21">
        <v>0</v>
      </c>
      <c r="M112" s="21">
        <f t="shared" si="14"/>
        <v>1315000</v>
      </c>
      <c r="N112" s="21">
        <v>1315000</v>
      </c>
      <c r="O112" s="21">
        <f t="shared" si="19"/>
        <v>0</v>
      </c>
      <c r="P112" s="21">
        <v>1315000</v>
      </c>
      <c r="Q112" s="21">
        <v>0</v>
      </c>
      <c r="R112" s="21">
        <f>IFERROR(VLOOKUP(C112,[6]IS_WTB!C$2:U$259,19,),)</f>
        <v>0</v>
      </c>
      <c r="S112" s="21">
        <v>1315000</v>
      </c>
      <c r="T112" s="30">
        <v>1315000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f>IFERROR(VLOOKUP(C112,'전사시산표(3단계)_1013'!$C:$L,10,0),0)</f>
        <v>0</v>
      </c>
      <c r="AB112" s="21"/>
      <c r="AC112" s="21">
        <f>IFERROR(VLOOKUP(C112,경상연구개발비대체!$A$2:$B$83,2,0),0)</f>
        <v>0</v>
      </c>
      <c r="AD112" s="35">
        <f t="shared" si="18"/>
        <v>0</v>
      </c>
      <c r="AE112" s="35">
        <f t="shared" si="20"/>
        <v>0</v>
      </c>
      <c r="AF112" s="38">
        <f t="shared" si="21"/>
        <v>0</v>
      </c>
    </row>
    <row r="113" spans="1:32">
      <c r="B113" s="1" t="s">
        <v>284</v>
      </c>
      <c r="C113" s="2">
        <v>640400</v>
      </c>
      <c r="D113" s="401">
        <v>7094</v>
      </c>
      <c r="E113" s="3" t="s">
        <v>40</v>
      </c>
      <c r="F113" s="3" t="s">
        <v>41</v>
      </c>
      <c r="G113" s="21">
        <v>0</v>
      </c>
      <c r="H113" s="21">
        <f t="shared" si="15"/>
        <v>78241520</v>
      </c>
      <c r="I113" s="21">
        <v>78241520</v>
      </c>
      <c r="J113" s="21">
        <v>116526780</v>
      </c>
      <c r="K113" s="21">
        <f t="shared" si="16"/>
        <v>87358670</v>
      </c>
      <c r="L113" s="21">
        <v>203885450</v>
      </c>
      <c r="M113" s="21">
        <f t="shared" si="14"/>
        <v>85794630</v>
      </c>
      <c r="N113" s="21">
        <v>289680080</v>
      </c>
      <c r="O113" s="21">
        <f t="shared" si="19"/>
        <v>45970740</v>
      </c>
      <c r="P113" s="21">
        <v>375992280</v>
      </c>
      <c r="Q113" s="21">
        <v>135996350</v>
      </c>
      <c r="R113" s="21">
        <f>IFERROR(VLOOKUP(C113,[6]IS_WTB!C$2:U$259,19,),)</f>
        <v>237634710</v>
      </c>
      <c r="S113" s="21">
        <v>335650820</v>
      </c>
      <c r="T113" s="30">
        <v>429460800</v>
      </c>
      <c r="U113" s="30">
        <v>147624030</v>
      </c>
      <c r="V113" s="30">
        <v>256332420</v>
      </c>
      <c r="W113" s="30">
        <v>360780780</v>
      </c>
      <c r="X113" s="30">
        <v>468171220</v>
      </c>
      <c r="Y113" s="30">
        <v>163589720</v>
      </c>
      <c r="Z113" s="30">
        <v>296318050</v>
      </c>
      <c r="AA113" s="30">
        <f>IFERROR(VLOOKUP(C113,'전사시산표(3단계)_1013'!$C:$L,10,0),0)</f>
        <v>406605600</v>
      </c>
      <c r="AB113" s="21"/>
      <c r="AC113" s="21">
        <f>IFERROR(VLOOKUP(C113,경상연구개발비대체!$A$2:$B$83,2,0),0)</f>
        <v>0</v>
      </c>
      <c r="AD113" s="35">
        <f t="shared" si="18"/>
        <v>406605600</v>
      </c>
      <c r="AE113" s="35">
        <f t="shared" si="20"/>
        <v>270609250</v>
      </c>
      <c r="AF113" s="38">
        <f t="shared" si="21"/>
        <v>0.63011397082108545</v>
      </c>
    </row>
    <row r="114" spans="1:32">
      <c r="B114" s="1" t="s">
        <v>284</v>
      </c>
      <c r="C114" s="2">
        <v>640410</v>
      </c>
      <c r="D114" s="401">
        <v>7099</v>
      </c>
      <c r="E114" s="3" t="s">
        <v>357</v>
      </c>
      <c r="F114" s="3" t="s">
        <v>41</v>
      </c>
      <c r="G114" s="21">
        <v>0</v>
      </c>
      <c r="H114" s="21">
        <f t="shared" si="15"/>
        <v>0</v>
      </c>
      <c r="I114" s="21">
        <v>0</v>
      </c>
      <c r="J114" s="21">
        <v>0</v>
      </c>
      <c r="K114" s="21">
        <f t="shared" si="16"/>
        <v>0</v>
      </c>
      <c r="L114" s="21">
        <v>0</v>
      </c>
      <c r="M114" s="21">
        <f t="shared" si="14"/>
        <v>11174250</v>
      </c>
      <c r="N114" s="21">
        <v>11174250</v>
      </c>
      <c r="O114" s="21">
        <f t="shared" si="19"/>
        <v>-1654250</v>
      </c>
      <c r="P114" s="21">
        <v>11174250</v>
      </c>
      <c r="Q114" s="21">
        <v>0</v>
      </c>
      <c r="R114" s="21">
        <f>IFERROR(VLOOKUP(C114,[6]IS_WTB!C$2:U$259,19,),)</f>
        <v>0</v>
      </c>
      <c r="S114" s="21">
        <v>9520000</v>
      </c>
      <c r="T114" s="30">
        <v>9520000</v>
      </c>
      <c r="U114" s="30">
        <v>0</v>
      </c>
      <c r="V114" s="30">
        <v>0</v>
      </c>
      <c r="W114" s="30">
        <v>7649000</v>
      </c>
      <c r="X114" s="30">
        <v>7649000</v>
      </c>
      <c r="Y114" s="30">
        <v>0</v>
      </c>
      <c r="Z114" s="30">
        <v>0</v>
      </c>
      <c r="AA114" s="30">
        <f>IFERROR(VLOOKUP(C114,'전사시산표(3단계)_1013'!$C:$L,10,0),0)</f>
        <v>21589500</v>
      </c>
      <c r="AB114" s="21"/>
      <c r="AC114" s="21">
        <f>IFERROR(VLOOKUP(C114,경상연구개발비대체!$A$2:$B$83,2,0),0)</f>
        <v>0</v>
      </c>
      <c r="AD114" s="35">
        <f t="shared" si="18"/>
        <v>21589500</v>
      </c>
      <c r="AE114" s="35">
        <f t="shared" si="20"/>
        <v>21589500</v>
      </c>
      <c r="AF114" s="38">
        <f t="shared" si="21"/>
        <v>2.2678046218487395</v>
      </c>
    </row>
    <row r="115" spans="1:32">
      <c r="B115" s="1" t="s">
        <v>284</v>
      </c>
      <c r="C115" s="2">
        <v>640500</v>
      </c>
      <c r="D115" s="401">
        <v>7099</v>
      </c>
      <c r="E115" s="3" t="s">
        <v>39</v>
      </c>
      <c r="F115" s="3" t="s">
        <v>41</v>
      </c>
      <c r="G115" s="21">
        <v>62000000</v>
      </c>
      <c r="H115" s="21">
        <f t="shared" si="15"/>
        <v>9520000</v>
      </c>
      <c r="I115" s="21">
        <v>71520000</v>
      </c>
      <c r="J115" s="21">
        <v>127274250</v>
      </c>
      <c r="K115" s="21">
        <f t="shared" si="16"/>
        <v>17580000</v>
      </c>
      <c r="L115" s="21">
        <v>144854250</v>
      </c>
      <c r="M115" s="21">
        <f t="shared" si="14"/>
        <v>9580000</v>
      </c>
      <c r="N115" s="21">
        <v>154434250</v>
      </c>
      <c r="O115" s="21">
        <f t="shared" si="19"/>
        <v>23314345</v>
      </c>
      <c r="P115" s="21">
        <v>179739901</v>
      </c>
      <c r="Q115" s="21">
        <v>73375076</v>
      </c>
      <c r="R115" s="21">
        <f>IFERROR(VLOOKUP(C115,[6]IS_WTB!C$2:U$259,19,),)</f>
        <v>154135901</v>
      </c>
      <c r="S115" s="21">
        <v>177748595</v>
      </c>
      <c r="T115" s="30">
        <v>243903987</v>
      </c>
      <c r="U115" s="30">
        <v>92771842</v>
      </c>
      <c r="V115" s="30">
        <v>208651562</v>
      </c>
      <c r="W115" s="30">
        <v>286540198</v>
      </c>
      <c r="X115" s="30">
        <v>323822935</v>
      </c>
      <c r="Y115" s="30">
        <v>155460264</v>
      </c>
      <c r="Z115" s="30">
        <v>217253431</v>
      </c>
      <c r="AA115" s="30">
        <f>IFERROR(VLOOKUP(C115,'전사시산표(3단계)_1013'!$C:$L,10,0),0)</f>
        <v>267612721</v>
      </c>
      <c r="AB115" s="21"/>
      <c r="AC115" s="21">
        <f>IFERROR(VLOOKUP(C115,경상연구개발비대체!$A$2:$B$83,2,0),0)</f>
        <v>0</v>
      </c>
      <c r="AD115" s="35">
        <f t="shared" si="18"/>
        <v>267612721</v>
      </c>
      <c r="AE115" s="35">
        <f t="shared" si="20"/>
        <v>194237645</v>
      </c>
      <c r="AF115" s="38">
        <f t="shared" si="21"/>
        <v>0.79636929018302605</v>
      </c>
    </row>
    <row r="116" spans="1:32">
      <c r="B116" s="1" t="s">
        <v>284</v>
      </c>
      <c r="C116" s="2">
        <v>641900</v>
      </c>
      <c r="D116" s="401">
        <v>7099</v>
      </c>
      <c r="E116" s="3" t="s">
        <v>358</v>
      </c>
      <c r="F116" s="3" t="s">
        <v>41</v>
      </c>
      <c r="G116" s="21">
        <v>0</v>
      </c>
      <c r="H116" s="21">
        <f t="shared" si="15"/>
        <v>9112866</v>
      </c>
      <c r="I116" s="21">
        <v>9112866</v>
      </c>
      <c r="J116" s="21">
        <v>29276435</v>
      </c>
      <c r="K116" s="21">
        <f t="shared" si="16"/>
        <v>0</v>
      </c>
      <c r="L116" s="21">
        <v>29276435</v>
      </c>
      <c r="M116" s="21">
        <f t="shared" si="14"/>
        <v>68400</v>
      </c>
      <c r="N116" s="21">
        <v>29344835</v>
      </c>
      <c r="O116" s="21">
        <f t="shared" si="19"/>
        <v>89667098</v>
      </c>
      <c r="P116" s="21">
        <v>29344835</v>
      </c>
      <c r="Q116" s="21">
        <v>111540933</v>
      </c>
      <c r="R116" s="21">
        <f>IFERROR(VLOOKUP(C116,[6]IS_WTB!C$2:U$259,19,),)</f>
        <v>116668533</v>
      </c>
      <c r="S116" s="21">
        <v>119011933</v>
      </c>
      <c r="T116" s="30">
        <v>214661533</v>
      </c>
      <c r="U116" s="30">
        <v>-82450838</v>
      </c>
      <c r="V116" s="30">
        <v>-69645238</v>
      </c>
      <c r="W116" s="30">
        <v>-63754438</v>
      </c>
      <c r="X116" s="30">
        <v>-54646838</v>
      </c>
      <c r="Y116" s="30">
        <v>45989520</v>
      </c>
      <c r="Z116" s="30">
        <v>55533120</v>
      </c>
      <c r="AA116" s="30">
        <f>IFERROR(VLOOKUP(C116,'전사시산표(3단계)_1013'!$C:$L,10,0),0)</f>
        <v>67601480</v>
      </c>
      <c r="AB116" s="21"/>
      <c r="AC116" s="21">
        <f>IFERROR(VLOOKUP(C116,경상연구개발비대체!$A$2:$B$83,2,0),0)</f>
        <v>0</v>
      </c>
      <c r="AD116" s="35">
        <f t="shared" si="18"/>
        <v>67601480</v>
      </c>
      <c r="AE116" s="35">
        <f t="shared" si="20"/>
        <v>-43939453</v>
      </c>
      <c r="AF116" s="38">
        <f t="shared" si="21"/>
        <v>-0.20469178797861282</v>
      </c>
    </row>
    <row r="117" spans="1:32">
      <c r="B117" s="64" t="s">
        <v>276</v>
      </c>
      <c r="C117" s="65">
        <v>6461</v>
      </c>
      <c r="D117" s="65"/>
      <c r="E117" s="66" t="s">
        <v>36</v>
      </c>
      <c r="F117" s="66"/>
      <c r="G117" s="61">
        <f>SUM(G118:G121)</f>
        <v>9702928</v>
      </c>
      <c r="H117" s="61">
        <f t="shared" si="15"/>
        <v>226188303</v>
      </c>
      <c r="I117" s="61">
        <v>235891231</v>
      </c>
      <c r="J117" s="61">
        <v>202537235</v>
      </c>
      <c r="K117" s="61">
        <f t="shared" si="16"/>
        <v>241396177</v>
      </c>
      <c r="L117" s="61">
        <v>443933412</v>
      </c>
      <c r="M117" s="61">
        <f t="shared" si="14"/>
        <v>205167238</v>
      </c>
      <c r="N117" s="61">
        <v>649100650</v>
      </c>
      <c r="O117" s="61">
        <f t="shared" si="19"/>
        <v>-186452171</v>
      </c>
      <c r="P117" s="61">
        <v>1094957962</v>
      </c>
      <c r="Q117" s="61">
        <v>170931212</v>
      </c>
      <c r="R117" s="61">
        <f>IFERROR(VLOOKUP(C117,[6]IS_WTB!C$2:U$259,19,),)</f>
        <v>263628492</v>
      </c>
      <c r="S117" s="61">
        <v>462648479</v>
      </c>
      <c r="T117" s="520">
        <v>890019219</v>
      </c>
      <c r="U117" s="520">
        <v>240329358</v>
      </c>
      <c r="V117" s="520">
        <v>534198427</v>
      </c>
      <c r="W117" s="520">
        <v>708492146</v>
      </c>
      <c r="X117" s="520">
        <v>901335109</v>
      </c>
      <c r="Y117" s="520">
        <v>325310303</v>
      </c>
      <c r="Z117" s="520">
        <v>800041685</v>
      </c>
      <c r="AA117" s="520">
        <f>SUM(AA118:AA121)</f>
        <v>1211098823</v>
      </c>
      <c r="AB117" s="61"/>
      <c r="AC117" s="61">
        <f>SUM(AC118:AC121)</f>
        <v>85440350</v>
      </c>
      <c r="AD117" s="67">
        <f t="shared" si="18"/>
        <v>1125658473</v>
      </c>
      <c r="AE117" s="67">
        <f t="shared" si="20"/>
        <v>954727261</v>
      </c>
      <c r="AF117" s="62">
        <f t="shared" si="21"/>
        <v>1.0727040951685336</v>
      </c>
    </row>
    <row r="118" spans="1:32">
      <c r="B118" s="1" t="s">
        <v>284</v>
      </c>
      <c r="C118" s="2">
        <v>646100</v>
      </c>
      <c r="D118" s="401">
        <v>7231</v>
      </c>
      <c r="E118" s="3" t="s">
        <v>35</v>
      </c>
      <c r="F118" s="3" t="s">
        <v>36</v>
      </c>
      <c r="G118" s="21">
        <v>2880000</v>
      </c>
      <c r="H118" s="21">
        <f t="shared" si="15"/>
        <v>62637070</v>
      </c>
      <c r="I118" s="21">
        <v>65517070</v>
      </c>
      <c r="J118" s="21">
        <v>74160427</v>
      </c>
      <c r="K118" s="21">
        <f t="shared" si="16"/>
        <v>62646956</v>
      </c>
      <c r="L118" s="21">
        <v>136807383</v>
      </c>
      <c r="M118" s="21">
        <f t="shared" si="14"/>
        <v>79088908</v>
      </c>
      <c r="N118" s="21">
        <v>215896291</v>
      </c>
      <c r="O118" s="21">
        <f t="shared" si="19"/>
        <v>-72826171</v>
      </c>
      <c r="P118" s="21">
        <v>362333258</v>
      </c>
      <c r="Q118" s="21">
        <v>43747100</v>
      </c>
      <c r="R118" s="21">
        <f>IFERROR(VLOOKUP(C118,[6]IS_WTB!C$2:U$259,19,),)</f>
        <v>74237778</v>
      </c>
      <c r="S118" s="21">
        <v>143070120</v>
      </c>
      <c r="T118" s="30">
        <v>277858157</v>
      </c>
      <c r="U118" s="30">
        <v>124734464</v>
      </c>
      <c r="V118" s="30">
        <v>180623737</v>
      </c>
      <c r="W118" s="30">
        <v>237985751</v>
      </c>
      <c r="X118" s="30">
        <v>282959495</v>
      </c>
      <c r="Y118" s="30">
        <v>46112641</v>
      </c>
      <c r="Z118" s="30">
        <v>179143073</v>
      </c>
      <c r="AA118" s="30">
        <f>IFERROR(VLOOKUP(C118,'전사시산표(3단계)_1013'!$C:$L,10,0),0)</f>
        <v>259485305</v>
      </c>
      <c r="AB118" s="21"/>
      <c r="AC118" s="21">
        <f>IFERROR(VLOOKUP(C118,경상연구개발비대체!$A$2:$B$83,2,0),0)</f>
        <v>85440350</v>
      </c>
      <c r="AD118" s="35">
        <f t="shared" si="18"/>
        <v>174044955</v>
      </c>
      <c r="AE118" s="35">
        <f t="shared" si="20"/>
        <v>130297855</v>
      </c>
      <c r="AF118" s="38">
        <f t="shared" si="21"/>
        <v>0.4689365840715628</v>
      </c>
    </row>
    <row r="119" spans="1:32">
      <c r="B119" s="1" t="s">
        <v>284</v>
      </c>
      <c r="C119" s="2">
        <v>646200</v>
      </c>
      <c r="D119" s="401">
        <v>7233</v>
      </c>
      <c r="E119" s="3" t="s">
        <v>366</v>
      </c>
      <c r="F119" s="3" t="s">
        <v>36</v>
      </c>
      <c r="G119" s="21">
        <v>0</v>
      </c>
      <c r="H119" s="21">
        <f t="shared" si="15"/>
        <v>5308208</v>
      </c>
      <c r="I119" s="21">
        <v>5308208</v>
      </c>
      <c r="J119" s="21">
        <v>0</v>
      </c>
      <c r="K119" s="21">
        <f t="shared" si="16"/>
        <v>0</v>
      </c>
      <c r="L119" s="21">
        <v>0</v>
      </c>
      <c r="M119" s="21">
        <f t="shared" si="14"/>
        <v>9038250</v>
      </c>
      <c r="N119" s="21">
        <v>9038250</v>
      </c>
      <c r="O119" s="21">
        <f t="shared" si="19"/>
        <v>-7009946</v>
      </c>
      <c r="P119" s="21">
        <v>9038250</v>
      </c>
      <c r="Q119" s="21">
        <v>0</v>
      </c>
      <c r="R119" s="21">
        <f>IFERROR(VLOOKUP(C119,[6]IS_WTB!C$2:U$259,19,),)</f>
        <v>0</v>
      </c>
      <c r="S119" s="21">
        <v>2028304</v>
      </c>
      <c r="T119" s="30">
        <v>5955455</v>
      </c>
      <c r="U119" s="30">
        <v>0</v>
      </c>
      <c r="V119" s="30">
        <v>0</v>
      </c>
      <c r="W119" s="30">
        <v>-75803731</v>
      </c>
      <c r="X119" s="30">
        <v>0</v>
      </c>
      <c r="Y119" s="30">
        <v>0</v>
      </c>
      <c r="Z119" s="30">
        <v>9800000</v>
      </c>
      <c r="AA119" s="30">
        <f>IFERROR(VLOOKUP(C119,'전사시산표(3단계)_1013'!$C:$L,10,0),0)</f>
        <v>9800000</v>
      </c>
      <c r="AB119" s="21"/>
      <c r="AC119" s="21">
        <f>IFERROR(VLOOKUP(C119,경상연구개발비대체!$A$2:$B$83,2,0),0)</f>
        <v>0</v>
      </c>
      <c r="AD119" s="35">
        <f t="shared" si="18"/>
        <v>9800000</v>
      </c>
      <c r="AE119" s="35">
        <f t="shared" si="20"/>
        <v>9800000</v>
      </c>
      <c r="AF119" s="38">
        <f t="shared" si="21"/>
        <v>1.6455501720691366</v>
      </c>
    </row>
    <row r="120" spans="1:32">
      <c r="B120" s="1" t="s">
        <v>284</v>
      </c>
      <c r="C120" s="2">
        <v>646300</v>
      </c>
      <c r="D120" s="401">
        <v>7232</v>
      </c>
      <c r="E120" s="3" t="s">
        <v>34</v>
      </c>
      <c r="F120" s="3" t="s">
        <v>36</v>
      </c>
      <c r="G120" s="21">
        <v>6822928</v>
      </c>
      <c r="H120" s="21">
        <f t="shared" si="15"/>
        <v>146177355</v>
      </c>
      <c r="I120" s="21">
        <v>153000283</v>
      </c>
      <c r="J120" s="21">
        <v>108579990</v>
      </c>
      <c r="K120" s="21">
        <f t="shared" si="16"/>
        <v>152497792</v>
      </c>
      <c r="L120" s="21">
        <v>261077782</v>
      </c>
      <c r="M120" s="21">
        <f t="shared" si="14"/>
        <v>107523894</v>
      </c>
      <c r="N120" s="21">
        <v>368601676</v>
      </c>
      <c r="O120" s="21">
        <f t="shared" si="19"/>
        <v>-61369818</v>
      </c>
      <c r="P120" s="21">
        <v>656190796</v>
      </c>
      <c r="Q120" s="21">
        <v>122365915</v>
      </c>
      <c r="R120" s="21">
        <f>IFERROR(VLOOKUP(C120,[6]IS_WTB!C$2:U$259,19,),)</f>
        <v>183572517</v>
      </c>
      <c r="S120" s="21">
        <v>307231858</v>
      </c>
      <c r="T120" s="30">
        <v>591069218</v>
      </c>
      <c r="U120" s="30">
        <v>115206439</v>
      </c>
      <c r="V120" s="30">
        <v>345521936</v>
      </c>
      <c r="W120" s="30">
        <v>538257372</v>
      </c>
      <c r="X120" s="30">
        <v>607030094</v>
      </c>
      <c r="Y120" s="30">
        <v>277810025</v>
      </c>
      <c r="Z120" s="30">
        <v>602037959</v>
      </c>
      <c r="AA120" s="30">
        <f>IFERROR(VLOOKUP(C120,'전사시산표(3단계)_1013'!$C:$L,10,0),0)</f>
        <v>931698437</v>
      </c>
      <c r="AB120" s="21"/>
      <c r="AC120" s="21">
        <f>IFERROR(VLOOKUP(C120,경상연구개발비대체!$A$2:$B$83,2,0),0)</f>
        <v>0</v>
      </c>
      <c r="AD120" s="35">
        <f t="shared" si="18"/>
        <v>931698437</v>
      </c>
      <c r="AE120" s="35">
        <f t="shared" si="20"/>
        <v>809332522</v>
      </c>
      <c r="AF120" s="38">
        <f t="shared" si="21"/>
        <v>1.3692686023111424</v>
      </c>
    </row>
    <row r="121" spans="1:32">
      <c r="B121" s="1" t="s">
        <v>284</v>
      </c>
      <c r="C121" s="2">
        <v>646900</v>
      </c>
      <c r="D121" s="401">
        <v>7231</v>
      </c>
      <c r="E121" s="3" t="s">
        <v>367</v>
      </c>
      <c r="F121" s="3" t="s">
        <v>36</v>
      </c>
      <c r="G121" s="21">
        <v>0</v>
      </c>
      <c r="H121" s="21">
        <f t="shared" si="15"/>
        <v>12065670</v>
      </c>
      <c r="I121" s="21">
        <v>12065670</v>
      </c>
      <c r="J121" s="21">
        <v>19796818</v>
      </c>
      <c r="K121" s="21">
        <f t="shared" si="16"/>
        <v>26251429</v>
      </c>
      <c r="L121" s="21">
        <v>46048247</v>
      </c>
      <c r="M121" s="21">
        <f t="shared" si="14"/>
        <v>9516186</v>
      </c>
      <c r="N121" s="21">
        <v>55564433</v>
      </c>
      <c r="O121" s="21">
        <f t="shared" si="19"/>
        <v>-45246236</v>
      </c>
      <c r="P121" s="21">
        <v>67395658</v>
      </c>
      <c r="Q121" s="21">
        <v>4818197</v>
      </c>
      <c r="R121" s="21">
        <f>IFERROR(VLOOKUP(C121,[6]IS_WTB!C$2:U$259,19,),)</f>
        <v>5818197</v>
      </c>
      <c r="S121" s="21">
        <v>10318197</v>
      </c>
      <c r="T121" s="30">
        <v>15136389</v>
      </c>
      <c r="U121" s="30">
        <v>388455</v>
      </c>
      <c r="V121" s="30">
        <v>8052754</v>
      </c>
      <c r="W121" s="30">
        <v>8052754</v>
      </c>
      <c r="X121" s="30">
        <v>11345520</v>
      </c>
      <c r="Y121" s="30">
        <v>1387637</v>
      </c>
      <c r="Z121" s="30">
        <v>9060653</v>
      </c>
      <c r="AA121" s="30">
        <f>IFERROR(VLOOKUP(C121,'전사시산표(3단계)_1013'!$C:$L,10,0),0)</f>
        <v>10115081</v>
      </c>
      <c r="AB121" s="21"/>
      <c r="AC121" s="21">
        <f>IFERROR(VLOOKUP(C121,경상연구개발비대체!$A$2:$B$83,2,0),0)</f>
        <v>0</v>
      </c>
      <c r="AD121" s="35">
        <f t="shared" si="18"/>
        <v>10115081</v>
      </c>
      <c r="AE121" s="35">
        <f t="shared" si="20"/>
        <v>5296884</v>
      </c>
      <c r="AF121" s="38">
        <f t="shared" si="21"/>
        <v>0.34994370189613916</v>
      </c>
    </row>
    <row r="122" spans="1:32">
      <c r="B122" s="64" t="s">
        <v>276</v>
      </c>
      <c r="C122" s="65">
        <v>6481</v>
      </c>
      <c r="D122" s="65"/>
      <c r="E122" s="66" t="s">
        <v>33</v>
      </c>
      <c r="F122" s="66"/>
      <c r="G122" s="61">
        <f>SUM(G123:G127)</f>
        <v>678524</v>
      </c>
      <c r="H122" s="61">
        <f t="shared" si="15"/>
        <v>127088155</v>
      </c>
      <c r="I122" s="61">
        <v>127766679</v>
      </c>
      <c r="J122" s="61">
        <v>80465320</v>
      </c>
      <c r="K122" s="61">
        <f t="shared" si="16"/>
        <v>93650708</v>
      </c>
      <c r="L122" s="61">
        <v>174116028</v>
      </c>
      <c r="M122" s="61">
        <f t="shared" si="14"/>
        <v>65352252</v>
      </c>
      <c r="N122" s="61">
        <v>239468280</v>
      </c>
      <c r="O122" s="61">
        <f t="shared" si="19"/>
        <v>-106387212</v>
      </c>
      <c r="P122" s="61">
        <v>320977177</v>
      </c>
      <c r="Q122" s="61">
        <v>41547272</v>
      </c>
      <c r="R122" s="61">
        <f>IFERROR(VLOOKUP(C122,[6]IS_WTB!C$2:U$259,19,),)</f>
        <v>86253913</v>
      </c>
      <c r="S122" s="61">
        <v>133081068</v>
      </c>
      <c r="T122" s="520">
        <v>176805516</v>
      </c>
      <c r="U122" s="520">
        <v>24805439</v>
      </c>
      <c r="V122" s="520">
        <v>59226872</v>
      </c>
      <c r="W122" s="520">
        <v>91800344</v>
      </c>
      <c r="X122" s="520">
        <v>150143182</v>
      </c>
      <c r="Y122" s="520">
        <v>39798147</v>
      </c>
      <c r="Z122" s="520">
        <v>155304756</v>
      </c>
      <c r="AA122" s="520">
        <f>SUM(AA123:AA128)</f>
        <v>206838876</v>
      </c>
      <c r="AB122" s="61"/>
      <c r="AC122" s="61">
        <f>SUM(AC123:AC128)</f>
        <v>6497175</v>
      </c>
      <c r="AD122" s="67">
        <f t="shared" ref="AD122:AD153" si="22">AA122+AB122-AC122</f>
        <v>200341701</v>
      </c>
      <c r="AE122" s="67">
        <f t="shared" si="20"/>
        <v>158794429</v>
      </c>
      <c r="AF122" s="62">
        <f t="shared" si="21"/>
        <v>0.89813051420861778</v>
      </c>
    </row>
    <row r="123" spans="1:32">
      <c r="B123" s="1" t="s">
        <v>284</v>
      </c>
      <c r="C123" s="2">
        <v>648100</v>
      </c>
      <c r="D123" s="401">
        <v>7062</v>
      </c>
      <c r="E123" s="3" t="s">
        <v>368</v>
      </c>
      <c r="F123" s="3" t="s">
        <v>745</v>
      </c>
      <c r="G123" s="21">
        <v>0</v>
      </c>
      <c r="H123" s="21">
        <f t="shared" si="15"/>
        <v>13722193</v>
      </c>
      <c r="I123" s="21">
        <v>13722193</v>
      </c>
      <c r="J123" s="21">
        <v>2178011</v>
      </c>
      <c r="K123" s="21">
        <f t="shared" si="16"/>
        <v>3715037</v>
      </c>
      <c r="L123" s="21">
        <v>5893048</v>
      </c>
      <c r="M123" s="21">
        <f t="shared" si="14"/>
        <v>3717643</v>
      </c>
      <c r="N123" s="21">
        <v>9610691</v>
      </c>
      <c r="O123" s="21">
        <f t="shared" si="19"/>
        <v>-4611363</v>
      </c>
      <c r="P123" s="21">
        <v>13285524</v>
      </c>
      <c r="Q123" s="21">
        <v>1899940</v>
      </c>
      <c r="R123" s="21">
        <f>IFERROR(VLOOKUP(C123,[6]IS_WTB!C$2:U$259,19,),)</f>
        <v>2940807</v>
      </c>
      <c r="S123" s="21">
        <v>4999328</v>
      </c>
      <c r="T123" s="30">
        <v>6054375</v>
      </c>
      <c r="U123" s="30">
        <v>850000</v>
      </c>
      <c r="V123" s="30">
        <v>2762155</v>
      </c>
      <c r="W123" s="30">
        <v>3495864</v>
      </c>
      <c r="X123" s="30">
        <v>4006494</v>
      </c>
      <c r="Y123" s="30">
        <v>469267</v>
      </c>
      <c r="Z123" s="30">
        <v>1273862</v>
      </c>
      <c r="AA123" s="30">
        <f>IFERROR(VLOOKUP(C123,'전사시산표(3단계)_1013'!$C:$L,10,0),0)</f>
        <v>1950571</v>
      </c>
      <c r="AB123" s="21"/>
      <c r="AC123" s="21" t="str">
        <f>IFERROR(VLOOKUP(C123,경상연구개발비대체!$A$2:$B$83,2,0),0)</f>
        <v xml:space="preserve"> </v>
      </c>
      <c r="AD123" s="35" t="e">
        <f t="shared" si="22"/>
        <v>#VALUE!</v>
      </c>
      <c r="AE123" s="35" t="e">
        <f t="shared" si="20"/>
        <v>#VALUE!</v>
      </c>
      <c r="AF123" s="38" t="str">
        <f t="shared" si="21"/>
        <v/>
      </c>
    </row>
    <row r="124" spans="1:32">
      <c r="B124" s="1" t="s">
        <v>284</v>
      </c>
      <c r="C124" s="2">
        <v>648110</v>
      </c>
      <c r="D124" s="401">
        <v>7062</v>
      </c>
      <c r="E124" s="3" t="s">
        <v>32</v>
      </c>
      <c r="F124" s="3" t="s">
        <v>33</v>
      </c>
      <c r="G124" s="21">
        <v>85940</v>
      </c>
      <c r="H124" s="21">
        <f t="shared" si="15"/>
        <v>47646977</v>
      </c>
      <c r="I124" s="21">
        <v>47732917</v>
      </c>
      <c r="J124" s="21">
        <v>39438210</v>
      </c>
      <c r="K124" s="21">
        <f t="shared" si="16"/>
        <v>23174670</v>
      </c>
      <c r="L124" s="21">
        <v>62612880</v>
      </c>
      <c r="M124" s="21">
        <f t="shared" si="14"/>
        <v>31390560</v>
      </c>
      <c r="N124" s="21">
        <v>94003440</v>
      </c>
      <c r="O124" s="21">
        <f t="shared" si="19"/>
        <v>-28436180</v>
      </c>
      <c r="P124" s="21">
        <v>133302340</v>
      </c>
      <c r="Q124" s="21">
        <v>20610740</v>
      </c>
      <c r="R124" s="21">
        <f>IFERROR(VLOOKUP(C124,[6]IS_WTB!C$2:U$259,19,),)</f>
        <v>44236960</v>
      </c>
      <c r="S124" s="21">
        <v>65567260</v>
      </c>
      <c r="T124" s="30">
        <v>92178680</v>
      </c>
      <c r="U124" s="30">
        <v>11493260</v>
      </c>
      <c r="V124" s="30">
        <v>23522360</v>
      </c>
      <c r="W124" s="30">
        <v>38186240</v>
      </c>
      <c r="X124" s="30">
        <v>56234000</v>
      </c>
      <c r="Y124" s="30">
        <v>13390520</v>
      </c>
      <c r="Z124" s="30">
        <v>37085470</v>
      </c>
      <c r="AA124" s="30">
        <f>IFERROR(VLOOKUP(C124,'전사시산표(3단계)_1013'!$C:$L,10,0),0)</f>
        <v>58322530</v>
      </c>
      <c r="AB124" s="21"/>
      <c r="AC124" s="21">
        <f>IFERROR(VLOOKUP(C124,경상연구개발비대체!$A$2:$B$83,2,0),0)</f>
        <v>5484100</v>
      </c>
      <c r="AD124" s="35">
        <f t="shared" si="22"/>
        <v>52838430</v>
      </c>
      <c r="AE124" s="35">
        <f t="shared" si="20"/>
        <v>32227690</v>
      </c>
      <c r="AF124" s="38">
        <f t="shared" si="21"/>
        <v>0.34962195162699228</v>
      </c>
    </row>
    <row r="125" spans="1:32">
      <c r="B125" s="1" t="s">
        <v>284</v>
      </c>
      <c r="C125" s="2">
        <v>648200</v>
      </c>
      <c r="D125" s="401">
        <v>7062</v>
      </c>
      <c r="E125" s="3" t="s">
        <v>31</v>
      </c>
      <c r="F125" s="3" t="s">
        <v>33</v>
      </c>
      <c r="G125" s="21">
        <v>592584</v>
      </c>
      <c r="H125" s="21">
        <f t="shared" si="15"/>
        <v>8822211</v>
      </c>
      <c r="I125" s="21">
        <v>9414795</v>
      </c>
      <c r="J125" s="21">
        <v>4662779</v>
      </c>
      <c r="K125" s="21">
        <f t="shared" si="16"/>
        <v>9069696</v>
      </c>
      <c r="L125" s="21">
        <v>13732475</v>
      </c>
      <c r="M125" s="21">
        <f t="shared" si="14"/>
        <v>20660236</v>
      </c>
      <c r="N125" s="21">
        <v>34392711</v>
      </c>
      <c r="O125" s="21">
        <f t="shared" si="19"/>
        <v>-22158067</v>
      </c>
      <c r="P125" s="21">
        <v>46960833</v>
      </c>
      <c r="Q125" s="21">
        <v>1865089</v>
      </c>
      <c r="R125" s="21">
        <f>IFERROR(VLOOKUP(C125,[6]IS_WTB!C$2:U$259,19,),)</f>
        <v>7868463</v>
      </c>
      <c r="S125" s="21">
        <v>12234644</v>
      </c>
      <c r="T125" s="30">
        <v>17233334</v>
      </c>
      <c r="U125" s="30">
        <v>4183373</v>
      </c>
      <c r="V125" s="30">
        <v>12927606</v>
      </c>
      <c r="W125" s="30">
        <v>19498588</v>
      </c>
      <c r="X125" s="30">
        <v>33263505</v>
      </c>
      <c r="Y125" s="30">
        <v>7492721</v>
      </c>
      <c r="Z125" s="30">
        <v>27590363</v>
      </c>
      <c r="AA125" s="30">
        <f>IFERROR(VLOOKUP(C125,'전사시산표(3단계)_1013'!$C:$L,10,0),0)</f>
        <v>37021993</v>
      </c>
      <c r="AB125" s="21"/>
      <c r="AC125" s="21">
        <f>IFERROR(VLOOKUP(C125,경상연구개발비대체!$A$2:$B$83,2,0),0)</f>
        <v>971984</v>
      </c>
      <c r="AD125" s="35">
        <f t="shared" si="22"/>
        <v>36050009</v>
      </c>
      <c r="AE125" s="35">
        <f t="shared" si="20"/>
        <v>34184920</v>
      </c>
      <c r="AF125" s="38">
        <f t="shared" si="21"/>
        <v>1.9836509870928052</v>
      </c>
    </row>
    <row r="126" spans="1:32">
      <c r="B126" s="1" t="s">
        <v>825</v>
      </c>
      <c r="C126" s="2">
        <v>648500</v>
      </c>
      <c r="D126" s="401">
        <v>7062</v>
      </c>
      <c r="E126" s="3" t="s">
        <v>811</v>
      </c>
      <c r="F126" s="3" t="s">
        <v>33</v>
      </c>
      <c r="G126" s="21">
        <v>0</v>
      </c>
      <c r="H126" s="21">
        <f t="shared" si="15"/>
        <v>0</v>
      </c>
      <c r="I126" s="21">
        <v>0</v>
      </c>
      <c r="J126" s="21">
        <v>8891100</v>
      </c>
      <c r="K126" s="21">
        <f t="shared" si="16"/>
        <v>10336130</v>
      </c>
      <c r="L126" s="21">
        <v>19227230</v>
      </c>
      <c r="M126" s="21">
        <f t="shared" si="14"/>
        <v>9483813</v>
      </c>
      <c r="N126" s="21">
        <v>28711043</v>
      </c>
      <c r="O126" s="21">
        <f t="shared" si="19"/>
        <v>21037193</v>
      </c>
      <c r="P126" s="21">
        <v>39192021</v>
      </c>
      <c r="Q126" s="21">
        <v>16639903</v>
      </c>
      <c r="R126" s="21">
        <f>IFERROR(VLOOKUP(C126,[6]IS_WTB!C$2:U$259,19,),)</f>
        <v>30676083</v>
      </c>
      <c r="S126" s="21">
        <v>49748236</v>
      </c>
      <c r="T126" s="30">
        <v>60807527</v>
      </c>
      <c r="U126" s="30">
        <v>7977970</v>
      </c>
      <c r="V126" s="30">
        <v>19552724</v>
      </c>
      <c r="W126" s="30">
        <v>33712800</v>
      </c>
      <c r="X126" s="30">
        <v>53570911</v>
      </c>
      <c r="Y126" s="30">
        <v>17220289</v>
      </c>
      <c r="Z126" s="30">
        <v>37014953</v>
      </c>
      <c r="AA126" s="30">
        <f>IFERROR(VLOOKUP(C126,'전사시산표(3단계)_1013'!$C:$L,10,0),0)</f>
        <v>55230446</v>
      </c>
      <c r="AB126" s="21"/>
      <c r="AC126" s="21">
        <f>IFERROR(VLOOKUP(C126,경상연구개발비대체!$A$2:$B$83,2,0),0)</f>
        <v>41091</v>
      </c>
      <c r="AD126" s="35">
        <f t="shared" si="22"/>
        <v>55189355</v>
      </c>
      <c r="AE126" s="35">
        <f t="shared" si="20"/>
        <v>38549452</v>
      </c>
      <c r="AF126" s="38">
        <f t="shared" si="21"/>
        <v>0.63395855582155147</v>
      </c>
    </row>
    <row r="127" spans="1:32">
      <c r="B127" s="1" t="s">
        <v>284</v>
      </c>
      <c r="C127" s="2">
        <v>648300</v>
      </c>
      <c r="D127" s="401">
        <v>7061</v>
      </c>
      <c r="E127" s="3" t="s">
        <v>369</v>
      </c>
      <c r="F127" s="3" t="s">
        <v>33</v>
      </c>
      <c r="G127" s="21">
        <v>0</v>
      </c>
      <c r="H127" s="21">
        <f t="shared" si="15"/>
        <v>56896774</v>
      </c>
      <c r="I127" s="21">
        <v>56896774</v>
      </c>
      <c r="J127" s="21">
        <v>25295220</v>
      </c>
      <c r="K127" s="21">
        <f t="shared" si="16"/>
        <v>47355175</v>
      </c>
      <c r="L127" s="21">
        <v>72650395</v>
      </c>
      <c r="M127" s="21">
        <f t="shared" si="14"/>
        <v>100000</v>
      </c>
      <c r="N127" s="21">
        <v>72750395</v>
      </c>
      <c r="O127" s="21">
        <f t="shared" si="19"/>
        <v>-72218795</v>
      </c>
      <c r="P127" s="21">
        <v>88236459</v>
      </c>
      <c r="Q127" s="21">
        <v>531600</v>
      </c>
      <c r="R127" s="21">
        <f>IFERROR(VLOOKUP(C127,[6]IS_WTB!C$2:U$259,19,),)</f>
        <v>531600</v>
      </c>
      <c r="S127" s="21">
        <v>531600</v>
      </c>
      <c r="T127" s="30">
        <v>531600</v>
      </c>
      <c r="U127" s="30">
        <v>0</v>
      </c>
      <c r="V127" s="30">
        <v>0</v>
      </c>
      <c r="W127" s="30">
        <v>-4533520</v>
      </c>
      <c r="X127" s="30">
        <v>0</v>
      </c>
      <c r="Y127" s="30">
        <v>0</v>
      </c>
      <c r="Z127" s="30">
        <v>50444758</v>
      </c>
      <c r="AA127" s="30">
        <f>IFERROR(VLOOKUP(C127,'전사시산표(3단계)_1013'!$C:$L,10,0),0)</f>
        <v>51047322</v>
      </c>
      <c r="AB127" s="21"/>
      <c r="AC127" s="21" t="str">
        <f>IFERROR(VLOOKUP(C127,경상연구개발비대체!$A$2:$B$83,2,0),0)</f>
        <v xml:space="preserve"> </v>
      </c>
      <c r="AD127" s="35" t="e">
        <f t="shared" si="22"/>
        <v>#VALUE!</v>
      </c>
      <c r="AE127" s="35" t="e">
        <f t="shared" si="20"/>
        <v>#VALUE!</v>
      </c>
      <c r="AF127" s="38" t="str">
        <f t="shared" si="21"/>
        <v/>
      </c>
    </row>
    <row r="128" spans="1:32" s="568" customFormat="1">
      <c r="A128" s="23"/>
      <c r="B128" s="1" t="s">
        <v>284</v>
      </c>
      <c r="C128" s="2">
        <v>648600</v>
      </c>
      <c r="D128" s="401">
        <v>7062</v>
      </c>
      <c r="E128" s="3" t="s">
        <v>1302</v>
      </c>
      <c r="F128" s="3" t="s">
        <v>33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>
        <v>0</v>
      </c>
      <c r="R128" s="21">
        <f>IFERROR(VLOOKUP(C128,[6]IS_WTB!C$2:U$259,19,),)</f>
        <v>0</v>
      </c>
      <c r="S128" s="21"/>
      <c r="T128" s="30">
        <v>0</v>
      </c>
      <c r="U128" s="30">
        <v>300836</v>
      </c>
      <c r="V128" s="30">
        <v>462027</v>
      </c>
      <c r="W128" s="30">
        <v>1440372</v>
      </c>
      <c r="X128" s="30">
        <v>3068272</v>
      </c>
      <c r="Y128" s="30">
        <v>1225350</v>
      </c>
      <c r="Z128" s="30">
        <v>1895350</v>
      </c>
      <c r="AA128" s="30">
        <f>IFERROR(VLOOKUP(C128,'전사시산표(3단계)_1013'!$C:$L,10,0),0)</f>
        <v>3266014</v>
      </c>
      <c r="AB128" s="21"/>
      <c r="AC128" s="21">
        <f>IFERROR(VLOOKUP(C128,경상연구개발비대체!$A$2:$B$83,2,0),0)</f>
        <v>0</v>
      </c>
      <c r="AD128" s="35">
        <f t="shared" si="22"/>
        <v>3266014</v>
      </c>
      <c r="AE128" s="35">
        <f t="shared" si="20"/>
        <v>3266014</v>
      </c>
      <c r="AF128" s="38" t="str">
        <f t="shared" si="21"/>
        <v/>
      </c>
    </row>
    <row r="129" spans="2:33">
      <c r="B129" s="64" t="s">
        <v>276</v>
      </c>
      <c r="C129" s="65">
        <v>6491</v>
      </c>
      <c r="D129" s="65"/>
      <c r="E129" s="66" t="s">
        <v>30</v>
      </c>
      <c r="F129" s="66"/>
      <c r="G129" s="61">
        <f>SUM(G130:G131)</f>
        <v>60000</v>
      </c>
      <c r="H129" s="61">
        <f t="shared" si="15"/>
        <v>15550000</v>
      </c>
      <c r="I129" s="61">
        <v>15610000</v>
      </c>
      <c r="J129" s="61">
        <v>0</v>
      </c>
      <c r="K129" s="61">
        <f t="shared" si="16"/>
        <v>0</v>
      </c>
      <c r="L129" s="61">
        <v>0</v>
      </c>
      <c r="M129" s="61">
        <f t="shared" si="14"/>
        <v>0</v>
      </c>
      <c r="N129" s="61">
        <v>0</v>
      </c>
      <c r="O129" s="61">
        <f t="shared" si="19"/>
        <v>0</v>
      </c>
      <c r="P129" s="61">
        <v>2000000</v>
      </c>
      <c r="Q129" s="61">
        <v>0</v>
      </c>
      <c r="R129" s="61">
        <f>IFERROR(VLOOKUP(C129,[6]IS_WTB!C$2:U$259,19,),)</f>
        <v>0</v>
      </c>
      <c r="S129" s="61">
        <v>0</v>
      </c>
      <c r="T129" s="520">
        <v>0</v>
      </c>
      <c r="U129" s="520">
        <v>0</v>
      </c>
      <c r="V129" s="520">
        <v>0</v>
      </c>
      <c r="W129" s="520">
        <v>0</v>
      </c>
      <c r="X129" s="520">
        <v>0</v>
      </c>
      <c r="Y129" s="520">
        <v>0</v>
      </c>
      <c r="Z129" s="520">
        <v>0</v>
      </c>
      <c r="AA129" s="520">
        <f>SUM(AA130:AA131)</f>
        <v>0</v>
      </c>
      <c r="AB129" s="61"/>
      <c r="AC129" s="61">
        <f>SUM(AC130:AC131)</f>
        <v>0</v>
      </c>
      <c r="AD129" s="67">
        <f t="shared" si="22"/>
        <v>0</v>
      </c>
      <c r="AE129" s="67">
        <f t="shared" si="20"/>
        <v>0</v>
      </c>
      <c r="AF129" s="62" t="str">
        <f t="shared" si="21"/>
        <v/>
      </c>
    </row>
    <row r="130" spans="2:33">
      <c r="B130" s="1" t="s">
        <v>284</v>
      </c>
      <c r="C130" s="2">
        <v>649100</v>
      </c>
      <c r="D130" s="2"/>
      <c r="E130" s="3" t="s">
        <v>370</v>
      </c>
      <c r="F130" s="3" t="s">
        <v>339</v>
      </c>
      <c r="G130" s="21">
        <v>0</v>
      </c>
      <c r="H130" s="21">
        <f t="shared" si="15"/>
        <v>0</v>
      </c>
      <c r="I130" s="21">
        <v>0</v>
      </c>
      <c r="J130" s="21">
        <v>0</v>
      </c>
      <c r="K130" s="21">
        <f t="shared" si="16"/>
        <v>0</v>
      </c>
      <c r="L130" s="21">
        <v>0</v>
      </c>
      <c r="M130" s="21">
        <f t="shared" si="14"/>
        <v>0</v>
      </c>
      <c r="N130" s="21">
        <v>0</v>
      </c>
      <c r="O130" s="21">
        <f t="shared" si="19"/>
        <v>0</v>
      </c>
      <c r="P130" s="21">
        <v>0</v>
      </c>
      <c r="Q130" s="21">
        <v>0</v>
      </c>
      <c r="R130" s="21">
        <f>IFERROR(VLOOKUP(C130,[6]IS_WTB!C$2:U$259,19,),)</f>
        <v>0</v>
      </c>
      <c r="S130" s="21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f>IFERROR(VLOOKUP(C130,'전사시산표(3단계)_1013'!$C:$L,10,0),0)</f>
        <v>0</v>
      </c>
      <c r="AB130" s="21"/>
      <c r="AC130" s="21">
        <f>IFERROR(VLOOKUP(C130,경상연구개발비대체!$A$2:$B$83,2,0),0)</f>
        <v>0</v>
      </c>
      <c r="AD130" s="35">
        <f t="shared" si="22"/>
        <v>0</v>
      </c>
      <c r="AE130" s="35">
        <f t="shared" si="20"/>
        <v>0</v>
      </c>
      <c r="AF130" s="38" t="str">
        <f t="shared" si="21"/>
        <v/>
      </c>
    </row>
    <row r="131" spans="2:33">
      <c r="B131" s="1" t="s">
        <v>284</v>
      </c>
      <c r="C131" s="2">
        <v>649900</v>
      </c>
      <c r="D131" s="2">
        <v>7263</v>
      </c>
      <c r="E131" s="3" t="s">
        <v>29</v>
      </c>
      <c r="F131" s="3" t="s">
        <v>339</v>
      </c>
      <c r="G131" s="21">
        <v>60000</v>
      </c>
      <c r="H131" s="21">
        <f t="shared" si="15"/>
        <v>15550000</v>
      </c>
      <c r="I131" s="21">
        <v>15610000</v>
      </c>
      <c r="J131" s="21">
        <v>0</v>
      </c>
      <c r="K131" s="21">
        <f t="shared" si="16"/>
        <v>0</v>
      </c>
      <c r="L131" s="21">
        <v>0</v>
      </c>
      <c r="M131" s="21">
        <f t="shared" si="14"/>
        <v>0</v>
      </c>
      <c r="N131" s="21">
        <v>0</v>
      </c>
      <c r="O131" s="21">
        <f t="shared" si="19"/>
        <v>0</v>
      </c>
      <c r="P131" s="21">
        <v>2000000</v>
      </c>
      <c r="Q131" s="21">
        <v>0</v>
      </c>
      <c r="R131" s="21">
        <f>IFERROR(VLOOKUP(C131,[6]IS_WTB!C$2:U$259,19,),)</f>
        <v>0</v>
      </c>
      <c r="S131" s="21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f>IFERROR(VLOOKUP(C131,'전사시산표(3단계)_1013'!$C:$L,10,0),0)</f>
        <v>0</v>
      </c>
      <c r="AB131" s="21"/>
      <c r="AC131" s="21">
        <f>IFERROR(VLOOKUP(C131,경상연구개발비대체!$A$2:$B$83,2,0),0)</f>
        <v>0</v>
      </c>
      <c r="AD131" s="35">
        <f t="shared" si="22"/>
        <v>0</v>
      </c>
      <c r="AE131" s="35">
        <f t="shared" si="20"/>
        <v>0</v>
      </c>
      <c r="AF131" s="38" t="str">
        <f t="shared" si="21"/>
        <v/>
      </c>
    </row>
    <row r="132" spans="2:33">
      <c r="B132" s="64" t="s">
        <v>694</v>
      </c>
      <c r="C132" s="65">
        <v>6701</v>
      </c>
      <c r="D132" s="65"/>
      <c r="E132" s="66" t="s">
        <v>26</v>
      </c>
      <c r="F132" s="66"/>
      <c r="G132" s="61">
        <f>SUM(G133:G136)</f>
        <v>1082559018</v>
      </c>
      <c r="H132" s="61">
        <f t="shared" si="15"/>
        <v>3354868622</v>
      </c>
      <c r="I132" s="61">
        <v>4437427640</v>
      </c>
      <c r="J132" s="61">
        <v>5735687186</v>
      </c>
      <c r="K132" s="61">
        <f t="shared" si="16"/>
        <v>5665615652</v>
      </c>
      <c r="L132" s="61">
        <v>11401302838</v>
      </c>
      <c r="M132" s="61">
        <f t="shared" si="14"/>
        <v>5524046546</v>
      </c>
      <c r="N132" s="61">
        <v>16925349384</v>
      </c>
      <c r="O132" s="61">
        <f t="shared" si="19"/>
        <v>-1022762062</v>
      </c>
      <c r="P132" s="61">
        <v>22377827537</v>
      </c>
      <c r="Q132" s="61">
        <v>5381912520</v>
      </c>
      <c r="R132" s="61">
        <f>IFERROR(VLOOKUP(C132,[6]IS_WTB!C$2:U$259,19,),)</f>
        <v>10712632668</v>
      </c>
      <c r="S132" s="61">
        <v>15902587322</v>
      </c>
      <c r="T132" s="520">
        <v>21045178229</v>
      </c>
      <c r="U132" s="520">
        <v>5334097837</v>
      </c>
      <c r="V132" s="520">
        <v>10317666723</v>
      </c>
      <c r="W132" s="520">
        <v>14893183653</v>
      </c>
      <c r="X132" s="520">
        <v>19904704509</v>
      </c>
      <c r="Y132" s="520">
        <v>5150065259</v>
      </c>
      <c r="Z132" s="520">
        <v>10225590675</v>
      </c>
      <c r="AA132" s="520">
        <f>SUM(AA133:AA139)</f>
        <v>15813255895</v>
      </c>
      <c r="AB132" s="61"/>
      <c r="AC132" s="61">
        <f>SUM(AC133:AC139)</f>
        <v>7429211</v>
      </c>
      <c r="AD132" s="67">
        <f t="shared" si="22"/>
        <v>15805826684</v>
      </c>
      <c r="AE132" s="67">
        <f t="shared" si="20"/>
        <v>10423914164</v>
      </c>
      <c r="AF132" s="62">
        <f t="shared" si="21"/>
        <v>0.49531127988433821</v>
      </c>
    </row>
    <row r="133" spans="2:33">
      <c r="B133" s="1" t="s">
        <v>284</v>
      </c>
      <c r="C133" s="2">
        <v>670100</v>
      </c>
      <c r="D133" s="401">
        <v>7131</v>
      </c>
      <c r="E133" s="3" t="s">
        <v>25</v>
      </c>
      <c r="F133" s="3" t="s">
        <v>383</v>
      </c>
      <c r="G133" s="21">
        <v>2729529</v>
      </c>
      <c r="H133" s="21">
        <f t="shared" si="15"/>
        <v>8965842</v>
      </c>
      <c r="I133" s="21">
        <v>11695371</v>
      </c>
      <c r="J133" s="21">
        <v>8771528</v>
      </c>
      <c r="K133" s="21">
        <f t="shared" si="16"/>
        <v>8771528</v>
      </c>
      <c r="L133" s="21">
        <v>17543056</v>
      </c>
      <c r="M133" s="21">
        <f t="shared" si="14"/>
        <v>8771529</v>
      </c>
      <c r="N133" s="21">
        <v>26314585</v>
      </c>
      <c r="O133" s="21">
        <f t="shared" ref="O133:O164" si="23">S133-N133</f>
        <v>0</v>
      </c>
      <c r="P133" s="21">
        <v>35086113</v>
      </c>
      <c r="Q133" s="21">
        <v>8771528</v>
      </c>
      <c r="R133" s="21">
        <f>IFERROR(VLOOKUP(C133,[6]IS_WTB!C$2:U$259,19,),)</f>
        <v>17543056</v>
      </c>
      <c r="S133" s="21">
        <v>26314585</v>
      </c>
      <c r="T133" s="30">
        <v>35086113</v>
      </c>
      <c r="U133" s="30">
        <v>8771528</v>
      </c>
      <c r="V133" s="30">
        <v>17543056</v>
      </c>
      <c r="W133" s="30">
        <v>26314584</v>
      </c>
      <c r="X133" s="30">
        <v>35086113</v>
      </c>
      <c r="Y133" s="30">
        <v>8771528</v>
      </c>
      <c r="Z133" s="30">
        <v>17543056</v>
      </c>
      <c r="AA133" s="30">
        <f>IFERROR(VLOOKUP(C133,'전사시산표(3단계)_1013'!$C:$L,10,0),0)</f>
        <v>26314584</v>
      </c>
      <c r="AB133" s="21"/>
      <c r="AC133" s="21">
        <f>IFERROR(VLOOKUP(C133,경상연구개발비대체!$A$2:$B$83,2,0),0)</f>
        <v>0</v>
      </c>
      <c r="AD133" s="35">
        <f t="shared" si="22"/>
        <v>26314584</v>
      </c>
      <c r="AE133" s="35">
        <f t="shared" si="20"/>
        <v>17543056</v>
      </c>
      <c r="AF133" s="38">
        <f t="shared" si="21"/>
        <v>0.49999998574934762</v>
      </c>
      <c r="AG133" s="75"/>
    </row>
    <row r="134" spans="2:33">
      <c r="B134" s="1" t="s">
        <v>284</v>
      </c>
      <c r="C134" s="2">
        <v>671100</v>
      </c>
      <c r="D134" s="2"/>
      <c r="E134" s="3" t="s">
        <v>24</v>
      </c>
      <c r="F134" s="3" t="s">
        <v>384</v>
      </c>
      <c r="G134" s="21">
        <v>0</v>
      </c>
      <c r="H134" s="21">
        <f t="shared" si="15"/>
        <v>0</v>
      </c>
      <c r="I134" s="21">
        <v>0</v>
      </c>
      <c r="J134" s="21">
        <v>0</v>
      </c>
      <c r="K134" s="21">
        <f t="shared" si="16"/>
        <v>0</v>
      </c>
      <c r="L134" s="21">
        <v>0</v>
      </c>
      <c r="M134" s="21">
        <f t="shared" si="14"/>
        <v>0</v>
      </c>
      <c r="N134" s="21">
        <v>0</v>
      </c>
      <c r="O134" s="21">
        <f t="shared" si="23"/>
        <v>0</v>
      </c>
      <c r="P134" s="21">
        <v>0</v>
      </c>
      <c r="Q134" s="21">
        <v>0</v>
      </c>
      <c r="R134" s="21">
        <f>IFERROR(VLOOKUP(C134,[6]IS_WTB!C$2:U$259,19,),)</f>
        <v>0</v>
      </c>
      <c r="S134" s="21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f>IFERROR(VLOOKUP(C134,'전사시산표(3단계)_1013'!$C:$L,10,0),0)</f>
        <v>0</v>
      </c>
      <c r="AB134" s="21"/>
      <c r="AC134" s="21">
        <f>IFERROR(VLOOKUP(C134,경상연구개발비대체!$A$2:$B$83,2,0),0)</f>
        <v>0</v>
      </c>
      <c r="AD134" s="35">
        <f t="shared" si="22"/>
        <v>0</v>
      </c>
      <c r="AE134" s="35">
        <f t="shared" si="20"/>
        <v>0</v>
      </c>
      <c r="AF134" s="38" t="str">
        <f t="shared" si="21"/>
        <v/>
      </c>
      <c r="AG134" s="17"/>
    </row>
    <row r="135" spans="2:33">
      <c r="B135" s="1" t="s">
        <v>284</v>
      </c>
      <c r="C135" s="2">
        <v>672100</v>
      </c>
      <c r="D135" s="401">
        <v>7134</v>
      </c>
      <c r="E135" s="3" t="s">
        <v>23</v>
      </c>
      <c r="F135" s="3" t="s">
        <v>383</v>
      </c>
      <c r="G135" s="21">
        <v>873470386</v>
      </c>
      <c r="H135" s="21">
        <f t="shared" si="15"/>
        <v>2696589549</v>
      </c>
      <c r="I135" s="21">
        <v>3570059935</v>
      </c>
      <c r="J135" s="21">
        <v>2786052727</v>
      </c>
      <c r="K135" s="21">
        <f t="shared" si="16"/>
        <v>2734060858</v>
      </c>
      <c r="L135" s="21">
        <v>5520113585</v>
      </c>
      <c r="M135" s="21">
        <f t="shared" si="14"/>
        <v>2571218149</v>
      </c>
      <c r="N135" s="21">
        <v>8091331734</v>
      </c>
      <c r="O135" s="21">
        <f t="shared" si="23"/>
        <v>-1230199312</v>
      </c>
      <c r="P135" s="21">
        <v>10560430046</v>
      </c>
      <c r="Q135" s="21">
        <v>2348779642</v>
      </c>
      <c r="R135" s="21">
        <f>IFERROR(VLOOKUP(C135,[6]IS_WTB!C$2:U$259,19,),)</f>
        <v>4645372421</v>
      </c>
      <c r="S135" s="21">
        <v>6861132422</v>
      </c>
      <c r="T135" s="30">
        <v>9031171746</v>
      </c>
      <c r="U135" s="30">
        <v>2167185711</v>
      </c>
      <c r="V135" s="30">
        <v>4264032743</v>
      </c>
      <c r="W135" s="30">
        <v>6249731945</v>
      </c>
      <c r="X135" s="30">
        <v>8272075143</v>
      </c>
      <c r="Y135" s="30">
        <v>1976472539</v>
      </c>
      <c r="Z135" s="30">
        <v>3994572268</v>
      </c>
      <c r="AA135" s="30">
        <f>IFERROR(VLOOKUP(C135,'전사시산표(3단계)_1013'!$C:$L,10,0),0)</f>
        <v>6040481525</v>
      </c>
      <c r="AB135" s="21"/>
      <c r="AC135" s="21">
        <f>IFERROR(VLOOKUP(C135,경상연구개발비대체!$A$2:$B$83,2,0),0)</f>
        <v>6750000</v>
      </c>
      <c r="AD135" s="35">
        <f t="shared" si="22"/>
        <v>6033731525</v>
      </c>
      <c r="AE135" s="35">
        <f t="shared" si="20"/>
        <v>3684951883</v>
      </c>
      <c r="AF135" s="38">
        <f t="shared" si="21"/>
        <v>0.40802588929084466</v>
      </c>
    </row>
    <row r="136" spans="2:33">
      <c r="B136" s="1" t="s">
        <v>284</v>
      </c>
      <c r="C136" s="2">
        <v>675100</v>
      </c>
      <c r="D136" s="401">
        <v>7138</v>
      </c>
      <c r="E136" s="3" t="s">
        <v>22</v>
      </c>
      <c r="F136" s="3" t="s">
        <v>383</v>
      </c>
      <c r="G136" s="21">
        <v>206359103</v>
      </c>
      <c r="H136" s="21">
        <f t="shared" si="15"/>
        <v>649313231</v>
      </c>
      <c r="I136" s="21">
        <v>855672334</v>
      </c>
      <c r="J136" s="21">
        <v>724787476</v>
      </c>
      <c r="K136" s="21">
        <f t="shared" si="16"/>
        <v>689523226</v>
      </c>
      <c r="L136" s="21">
        <v>1414310702</v>
      </c>
      <c r="M136" s="21">
        <f t="shared" si="14"/>
        <v>710647837</v>
      </c>
      <c r="N136" s="21">
        <v>2124958539</v>
      </c>
      <c r="O136" s="21">
        <f t="shared" si="23"/>
        <v>86273834</v>
      </c>
      <c r="P136" s="21">
        <v>2850479200</v>
      </c>
      <c r="Q136" s="21">
        <v>761795326</v>
      </c>
      <c r="R136" s="21">
        <f>IFERROR(VLOOKUP(C136,[6]IS_WTB!C$2:U$259,19,),)</f>
        <v>1516099363</v>
      </c>
      <c r="S136" s="21">
        <v>2211232373</v>
      </c>
      <c r="T136" s="30">
        <v>3016479837</v>
      </c>
      <c r="U136" s="30">
        <v>668806157</v>
      </c>
      <c r="V136" s="30">
        <v>1321101685</v>
      </c>
      <c r="W136" s="30">
        <v>1802102426</v>
      </c>
      <c r="X136" s="30">
        <v>2239967658</v>
      </c>
      <c r="Y136" s="30">
        <v>506437785</v>
      </c>
      <c r="Z136" s="30">
        <v>1073203045</v>
      </c>
      <c r="AA136" s="30">
        <f>IFERROR(VLOOKUP(C136,'전사시산표(3단계)_1013'!$C:$L,10,0),0)</f>
        <v>1632451613</v>
      </c>
      <c r="AB136" s="21"/>
      <c r="AC136" s="21">
        <f>IFERROR(VLOOKUP(C136,경상연구개발비대체!$A$2:$B$83,2,0),0)</f>
        <v>679211</v>
      </c>
      <c r="AD136" s="35">
        <f t="shared" si="22"/>
        <v>1631772402</v>
      </c>
      <c r="AE136" s="35">
        <f t="shared" si="20"/>
        <v>869977076</v>
      </c>
      <c r="AF136" s="38">
        <f t="shared" si="21"/>
        <v>0.28840805276697096</v>
      </c>
    </row>
    <row r="137" spans="2:33">
      <c r="B137" s="1" t="s">
        <v>284</v>
      </c>
      <c r="C137" s="2">
        <v>675120</v>
      </c>
      <c r="D137" s="401">
        <v>7522</v>
      </c>
      <c r="E137" s="3" t="s">
        <v>812</v>
      </c>
      <c r="F137" s="3" t="s">
        <v>383</v>
      </c>
      <c r="G137" s="21">
        <v>0</v>
      </c>
      <c r="H137" s="21">
        <f t="shared" si="15"/>
        <v>0</v>
      </c>
      <c r="I137" s="21">
        <v>0</v>
      </c>
      <c r="J137" s="21">
        <v>2187181612</v>
      </c>
      <c r="K137" s="21">
        <f t="shared" si="16"/>
        <v>2201311941</v>
      </c>
      <c r="L137" s="21">
        <v>4388493553</v>
      </c>
      <c r="M137" s="21">
        <f t="shared" si="14"/>
        <v>2198600484</v>
      </c>
      <c r="N137" s="21">
        <v>6587094037</v>
      </c>
      <c r="O137" s="21">
        <f t="shared" si="23"/>
        <v>52903849</v>
      </c>
      <c r="P137" s="21">
        <v>8801373142</v>
      </c>
      <c r="Q137" s="21">
        <v>2214279102</v>
      </c>
      <c r="R137" s="21">
        <f>IFERROR(VLOOKUP(C137,[6]IS_WTB!C$2:U$259,19,),)</f>
        <v>4428558202</v>
      </c>
      <c r="S137" s="21">
        <v>6639997886</v>
      </c>
      <c r="T137" s="30">
        <v>8741008444</v>
      </c>
      <c r="U137" s="30">
        <v>2443853321</v>
      </c>
      <c r="V137" s="30">
        <v>4612601696</v>
      </c>
      <c r="W137" s="30">
        <v>6645994202</v>
      </c>
      <c r="X137" s="30">
        <v>9122964228</v>
      </c>
      <c r="Y137" s="30">
        <v>2569153470</v>
      </c>
      <c r="Z137" s="30">
        <v>4969840029</v>
      </c>
      <c r="AA137" s="30">
        <f>IFERROR(VLOOKUP(C137,'전사시산표(3단계)_1013'!$C:$L,10,0),0)</f>
        <v>7868569982</v>
      </c>
      <c r="AB137" s="21"/>
      <c r="AC137" s="21">
        <f>IFERROR(VLOOKUP(C137,경상연구개발비대체!$A$2:$B$83,2,0),0)</f>
        <v>0</v>
      </c>
      <c r="AD137" s="35">
        <f t="shared" si="22"/>
        <v>7868569982</v>
      </c>
      <c r="AE137" s="35">
        <f t="shared" si="20"/>
        <v>5654290880</v>
      </c>
      <c r="AF137" s="38">
        <f t="shared" si="21"/>
        <v>0.6468693991345148</v>
      </c>
    </row>
    <row r="138" spans="2:33">
      <c r="B138" s="1" t="s">
        <v>284</v>
      </c>
      <c r="C138" s="2">
        <v>675140</v>
      </c>
      <c r="D138" s="401">
        <v>7525</v>
      </c>
      <c r="E138" s="3" t="s">
        <v>813</v>
      </c>
      <c r="F138" s="3" t="s">
        <v>383</v>
      </c>
      <c r="G138" s="21">
        <v>0</v>
      </c>
      <c r="H138" s="21">
        <f t="shared" si="15"/>
        <v>0</v>
      </c>
      <c r="I138" s="21">
        <v>0</v>
      </c>
      <c r="J138" s="21">
        <v>11002506</v>
      </c>
      <c r="K138" s="21">
        <f t="shared" si="16"/>
        <v>11002506</v>
      </c>
      <c r="L138" s="21">
        <v>22005012</v>
      </c>
      <c r="M138" s="21">
        <f t="shared" si="14"/>
        <v>11002506</v>
      </c>
      <c r="N138" s="21">
        <v>33007518</v>
      </c>
      <c r="O138" s="21">
        <f t="shared" si="23"/>
        <v>0</v>
      </c>
      <c r="P138" s="21">
        <v>44010024</v>
      </c>
      <c r="Q138" s="21">
        <v>11002506</v>
      </c>
      <c r="R138" s="21">
        <f>IFERROR(VLOOKUP(C138,[6]IS_WTB!C$2:U$259,19,),)</f>
        <v>22005012</v>
      </c>
      <c r="S138" s="21">
        <v>33007518</v>
      </c>
      <c r="T138" s="30">
        <v>44010024</v>
      </c>
      <c r="U138" s="30">
        <v>6545682</v>
      </c>
      <c r="V138" s="30">
        <v>13091364</v>
      </c>
      <c r="W138" s="30">
        <v>19637046</v>
      </c>
      <c r="X138" s="30">
        <v>27700308</v>
      </c>
      <c r="Y138" s="30">
        <v>9168755</v>
      </c>
      <c r="Z138" s="30">
        <v>19331858</v>
      </c>
      <c r="AA138" s="30">
        <f>IFERROR(VLOOKUP(C138,'전사시산표(3단계)_1013'!$C:$L,10,0),0)</f>
        <v>29494961</v>
      </c>
      <c r="AB138" s="21"/>
      <c r="AC138" s="21">
        <f>IFERROR(VLOOKUP(C138,경상연구개발비대체!$A$2:$B$83,2,0),0)</f>
        <v>0</v>
      </c>
      <c r="AD138" s="35">
        <f t="shared" si="22"/>
        <v>29494961</v>
      </c>
      <c r="AE138" s="35">
        <f t="shared" si="20"/>
        <v>18492455</v>
      </c>
      <c r="AF138" s="38">
        <f t="shared" si="21"/>
        <v>0.42018734186557133</v>
      </c>
    </row>
    <row r="139" spans="2:33">
      <c r="B139" s="1" t="s">
        <v>284</v>
      </c>
      <c r="C139" s="2">
        <v>675150</v>
      </c>
      <c r="D139" s="401">
        <v>7528</v>
      </c>
      <c r="E139" s="3" t="s">
        <v>814</v>
      </c>
      <c r="F139" s="3" t="s">
        <v>383</v>
      </c>
      <c r="G139" s="21">
        <v>0</v>
      </c>
      <c r="H139" s="21">
        <f t="shared" si="15"/>
        <v>0</v>
      </c>
      <c r="I139" s="21">
        <v>0</v>
      </c>
      <c r="J139" s="21">
        <v>17891337</v>
      </c>
      <c r="K139" s="21">
        <f t="shared" si="16"/>
        <v>20945593</v>
      </c>
      <c r="L139" s="21">
        <v>38836930</v>
      </c>
      <c r="M139" s="21">
        <f t="shared" ref="M139:M202" si="24">N139-L139</f>
        <v>23806041</v>
      </c>
      <c r="N139" s="21">
        <v>62642971</v>
      </c>
      <c r="O139" s="21">
        <f t="shared" si="23"/>
        <v>68259567</v>
      </c>
      <c r="P139" s="21">
        <v>86449012</v>
      </c>
      <c r="Q139" s="21">
        <v>37284416</v>
      </c>
      <c r="R139" s="21">
        <f>IFERROR(VLOOKUP(C139,[6]IS_WTB!C$2:U$259,19,),)</f>
        <v>83054614</v>
      </c>
      <c r="S139" s="21">
        <v>130902538</v>
      </c>
      <c r="T139" s="30">
        <v>177422065</v>
      </c>
      <c r="U139" s="30">
        <v>38935438</v>
      </c>
      <c r="V139" s="30">
        <v>89296179</v>
      </c>
      <c r="W139" s="30">
        <v>149403450</v>
      </c>
      <c r="X139" s="30">
        <v>206911059</v>
      </c>
      <c r="Y139" s="30">
        <v>80061182</v>
      </c>
      <c r="Z139" s="30">
        <v>151100419</v>
      </c>
      <c r="AA139" s="30">
        <f>IFERROR(VLOOKUP(C139,'전사시산표(3단계)_1013'!$C:$L,10,0),0)</f>
        <v>215943230</v>
      </c>
      <c r="AB139" s="21"/>
      <c r="AC139" s="21">
        <f>IFERROR(VLOOKUP(C139,경상연구개발비대체!$A$2:$B$83,2,0),0)</f>
        <v>0</v>
      </c>
      <c r="AD139" s="35">
        <f t="shared" si="22"/>
        <v>215943230</v>
      </c>
      <c r="AE139" s="35">
        <f t="shared" si="20"/>
        <v>178658814</v>
      </c>
      <c r="AF139" s="38">
        <f t="shared" si="21"/>
        <v>1.0069706606108997</v>
      </c>
    </row>
    <row r="140" spans="2:33">
      <c r="B140" s="64" t="s">
        <v>276</v>
      </c>
      <c r="C140" s="65">
        <v>6271</v>
      </c>
      <c r="D140" s="65"/>
      <c r="E140" s="66" t="s">
        <v>473</v>
      </c>
      <c r="F140" s="66"/>
      <c r="G140" s="61">
        <f>SUM(G141)</f>
        <v>9935217705</v>
      </c>
      <c r="H140" s="61">
        <f t="shared" si="15"/>
        <v>32750897415</v>
      </c>
      <c r="I140" s="61">
        <v>42686115120</v>
      </c>
      <c r="J140" s="61">
        <v>32076788202</v>
      </c>
      <c r="K140" s="61">
        <f t="shared" ref="K140:K205" si="25">L140-J140</f>
        <v>30589664947</v>
      </c>
      <c r="L140" s="61">
        <v>62666453149</v>
      </c>
      <c r="M140" s="61">
        <f t="shared" si="24"/>
        <v>28732180531</v>
      </c>
      <c r="N140" s="61">
        <v>91398633680</v>
      </c>
      <c r="O140" s="61">
        <f t="shared" si="23"/>
        <v>3054220397</v>
      </c>
      <c r="P140" s="61">
        <v>123687436772</v>
      </c>
      <c r="Q140" s="61">
        <v>29791941525</v>
      </c>
      <c r="R140" s="61">
        <f>IFERROR(VLOOKUP(C140,[6]IS_WTB!C$2:U$259,19,),)</f>
        <v>62803479038</v>
      </c>
      <c r="S140" s="61">
        <v>94452854077</v>
      </c>
      <c r="T140" s="520">
        <v>130417031526</v>
      </c>
      <c r="U140" s="520">
        <v>30895498385</v>
      </c>
      <c r="V140" s="520">
        <v>62450806368</v>
      </c>
      <c r="W140" s="520">
        <v>93344987148</v>
      </c>
      <c r="X140" s="520">
        <v>128256165624</v>
      </c>
      <c r="Y140" s="520">
        <v>28790275964</v>
      </c>
      <c r="Z140" s="520">
        <v>57136860088</v>
      </c>
      <c r="AA140" s="520">
        <f>SUM(AA141)</f>
        <v>82494930550</v>
      </c>
      <c r="AB140" s="61"/>
      <c r="AC140" s="61">
        <f>SUM(AC141)</f>
        <v>0</v>
      </c>
      <c r="AD140" s="67">
        <f t="shared" si="22"/>
        <v>82494930550</v>
      </c>
      <c r="AE140" s="67">
        <f t="shared" si="20"/>
        <v>52702989025</v>
      </c>
      <c r="AF140" s="62">
        <f t="shared" si="21"/>
        <v>0.40411124535136433</v>
      </c>
    </row>
    <row r="141" spans="2:33">
      <c r="B141" s="1" t="s">
        <v>284</v>
      </c>
      <c r="C141" s="2">
        <v>627100</v>
      </c>
      <c r="D141" s="401">
        <v>7265</v>
      </c>
      <c r="E141" s="3" t="s">
        <v>58</v>
      </c>
      <c r="F141" s="3" t="s">
        <v>339</v>
      </c>
      <c r="G141" s="21">
        <v>9935217705</v>
      </c>
      <c r="H141" s="21">
        <f t="shared" si="15"/>
        <v>32750897415</v>
      </c>
      <c r="I141" s="21">
        <v>42686115120</v>
      </c>
      <c r="J141" s="21">
        <v>32076788202</v>
      </c>
      <c r="K141" s="21">
        <f t="shared" si="25"/>
        <v>30589664947</v>
      </c>
      <c r="L141" s="21">
        <v>62666453149</v>
      </c>
      <c r="M141" s="21">
        <f t="shared" si="24"/>
        <v>28732180531</v>
      </c>
      <c r="N141" s="21">
        <v>91398633680</v>
      </c>
      <c r="O141" s="21">
        <f t="shared" si="23"/>
        <v>3054220397</v>
      </c>
      <c r="P141" s="21">
        <v>123687436772</v>
      </c>
      <c r="Q141" s="21">
        <v>29791941525</v>
      </c>
      <c r="R141" s="21">
        <f>IFERROR(VLOOKUP(C141,[6]IS_WTB!C$2:U$259,19,),)</f>
        <v>62803479038</v>
      </c>
      <c r="S141" s="21">
        <v>94452854077</v>
      </c>
      <c r="T141" s="30">
        <v>130417031526</v>
      </c>
      <c r="U141" s="30">
        <v>30895498385</v>
      </c>
      <c r="V141" s="30">
        <v>62450806368</v>
      </c>
      <c r="W141" s="30">
        <v>93344987148</v>
      </c>
      <c r="X141" s="30">
        <v>128256165624</v>
      </c>
      <c r="Y141" s="30">
        <v>28790275964</v>
      </c>
      <c r="Z141" s="30">
        <v>57136860088</v>
      </c>
      <c r="AA141" s="30">
        <f>IFERROR(VLOOKUP(C141,'전사시산표(3단계)_1013'!$C:$L,10,0),0)</f>
        <v>82494930550</v>
      </c>
      <c r="AB141" s="21"/>
      <c r="AC141" s="21">
        <f>IFERROR(VLOOKUP(C141,경상연구개발비대체!$A$2:$B$83,2,0),0)</f>
        <v>0</v>
      </c>
      <c r="AD141" s="35">
        <f t="shared" si="22"/>
        <v>82494930550</v>
      </c>
      <c r="AE141" s="35">
        <f t="shared" si="20"/>
        <v>52702989025</v>
      </c>
      <c r="AF141" s="38">
        <f t="shared" si="21"/>
        <v>0.40411124535136433</v>
      </c>
    </row>
    <row r="142" spans="2:33">
      <c r="B142" s="64" t="s">
        <v>276</v>
      </c>
      <c r="C142" s="65">
        <v>6371</v>
      </c>
      <c r="D142" s="65"/>
      <c r="E142" s="66" t="s">
        <v>348</v>
      </c>
      <c r="F142" s="66"/>
      <c r="G142" s="61">
        <f>SUM(G143:G144)</f>
        <v>0</v>
      </c>
      <c r="H142" s="61">
        <f t="shared" ref="H142:H207" si="26">I142-G142</f>
        <v>53506906</v>
      </c>
      <c r="I142" s="61">
        <v>53506906</v>
      </c>
      <c r="J142" s="61">
        <v>43795255</v>
      </c>
      <c r="K142" s="61">
        <f t="shared" si="25"/>
        <v>39751182</v>
      </c>
      <c r="L142" s="61">
        <v>83546437</v>
      </c>
      <c r="M142" s="61">
        <f t="shared" si="24"/>
        <v>35321212</v>
      </c>
      <c r="N142" s="61">
        <v>118867649</v>
      </c>
      <c r="O142" s="61">
        <f t="shared" si="23"/>
        <v>-20350277</v>
      </c>
      <c r="P142" s="61">
        <v>156978416</v>
      </c>
      <c r="Q142" s="61">
        <v>33426441</v>
      </c>
      <c r="R142" s="61">
        <f>IFERROR(VLOOKUP(C142,[6]IS_WTB!C$2:U$259,19,),)</f>
        <v>65687987</v>
      </c>
      <c r="S142" s="61">
        <v>98517372</v>
      </c>
      <c r="T142" s="520">
        <v>130111735</v>
      </c>
      <c r="U142" s="520">
        <v>31905539</v>
      </c>
      <c r="V142" s="520">
        <v>64697799</v>
      </c>
      <c r="W142" s="520">
        <v>97073985</v>
      </c>
      <c r="X142" s="520">
        <v>129821180</v>
      </c>
      <c r="Y142" s="520">
        <v>32368832</v>
      </c>
      <c r="Z142" s="520">
        <v>66009168</v>
      </c>
      <c r="AA142" s="520">
        <f>SUM(AA143:AA144)</f>
        <v>101011708</v>
      </c>
      <c r="AB142" s="61"/>
      <c r="AC142" s="61">
        <f>SUM(AC143:AC144)</f>
        <v>539100</v>
      </c>
      <c r="AD142" s="67">
        <f t="shared" si="22"/>
        <v>100472608</v>
      </c>
      <c r="AE142" s="67">
        <f t="shared" si="20"/>
        <v>67046167</v>
      </c>
      <c r="AF142" s="62">
        <f t="shared" si="21"/>
        <v>0.51529684851254964</v>
      </c>
    </row>
    <row r="143" spans="2:33">
      <c r="B143" s="1" t="s">
        <v>284</v>
      </c>
      <c r="C143" s="2">
        <v>637310</v>
      </c>
      <c r="D143" s="401">
        <v>7071</v>
      </c>
      <c r="E143" s="3" t="s">
        <v>349</v>
      </c>
      <c r="F143" s="3" t="s">
        <v>746</v>
      </c>
      <c r="G143" s="21">
        <v>0</v>
      </c>
      <c r="H143" s="21">
        <f t="shared" si="26"/>
        <v>34225244</v>
      </c>
      <c r="I143" s="21">
        <v>34225244</v>
      </c>
      <c r="J143" s="21">
        <v>24547079</v>
      </c>
      <c r="K143" s="21">
        <f t="shared" si="25"/>
        <v>21939937</v>
      </c>
      <c r="L143" s="21">
        <v>46487016</v>
      </c>
      <c r="M143" s="21">
        <f t="shared" si="24"/>
        <v>17738754</v>
      </c>
      <c r="N143" s="21">
        <v>64225770</v>
      </c>
      <c r="O143" s="21">
        <f t="shared" si="23"/>
        <v>-16345744</v>
      </c>
      <c r="P143" s="21">
        <v>84576959</v>
      </c>
      <c r="Q143" s="21">
        <v>16265162</v>
      </c>
      <c r="R143" s="21">
        <f>IFERROR(VLOOKUP(C143,[6]IS_WTB!C$2:U$259,19,),)</f>
        <v>31686055</v>
      </c>
      <c r="S143" s="21">
        <v>47880026</v>
      </c>
      <c r="T143" s="30">
        <v>63141665</v>
      </c>
      <c r="U143" s="30">
        <v>16217055</v>
      </c>
      <c r="V143" s="30">
        <v>33634560</v>
      </c>
      <c r="W143" s="30">
        <v>51401666</v>
      </c>
      <c r="X143" s="30">
        <v>69468014</v>
      </c>
      <c r="Y143" s="30">
        <v>17909899</v>
      </c>
      <c r="Z143" s="30">
        <v>36934433</v>
      </c>
      <c r="AA143" s="30">
        <f>IFERROR(VLOOKUP(C143,'전사시산표(3단계)_1013'!$C:$L,10,0),0)</f>
        <v>58248406</v>
      </c>
      <c r="AB143" s="21"/>
      <c r="AC143" s="21">
        <f>IFERROR(VLOOKUP(C143,경상연구개발비대체!$A$2:$B$83,2,0),0)</f>
        <v>0</v>
      </c>
      <c r="AD143" s="35">
        <f t="shared" si="22"/>
        <v>58248406</v>
      </c>
      <c r="AE143" s="35">
        <f t="shared" si="20"/>
        <v>41983244</v>
      </c>
      <c r="AF143" s="38">
        <f t="shared" si="21"/>
        <v>0.66490555800199436</v>
      </c>
    </row>
    <row r="144" spans="2:33">
      <c r="B144" s="1" t="s">
        <v>284</v>
      </c>
      <c r="C144" s="2">
        <v>637400</v>
      </c>
      <c r="D144" s="401">
        <v>7071</v>
      </c>
      <c r="E144" s="3" t="s">
        <v>350</v>
      </c>
      <c r="F144" s="3" t="s">
        <v>746</v>
      </c>
      <c r="G144" s="21">
        <v>0</v>
      </c>
      <c r="H144" s="21">
        <f t="shared" si="26"/>
        <v>19281662</v>
      </c>
      <c r="I144" s="21">
        <v>19281662</v>
      </c>
      <c r="J144" s="21">
        <v>19248176</v>
      </c>
      <c r="K144" s="21">
        <f t="shared" si="25"/>
        <v>17811245</v>
      </c>
      <c r="L144" s="21">
        <v>37059421</v>
      </c>
      <c r="M144" s="21">
        <f t="shared" si="24"/>
        <v>17582458</v>
      </c>
      <c r="N144" s="21">
        <v>54641879</v>
      </c>
      <c r="O144" s="21">
        <f t="shared" si="23"/>
        <v>-4004533</v>
      </c>
      <c r="P144" s="21">
        <v>72401457</v>
      </c>
      <c r="Q144" s="21">
        <v>17161279</v>
      </c>
      <c r="R144" s="21">
        <f>IFERROR(VLOOKUP(C144,[6]IS_WTB!C$2:U$259,19,),)</f>
        <v>34001932</v>
      </c>
      <c r="S144" s="21">
        <v>50637346</v>
      </c>
      <c r="T144" s="30">
        <v>66970070</v>
      </c>
      <c r="U144" s="30">
        <v>15688484</v>
      </c>
      <c r="V144" s="30">
        <v>31063239</v>
      </c>
      <c r="W144" s="30">
        <v>45672319</v>
      </c>
      <c r="X144" s="30">
        <v>60353166</v>
      </c>
      <c r="Y144" s="30">
        <v>14458933</v>
      </c>
      <c r="Z144" s="30">
        <v>29074735</v>
      </c>
      <c r="AA144" s="30">
        <f>IFERROR(VLOOKUP(C144,'전사시산표(3단계)_1013'!$C:$L,10,0),0)</f>
        <v>42763302</v>
      </c>
      <c r="AB144" s="21"/>
      <c r="AC144" s="21">
        <f>IFERROR(VLOOKUP(C144,경상연구개발비대체!$A$2:$B$83,2,0),0)</f>
        <v>539100</v>
      </c>
      <c r="AD144" s="35">
        <f t="shared" si="22"/>
        <v>42224202</v>
      </c>
      <c r="AE144" s="35">
        <f t="shared" si="20"/>
        <v>25062923</v>
      </c>
      <c r="AF144" s="38">
        <f t="shared" si="21"/>
        <v>0.37424065705769755</v>
      </c>
    </row>
    <row r="145" spans="2:32">
      <c r="B145" s="64" t="s">
        <v>276</v>
      </c>
      <c r="C145" s="65">
        <v>6381</v>
      </c>
      <c r="D145" s="65"/>
      <c r="E145" s="66" t="s">
        <v>351</v>
      </c>
      <c r="F145" s="66"/>
      <c r="G145" s="61">
        <f>SUM(G146)</f>
        <v>0</v>
      </c>
      <c r="H145" s="61">
        <f t="shared" si="26"/>
        <v>0</v>
      </c>
      <c r="I145" s="61">
        <v>0</v>
      </c>
      <c r="J145" s="61">
        <v>0</v>
      </c>
      <c r="K145" s="61">
        <f t="shared" si="25"/>
        <v>0</v>
      </c>
      <c r="L145" s="61">
        <v>0</v>
      </c>
      <c r="M145" s="61">
        <f t="shared" si="24"/>
        <v>0</v>
      </c>
      <c r="N145" s="61">
        <v>0</v>
      </c>
      <c r="O145" s="61">
        <f t="shared" si="23"/>
        <v>0</v>
      </c>
      <c r="P145" s="61">
        <v>0</v>
      </c>
      <c r="Q145" s="61">
        <v>0</v>
      </c>
      <c r="R145" s="61">
        <f>IFERROR(VLOOKUP(C145,[6]IS_WTB!C$2:U$259,19,),)</f>
        <v>0</v>
      </c>
      <c r="S145" s="61">
        <v>0</v>
      </c>
      <c r="T145" s="520">
        <v>0</v>
      </c>
      <c r="U145" s="520">
        <v>0</v>
      </c>
      <c r="V145" s="520">
        <v>0</v>
      </c>
      <c r="W145" s="520">
        <v>0</v>
      </c>
      <c r="X145" s="520">
        <v>0</v>
      </c>
      <c r="Y145" s="520">
        <v>0</v>
      </c>
      <c r="Z145" s="520">
        <v>0</v>
      </c>
      <c r="AA145" s="520">
        <f>SUM(AA146)</f>
        <v>0</v>
      </c>
      <c r="AB145" s="61"/>
      <c r="AC145" s="61">
        <f>SUM(AC146)</f>
        <v>0</v>
      </c>
      <c r="AD145" s="67">
        <f t="shared" si="22"/>
        <v>0</v>
      </c>
      <c r="AE145" s="67">
        <f t="shared" si="20"/>
        <v>0</v>
      </c>
      <c r="AF145" s="62" t="str">
        <f t="shared" si="21"/>
        <v/>
      </c>
    </row>
    <row r="146" spans="2:32">
      <c r="B146" s="1" t="s">
        <v>284</v>
      </c>
      <c r="C146" s="2">
        <v>638200</v>
      </c>
      <c r="D146" s="2"/>
      <c r="E146" s="3" t="s">
        <v>352</v>
      </c>
      <c r="F146" s="3" t="s">
        <v>747</v>
      </c>
      <c r="G146" s="21">
        <v>0</v>
      </c>
      <c r="H146" s="21">
        <f t="shared" si="26"/>
        <v>0</v>
      </c>
      <c r="I146" s="21">
        <v>0</v>
      </c>
      <c r="J146" s="21">
        <v>0</v>
      </c>
      <c r="K146" s="21">
        <f t="shared" si="25"/>
        <v>0</v>
      </c>
      <c r="L146" s="21">
        <v>0</v>
      </c>
      <c r="M146" s="21">
        <f t="shared" si="24"/>
        <v>0</v>
      </c>
      <c r="N146" s="21">
        <v>0</v>
      </c>
      <c r="O146" s="21">
        <f t="shared" si="23"/>
        <v>0</v>
      </c>
      <c r="P146" s="21">
        <v>0</v>
      </c>
      <c r="Q146" s="21">
        <v>0</v>
      </c>
      <c r="R146" s="21">
        <f>IFERROR(VLOOKUP(C146,[6]IS_WTB!C$2:U$259,19,),)</f>
        <v>0</v>
      </c>
      <c r="S146" s="21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f>IFERROR(VLOOKUP(C146,'전사시산표(3단계)_1013'!$C:$L,10,0),0)</f>
        <v>0</v>
      </c>
      <c r="AB146" s="21"/>
      <c r="AC146" s="21">
        <f>IFERROR(VLOOKUP(C146,경상연구개발비대체!$A$2:$B$83,2,0),0)</f>
        <v>0</v>
      </c>
      <c r="AD146" s="35">
        <f t="shared" si="22"/>
        <v>0</v>
      </c>
      <c r="AE146" s="35">
        <f t="shared" si="20"/>
        <v>0</v>
      </c>
      <c r="AF146" s="38" t="str">
        <f t="shared" si="21"/>
        <v/>
      </c>
    </row>
    <row r="147" spans="2:32">
      <c r="B147" s="64" t="s">
        <v>276</v>
      </c>
      <c r="C147" s="65">
        <v>6421</v>
      </c>
      <c r="D147" s="65"/>
      <c r="E147" s="66" t="s">
        <v>359</v>
      </c>
      <c r="F147" s="66"/>
      <c r="G147" s="61">
        <f>SUM(G148:G149)</f>
        <v>0</v>
      </c>
      <c r="H147" s="61">
        <f t="shared" si="26"/>
        <v>61138222</v>
      </c>
      <c r="I147" s="61">
        <v>61138222</v>
      </c>
      <c r="J147" s="61">
        <v>56133888</v>
      </c>
      <c r="K147" s="61">
        <f t="shared" si="25"/>
        <v>47099060</v>
      </c>
      <c r="L147" s="61">
        <v>103232948</v>
      </c>
      <c r="M147" s="61">
        <f t="shared" si="24"/>
        <v>59701825</v>
      </c>
      <c r="N147" s="61">
        <v>162934773</v>
      </c>
      <c r="O147" s="61">
        <f t="shared" si="23"/>
        <v>-13595142</v>
      </c>
      <c r="P147" s="61">
        <v>233360456</v>
      </c>
      <c r="Q147" s="61">
        <v>40820510</v>
      </c>
      <c r="R147" s="61">
        <f>IFERROR(VLOOKUP(C147,[6]IS_WTB!C$2:U$259,19,),)</f>
        <v>93083870</v>
      </c>
      <c r="S147" s="61">
        <v>149339631</v>
      </c>
      <c r="T147" s="520">
        <v>204544851</v>
      </c>
      <c r="U147" s="520">
        <v>43107410</v>
      </c>
      <c r="V147" s="520">
        <v>96263790</v>
      </c>
      <c r="W147" s="520">
        <v>145550928</v>
      </c>
      <c r="X147" s="520">
        <v>211465028</v>
      </c>
      <c r="Y147" s="520">
        <v>43852310</v>
      </c>
      <c r="Z147" s="520">
        <v>127699560</v>
      </c>
      <c r="AA147" s="520">
        <f>SUM(AA148:AA149)</f>
        <v>200939436</v>
      </c>
      <c r="AB147" s="61"/>
      <c r="AC147" s="61">
        <f>SUM(AC148:AC149)</f>
        <v>34123825</v>
      </c>
      <c r="AD147" s="67">
        <f t="shared" si="22"/>
        <v>166815611</v>
      </c>
      <c r="AE147" s="67">
        <f t="shared" si="20"/>
        <v>125995101</v>
      </c>
      <c r="AF147" s="62">
        <f t="shared" si="21"/>
        <v>0.61597786687869249</v>
      </c>
    </row>
    <row r="148" spans="2:32">
      <c r="B148" s="1" t="s">
        <v>284</v>
      </c>
      <c r="C148" s="2">
        <v>642100</v>
      </c>
      <c r="D148" s="401">
        <v>7181</v>
      </c>
      <c r="E148" s="3" t="s">
        <v>359</v>
      </c>
      <c r="F148" s="3" t="s">
        <v>748</v>
      </c>
      <c r="G148" s="21">
        <v>0</v>
      </c>
      <c r="H148" s="21">
        <f t="shared" si="26"/>
        <v>14894759</v>
      </c>
      <c r="I148" s="21">
        <v>14894759</v>
      </c>
      <c r="J148" s="21">
        <v>10687718</v>
      </c>
      <c r="K148" s="21">
        <f t="shared" si="25"/>
        <v>10904040</v>
      </c>
      <c r="L148" s="21">
        <v>21591758</v>
      </c>
      <c r="M148" s="21">
        <f t="shared" si="24"/>
        <v>14186295</v>
      </c>
      <c r="N148" s="21">
        <v>35778053</v>
      </c>
      <c r="O148" s="21">
        <f t="shared" si="23"/>
        <v>-6630412</v>
      </c>
      <c r="P148" s="21">
        <v>49184596</v>
      </c>
      <c r="Q148" s="21">
        <v>7808210</v>
      </c>
      <c r="R148" s="21">
        <f>IFERROR(VLOOKUP(C148,[6]IS_WTB!C$2:U$259,19,),)</f>
        <v>16885050</v>
      </c>
      <c r="S148" s="21">
        <v>29147641</v>
      </c>
      <c r="T148" s="30">
        <v>40202411</v>
      </c>
      <c r="U148" s="30">
        <v>7159260</v>
      </c>
      <c r="V148" s="30">
        <v>16649940</v>
      </c>
      <c r="W148" s="30">
        <v>27086958</v>
      </c>
      <c r="X148" s="30">
        <v>42581178</v>
      </c>
      <c r="Y148" s="30">
        <v>9817860</v>
      </c>
      <c r="Z148" s="30">
        <v>24693045</v>
      </c>
      <c r="AA148" s="30">
        <f>IFERROR(VLOOKUP(C148,'전사시산표(3단계)_1013'!$C:$L,10,0),0)</f>
        <v>39318441</v>
      </c>
      <c r="AB148" s="21"/>
      <c r="AC148" s="21">
        <f>IFERROR(VLOOKUP(C148,경상연구개발비대체!$A$2:$B$83,2,0),0)</f>
        <v>2395340</v>
      </c>
      <c r="AD148" s="35">
        <f t="shared" si="22"/>
        <v>36923101</v>
      </c>
      <c r="AE148" s="35">
        <f t="shared" si="20"/>
        <v>29114891</v>
      </c>
      <c r="AF148" s="38">
        <f t="shared" si="21"/>
        <v>0.72420758546048392</v>
      </c>
    </row>
    <row r="149" spans="2:32">
      <c r="B149" s="1" t="s">
        <v>284</v>
      </c>
      <c r="C149" s="2">
        <v>642200</v>
      </c>
      <c r="D149" s="401">
        <v>7181</v>
      </c>
      <c r="E149" s="3" t="s">
        <v>360</v>
      </c>
      <c r="F149" s="3" t="s">
        <v>749</v>
      </c>
      <c r="G149" s="21">
        <v>0</v>
      </c>
      <c r="H149" s="21">
        <f t="shared" si="26"/>
        <v>46243463</v>
      </c>
      <c r="I149" s="21">
        <v>46243463</v>
      </c>
      <c r="J149" s="21">
        <v>45446170</v>
      </c>
      <c r="K149" s="21">
        <f t="shared" si="25"/>
        <v>36195020</v>
      </c>
      <c r="L149" s="21">
        <v>81641190</v>
      </c>
      <c r="M149" s="21">
        <f t="shared" si="24"/>
        <v>45515530</v>
      </c>
      <c r="N149" s="21">
        <v>127156720</v>
      </c>
      <c r="O149" s="21">
        <f t="shared" si="23"/>
        <v>-6964730</v>
      </c>
      <c r="P149" s="21">
        <v>184175860</v>
      </c>
      <c r="Q149" s="21">
        <v>33012300</v>
      </c>
      <c r="R149" s="21">
        <f>IFERROR(VLOOKUP(C149,[6]IS_WTB!C$2:U$259,19,),)</f>
        <v>76198820</v>
      </c>
      <c r="S149" s="21">
        <v>120191990</v>
      </c>
      <c r="T149" s="30">
        <v>164342440</v>
      </c>
      <c r="U149" s="30">
        <v>35948150</v>
      </c>
      <c r="V149" s="30">
        <v>79613850</v>
      </c>
      <c r="W149" s="30">
        <v>118463970</v>
      </c>
      <c r="X149" s="30">
        <v>168883850</v>
      </c>
      <c r="Y149" s="30">
        <v>34034450</v>
      </c>
      <c r="Z149" s="30">
        <v>103006515</v>
      </c>
      <c r="AA149" s="30">
        <f>IFERROR(VLOOKUP(C149,'전사시산표(3단계)_1013'!$C:$L,10,0),0)</f>
        <v>161620995</v>
      </c>
      <c r="AB149" s="21"/>
      <c r="AC149" s="21">
        <f>IFERROR(VLOOKUP(C149,경상연구개발비대체!$A$2:$B$83,2,0),0)</f>
        <v>31728485</v>
      </c>
      <c r="AD149" s="35">
        <f t="shared" si="22"/>
        <v>129892510</v>
      </c>
      <c r="AE149" s="35">
        <f t="shared" si="20"/>
        <v>96880210</v>
      </c>
      <c r="AF149" s="38">
        <f t="shared" si="21"/>
        <v>0.58950207870833604</v>
      </c>
    </row>
    <row r="150" spans="2:32">
      <c r="B150" s="64" t="s">
        <v>276</v>
      </c>
      <c r="C150" s="65">
        <v>6423</v>
      </c>
      <c r="D150" s="65"/>
      <c r="E150" s="66" t="s">
        <v>361</v>
      </c>
      <c r="F150" s="66"/>
      <c r="G150" s="61">
        <f>SUM(G151)</f>
        <v>0</v>
      </c>
      <c r="H150" s="61">
        <f t="shared" si="26"/>
        <v>15062251</v>
      </c>
      <c r="I150" s="61">
        <v>15062251</v>
      </c>
      <c r="J150" s="61">
        <v>11982105</v>
      </c>
      <c r="K150" s="61">
        <f t="shared" si="25"/>
        <v>12853395</v>
      </c>
      <c r="L150" s="61">
        <v>24835500</v>
      </c>
      <c r="M150" s="61">
        <f t="shared" si="24"/>
        <v>16269625</v>
      </c>
      <c r="N150" s="61">
        <v>41105125</v>
      </c>
      <c r="O150" s="61">
        <f t="shared" si="23"/>
        <v>-15101126</v>
      </c>
      <c r="P150" s="61">
        <v>56683675</v>
      </c>
      <c r="Q150" s="61">
        <v>6695343</v>
      </c>
      <c r="R150" s="61">
        <f>IFERROR(VLOOKUP(C150,[6]IS_WTB!C$2:U$259,19,),)</f>
        <v>15565502</v>
      </c>
      <c r="S150" s="61">
        <v>26003999</v>
      </c>
      <c r="T150" s="520">
        <v>34529991</v>
      </c>
      <c r="U150" s="520">
        <v>6846830</v>
      </c>
      <c r="V150" s="520">
        <v>17889751</v>
      </c>
      <c r="W150" s="520">
        <v>30152400</v>
      </c>
      <c r="X150" s="520">
        <v>46542616</v>
      </c>
      <c r="Y150" s="520">
        <v>17948175</v>
      </c>
      <c r="Z150" s="520">
        <v>39171628</v>
      </c>
      <c r="AA150" s="520">
        <f>SUM(AA151)</f>
        <v>64364697</v>
      </c>
      <c r="AB150" s="61"/>
      <c r="AC150" s="61">
        <f>SUM(AC151)</f>
        <v>5157460</v>
      </c>
      <c r="AD150" s="67">
        <f t="shared" si="22"/>
        <v>59207237</v>
      </c>
      <c r="AE150" s="67">
        <f t="shared" si="20"/>
        <v>52511894</v>
      </c>
      <c r="AF150" s="62">
        <f t="shared" si="21"/>
        <v>1.5207618791444226</v>
      </c>
    </row>
    <row r="151" spans="2:32">
      <c r="B151" s="1" t="s">
        <v>284</v>
      </c>
      <c r="C151" s="2">
        <v>642300</v>
      </c>
      <c r="D151" s="401">
        <v>7181</v>
      </c>
      <c r="E151" s="3" t="s">
        <v>361</v>
      </c>
      <c r="F151" s="3" t="s">
        <v>359</v>
      </c>
      <c r="G151" s="21">
        <v>0</v>
      </c>
      <c r="H151" s="21">
        <f t="shared" si="26"/>
        <v>15062251</v>
      </c>
      <c r="I151" s="21">
        <v>15062251</v>
      </c>
      <c r="J151" s="21">
        <v>11982105</v>
      </c>
      <c r="K151" s="21">
        <f t="shared" si="25"/>
        <v>12853395</v>
      </c>
      <c r="L151" s="21">
        <v>24835500</v>
      </c>
      <c r="M151" s="21">
        <f t="shared" si="24"/>
        <v>16269625</v>
      </c>
      <c r="N151" s="21">
        <v>41105125</v>
      </c>
      <c r="O151" s="21">
        <f t="shared" si="23"/>
        <v>-15101126</v>
      </c>
      <c r="P151" s="21">
        <v>56683675</v>
      </c>
      <c r="Q151" s="21">
        <v>6695343</v>
      </c>
      <c r="R151" s="21">
        <f>IFERROR(VLOOKUP(C151,[6]IS_WTB!C$2:U$259,19,),)</f>
        <v>15565502</v>
      </c>
      <c r="S151" s="21">
        <v>26003999</v>
      </c>
      <c r="T151" s="30">
        <v>34529991</v>
      </c>
      <c r="U151" s="30">
        <v>6846830</v>
      </c>
      <c r="V151" s="30">
        <v>17889751</v>
      </c>
      <c r="W151" s="30">
        <v>30152400</v>
      </c>
      <c r="X151" s="30">
        <v>46542616</v>
      </c>
      <c r="Y151" s="30">
        <v>17948175</v>
      </c>
      <c r="Z151" s="30">
        <v>39171628</v>
      </c>
      <c r="AA151" s="30">
        <f>IFERROR(VLOOKUP(C151,'전사시산표(3단계)_1013'!$C:$L,10,0),0)</f>
        <v>64364697</v>
      </c>
      <c r="AB151" s="21"/>
      <c r="AC151" s="21">
        <f>IFERROR(VLOOKUP(C151,경상연구개발비대체!$A$2:$B$83,2,0),0)</f>
        <v>5157460</v>
      </c>
      <c r="AD151" s="35">
        <f t="shared" si="22"/>
        <v>59207237</v>
      </c>
      <c r="AE151" s="35">
        <f t="shared" si="20"/>
        <v>52511894</v>
      </c>
      <c r="AF151" s="38">
        <f t="shared" si="21"/>
        <v>1.5207618791444226</v>
      </c>
    </row>
    <row r="152" spans="2:32">
      <c r="B152" s="64" t="s">
        <v>276</v>
      </c>
      <c r="C152" s="65">
        <v>6441</v>
      </c>
      <c r="D152" s="65"/>
      <c r="E152" s="66" t="s">
        <v>362</v>
      </c>
      <c r="F152" s="66"/>
      <c r="G152" s="61">
        <f>SUM(G153:G155)</f>
        <v>7230420</v>
      </c>
      <c r="H152" s="61">
        <f t="shared" si="26"/>
        <v>22807661</v>
      </c>
      <c r="I152" s="61">
        <v>30038081</v>
      </c>
      <c r="J152" s="61">
        <v>91165545</v>
      </c>
      <c r="K152" s="61">
        <f t="shared" si="25"/>
        <v>57045524</v>
      </c>
      <c r="L152" s="61">
        <v>148211069</v>
      </c>
      <c r="M152" s="61">
        <f t="shared" si="24"/>
        <v>21275887</v>
      </c>
      <c r="N152" s="61">
        <v>169486956</v>
      </c>
      <c r="O152" s="61">
        <f t="shared" si="23"/>
        <v>20782599</v>
      </c>
      <c r="P152" s="61">
        <v>190686118</v>
      </c>
      <c r="Q152" s="61">
        <v>145419934</v>
      </c>
      <c r="R152" s="61">
        <f>IFERROR(VLOOKUP(C152,[6]IS_WTB!C$2:U$259,19,),)</f>
        <v>167534558</v>
      </c>
      <c r="S152" s="61">
        <v>190269555</v>
      </c>
      <c r="T152" s="520">
        <v>212999363</v>
      </c>
      <c r="U152" s="520">
        <v>68732706</v>
      </c>
      <c r="V152" s="520">
        <v>120915413</v>
      </c>
      <c r="W152" s="520">
        <v>173569057</v>
      </c>
      <c r="X152" s="520">
        <v>239946624</v>
      </c>
      <c r="Y152" s="520">
        <v>150136182</v>
      </c>
      <c r="Z152" s="520">
        <v>183393275</v>
      </c>
      <c r="AA152" s="520">
        <f>SUM(AA153:AA155)</f>
        <v>256502511</v>
      </c>
      <c r="AB152" s="61"/>
      <c r="AC152" s="61">
        <f>SUM(AC153:AC155)</f>
        <v>0</v>
      </c>
      <c r="AD152" s="67">
        <f t="shared" si="22"/>
        <v>256502511</v>
      </c>
      <c r="AE152" s="67">
        <f t="shared" si="20"/>
        <v>111082577</v>
      </c>
      <c r="AF152" s="62">
        <f t="shared" si="21"/>
        <v>0.52151600566054279</v>
      </c>
    </row>
    <row r="153" spans="2:32">
      <c r="B153" s="1" t="s">
        <v>284</v>
      </c>
      <c r="C153" s="2">
        <v>644100</v>
      </c>
      <c r="D153" s="401">
        <v>7191</v>
      </c>
      <c r="E153" s="3" t="s">
        <v>363</v>
      </c>
      <c r="F153" s="3" t="s">
        <v>362</v>
      </c>
      <c r="G153" s="21">
        <v>3872521</v>
      </c>
      <c r="H153" s="21">
        <f t="shared" si="26"/>
        <v>12345602</v>
      </c>
      <c r="I153" s="21">
        <v>16218123</v>
      </c>
      <c r="J153" s="21">
        <v>11545181</v>
      </c>
      <c r="K153" s="21">
        <f t="shared" si="25"/>
        <v>10938461</v>
      </c>
      <c r="L153" s="21">
        <v>22483642</v>
      </c>
      <c r="M153" s="21">
        <f t="shared" si="24"/>
        <v>3644860</v>
      </c>
      <c r="N153" s="21">
        <v>26128502</v>
      </c>
      <c r="O153" s="21">
        <f t="shared" si="23"/>
        <v>-8253727</v>
      </c>
      <c r="P153" s="21">
        <v>29696882</v>
      </c>
      <c r="Q153" s="21">
        <v>3529593</v>
      </c>
      <c r="R153" s="21">
        <f>IFERROR(VLOOKUP(C153,[6]IS_WTB!C$2:U$259,19,),)</f>
        <v>11200011</v>
      </c>
      <c r="S153" s="21">
        <v>17874775</v>
      </c>
      <c r="T153" s="30">
        <v>24549539</v>
      </c>
      <c r="U153" s="30">
        <v>6529661</v>
      </c>
      <c r="V153" s="30">
        <v>6747314</v>
      </c>
      <c r="W153" s="30">
        <v>6747314</v>
      </c>
      <c r="X153" s="30">
        <v>6747314</v>
      </c>
      <c r="Y153" s="30">
        <v>0</v>
      </c>
      <c r="Z153" s="30">
        <v>0</v>
      </c>
      <c r="AA153" s="30">
        <f>IFERROR(VLOOKUP(C153,'전사시산표(3단계)_1013'!$C:$L,10,0),0)</f>
        <v>0</v>
      </c>
      <c r="AB153" s="21"/>
      <c r="AC153" s="21">
        <f>IFERROR(VLOOKUP(C153,경상연구개발비대체!$A$2:$B$83,2,0),0)</f>
        <v>0</v>
      </c>
      <c r="AD153" s="35">
        <f t="shared" si="22"/>
        <v>0</v>
      </c>
      <c r="AE153" s="35">
        <f t="shared" si="20"/>
        <v>-3529593</v>
      </c>
      <c r="AF153" s="38">
        <f t="shared" si="21"/>
        <v>-0.14377430875585892</v>
      </c>
    </row>
    <row r="154" spans="2:32">
      <c r="B154" s="1" t="s">
        <v>284</v>
      </c>
      <c r="C154" s="2">
        <v>644110</v>
      </c>
      <c r="D154" s="401">
        <v>7191</v>
      </c>
      <c r="E154" s="3" t="s">
        <v>364</v>
      </c>
      <c r="F154" s="3" t="s">
        <v>362</v>
      </c>
      <c r="G154" s="21">
        <v>3357899</v>
      </c>
      <c r="H154" s="21">
        <f t="shared" si="26"/>
        <v>10462059</v>
      </c>
      <c r="I154" s="21">
        <v>13819958</v>
      </c>
      <c r="J154" s="21">
        <v>78398263</v>
      </c>
      <c r="K154" s="21">
        <f t="shared" si="25"/>
        <v>39730163</v>
      </c>
      <c r="L154" s="21">
        <v>118128426</v>
      </c>
      <c r="M154" s="21">
        <f t="shared" si="24"/>
        <v>16381768</v>
      </c>
      <c r="N154" s="21">
        <v>134510194</v>
      </c>
      <c r="O154" s="21">
        <f t="shared" si="23"/>
        <v>34163967</v>
      </c>
      <c r="P154" s="21">
        <v>150891717</v>
      </c>
      <c r="Q154" s="21">
        <v>140654661</v>
      </c>
      <c r="R154" s="21">
        <f>IFERROR(VLOOKUP(C154,[6]IS_WTB!C$2:U$259,19,),)</f>
        <v>153863187</v>
      </c>
      <c r="S154" s="21">
        <v>168674161</v>
      </c>
      <c r="T154" s="30">
        <v>183479946</v>
      </c>
      <c r="U154" s="30">
        <v>60980944</v>
      </c>
      <c r="V154" s="30">
        <v>112538636</v>
      </c>
      <c r="W154" s="30">
        <v>165192280</v>
      </c>
      <c r="X154" s="30">
        <v>231569847</v>
      </c>
      <c r="Y154" s="30">
        <v>150136182</v>
      </c>
      <c r="Z154" s="30">
        <v>183393275</v>
      </c>
      <c r="AA154" s="30">
        <f>IFERROR(VLOOKUP(C154,'전사시산표(3단계)_1013'!$C:$L,10,0),0)</f>
        <v>256502511</v>
      </c>
      <c r="AB154" s="21"/>
      <c r="AC154" s="21">
        <f>IFERROR(VLOOKUP(C154,경상연구개발비대체!$A$2:$B$83,2,0),0)</f>
        <v>0</v>
      </c>
      <c r="AD154" s="35">
        <f t="shared" ref="AD154:AD185" si="27">AA154+AB154-AC154</f>
        <v>256502511</v>
      </c>
      <c r="AE154" s="35">
        <f t="shared" si="20"/>
        <v>115847850</v>
      </c>
      <c r="AF154" s="38">
        <f t="shared" si="21"/>
        <v>0.6313924356616063</v>
      </c>
    </row>
    <row r="155" spans="2:32">
      <c r="B155" s="1" t="s">
        <v>284</v>
      </c>
      <c r="C155" s="2">
        <v>644190</v>
      </c>
      <c r="D155" s="401">
        <v>7191</v>
      </c>
      <c r="E155" s="3" t="s">
        <v>365</v>
      </c>
      <c r="F155" s="3" t="s">
        <v>362</v>
      </c>
      <c r="G155" s="21">
        <v>0</v>
      </c>
      <c r="H155" s="21">
        <f t="shared" si="26"/>
        <v>0</v>
      </c>
      <c r="I155" s="21">
        <v>0</v>
      </c>
      <c r="J155" s="21">
        <v>1222101</v>
      </c>
      <c r="K155" s="21">
        <f t="shared" si="25"/>
        <v>6376900</v>
      </c>
      <c r="L155" s="21">
        <v>7599001</v>
      </c>
      <c r="M155" s="21">
        <f t="shared" si="24"/>
        <v>1249259</v>
      </c>
      <c r="N155" s="21">
        <v>8848260</v>
      </c>
      <c r="O155" s="21">
        <f t="shared" si="23"/>
        <v>-5127641</v>
      </c>
      <c r="P155" s="21">
        <v>10097519</v>
      </c>
      <c r="Q155" s="21">
        <v>1235680</v>
      </c>
      <c r="R155" s="21">
        <f>IFERROR(VLOOKUP(C155,[6]IS_WTB!C$2:U$259,19,),)</f>
        <v>2471360</v>
      </c>
      <c r="S155" s="21">
        <v>3720619</v>
      </c>
      <c r="T155" s="30">
        <v>4969878</v>
      </c>
      <c r="U155" s="30">
        <v>1222101</v>
      </c>
      <c r="V155" s="30">
        <v>1629463</v>
      </c>
      <c r="W155" s="30">
        <v>1629463</v>
      </c>
      <c r="X155" s="30">
        <v>1629463</v>
      </c>
      <c r="Y155" s="30">
        <v>0</v>
      </c>
      <c r="Z155" s="30">
        <v>0</v>
      </c>
      <c r="AA155" s="30">
        <f>IFERROR(VLOOKUP(C155,'전사시산표(3단계)_1013'!$C:$L,10,0),0)</f>
        <v>0</v>
      </c>
      <c r="AB155" s="21"/>
      <c r="AC155" s="21">
        <f>IFERROR(VLOOKUP(C155,경상연구개발비대체!$A$2:$B$83,2,0),0)</f>
        <v>0</v>
      </c>
      <c r="AD155" s="35">
        <f t="shared" si="27"/>
        <v>0</v>
      </c>
      <c r="AE155" s="35">
        <f t="shared" si="20"/>
        <v>-1235680</v>
      </c>
      <c r="AF155" s="38">
        <f t="shared" si="21"/>
        <v>-0.24863386988573966</v>
      </c>
    </row>
    <row r="156" spans="2:32">
      <c r="B156" s="64" t="s">
        <v>276</v>
      </c>
      <c r="C156" s="65">
        <v>6511</v>
      </c>
      <c r="D156" s="65"/>
      <c r="E156" s="66" t="s">
        <v>371</v>
      </c>
      <c r="F156" s="66"/>
      <c r="G156" s="61">
        <f>SUM(G157:G160)</f>
        <v>100000</v>
      </c>
      <c r="H156" s="61">
        <f t="shared" si="26"/>
        <v>78883778</v>
      </c>
      <c r="I156" s="61">
        <v>78983778</v>
      </c>
      <c r="J156" s="61">
        <v>46729153</v>
      </c>
      <c r="K156" s="61">
        <f t="shared" si="25"/>
        <v>86377243</v>
      </c>
      <c r="L156" s="61">
        <v>133106396</v>
      </c>
      <c r="M156" s="61">
        <f t="shared" si="24"/>
        <v>53233234</v>
      </c>
      <c r="N156" s="61">
        <v>186339630</v>
      </c>
      <c r="O156" s="61">
        <f t="shared" si="23"/>
        <v>-57041430</v>
      </c>
      <c r="P156" s="61">
        <v>301196542</v>
      </c>
      <c r="Q156" s="61">
        <v>34046242</v>
      </c>
      <c r="R156" s="61">
        <f>IFERROR(VLOOKUP(C156,[6]IS_WTB!C$2:U$259,19,),)</f>
        <v>79670582</v>
      </c>
      <c r="S156" s="61">
        <v>129298200</v>
      </c>
      <c r="T156" s="520">
        <v>208357056</v>
      </c>
      <c r="U156" s="520">
        <v>39515001</v>
      </c>
      <c r="V156" s="520">
        <v>88279143</v>
      </c>
      <c r="W156" s="520">
        <v>130336265</v>
      </c>
      <c r="X156" s="520">
        <v>235161896</v>
      </c>
      <c r="Y156" s="520">
        <v>42816149</v>
      </c>
      <c r="Z156" s="520">
        <v>117839515</v>
      </c>
      <c r="AA156" s="520">
        <f>SUM(AA157:AA160)</f>
        <v>190435979</v>
      </c>
      <c r="AB156" s="61"/>
      <c r="AC156" s="61">
        <f>SUM(AC157:AC160)</f>
        <v>7928444</v>
      </c>
      <c r="AD156" s="67">
        <f t="shared" si="27"/>
        <v>182507535</v>
      </c>
      <c r="AE156" s="67">
        <f t="shared" si="20"/>
        <v>148461293</v>
      </c>
      <c r="AF156" s="62">
        <f t="shared" si="21"/>
        <v>0.71253307111423192</v>
      </c>
    </row>
    <row r="157" spans="2:32">
      <c r="B157" s="1" t="s">
        <v>284</v>
      </c>
      <c r="C157" s="2">
        <v>651100</v>
      </c>
      <c r="D157" s="401">
        <v>7359</v>
      </c>
      <c r="E157" s="3" t="s">
        <v>372</v>
      </c>
      <c r="F157" s="3" t="s">
        <v>371</v>
      </c>
      <c r="G157" s="21">
        <v>0</v>
      </c>
      <c r="H157" s="21">
        <f t="shared" si="26"/>
        <v>29377168</v>
      </c>
      <c r="I157" s="21">
        <v>29377168</v>
      </c>
      <c r="J157" s="21">
        <v>0</v>
      </c>
      <c r="K157" s="21">
        <f t="shared" si="25"/>
        <v>26616928</v>
      </c>
      <c r="L157" s="21">
        <v>26616928</v>
      </c>
      <c r="M157" s="21">
        <f t="shared" si="24"/>
        <v>0</v>
      </c>
      <c r="N157" s="21">
        <v>26616928</v>
      </c>
      <c r="O157" s="21">
        <f t="shared" si="23"/>
        <v>-26616928</v>
      </c>
      <c r="P157" s="21">
        <v>55998618</v>
      </c>
      <c r="Q157" s="21">
        <v>0</v>
      </c>
      <c r="R157" s="21">
        <f>IFERROR(VLOOKUP(C157,[6]IS_WTB!C$2:U$259,19,),)</f>
        <v>0</v>
      </c>
      <c r="S157" s="21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17902309</v>
      </c>
      <c r="Y157" s="30">
        <v>0</v>
      </c>
      <c r="Z157" s="30">
        <v>0</v>
      </c>
      <c r="AA157" s="30">
        <f>IFERROR(VLOOKUP(C157,'전사시산표(3단계)_1013'!$C:$L,10,0),0)</f>
        <v>7954</v>
      </c>
      <c r="AB157" s="21"/>
      <c r="AC157" s="21">
        <f>IFERROR(VLOOKUP(C157,경상연구개발비대체!$A$2:$B$83,2,0),0)</f>
        <v>7954</v>
      </c>
      <c r="AD157" s="35">
        <f t="shared" si="27"/>
        <v>0</v>
      </c>
      <c r="AE157" s="35">
        <f t="shared" si="20"/>
        <v>0</v>
      </c>
      <c r="AF157" s="38" t="str">
        <f t="shared" si="21"/>
        <v/>
      </c>
    </row>
    <row r="158" spans="2:32">
      <c r="B158" s="1" t="s">
        <v>284</v>
      </c>
      <c r="C158" s="2">
        <v>651200</v>
      </c>
      <c r="D158" s="401">
        <v>7359</v>
      </c>
      <c r="E158" s="3" t="s">
        <v>373</v>
      </c>
      <c r="F158" s="3" t="s">
        <v>371</v>
      </c>
      <c r="G158" s="21">
        <v>0</v>
      </c>
      <c r="H158" s="21">
        <f t="shared" si="26"/>
        <v>31172170</v>
      </c>
      <c r="I158" s="21">
        <v>31172170</v>
      </c>
      <c r="J158" s="21">
        <v>36718053</v>
      </c>
      <c r="K158" s="21">
        <f t="shared" si="25"/>
        <v>34623725</v>
      </c>
      <c r="L158" s="21">
        <v>71341778</v>
      </c>
      <c r="M158" s="21">
        <f t="shared" si="24"/>
        <v>37363304</v>
      </c>
      <c r="N158" s="21">
        <v>108705082</v>
      </c>
      <c r="O158" s="21">
        <f t="shared" si="23"/>
        <v>-26419412</v>
      </c>
      <c r="P158" s="21">
        <v>160832724</v>
      </c>
      <c r="Q158" s="21">
        <v>19113892</v>
      </c>
      <c r="R158" s="21">
        <f>IFERROR(VLOOKUP(C158,[6]IS_WTB!C$2:U$259,19,),)</f>
        <v>48180422</v>
      </c>
      <c r="S158" s="21">
        <v>82285670</v>
      </c>
      <c r="T158" s="30">
        <v>123498071</v>
      </c>
      <c r="U158" s="30">
        <v>23468121</v>
      </c>
      <c r="V158" s="30">
        <v>49761078</v>
      </c>
      <c r="W158" s="30">
        <v>76806270</v>
      </c>
      <c r="X158" s="30">
        <v>124433252</v>
      </c>
      <c r="Y158" s="30">
        <v>22767189</v>
      </c>
      <c r="Z158" s="30">
        <v>71717885</v>
      </c>
      <c r="AA158" s="30">
        <f>IFERROR(VLOOKUP(C158,'전사시산표(3단계)_1013'!$C:$L,10,0),0)</f>
        <v>120675961</v>
      </c>
      <c r="AB158" s="21"/>
      <c r="AC158" s="21">
        <f>IFERROR(VLOOKUP(C158,경상연구개발비대체!$A$2:$B$83,2,0),0)</f>
        <v>7920490</v>
      </c>
      <c r="AD158" s="35">
        <f t="shared" si="27"/>
        <v>112755471</v>
      </c>
      <c r="AE158" s="35">
        <f t="shared" si="20"/>
        <v>93641579</v>
      </c>
      <c r="AF158" s="38">
        <f t="shared" si="21"/>
        <v>0.75824325223670908</v>
      </c>
    </row>
    <row r="159" spans="2:32">
      <c r="B159" s="1" t="s">
        <v>284</v>
      </c>
      <c r="C159" s="2">
        <v>651300</v>
      </c>
      <c r="D159" s="401">
        <v>7359</v>
      </c>
      <c r="E159" s="3" t="s">
        <v>374</v>
      </c>
      <c r="F159" s="3" t="s">
        <v>371</v>
      </c>
      <c r="G159" s="21">
        <v>0</v>
      </c>
      <c r="H159" s="21">
        <f t="shared" si="26"/>
        <v>0</v>
      </c>
      <c r="I159" s="21">
        <v>0</v>
      </c>
      <c r="J159" s="21">
        <v>0</v>
      </c>
      <c r="K159" s="21">
        <f t="shared" si="25"/>
        <v>0</v>
      </c>
      <c r="L159" s="21">
        <v>0</v>
      </c>
      <c r="M159" s="21">
        <f t="shared" si="24"/>
        <v>0</v>
      </c>
      <c r="N159" s="21">
        <v>0</v>
      </c>
      <c r="O159" s="21">
        <f t="shared" si="23"/>
        <v>0</v>
      </c>
      <c r="P159" s="21">
        <v>0</v>
      </c>
      <c r="Q159" s="21">
        <v>0</v>
      </c>
      <c r="R159" s="21">
        <f>IFERROR(VLOOKUP(C159,[6]IS_WTB!C$2:U$259,19,),)</f>
        <v>0</v>
      </c>
      <c r="S159" s="21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f>IFERROR(VLOOKUP(C159,'전사시산표(3단계)_1013'!$C:$L,10,0),0)</f>
        <v>0</v>
      </c>
      <c r="AB159" s="21"/>
      <c r="AC159" s="21">
        <f>IFERROR(VLOOKUP(C159,경상연구개발비대체!$A$2:$B$83,2,0),0)</f>
        <v>0</v>
      </c>
      <c r="AD159" s="35">
        <f t="shared" si="27"/>
        <v>0</v>
      </c>
      <c r="AE159" s="35">
        <f t="shared" si="20"/>
        <v>0</v>
      </c>
      <c r="AF159" s="38" t="str">
        <f t="shared" si="21"/>
        <v/>
      </c>
    </row>
    <row r="160" spans="2:32">
      <c r="B160" s="1" t="s">
        <v>284</v>
      </c>
      <c r="C160" s="2">
        <v>651400</v>
      </c>
      <c r="D160" s="401">
        <v>7359</v>
      </c>
      <c r="E160" s="3" t="s">
        <v>244</v>
      </c>
      <c r="F160" s="3" t="s">
        <v>371</v>
      </c>
      <c r="G160" s="21">
        <v>100000</v>
      </c>
      <c r="H160" s="21">
        <f t="shared" si="26"/>
        <v>18334440</v>
      </c>
      <c r="I160" s="21">
        <v>18434440</v>
      </c>
      <c r="J160" s="21">
        <v>10011100</v>
      </c>
      <c r="K160" s="21">
        <f t="shared" si="25"/>
        <v>25136590</v>
      </c>
      <c r="L160" s="21">
        <v>35147690</v>
      </c>
      <c r="M160" s="21">
        <f t="shared" si="24"/>
        <v>15869930</v>
      </c>
      <c r="N160" s="21">
        <v>51017620</v>
      </c>
      <c r="O160" s="21">
        <f t="shared" si="23"/>
        <v>-4005090</v>
      </c>
      <c r="P160" s="21">
        <v>84365200</v>
      </c>
      <c r="Q160" s="21">
        <v>14932350</v>
      </c>
      <c r="R160" s="21">
        <f>IFERROR(VLOOKUP(C160,[6]IS_WTB!C$2:U$259,19,),)</f>
        <v>31490160</v>
      </c>
      <c r="S160" s="21">
        <v>47012530</v>
      </c>
      <c r="T160" s="30">
        <v>84858985</v>
      </c>
      <c r="U160" s="30">
        <v>16046880</v>
      </c>
      <c r="V160" s="30">
        <v>38518065</v>
      </c>
      <c r="W160" s="30">
        <v>53529995</v>
      </c>
      <c r="X160" s="30">
        <v>92826335</v>
      </c>
      <c r="Y160" s="30">
        <v>20048960</v>
      </c>
      <c r="Z160" s="30">
        <v>46121630</v>
      </c>
      <c r="AA160" s="30">
        <f>IFERROR(VLOOKUP(C160,'전사시산표(3단계)_1013'!$C:$L,10,0),0)</f>
        <v>69752064</v>
      </c>
      <c r="AB160" s="21"/>
      <c r="AC160" s="21">
        <f>IFERROR(VLOOKUP(C160,경상연구개발비대체!$A$2:$B$83,2,0),0)</f>
        <v>0</v>
      </c>
      <c r="AD160" s="35">
        <f t="shared" si="27"/>
        <v>69752064</v>
      </c>
      <c r="AE160" s="35">
        <f t="shared" si="20"/>
        <v>54819714</v>
      </c>
      <c r="AF160" s="38">
        <f t="shared" si="21"/>
        <v>0.64600954159421065</v>
      </c>
    </row>
    <row r="161" spans="2:32">
      <c r="B161" s="64" t="s">
        <v>276</v>
      </c>
      <c r="C161" s="65">
        <v>6521</v>
      </c>
      <c r="D161" s="65"/>
      <c r="E161" s="66" t="s">
        <v>375</v>
      </c>
      <c r="F161" s="66"/>
      <c r="G161" s="61">
        <f>SUM(G162:G164)</f>
        <v>0</v>
      </c>
      <c r="H161" s="61">
        <f t="shared" si="26"/>
        <v>103484847</v>
      </c>
      <c r="I161" s="61">
        <v>103484847</v>
      </c>
      <c r="J161" s="61">
        <v>78109783</v>
      </c>
      <c r="K161" s="61">
        <f t="shared" si="25"/>
        <v>70540051</v>
      </c>
      <c r="L161" s="61">
        <v>148649834</v>
      </c>
      <c r="M161" s="61">
        <f t="shared" si="24"/>
        <v>86864128</v>
      </c>
      <c r="N161" s="61">
        <v>235513962</v>
      </c>
      <c r="O161" s="61">
        <f t="shared" si="23"/>
        <v>-46111573</v>
      </c>
      <c r="P161" s="61">
        <v>325803042</v>
      </c>
      <c r="Q161" s="61">
        <v>47921039</v>
      </c>
      <c r="R161" s="61">
        <f>IFERROR(VLOOKUP(C161,[6]IS_WTB!C$2:U$259,19,),)</f>
        <v>109461469</v>
      </c>
      <c r="S161" s="61">
        <v>189402389</v>
      </c>
      <c r="T161" s="520">
        <v>284279799</v>
      </c>
      <c r="U161" s="520">
        <v>67972170</v>
      </c>
      <c r="V161" s="520">
        <v>138668799</v>
      </c>
      <c r="W161" s="520">
        <v>224954689</v>
      </c>
      <c r="X161" s="520">
        <v>349365753</v>
      </c>
      <c r="Y161" s="520">
        <v>87617782</v>
      </c>
      <c r="Z161" s="520">
        <v>228948409</v>
      </c>
      <c r="AA161" s="520">
        <f>SUM(AA162:AA164)</f>
        <v>377040547</v>
      </c>
      <c r="AB161" s="61"/>
      <c r="AC161" s="61">
        <f>SUM(AC162:AC164)</f>
        <v>45353210</v>
      </c>
      <c r="AD161" s="67">
        <f t="shared" si="27"/>
        <v>331687337</v>
      </c>
      <c r="AE161" s="67">
        <f t="shared" si="20"/>
        <v>283766298</v>
      </c>
      <c r="AF161" s="62">
        <f t="shared" si="21"/>
        <v>0.99819367749025323</v>
      </c>
    </row>
    <row r="162" spans="2:32">
      <c r="B162" s="1" t="s">
        <v>284</v>
      </c>
      <c r="C162" s="2">
        <v>652100</v>
      </c>
      <c r="D162" s="401">
        <v>7341</v>
      </c>
      <c r="E162" s="3" t="s">
        <v>375</v>
      </c>
      <c r="F162" s="3" t="s">
        <v>375</v>
      </c>
      <c r="G162" s="21">
        <v>0</v>
      </c>
      <c r="H162" s="21">
        <f t="shared" si="26"/>
        <v>85710516</v>
      </c>
      <c r="I162" s="21">
        <v>85710516</v>
      </c>
      <c r="J162" s="21">
        <v>63878713</v>
      </c>
      <c r="K162" s="21">
        <f t="shared" si="25"/>
        <v>48392381</v>
      </c>
      <c r="L162" s="21">
        <v>112271094</v>
      </c>
      <c r="M162" s="21">
        <f t="shared" si="24"/>
        <v>69781808</v>
      </c>
      <c r="N162" s="21">
        <v>182052902</v>
      </c>
      <c r="O162" s="21">
        <f t="shared" si="23"/>
        <v>-27653343</v>
      </c>
      <c r="P162" s="21">
        <v>247924452</v>
      </c>
      <c r="Q162" s="21">
        <v>39257439</v>
      </c>
      <c r="R162" s="21">
        <f>IFERROR(VLOOKUP(C162,[6]IS_WTB!C$2:U$259,19,),)</f>
        <v>88804529</v>
      </c>
      <c r="S162" s="21">
        <v>154399559</v>
      </c>
      <c r="T162" s="30">
        <v>228093899</v>
      </c>
      <c r="U162" s="30">
        <v>45670950</v>
      </c>
      <c r="V162" s="30">
        <v>99575739</v>
      </c>
      <c r="W162" s="30">
        <v>158582429</v>
      </c>
      <c r="X162" s="30">
        <v>252469099</v>
      </c>
      <c r="Y162" s="30">
        <v>66205432</v>
      </c>
      <c r="Z162" s="30">
        <v>169700869</v>
      </c>
      <c r="AA162" s="30">
        <f>IFERROR(VLOOKUP(C162,'전사시산표(3단계)_1013'!$C:$L,10,0),0)</f>
        <v>283813637</v>
      </c>
      <c r="AB162" s="21"/>
      <c r="AC162" s="21">
        <f>IFERROR(VLOOKUP(C162,경상연구개발비대체!$A$2:$B$83,2,0),0)</f>
        <v>31208910</v>
      </c>
      <c r="AD162" s="35">
        <f t="shared" si="27"/>
        <v>252604727</v>
      </c>
      <c r="AE162" s="35">
        <f t="shared" si="20"/>
        <v>213347288</v>
      </c>
      <c r="AF162" s="38">
        <f t="shared" si="21"/>
        <v>0.93534850750216691</v>
      </c>
    </row>
    <row r="163" spans="2:32">
      <c r="B163" s="1" t="s">
        <v>284</v>
      </c>
      <c r="C163" s="2">
        <v>652150</v>
      </c>
      <c r="D163" s="401">
        <v>7341</v>
      </c>
      <c r="E163" s="3" t="s">
        <v>376</v>
      </c>
      <c r="F163" s="3" t="s">
        <v>375</v>
      </c>
      <c r="G163" s="21">
        <v>0</v>
      </c>
      <c r="H163" s="21">
        <f t="shared" si="26"/>
        <v>650000</v>
      </c>
      <c r="I163" s="21">
        <v>650000</v>
      </c>
      <c r="J163" s="21">
        <v>0</v>
      </c>
      <c r="K163" s="21">
        <f t="shared" si="25"/>
        <v>0</v>
      </c>
      <c r="L163" s="21">
        <v>0</v>
      </c>
      <c r="M163" s="21">
        <f t="shared" si="24"/>
        <v>0</v>
      </c>
      <c r="N163" s="21">
        <v>0</v>
      </c>
      <c r="O163" s="21">
        <f t="shared" si="23"/>
        <v>0</v>
      </c>
      <c r="P163" s="21">
        <v>0</v>
      </c>
      <c r="Q163" s="21">
        <v>0</v>
      </c>
      <c r="R163" s="21">
        <f>IFERROR(VLOOKUP(C163,[6]IS_WTB!C$2:U$259,19,),)</f>
        <v>0</v>
      </c>
      <c r="S163" s="21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f>IFERROR(VLOOKUP(C163,'전사시산표(3단계)_1013'!$C:$L,10,0),0)</f>
        <v>0</v>
      </c>
      <c r="AB163" s="21"/>
      <c r="AC163" s="21">
        <f>IFERROR(VLOOKUP(C163,경상연구개발비대체!$A$2:$B$83,2,0),0)</f>
        <v>0</v>
      </c>
      <c r="AD163" s="35">
        <f t="shared" si="27"/>
        <v>0</v>
      </c>
      <c r="AE163" s="35">
        <f t="shared" si="20"/>
        <v>0</v>
      </c>
      <c r="AF163" s="38" t="str">
        <f t="shared" si="21"/>
        <v/>
      </c>
    </row>
    <row r="164" spans="2:32">
      <c r="B164" s="1" t="s">
        <v>284</v>
      </c>
      <c r="C164" s="2">
        <v>652160</v>
      </c>
      <c r="D164" s="401">
        <v>7181</v>
      </c>
      <c r="E164" s="3" t="s">
        <v>377</v>
      </c>
      <c r="F164" s="3" t="s">
        <v>375</v>
      </c>
      <c r="G164" s="21">
        <v>0</v>
      </c>
      <c r="H164" s="21">
        <f t="shared" si="26"/>
        <v>17124331</v>
      </c>
      <c r="I164" s="21">
        <v>17124331</v>
      </c>
      <c r="J164" s="21">
        <v>14231070</v>
      </c>
      <c r="K164" s="21">
        <f t="shared" si="25"/>
        <v>22147670</v>
      </c>
      <c r="L164" s="21">
        <v>36378740</v>
      </c>
      <c r="M164" s="21">
        <f t="shared" si="24"/>
        <v>17082320</v>
      </c>
      <c r="N164" s="21">
        <v>53461060</v>
      </c>
      <c r="O164" s="21">
        <f t="shared" si="23"/>
        <v>-18458230</v>
      </c>
      <c r="P164" s="21">
        <v>77878590</v>
      </c>
      <c r="Q164" s="21">
        <v>8663600</v>
      </c>
      <c r="R164" s="21">
        <f>IFERROR(VLOOKUP(C164,[6]IS_WTB!C$2:U$259,19,),)</f>
        <v>20656940</v>
      </c>
      <c r="S164" s="21">
        <v>35002830</v>
      </c>
      <c r="T164" s="30">
        <v>56185900</v>
      </c>
      <c r="U164" s="30">
        <v>22301220</v>
      </c>
      <c r="V164" s="30">
        <v>39093060</v>
      </c>
      <c r="W164" s="30">
        <v>66372260</v>
      </c>
      <c r="X164" s="30">
        <v>96896654</v>
      </c>
      <c r="Y164" s="30">
        <v>21412350</v>
      </c>
      <c r="Z164" s="30">
        <v>59247540</v>
      </c>
      <c r="AA164" s="30">
        <f>IFERROR(VLOOKUP(C164,'전사시산표(3단계)_1013'!$C:$L,10,0),0)</f>
        <v>93226910</v>
      </c>
      <c r="AB164" s="21"/>
      <c r="AC164" s="21">
        <f>IFERROR(VLOOKUP(C164,경상연구개발비대체!$A$2:$B$83,2,0),0)</f>
        <v>14144300</v>
      </c>
      <c r="AD164" s="35">
        <f t="shared" si="27"/>
        <v>79082610</v>
      </c>
      <c r="AE164" s="35">
        <f t="shared" si="20"/>
        <v>70419010</v>
      </c>
      <c r="AF164" s="38">
        <f t="shared" si="21"/>
        <v>1.2533217408638111</v>
      </c>
    </row>
    <row r="165" spans="2:32">
      <c r="B165" s="64" t="s">
        <v>276</v>
      </c>
      <c r="C165" s="65" t="s">
        <v>453</v>
      </c>
      <c r="D165" s="65"/>
      <c r="E165" s="66" t="s">
        <v>452</v>
      </c>
      <c r="F165" s="66"/>
      <c r="G165" s="61">
        <f>SUM(G166:G176)</f>
        <v>191396998</v>
      </c>
      <c r="H165" s="61">
        <f t="shared" si="26"/>
        <v>547752139</v>
      </c>
      <c r="I165" s="61">
        <v>739149137</v>
      </c>
      <c r="J165" s="61">
        <v>658662993</v>
      </c>
      <c r="K165" s="61">
        <f t="shared" si="25"/>
        <v>692080629</v>
      </c>
      <c r="L165" s="61">
        <v>1350743622</v>
      </c>
      <c r="M165" s="61">
        <f t="shared" si="24"/>
        <v>873732706</v>
      </c>
      <c r="N165" s="61">
        <v>2224476328</v>
      </c>
      <c r="O165" s="61">
        <f t="shared" ref="O165:O196" si="28">S165-N165</f>
        <v>-376468059</v>
      </c>
      <c r="P165" s="61">
        <v>2897916662</v>
      </c>
      <c r="Q165" s="61">
        <v>556070711</v>
      </c>
      <c r="R165" s="61">
        <f>IFERROR(VLOOKUP(C165,[6]IS_WTB!C$2:U$259,19,),)</f>
        <v>1177690444</v>
      </c>
      <c r="S165" s="61">
        <v>1848008269</v>
      </c>
      <c r="T165" s="520">
        <v>2693538558</v>
      </c>
      <c r="U165" s="520">
        <v>666895379</v>
      </c>
      <c r="V165" s="520">
        <v>1414283309</v>
      </c>
      <c r="W165" s="520">
        <v>2186380374</v>
      </c>
      <c r="X165" s="520">
        <v>3107165980</v>
      </c>
      <c r="Y165" s="520">
        <v>848895287</v>
      </c>
      <c r="Z165" s="520">
        <v>1740794460</v>
      </c>
      <c r="AA165" s="520">
        <f>SUM(AA166:AA176)</f>
        <v>3039684822</v>
      </c>
      <c r="AB165" s="61"/>
      <c r="AC165" s="61">
        <f>SUM(AC166:AC176)</f>
        <v>11240478</v>
      </c>
      <c r="AD165" s="67">
        <f t="shared" si="27"/>
        <v>3028444344</v>
      </c>
      <c r="AE165" s="67">
        <f t="shared" si="20"/>
        <v>2472373633</v>
      </c>
      <c r="AF165" s="62">
        <f t="shared" si="21"/>
        <v>0.91789056654001688</v>
      </c>
    </row>
    <row r="166" spans="2:32">
      <c r="B166" s="1" t="s">
        <v>284</v>
      </c>
      <c r="C166" s="2">
        <v>654100</v>
      </c>
      <c r="D166" s="401">
        <v>7439</v>
      </c>
      <c r="E166" s="3" t="s">
        <v>27</v>
      </c>
      <c r="F166" s="3" t="s">
        <v>751</v>
      </c>
      <c r="G166" s="21">
        <v>2000000</v>
      </c>
      <c r="H166" s="21">
        <f t="shared" si="26"/>
        <v>13243167</v>
      </c>
      <c r="I166" s="21">
        <v>15243167</v>
      </c>
      <c r="J166" s="21">
        <v>5258858</v>
      </c>
      <c r="K166" s="21">
        <f t="shared" si="25"/>
        <v>23924332</v>
      </c>
      <c r="L166" s="21">
        <v>29183190</v>
      </c>
      <c r="M166" s="21">
        <f t="shared" si="24"/>
        <v>259252397</v>
      </c>
      <c r="N166" s="21">
        <v>288435587</v>
      </c>
      <c r="O166" s="21">
        <f t="shared" si="28"/>
        <v>-256126241</v>
      </c>
      <c r="P166" s="21">
        <v>324169791</v>
      </c>
      <c r="Q166" s="21">
        <v>2590000</v>
      </c>
      <c r="R166" s="21">
        <f>IFERROR(VLOOKUP(C166,[6]IS_WTB!C$2:U$259,19,),)</f>
        <v>2590000</v>
      </c>
      <c r="S166" s="21">
        <v>32309346</v>
      </c>
      <c r="T166" s="30">
        <v>93580722</v>
      </c>
      <c r="U166" s="30">
        <v>16623545</v>
      </c>
      <c r="V166" s="30">
        <v>16646055</v>
      </c>
      <c r="W166" s="30">
        <v>62011982</v>
      </c>
      <c r="X166" s="30">
        <v>120753612</v>
      </c>
      <c r="Y166" s="30">
        <v>1357000</v>
      </c>
      <c r="Z166" s="30">
        <v>1357000</v>
      </c>
      <c r="AA166" s="30">
        <f>IFERROR(VLOOKUP(C166,'전사시산표(3단계)_1013'!$C:$L,10,0),0)</f>
        <v>120804153</v>
      </c>
      <c r="AB166" s="21"/>
      <c r="AC166" s="21" t="str">
        <f>IFERROR(VLOOKUP(C166,경상연구개발비대체!$A$2:$B$83,2,0),0)</f>
        <v xml:space="preserve"> </v>
      </c>
      <c r="AD166" s="35" t="e">
        <f t="shared" si="27"/>
        <v>#VALUE!</v>
      </c>
      <c r="AE166" s="35" t="e">
        <f t="shared" si="20"/>
        <v>#VALUE!</v>
      </c>
      <c r="AF166" s="38" t="str">
        <f t="shared" si="21"/>
        <v/>
      </c>
    </row>
    <row r="167" spans="2:32">
      <c r="B167" s="1" t="s">
        <v>284</v>
      </c>
      <c r="C167" s="2">
        <v>631900</v>
      </c>
      <c r="D167" s="401">
        <v>7439</v>
      </c>
      <c r="E167" s="3" t="s">
        <v>28</v>
      </c>
      <c r="F167" s="3" t="s">
        <v>751</v>
      </c>
      <c r="G167" s="21">
        <v>27277773</v>
      </c>
      <c r="H167" s="21">
        <f t="shared" si="26"/>
        <v>104141974</v>
      </c>
      <c r="I167" s="21">
        <v>131419747</v>
      </c>
      <c r="J167" s="21">
        <v>100725602</v>
      </c>
      <c r="K167" s="21">
        <f t="shared" si="25"/>
        <v>101237981</v>
      </c>
      <c r="L167" s="21">
        <v>201963583</v>
      </c>
      <c r="M167" s="21">
        <f t="shared" si="24"/>
        <v>102188410</v>
      </c>
      <c r="N167" s="21">
        <v>304151993</v>
      </c>
      <c r="O167" s="21">
        <f t="shared" si="28"/>
        <v>1165489</v>
      </c>
      <c r="P167" s="21">
        <v>401085680</v>
      </c>
      <c r="Q167" s="21">
        <v>94477390</v>
      </c>
      <c r="R167" s="21">
        <f>IFERROR(VLOOKUP(C167,[6]IS_WTB!C$2:U$259,19,),)</f>
        <v>192822440</v>
      </c>
      <c r="S167" s="21">
        <v>305317482</v>
      </c>
      <c r="T167" s="30">
        <v>414929500</v>
      </c>
      <c r="U167" s="30">
        <v>107718832</v>
      </c>
      <c r="V167" s="30">
        <v>202028133</v>
      </c>
      <c r="W167" s="30">
        <v>303964715</v>
      </c>
      <c r="X167" s="30">
        <v>413999367</v>
      </c>
      <c r="Y167" s="30">
        <v>97040910</v>
      </c>
      <c r="Z167" s="30">
        <v>200846679</v>
      </c>
      <c r="AA167" s="30">
        <f>IFERROR(VLOOKUP(C167,'전사시산표(3단계)_1013'!$C:$L,10,0),0)</f>
        <v>312678087</v>
      </c>
      <c r="AB167" s="21"/>
      <c r="AC167" s="21">
        <f>IFERROR(VLOOKUP(C167,경상연구개발비대체!$A$2:$B$83,2,0),0)</f>
        <v>0</v>
      </c>
      <c r="AD167" s="35">
        <f t="shared" si="27"/>
        <v>312678087</v>
      </c>
      <c r="AE167" s="35">
        <f t="shared" ref="AE167:AE230" si="29">AD167-Q167</f>
        <v>218200697</v>
      </c>
      <c r="AF167" s="38">
        <f t="shared" ref="AF167:AF230" si="30">IFERROR(AE167/T167,"")</f>
        <v>0.52587414729490189</v>
      </c>
    </row>
    <row r="168" spans="2:32">
      <c r="B168" s="1" t="s">
        <v>284</v>
      </c>
      <c r="C168" s="2">
        <v>643100</v>
      </c>
      <c r="D168" s="401">
        <v>7102</v>
      </c>
      <c r="E168" s="3" t="s">
        <v>38</v>
      </c>
      <c r="F168" s="3" t="s">
        <v>751</v>
      </c>
      <c r="G168" s="21">
        <v>2412000</v>
      </c>
      <c r="H168" s="21">
        <f t="shared" si="26"/>
        <v>20350180</v>
      </c>
      <c r="I168" s="21">
        <v>22762180</v>
      </c>
      <c r="J168" s="21">
        <v>10946350</v>
      </c>
      <c r="K168" s="21">
        <f t="shared" si="25"/>
        <v>4493870</v>
      </c>
      <c r="L168" s="21">
        <v>15440220</v>
      </c>
      <c r="M168" s="21">
        <f t="shared" si="24"/>
        <v>15593950</v>
      </c>
      <c r="N168" s="21">
        <v>31034170</v>
      </c>
      <c r="O168" s="21">
        <f t="shared" si="28"/>
        <v>-7695250</v>
      </c>
      <c r="P168" s="21">
        <v>57867301</v>
      </c>
      <c r="Q168" s="21">
        <v>7065160</v>
      </c>
      <c r="R168" s="21">
        <f>IFERROR(VLOOKUP(C168,[6]IS_WTB!C$2:U$259,19,),)</f>
        <v>12231120</v>
      </c>
      <c r="S168" s="21">
        <v>23338920</v>
      </c>
      <c r="T168" s="30">
        <v>46665910</v>
      </c>
      <c r="U168" s="30">
        <v>10907880</v>
      </c>
      <c r="V168" s="30">
        <v>18401650</v>
      </c>
      <c r="W168" s="30">
        <v>26907310</v>
      </c>
      <c r="X168" s="30">
        <v>48849550</v>
      </c>
      <c r="Y168" s="30">
        <v>10046370</v>
      </c>
      <c r="Z168" s="30">
        <v>19647572</v>
      </c>
      <c r="AA168" s="30">
        <f>IFERROR(VLOOKUP(C168,'전사시산표(3단계)_1013'!$C:$L,10,0),0)</f>
        <v>26961181</v>
      </c>
      <c r="AB168" s="21"/>
      <c r="AC168" s="21">
        <f>IFERROR(VLOOKUP(C168,경상연구개발비대체!$A$2:$B$83,2,0),0)</f>
        <v>3907115</v>
      </c>
      <c r="AD168" s="35">
        <f t="shared" si="27"/>
        <v>23054066</v>
      </c>
      <c r="AE168" s="35">
        <f t="shared" si="29"/>
        <v>15988906</v>
      </c>
      <c r="AF168" s="38">
        <f t="shared" si="30"/>
        <v>0.34262496970486594</v>
      </c>
    </row>
    <row r="169" spans="2:32">
      <c r="B169" s="1" t="s">
        <v>284</v>
      </c>
      <c r="C169" s="2">
        <v>645100</v>
      </c>
      <c r="D169" s="401">
        <v>7439</v>
      </c>
      <c r="E169" s="3" t="s">
        <v>37</v>
      </c>
      <c r="F169" s="3" t="s">
        <v>751</v>
      </c>
      <c r="G169" s="21">
        <v>7667225</v>
      </c>
      <c r="H169" s="21">
        <f t="shared" si="26"/>
        <v>-119707197</v>
      </c>
      <c r="I169" s="21">
        <v>-112039972</v>
      </c>
      <c r="J169" s="21">
        <v>-28709169</v>
      </c>
      <c r="K169" s="21">
        <f t="shared" si="25"/>
        <v>32104554</v>
      </c>
      <c r="L169" s="21">
        <v>3395385</v>
      </c>
      <c r="M169" s="21">
        <f t="shared" si="24"/>
        <v>37479832</v>
      </c>
      <c r="N169" s="21">
        <v>40875217</v>
      </c>
      <c r="O169" s="21">
        <f t="shared" si="28"/>
        <v>43514526</v>
      </c>
      <c r="P169" s="21">
        <v>76810097</v>
      </c>
      <c r="Q169" s="21">
        <v>25531805</v>
      </c>
      <c r="R169" s="21">
        <f>IFERROR(VLOOKUP(C169,[6]IS_WTB!C$2:U$259,19,),)</f>
        <v>57923047</v>
      </c>
      <c r="S169" s="21">
        <v>84389743</v>
      </c>
      <c r="T169" s="30">
        <v>137585139</v>
      </c>
      <c r="U169" s="30">
        <v>38103676</v>
      </c>
      <c r="V169" s="30">
        <v>75255888</v>
      </c>
      <c r="W169" s="30">
        <v>102853610</v>
      </c>
      <c r="X169" s="30">
        <v>126501536</v>
      </c>
      <c r="Y169" s="30">
        <v>54505801</v>
      </c>
      <c r="Z169" s="30">
        <v>97298105</v>
      </c>
      <c r="AA169" s="30">
        <f>IFERROR(VLOOKUP(C169,'전사시산표(3단계)_1013'!$C:$L,10,0),0)</f>
        <v>114059752</v>
      </c>
      <c r="AB169" s="21"/>
      <c r="AC169" s="21">
        <f>IFERROR(VLOOKUP(C169,경상연구개발비대체!$A$2:$B$83,2,0),0)</f>
        <v>0</v>
      </c>
      <c r="AD169" s="35">
        <f t="shared" si="27"/>
        <v>114059752</v>
      </c>
      <c r="AE169" s="35">
        <f t="shared" si="29"/>
        <v>88527947</v>
      </c>
      <c r="AF169" s="38">
        <f t="shared" si="30"/>
        <v>0.64344120043371833</v>
      </c>
    </row>
    <row r="170" spans="2:32">
      <c r="B170" s="1" t="s">
        <v>284</v>
      </c>
      <c r="C170" s="2">
        <v>610900</v>
      </c>
      <c r="D170" s="401">
        <v>7301</v>
      </c>
      <c r="E170" s="3" t="s">
        <v>66</v>
      </c>
      <c r="F170" s="3" t="s">
        <v>751</v>
      </c>
      <c r="G170" s="21">
        <v>152040000</v>
      </c>
      <c r="H170" s="21">
        <f t="shared" si="26"/>
        <v>387254745</v>
      </c>
      <c r="I170" s="21">
        <v>539294745</v>
      </c>
      <c r="J170" s="21">
        <v>382263603</v>
      </c>
      <c r="K170" s="21">
        <f t="shared" si="25"/>
        <v>426458098</v>
      </c>
      <c r="L170" s="21">
        <v>808721701</v>
      </c>
      <c r="M170" s="21">
        <f t="shared" si="24"/>
        <v>335831302</v>
      </c>
      <c r="N170" s="21">
        <v>1144553003</v>
      </c>
      <c r="O170" s="21">
        <f t="shared" si="28"/>
        <v>32011984</v>
      </c>
      <c r="P170" s="21">
        <v>1485181117</v>
      </c>
      <c r="Q170" s="21">
        <v>344176968</v>
      </c>
      <c r="R170" s="21">
        <f>IFERROR(VLOOKUP(C170,[6]IS_WTB!C$2:U$259,19,),)</f>
        <v>749266497</v>
      </c>
      <c r="S170" s="21">
        <v>1176564987</v>
      </c>
      <c r="T170" s="30">
        <v>1642795596</v>
      </c>
      <c r="U170" s="30">
        <v>459357542</v>
      </c>
      <c r="V170" s="30">
        <v>942056197</v>
      </c>
      <c r="W170" s="30">
        <v>1454080639</v>
      </c>
      <c r="X170" s="30">
        <v>1977842755</v>
      </c>
      <c r="Y170" s="30">
        <v>519291153</v>
      </c>
      <c r="Z170" s="30">
        <v>1010104992</v>
      </c>
      <c r="AA170" s="30">
        <f>IFERROR(VLOOKUP(C170,'전사시산표(3단계)_1013'!$C:$L,10,0),0)</f>
        <v>1459434794</v>
      </c>
      <c r="AB170" s="21"/>
      <c r="AC170" s="21">
        <f>IFERROR(VLOOKUP(C170,경상연구개발비대체!$A$2:$B$83,2,0),0)</f>
        <v>0</v>
      </c>
      <c r="AD170" s="35">
        <f t="shared" si="27"/>
        <v>1459434794</v>
      </c>
      <c r="AE170" s="35">
        <f t="shared" si="29"/>
        <v>1115257826</v>
      </c>
      <c r="AF170" s="38">
        <f t="shared" si="30"/>
        <v>0.67887802275311193</v>
      </c>
    </row>
    <row r="171" spans="2:32">
      <c r="B171" s="1" t="s">
        <v>284</v>
      </c>
      <c r="C171" s="2">
        <v>631910</v>
      </c>
      <c r="D171" s="401">
        <v>7439</v>
      </c>
      <c r="E171" s="3" t="s">
        <v>647</v>
      </c>
      <c r="F171" s="3" t="s">
        <v>751</v>
      </c>
      <c r="G171" s="21">
        <v>0</v>
      </c>
      <c r="H171" s="21">
        <f t="shared" si="26"/>
        <v>8200000</v>
      </c>
      <c r="I171" s="21">
        <v>8200000</v>
      </c>
      <c r="J171" s="21">
        <v>0</v>
      </c>
      <c r="K171" s="21">
        <f t="shared" si="25"/>
        <v>0</v>
      </c>
      <c r="L171" s="21">
        <v>0</v>
      </c>
      <c r="M171" s="21">
        <f t="shared" si="24"/>
        <v>0</v>
      </c>
      <c r="N171" s="21">
        <v>0</v>
      </c>
      <c r="O171" s="21">
        <f t="shared" si="28"/>
        <v>0</v>
      </c>
      <c r="P171" s="21">
        <v>0</v>
      </c>
      <c r="Q171" s="21">
        <v>0</v>
      </c>
      <c r="R171" s="21">
        <f>IFERROR(VLOOKUP(C171,[6]IS_WTB!C$2:U$259,19,),)</f>
        <v>0</v>
      </c>
      <c r="S171" s="21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f>IFERROR(VLOOKUP(C171,'전사시산표(3단계)_1013'!$C:$L,10,0),0)</f>
        <v>0</v>
      </c>
      <c r="AB171" s="21"/>
      <c r="AC171" s="21">
        <f>IFERROR(VLOOKUP(C171,경상연구개발비대체!$A$2:$B$83,2,0),0)</f>
        <v>0</v>
      </c>
      <c r="AD171" s="35">
        <f t="shared" si="27"/>
        <v>0</v>
      </c>
      <c r="AE171" s="35">
        <f t="shared" si="29"/>
        <v>0</v>
      </c>
      <c r="AF171" s="38" t="str">
        <f t="shared" si="30"/>
        <v/>
      </c>
    </row>
    <row r="172" spans="2:32">
      <c r="B172" s="1" t="s">
        <v>284</v>
      </c>
      <c r="C172" s="2">
        <v>643400</v>
      </c>
      <c r="D172" s="401">
        <v>7104</v>
      </c>
      <c r="E172" s="3" t="s">
        <v>656</v>
      </c>
      <c r="F172" s="3" t="s">
        <v>751</v>
      </c>
      <c r="G172" s="21">
        <v>0</v>
      </c>
      <c r="H172" s="21">
        <f t="shared" si="26"/>
        <v>13284700</v>
      </c>
      <c r="I172" s="21">
        <v>13284700</v>
      </c>
      <c r="J172" s="21">
        <v>0</v>
      </c>
      <c r="K172" s="21">
        <f t="shared" si="25"/>
        <v>0</v>
      </c>
      <c r="L172" s="21">
        <v>0</v>
      </c>
      <c r="M172" s="21">
        <f t="shared" si="24"/>
        <v>304920</v>
      </c>
      <c r="N172" s="21">
        <v>304920</v>
      </c>
      <c r="O172" s="21">
        <f t="shared" si="28"/>
        <v>1759080</v>
      </c>
      <c r="P172" s="21">
        <v>15238920</v>
      </c>
      <c r="Q172" s="21">
        <v>0</v>
      </c>
      <c r="R172" s="21">
        <f>IFERROR(VLOOKUP(C172,[6]IS_WTB!C$2:U$259,19,),)</f>
        <v>2064000</v>
      </c>
      <c r="S172" s="21">
        <v>2064000</v>
      </c>
      <c r="T172" s="30">
        <v>16214400</v>
      </c>
      <c r="U172" s="30">
        <v>0</v>
      </c>
      <c r="V172" s="30">
        <v>0</v>
      </c>
      <c r="W172" s="30">
        <v>0</v>
      </c>
      <c r="X172" s="30">
        <v>18824000</v>
      </c>
      <c r="Y172" s="30">
        <v>0</v>
      </c>
      <c r="Z172" s="30">
        <v>0</v>
      </c>
      <c r="AA172" s="30">
        <f>IFERROR(VLOOKUP(C172,'전사시산표(3단계)_1013'!$C:$L,10,0),0)</f>
        <v>0</v>
      </c>
      <c r="AB172" s="21"/>
      <c r="AC172" s="21">
        <f>IFERROR(VLOOKUP(C172,경상연구개발비대체!$A$2:$B$83,2,0),0)</f>
        <v>0</v>
      </c>
      <c r="AD172" s="35">
        <f t="shared" si="27"/>
        <v>0</v>
      </c>
      <c r="AE172" s="35">
        <f t="shared" si="29"/>
        <v>0</v>
      </c>
      <c r="AF172" s="38">
        <f t="shared" si="30"/>
        <v>0</v>
      </c>
    </row>
    <row r="173" spans="2:32">
      <c r="B173" s="1" t="s">
        <v>284</v>
      </c>
      <c r="C173" s="2">
        <v>645101</v>
      </c>
      <c r="D173" s="401">
        <v>7439</v>
      </c>
      <c r="E173" s="3" t="s">
        <v>654</v>
      </c>
      <c r="F173" s="3" t="s">
        <v>751</v>
      </c>
      <c r="G173" s="21">
        <v>0</v>
      </c>
      <c r="H173" s="21">
        <f t="shared" si="26"/>
        <v>22125255</v>
      </c>
      <c r="I173" s="21">
        <v>22125255</v>
      </c>
      <c r="J173" s="21">
        <v>115637587</v>
      </c>
      <c r="K173" s="21">
        <f t="shared" si="25"/>
        <v>26070851</v>
      </c>
      <c r="L173" s="21">
        <v>141708438</v>
      </c>
      <c r="M173" s="21">
        <f t="shared" si="24"/>
        <v>67885209</v>
      </c>
      <c r="N173" s="21">
        <v>209593647</v>
      </c>
      <c r="O173" s="21">
        <f t="shared" si="28"/>
        <v>-104839363</v>
      </c>
      <c r="P173" s="21">
        <v>236284152</v>
      </c>
      <c r="Q173" s="21">
        <v>48719175</v>
      </c>
      <c r="R173" s="21">
        <f>IFERROR(VLOOKUP(C173,[6]IS_WTB!C$2:U$259,19,),)</f>
        <v>83813887</v>
      </c>
      <c r="S173" s="21">
        <v>104754284</v>
      </c>
      <c r="T173" s="30">
        <v>171481206</v>
      </c>
      <c r="U173" s="30">
        <v>1602160</v>
      </c>
      <c r="V173" s="30">
        <v>88198700</v>
      </c>
      <c r="W173" s="30">
        <v>133165748</v>
      </c>
      <c r="X173" s="30">
        <v>226087903</v>
      </c>
      <c r="Y173" s="30">
        <v>136417873</v>
      </c>
      <c r="Z173" s="30">
        <v>309881150</v>
      </c>
      <c r="AA173" s="30">
        <f>IFERROR(VLOOKUP(C173,'전사시산표(3단계)_1013'!$C:$L,10,0),0)</f>
        <v>836604551</v>
      </c>
      <c r="AB173" s="21"/>
      <c r="AC173" s="21">
        <f>IFERROR(VLOOKUP(C173,경상연구개발비대체!$A$2:$B$83,2,0),0)</f>
        <v>0</v>
      </c>
      <c r="AD173" s="35">
        <f t="shared" si="27"/>
        <v>836604551</v>
      </c>
      <c r="AE173" s="35">
        <f t="shared" si="29"/>
        <v>787885376</v>
      </c>
      <c r="AF173" s="38">
        <f t="shared" si="30"/>
        <v>4.5945873275465532</v>
      </c>
    </row>
    <row r="174" spans="2:32">
      <c r="B174" s="1" t="s">
        <v>284</v>
      </c>
      <c r="C174" s="2">
        <v>652000</v>
      </c>
      <c r="D174" s="401">
        <v>7359</v>
      </c>
      <c r="E174" s="3" t="s">
        <v>653</v>
      </c>
      <c r="F174" s="3" t="s">
        <v>751</v>
      </c>
      <c r="G174" s="21">
        <v>0</v>
      </c>
      <c r="H174" s="21">
        <f t="shared" si="26"/>
        <v>78737340</v>
      </c>
      <c r="I174" s="21">
        <v>78737340</v>
      </c>
      <c r="J174" s="21">
        <v>62215272</v>
      </c>
      <c r="K174" s="21">
        <f t="shared" si="25"/>
        <v>66621897</v>
      </c>
      <c r="L174" s="21">
        <v>128837169</v>
      </c>
      <c r="M174" s="21">
        <f t="shared" si="24"/>
        <v>46029700</v>
      </c>
      <c r="N174" s="21">
        <v>174866869</v>
      </c>
      <c r="O174" s="21">
        <f t="shared" si="28"/>
        <v>-82212589</v>
      </c>
      <c r="P174" s="21">
        <v>258913725</v>
      </c>
      <c r="Q174" s="21">
        <v>26502490</v>
      </c>
      <c r="R174" s="21">
        <f>IFERROR(VLOOKUP(C174,[6]IS_WTB!C$2:U$259,19,),)</f>
        <v>60294150</v>
      </c>
      <c r="S174" s="21">
        <v>92654280</v>
      </c>
      <c r="T174" s="30">
        <v>134971230</v>
      </c>
      <c r="U174" s="30">
        <v>24987110</v>
      </c>
      <c r="V174" s="30">
        <v>56435240</v>
      </c>
      <c r="W174" s="30">
        <v>76812620</v>
      </c>
      <c r="X174" s="30">
        <v>135615401</v>
      </c>
      <c r="Y174" s="30">
        <v>23487869</v>
      </c>
      <c r="Z174" s="30">
        <v>74606546</v>
      </c>
      <c r="AA174" s="30">
        <f>IFERROR(VLOOKUP(C174,'전사시산표(3단계)_1013'!$C:$L,10,0),0)</f>
        <v>122901693</v>
      </c>
      <c r="AB174" s="21"/>
      <c r="AC174" s="21">
        <f>IFERROR(VLOOKUP(C174,경상연구개발비대체!$A$2:$B$83,2,0),0)</f>
        <v>0</v>
      </c>
      <c r="AD174" s="35">
        <f t="shared" si="27"/>
        <v>122901693</v>
      </c>
      <c r="AE174" s="35">
        <f t="shared" si="29"/>
        <v>96399203</v>
      </c>
      <c r="AF174" s="38">
        <f t="shared" si="30"/>
        <v>0.71422037866884669</v>
      </c>
    </row>
    <row r="175" spans="2:32">
      <c r="B175" s="1" t="s">
        <v>284</v>
      </c>
      <c r="C175" s="2">
        <v>631930</v>
      </c>
      <c r="D175" s="401">
        <v>7439</v>
      </c>
      <c r="E175" s="3" t="s">
        <v>648</v>
      </c>
      <c r="F175" s="3" t="s">
        <v>751</v>
      </c>
      <c r="G175" s="21">
        <v>0</v>
      </c>
      <c r="H175" s="21">
        <f t="shared" si="26"/>
        <v>800000</v>
      </c>
      <c r="I175" s="21">
        <v>800000</v>
      </c>
      <c r="J175" s="21">
        <v>0</v>
      </c>
      <c r="K175" s="21">
        <f t="shared" si="25"/>
        <v>0</v>
      </c>
      <c r="L175" s="21">
        <v>0</v>
      </c>
      <c r="M175" s="21">
        <f t="shared" si="24"/>
        <v>0</v>
      </c>
      <c r="N175" s="21">
        <v>0</v>
      </c>
      <c r="O175" s="21">
        <f t="shared" si="28"/>
        <v>0</v>
      </c>
      <c r="P175" s="21">
        <v>0</v>
      </c>
      <c r="Q175" s="21">
        <v>0</v>
      </c>
      <c r="R175" s="21">
        <f>IFERROR(VLOOKUP(C175,[6]IS_WTB!C$2:U$259,19,),)</f>
        <v>0</v>
      </c>
      <c r="S175" s="21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f>IFERROR(VLOOKUP(C175,'전사시산표(3단계)_1013'!$C:$L,10,0),0)</f>
        <v>0</v>
      </c>
      <c r="AB175" s="21"/>
      <c r="AC175" s="21">
        <f>IFERROR(VLOOKUP(C175,경상연구개발비대체!$A$2:$B$83,2,0),0)</f>
        <v>0</v>
      </c>
      <c r="AD175" s="35">
        <f t="shared" si="27"/>
        <v>0</v>
      </c>
      <c r="AE175" s="35">
        <f t="shared" si="29"/>
        <v>0</v>
      </c>
      <c r="AF175" s="38" t="str">
        <f t="shared" si="30"/>
        <v/>
      </c>
    </row>
    <row r="176" spans="2:32">
      <c r="B176" s="1" t="s">
        <v>284</v>
      </c>
      <c r="C176" s="2">
        <v>655100</v>
      </c>
      <c r="D176" s="401">
        <v>7439</v>
      </c>
      <c r="E176" s="3" t="s">
        <v>655</v>
      </c>
      <c r="F176" s="3" t="s">
        <v>751</v>
      </c>
      <c r="G176" s="21">
        <v>0</v>
      </c>
      <c r="H176" s="21">
        <f t="shared" si="26"/>
        <v>19321975</v>
      </c>
      <c r="I176" s="21">
        <v>19321975</v>
      </c>
      <c r="J176" s="21">
        <v>10324890</v>
      </c>
      <c r="K176" s="21">
        <f t="shared" si="25"/>
        <v>11169046</v>
      </c>
      <c r="L176" s="21">
        <v>21493936</v>
      </c>
      <c r="M176" s="21">
        <f t="shared" si="24"/>
        <v>9166986</v>
      </c>
      <c r="N176" s="21">
        <v>30660922</v>
      </c>
      <c r="O176" s="21">
        <f t="shared" si="28"/>
        <v>-4045695</v>
      </c>
      <c r="P176" s="21">
        <v>42365879</v>
      </c>
      <c r="Q176" s="21">
        <v>7007723</v>
      </c>
      <c r="R176" s="21">
        <f>IFERROR(VLOOKUP(C176,[6]IS_WTB!C$2:U$259,19,),)</f>
        <v>16685303</v>
      </c>
      <c r="S176" s="21">
        <v>26615227</v>
      </c>
      <c r="T176" s="30">
        <v>35314855</v>
      </c>
      <c r="U176" s="30">
        <v>7594634</v>
      </c>
      <c r="V176" s="30">
        <v>15261446</v>
      </c>
      <c r="W176" s="30">
        <v>26583750</v>
      </c>
      <c r="X176" s="30">
        <v>38691856</v>
      </c>
      <c r="Y176" s="30">
        <v>6748311</v>
      </c>
      <c r="Z176" s="30">
        <v>27052416</v>
      </c>
      <c r="AA176" s="30">
        <f>IFERROR(VLOOKUP(C176,'전사시산표(3단계)_1013'!$C:$L,10,0),0)</f>
        <v>46240611</v>
      </c>
      <c r="AB176" s="21"/>
      <c r="AC176" s="21">
        <f>IFERROR(VLOOKUP(C176,경상연구개발비대체!$A$2:$B$83,2,0),0)</f>
        <v>7333363</v>
      </c>
      <c r="AD176" s="35">
        <f t="shared" si="27"/>
        <v>38907248</v>
      </c>
      <c r="AE176" s="35">
        <f t="shared" si="29"/>
        <v>31899525</v>
      </c>
      <c r="AF176" s="38">
        <f t="shared" si="30"/>
        <v>0.90328913993841964</v>
      </c>
    </row>
    <row r="177" spans="2:32">
      <c r="B177" s="64" t="s">
        <v>276</v>
      </c>
      <c r="C177" s="65">
        <v>6601</v>
      </c>
      <c r="D177" s="65"/>
      <c r="E177" s="66" t="s">
        <v>378</v>
      </c>
      <c r="F177" s="66"/>
      <c r="G177" s="61">
        <f>SUM(G178)</f>
        <v>119546580</v>
      </c>
      <c r="H177" s="61">
        <f t="shared" si="26"/>
        <v>-13298094</v>
      </c>
      <c r="I177" s="61">
        <v>106248486</v>
      </c>
      <c r="J177" s="61">
        <v>-28938044</v>
      </c>
      <c r="K177" s="61">
        <f t="shared" si="25"/>
        <v>89937536</v>
      </c>
      <c r="L177" s="61">
        <v>60999492</v>
      </c>
      <c r="M177" s="61">
        <f t="shared" si="24"/>
        <v>20214888</v>
      </c>
      <c r="N177" s="61">
        <v>81214380</v>
      </c>
      <c r="O177" s="61">
        <f t="shared" si="28"/>
        <v>-117485740</v>
      </c>
      <c r="P177" s="61">
        <v>136826085</v>
      </c>
      <c r="Q177" s="61">
        <v>-51523806</v>
      </c>
      <c r="R177" s="61">
        <f>IFERROR(VLOOKUP(C177,[6]IS_WTB!C$2:U$259,19,),)</f>
        <v>-42681005</v>
      </c>
      <c r="S177" s="61">
        <v>-36271360</v>
      </c>
      <c r="T177" s="520">
        <v>-36875538</v>
      </c>
      <c r="U177" s="520">
        <v>6251</v>
      </c>
      <c r="V177" s="520">
        <v>8055391</v>
      </c>
      <c r="W177" s="520">
        <v>49220422</v>
      </c>
      <c r="X177" s="520">
        <v>78906709</v>
      </c>
      <c r="Y177" s="520">
        <v>27779179</v>
      </c>
      <c r="Z177" s="520">
        <v>29975571</v>
      </c>
      <c r="AA177" s="520">
        <f>SUM(AA178)</f>
        <v>22951731</v>
      </c>
      <c r="AB177" s="61"/>
      <c r="AC177" s="61">
        <f>SUM(AC178)</f>
        <v>0</v>
      </c>
      <c r="AD177" s="67">
        <f t="shared" si="27"/>
        <v>22951731</v>
      </c>
      <c r="AE177" s="67">
        <f t="shared" si="29"/>
        <v>74475537</v>
      </c>
      <c r="AF177" s="62">
        <f t="shared" si="30"/>
        <v>-2.019646113366536</v>
      </c>
    </row>
    <row r="178" spans="2:32">
      <c r="B178" s="1" t="s">
        <v>284</v>
      </c>
      <c r="C178" s="2">
        <v>660100</v>
      </c>
      <c r="D178" s="401">
        <v>7291</v>
      </c>
      <c r="E178" s="3" t="s">
        <v>378</v>
      </c>
      <c r="F178" s="3" t="s">
        <v>563</v>
      </c>
      <c r="G178" s="21">
        <v>119546580</v>
      </c>
      <c r="H178" s="21">
        <f t="shared" si="26"/>
        <v>-13298094</v>
      </c>
      <c r="I178" s="21">
        <v>106248486</v>
      </c>
      <c r="J178" s="21">
        <v>-28938044</v>
      </c>
      <c r="K178" s="21">
        <f t="shared" si="25"/>
        <v>89937536</v>
      </c>
      <c r="L178" s="21">
        <v>60999492</v>
      </c>
      <c r="M178" s="21">
        <f t="shared" si="24"/>
        <v>20214888</v>
      </c>
      <c r="N178" s="21">
        <v>81214380</v>
      </c>
      <c r="O178" s="21">
        <f t="shared" si="28"/>
        <v>-117485740</v>
      </c>
      <c r="P178" s="21">
        <v>136826085</v>
      </c>
      <c r="Q178" s="21">
        <v>-51523806</v>
      </c>
      <c r="R178" s="21">
        <f>IFERROR(VLOOKUP(C178,[6]IS_WTB!C$2:U$259,19,),)</f>
        <v>-42681005</v>
      </c>
      <c r="S178" s="21">
        <v>-36271360</v>
      </c>
      <c r="T178" s="30">
        <v>-36875538</v>
      </c>
      <c r="U178" s="30">
        <v>6251</v>
      </c>
      <c r="V178" s="30">
        <v>8055391</v>
      </c>
      <c r="W178" s="30">
        <v>49220422</v>
      </c>
      <c r="X178" s="30">
        <v>78906709</v>
      </c>
      <c r="Y178" s="30">
        <v>27779179</v>
      </c>
      <c r="Z178" s="30">
        <v>29975571</v>
      </c>
      <c r="AA178" s="30">
        <f>IFERROR(VLOOKUP(C178,'전사시산표(3단계)_1013'!$C:$L,10,0),0)</f>
        <v>22951731</v>
      </c>
      <c r="AB178" s="21"/>
      <c r="AC178" s="21">
        <f>IFERROR(VLOOKUP(C178,경상연구개발비대체!$A$2:$B$83,2,0),0)</f>
        <v>0</v>
      </c>
      <c r="AD178" s="35">
        <f t="shared" si="27"/>
        <v>22951731</v>
      </c>
      <c r="AE178" s="35">
        <f t="shared" si="29"/>
        <v>74475537</v>
      </c>
      <c r="AF178" s="38">
        <f t="shared" si="30"/>
        <v>-2.019646113366536</v>
      </c>
    </row>
    <row r="179" spans="2:32">
      <c r="B179" s="64" t="s">
        <v>276</v>
      </c>
      <c r="C179" s="65">
        <v>8141</v>
      </c>
      <c r="D179" s="65"/>
      <c r="E179" s="66" t="s">
        <v>379</v>
      </c>
      <c r="F179" s="66"/>
      <c r="G179" s="61">
        <f>SUM(G180)</f>
        <v>0</v>
      </c>
      <c r="H179" s="61">
        <f t="shared" si="26"/>
        <v>0</v>
      </c>
      <c r="I179" s="61">
        <v>0</v>
      </c>
      <c r="J179" s="61">
        <v>0</v>
      </c>
      <c r="K179" s="61">
        <f t="shared" si="25"/>
        <v>0</v>
      </c>
      <c r="L179" s="61">
        <v>0</v>
      </c>
      <c r="M179" s="61">
        <f t="shared" si="24"/>
        <v>0</v>
      </c>
      <c r="N179" s="61">
        <v>0</v>
      </c>
      <c r="O179" s="61">
        <f t="shared" si="28"/>
        <v>0</v>
      </c>
      <c r="P179" s="61">
        <v>0</v>
      </c>
      <c r="Q179" s="61">
        <v>0</v>
      </c>
      <c r="R179" s="61">
        <f>IFERROR(VLOOKUP(C179,[6]IS_WTB!C$2:U$259,19,),)</f>
        <v>0</v>
      </c>
      <c r="S179" s="61">
        <v>0</v>
      </c>
      <c r="T179" s="520">
        <v>0</v>
      </c>
      <c r="U179" s="520">
        <v>0</v>
      </c>
      <c r="V179" s="520">
        <v>0</v>
      </c>
      <c r="W179" s="520">
        <v>0</v>
      </c>
      <c r="X179" s="520">
        <v>0</v>
      </c>
      <c r="Y179" s="520">
        <v>0</v>
      </c>
      <c r="Z179" s="520">
        <v>0</v>
      </c>
      <c r="AA179" s="520">
        <f>SUM(AA180)</f>
        <v>0</v>
      </c>
      <c r="AB179" s="61"/>
      <c r="AC179" s="61">
        <f>SUM(AC180)</f>
        <v>0</v>
      </c>
      <c r="AD179" s="67">
        <f t="shared" si="27"/>
        <v>0</v>
      </c>
      <c r="AE179" s="67">
        <f t="shared" si="29"/>
        <v>0</v>
      </c>
      <c r="AF179" s="62" t="str">
        <f t="shared" si="30"/>
        <v/>
      </c>
    </row>
    <row r="180" spans="2:32">
      <c r="B180" s="1" t="s">
        <v>284</v>
      </c>
      <c r="C180" s="2">
        <v>814100</v>
      </c>
      <c r="D180" s="2"/>
      <c r="E180" s="3" t="s">
        <v>379</v>
      </c>
      <c r="F180" s="3" t="s">
        <v>750</v>
      </c>
      <c r="G180" s="21">
        <v>0</v>
      </c>
      <c r="H180" s="21">
        <f t="shared" si="26"/>
        <v>0</v>
      </c>
      <c r="I180" s="21">
        <v>0</v>
      </c>
      <c r="J180" s="21">
        <v>0</v>
      </c>
      <c r="K180" s="21">
        <f t="shared" si="25"/>
        <v>0</v>
      </c>
      <c r="L180" s="21">
        <v>0</v>
      </c>
      <c r="M180" s="21">
        <f t="shared" si="24"/>
        <v>0</v>
      </c>
      <c r="N180" s="21">
        <v>0</v>
      </c>
      <c r="O180" s="21">
        <f t="shared" si="28"/>
        <v>0</v>
      </c>
      <c r="P180" s="21">
        <v>0</v>
      </c>
      <c r="Q180" s="21">
        <v>0</v>
      </c>
      <c r="R180" s="21">
        <f>IFERROR(VLOOKUP(C180,[6]IS_WTB!C$2:U$259,19,),)</f>
        <v>0</v>
      </c>
      <c r="S180" s="21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f>IFERROR(VLOOKUP(C180,'전사시산표(3단계)_1013'!$C:$L,10,0),0)</f>
        <v>0</v>
      </c>
      <c r="AB180" s="21"/>
      <c r="AC180" s="21">
        <f>IFERROR(VLOOKUP(C180,경상연구개발비대체!$A$2:$B$83,2,0),0)</f>
        <v>0</v>
      </c>
      <c r="AD180" s="35">
        <f t="shared" si="27"/>
        <v>0</v>
      </c>
      <c r="AE180" s="35">
        <f t="shared" si="29"/>
        <v>0</v>
      </c>
      <c r="AF180" s="38" t="str">
        <f t="shared" si="30"/>
        <v/>
      </c>
    </row>
    <row r="181" spans="2:32">
      <c r="B181" s="64" t="s">
        <v>276</v>
      </c>
      <c r="C181" s="65">
        <v>6621</v>
      </c>
      <c r="D181" s="65"/>
      <c r="E181" s="66" t="s">
        <v>380</v>
      </c>
      <c r="F181" s="66"/>
      <c r="G181" s="61">
        <f>SUM(G182)</f>
        <v>1652606201</v>
      </c>
      <c r="H181" s="61">
        <f t="shared" si="26"/>
        <v>5178121082</v>
      </c>
      <c r="I181" s="61">
        <v>6830727283</v>
      </c>
      <c r="J181" s="61">
        <v>0</v>
      </c>
      <c r="K181" s="61">
        <f t="shared" si="25"/>
        <v>16117997918</v>
      </c>
      <c r="L181" s="61">
        <v>16117997918</v>
      </c>
      <c r="M181" s="61">
        <f t="shared" si="24"/>
        <v>7003921181</v>
      </c>
      <c r="N181" s="61">
        <v>23121919099</v>
      </c>
      <c r="O181" s="61">
        <f t="shared" si="28"/>
        <v>2281310060</v>
      </c>
      <c r="P181" s="61">
        <v>30288861745</v>
      </c>
      <c r="Q181" s="61">
        <v>9638587380</v>
      </c>
      <c r="R181" s="61">
        <f>IFERROR(VLOOKUP(C181,[6]IS_WTB!C$2:U$259,19,),)</f>
        <v>17439911678</v>
      </c>
      <c r="S181" s="61">
        <v>25403229159</v>
      </c>
      <c r="T181" s="520">
        <v>33429668167</v>
      </c>
      <c r="U181" s="520">
        <v>9644490191</v>
      </c>
      <c r="V181" s="520">
        <v>18744860064</v>
      </c>
      <c r="W181" s="520">
        <v>26953341852</v>
      </c>
      <c r="X181" s="520">
        <v>35250501069</v>
      </c>
      <c r="Y181" s="520">
        <v>10429554493</v>
      </c>
      <c r="Z181" s="520">
        <v>0</v>
      </c>
      <c r="AA181" s="520">
        <f>SUM(AA182)</f>
        <v>0</v>
      </c>
      <c r="AB181" s="61">
        <f>AB182</f>
        <v>27535316662</v>
      </c>
      <c r="AC181" s="61">
        <f>SUM(AC182)</f>
        <v>0</v>
      </c>
      <c r="AD181" s="67">
        <f t="shared" si="27"/>
        <v>27535316662</v>
      </c>
      <c r="AE181" s="67">
        <f t="shared" si="29"/>
        <v>17896729282</v>
      </c>
      <c r="AF181" s="62">
        <f t="shared" si="30"/>
        <v>0.53535467934039216</v>
      </c>
    </row>
    <row r="182" spans="2:32">
      <c r="B182" s="1" t="s">
        <v>284</v>
      </c>
      <c r="C182" s="2">
        <v>662200</v>
      </c>
      <c r="D182" s="401">
        <v>7211</v>
      </c>
      <c r="E182" s="3" t="s">
        <v>381</v>
      </c>
      <c r="F182" s="4" t="s">
        <v>382</v>
      </c>
      <c r="G182" s="21">
        <v>1652606201</v>
      </c>
      <c r="H182" s="21">
        <f t="shared" si="26"/>
        <v>5178121082</v>
      </c>
      <c r="I182" s="21">
        <v>6830727283</v>
      </c>
      <c r="J182" s="21">
        <v>0</v>
      </c>
      <c r="K182" s="21">
        <f t="shared" si="25"/>
        <v>16117997918</v>
      </c>
      <c r="L182" s="21">
        <v>16117997918</v>
      </c>
      <c r="M182" s="21">
        <f t="shared" si="24"/>
        <v>7003921181</v>
      </c>
      <c r="N182" s="21">
        <v>23121919099</v>
      </c>
      <c r="O182" s="21">
        <f t="shared" si="28"/>
        <v>2281310060</v>
      </c>
      <c r="P182" s="21">
        <v>30288861745</v>
      </c>
      <c r="Q182" s="21">
        <v>9638587380</v>
      </c>
      <c r="R182" s="21">
        <f>IFERROR(VLOOKUP(C182,[6]IS_WTB!C$2:U$259,19,),)</f>
        <v>17439911678</v>
      </c>
      <c r="S182" s="21">
        <v>25403229159</v>
      </c>
      <c r="T182" s="30">
        <v>33429668167</v>
      </c>
      <c r="U182" s="30">
        <v>9644490191</v>
      </c>
      <c r="V182" s="30">
        <v>18744860064</v>
      </c>
      <c r="W182" s="30">
        <v>26953341852</v>
      </c>
      <c r="X182" s="30">
        <v>35250501069</v>
      </c>
      <c r="Y182" s="30">
        <v>10429554493</v>
      </c>
      <c r="Z182" s="30">
        <v>0</v>
      </c>
      <c r="AA182" s="30">
        <f>IFERROR(VLOOKUP(C182,'전사시산표(3단계)_1013'!$C:$L,10,0),0)</f>
        <v>0</v>
      </c>
      <c r="AB182" s="517">
        <f>AC26</f>
        <v>27535316662</v>
      </c>
      <c r="AC182" s="21">
        <f>IFERROR(VLOOKUP(C182,경상연구개발비대체!$A$2:$B$83,2,0),0)</f>
        <v>0</v>
      </c>
      <c r="AD182" s="35">
        <f t="shared" si="27"/>
        <v>27535316662</v>
      </c>
      <c r="AE182" s="35">
        <f t="shared" si="29"/>
        <v>17896729282</v>
      </c>
      <c r="AF182" s="38">
        <f t="shared" si="30"/>
        <v>0.53535467934039216</v>
      </c>
    </row>
    <row r="183" spans="2:32">
      <c r="B183" s="64" t="s">
        <v>289</v>
      </c>
      <c r="C183" s="65">
        <v>6771</v>
      </c>
      <c r="D183" s="65"/>
      <c r="E183" s="66" t="s">
        <v>21</v>
      </c>
      <c r="F183" s="66"/>
      <c r="G183" s="61">
        <f>SUM(G184:G187)</f>
        <v>837158517</v>
      </c>
      <c r="H183" s="61">
        <f t="shared" si="26"/>
        <v>2505249629</v>
      </c>
      <c r="I183" s="61">
        <v>3342408146</v>
      </c>
      <c r="J183" s="61">
        <v>2689302928</v>
      </c>
      <c r="K183" s="61">
        <f t="shared" si="25"/>
        <v>1517969045</v>
      </c>
      <c r="L183" s="61">
        <v>4207271973</v>
      </c>
      <c r="M183" s="61">
        <f t="shared" si="24"/>
        <v>2156583902</v>
      </c>
      <c r="N183" s="61">
        <v>6363855875</v>
      </c>
      <c r="O183" s="61">
        <f t="shared" si="28"/>
        <v>-558500206</v>
      </c>
      <c r="P183" s="61">
        <v>8522521067</v>
      </c>
      <c r="Q183" s="61">
        <v>2000690972</v>
      </c>
      <c r="R183" s="61">
        <f>IFERROR(VLOOKUP(C183,[6]IS_WTB!C$2:U$259,19,),)</f>
        <v>3974900273</v>
      </c>
      <c r="S183" s="61">
        <v>5805355669</v>
      </c>
      <c r="T183" s="520">
        <v>7496347400</v>
      </c>
      <c r="U183" s="520">
        <v>1584747307</v>
      </c>
      <c r="V183" s="520">
        <v>3139716716</v>
      </c>
      <c r="W183" s="520">
        <v>4660327455</v>
      </c>
      <c r="X183" s="520">
        <v>6074005927</v>
      </c>
      <c r="Y183" s="520">
        <v>1270559877</v>
      </c>
      <c r="Z183" s="520">
        <v>3905827218</v>
      </c>
      <c r="AA183" s="520">
        <f>SUM(AA184:AA187)</f>
        <v>5885037413</v>
      </c>
      <c r="AB183" s="61"/>
      <c r="AC183" s="61">
        <f>SUM(AC184:AC187)</f>
        <v>2060542244</v>
      </c>
      <c r="AD183" s="67">
        <f t="shared" si="27"/>
        <v>3824495169</v>
      </c>
      <c r="AE183" s="67">
        <f t="shared" si="29"/>
        <v>1823804197</v>
      </c>
      <c r="AF183" s="62">
        <f t="shared" si="30"/>
        <v>0.24329237956608041</v>
      </c>
    </row>
    <row r="184" spans="2:32">
      <c r="B184" s="1" t="s">
        <v>284</v>
      </c>
      <c r="C184" s="2">
        <v>677200</v>
      </c>
      <c r="D184" s="401">
        <v>7161</v>
      </c>
      <c r="E184" s="3" t="s">
        <v>20</v>
      </c>
      <c r="F184" s="3" t="s">
        <v>385</v>
      </c>
      <c r="G184" s="21">
        <v>12922039</v>
      </c>
      <c r="H184" s="21">
        <f t="shared" si="26"/>
        <v>38605730</v>
      </c>
      <c r="I184" s="21">
        <v>51527769</v>
      </c>
      <c r="J184" s="21">
        <v>38354971</v>
      </c>
      <c r="K184" s="21">
        <f t="shared" si="25"/>
        <v>42526032</v>
      </c>
      <c r="L184" s="21">
        <v>80881003</v>
      </c>
      <c r="M184" s="21">
        <f t="shared" si="24"/>
        <v>48914730</v>
      </c>
      <c r="N184" s="21">
        <v>129795733</v>
      </c>
      <c r="O184" s="21">
        <f t="shared" si="28"/>
        <v>30948013</v>
      </c>
      <c r="P184" s="21">
        <v>175758958</v>
      </c>
      <c r="Q184" s="21">
        <v>47252103</v>
      </c>
      <c r="R184" s="21">
        <f>IFERROR(VLOOKUP(C184,[6]IS_WTB!C$2:U$259,19,),)</f>
        <v>107222769</v>
      </c>
      <c r="S184" s="21">
        <v>160743746</v>
      </c>
      <c r="T184" s="30">
        <v>213840589</v>
      </c>
      <c r="U184" s="30">
        <v>38741579</v>
      </c>
      <c r="V184" s="30">
        <v>88048747</v>
      </c>
      <c r="W184" s="30">
        <v>150954586</v>
      </c>
      <c r="X184" s="30">
        <v>200675685</v>
      </c>
      <c r="Y184" s="30">
        <v>44198781</v>
      </c>
      <c r="Z184" s="30">
        <v>92840386</v>
      </c>
      <c r="AA184" s="30">
        <f>IFERROR(VLOOKUP(C184,'전사시산표(3단계)_1013'!$C:$L,10,0),0)</f>
        <v>137576557</v>
      </c>
      <c r="AB184" s="21"/>
      <c r="AC184" s="21">
        <f>IFERROR(VLOOKUP(C184,경상연구개발비대체!$A$2:$B$83,2,0),0)</f>
        <v>0</v>
      </c>
      <c r="AD184" s="35">
        <f t="shared" si="27"/>
        <v>137576557</v>
      </c>
      <c r="AE184" s="35">
        <f t="shared" si="29"/>
        <v>90324454</v>
      </c>
      <c r="AF184" s="38">
        <f t="shared" si="30"/>
        <v>0.42239153203978502</v>
      </c>
    </row>
    <row r="185" spans="2:32">
      <c r="B185" s="1" t="s">
        <v>284</v>
      </c>
      <c r="C185" s="2">
        <v>677500</v>
      </c>
      <c r="D185" s="401">
        <v>7161</v>
      </c>
      <c r="E185" s="3" t="s">
        <v>19</v>
      </c>
      <c r="F185" s="3" t="s">
        <v>385</v>
      </c>
      <c r="G185" s="21">
        <v>18214987</v>
      </c>
      <c r="H185" s="21">
        <f t="shared" si="26"/>
        <v>54644961</v>
      </c>
      <c r="I185" s="21">
        <v>72859948</v>
      </c>
      <c r="J185" s="21">
        <v>54644961</v>
      </c>
      <c r="K185" s="21">
        <f t="shared" si="25"/>
        <v>54644961</v>
      </c>
      <c r="L185" s="21">
        <v>109289922</v>
      </c>
      <c r="M185" s="21">
        <f t="shared" si="24"/>
        <v>54644961</v>
      </c>
      <c r="N185" s="21">
        <v>163934883</v>
      </c>
      <c r="O185" s="21">
        <f t="shared" si="28"/>
        <v>0</v>
      </c>
      <c r="P185" s="21">
        <v>218579844</v>
      </c>
      <c r="Q185" s="21">
        <v>54644961</v>
      </c>
      <c r="R185" s="21">
        <f>IFERROR(VLOOKUP(C185,[6]IS_WTB!C$2:U$259,19,),)</f>
        <v>109289922</v>
      </c>
      <c r="S185" s="21">
        <v>163934883</v>
      </c>
      <c r="T185" s="30">
        <v>218579844</v>
      </c>
      <c r="U185" s="30">
        <v>54644961</v>
      </c>
      <c r="V185" s="30">
        <v>109289922</v>
      </c>
      <c r="W185" s="30">
        <v>163933883</v>
      </c>
      <c r="X185" s="30">
        <v>163933883</v>
      </c>
      <c r="Y185" s="30">
        <v>0</v>
      </c>
      <c r="Z185" s="30">
        <v>0</v>
      </c>
      <c r="AA185" s="30">
        <f>IFERROR(VLOOKUP(C185,'전사시산표(3단계)_1013'!$C:$L,10,0),0)</f>
        <v>0</v>
      </c>
      <c r="AB185" s="21"/>
      <c r="AC185" s="21">
        <f>IFERROR(VLOOKUP(C185,경상연구개발비대체!$A$2:$B$83,2,0),0)</f>
        <v>0</v>
      </c>
      <c r="AD185" s="35">
        <f t="shared" si="27"/>
        <v>0</v>
      </c>
      <c r="AE185" s="35">
        <f t="shared" si="29"/>
        <v>-54644961</v>
      </c>
      <c r="AF185" s="38">
        <f t="shared" si="30"/>
        <v>-0.25</v>
      </c>
    </row>
    <row r="186" spans="2:32">
      <c r="B186" s="1" t="s">
        <v>284</v>
      </c>
      <c r="C186" s="2">
        <v>679000</v>
      </c>
      <c r="D186" s="401">
        <v>7161</v>
      </c>
      <c r="E186" s="3" t="s">
        <v>18</v>
      </c>
      <c r="F186" s="3" t="s">
        <v>385</v>
      </c>
      <c r="G186" s="21">
        <v>200000</v>
      </c>
      <c r="H186" s="21">
        <f t="shared" si="26"/>
        <v>600000</v>
      </c>
      <c r="I186" s="21">
        <v>800000</v>
      </c>
      <c r="J186" s="21">
        <v>600000</v>
      </c>
      <c r="K186" s="21">
        <f t="shared" si="25"/>
        <v>600000</v>
      </c>
      <c r="L186" s="21">
        <v>1200000</v>
      </c>
      <c r="M186" s="21">
        <f t="shared" si="24"/>
        <v>600000</v>
      </c>
      <c r="N186" s="21">
        <v>1800000</v>
      </c>
      <c r="O186" s="21">
        <f t="shared" si="28"/>
        <v>0</v>
      </c>
      <c r="P186" s="21">
        <v>2400000</v>
      </c>
      <c r="Q186" s="21">
        <v>600000</v>
      </c>
      <c r="R186" s="21">
        <f>IFERROR(VLOOKUP(C186,[6]IS_WTB!C$2:U$259,19,),)</f>
        <v>1200000</v>
      </c>
      <c r="S186" s="21">
        <v>1800000</v>
      </c>
      <c r="T186" s="30">
        <v>2224000</v>
      </c>
      <c r="U186" s="30">
        <v>24000</v>
      </c>
      <c r="V186" s="30">
        <v>24000</v>
      </c>
      <c r="W186" s="30">
        <v>24000</v>
      </c>
      <c r="X186" s="30">
        <v>24000</v>
      </c>
      <c r="Y186" s="30">
        <v>0</v>
      </c>
      <c r="Z186" s="30">
        <v>0</v>
      </c>
      <c r="AA186" s="30">
        <f>IFERROR(VLOOKUP(C186,'전사시산표(3단계)_1013'!$C:$L,10,0),0)</f>
        <v>0</v>
      </c>
      <c r="AB186" s="21"/>
      <c r="AC186" s="21">
        <f>IFERROR(VLOOKUP(C186,경상연구개발비대체!$A$2:$B$83,2,0),0)</f>
        <v>0</v>
      </c>
      <c r="AD186" s="35">
        <f t="shared" ref="AD186:AD194" si="31">AA186+AB186-AC186</f>
        <v>0</v>
      </c>
      <c r="AE186" s="35">
        <f t="shared" si="29"/>
        <v>-600000</v>
      </c>
      <c r="AF186" s="38">
        <f t="shared" si="30"/>
        <v>-0.26978417266187049</v>
      </c>
    </row>
    <row r="187" spans="2:32">
      <c r="B187" s="1" t="s">
        <v>284</v>
      </c>
      <c r="C187" s="2">
        <v>679900</v>
      </c>
      <c r="D187" s="401">
        <v>7161</v>
      </c>
      <c r="E187" s="3" t="s">
        <v>17</v>
      </c>
      <c r="F187" s="3" t="s">
        <v>385</v>
      </c>
      <c r="G187" s="21">
        <v>805821491</v>
      </c>
      <c r="H187" s="21">
        <f t="shared" si="26"/>
        <v>2411398938</v>
      </c>
      <c r="I187" s="21">
        <v>3217220429</v>
      </c>
      <c r="J187" s="21">
        <v>2595702996</v>
      </c>
      <c r="K187" s="21">
        <f t="shared" si="25"/>
        <v>1420198052</v>
      </c>
      <c r="L187" s="21">
        <v>4015901048</v>
      </c>
      <c r="M187" s="21">
        <f t="shared" si="24"/>
        <v>2052424211</v>
      </c>
      <c r="N187" s="21">
        <v>6068325259</v>
      </c>
      <c r="O187" s="21">
        <f t="shared" si="28"/>
        <v>-589448219</v>
      </c>
      <c r="P187" s="21">
        <v>8125782265</v>
      </c>
      <c r="Q187" s="21">
        <v>1898193908</v>
      </c>
      <c r="R187" s="21">
        <f>IFERROR(VLOOKUP(C187,[6]IS_WTB!C$2:U$259,19,),)</f>
        <v>3757187582</v>
      </c>
      <c r="S187" s="21">
        <v>5478877040</v>
      </c>
      <c r="T187" s="30">
        <v>7061702967</v>
      </c>
      <c r="U187" s="30">
        <v>1491336767</v>
      </c>
      <c r="V187" s="30">
        <v>2942354047</v>
      </c>
      <c r="W187" s="30">
        <v>4345414986</v>
      </c>
      <c r="X187" s="30">
        <v>5709372359</v>
      </c>
      <c r="Y187" s="30">
        <v>1226361096</v>
      </c>
      <c r="Z187" s="30">
        <v>3812986832</v>
      </c>
      <c r="AA187" s="30">
        <f>IFERROR(VLOOKUP(C187,'전사시산표(3단계)_1013'!$C:$L,10,0),0)</f>
        <v>5747460856</v>
      </c>
      <c r="AB187" s="21"/>
      <c r="AC187" s="21">
        <f>IFERROR(VLOOKUP(C187,경상연구개발비대체!$A$2:$B$83,2,0),0)</f>
        <v>2060542244</v>
      </c>
      <c r="AD187" s="35">
        <f t="shared" si="31"/>
        <v>3686918612</v>
      </c>
      <c r="AE187" s="35">
        <f t="shared" si="29"/>
        <v>1788724704</v>
      </c>
      <c r="AF187" s="38">
        <f t="shared" si="30"/>
        <v>0.25329934045072106</v>
      </c>
    </row>
    <row r="188" spans="2:32">
      <c r="B188" s="64" t="s">
        <v>276</v>
      </c>
      <c r="C188" s="65">
        <v>6801</v>
      </c>
      <c r="D188" s="65"/>
      <c r="E188" s="66" t="s">
        <v>386</v>
      </c>
      <c r="F188" s="66"/>
      <c r="G188" s="61">
        <f>SUM(G189:G190)</f>
        <v>3088298818</v>
      </c>
      <c r="H188" s="61">
        <f t="shared" si="26"/>
        <v>9487302106</v>
      </c>
      <c r="I188" s="61">
        <v>12575600924</v>
      </c>
      <c r="J188" s="61">
        <v>7167307694</v>
      </c>
      <c r="K188" s="61">
        <f t="shared" si="25"/>
        <v>3889603230</v>
      </c>
      <c r="L188" s="61">
        <v>11056910924</v>
      </c>
      <c r="M188" s="61">
        <f t="shared" si="24"/>
        <v>2681970212</v>
      </c>
      <c r="N188" s="61">
        <v>13738881136</v>
      </c>
      <c r="O188" s="61">
        <f t="shared" si="28"/>
        <v>-4386047941</v>
      </c>
      <c r="P188" s="61">
        <v>16658403311</v>
      </c>
      <c r="Q188" s="61">
        <v>2957710260</v>
      </c>
      <c r="R188" s="61">
        <f>IFERROR(VLOOKUP(C188,[6]IS_WTB!C$2:U$259,19,),)</f>
        <v>6306961131</v>
      </c>
      <c r="S188" s="61">
        <v>9352833195</v>
      </c>
      <c r="T188" s="520">
        <v>12366831670</v>
      </c>
      <c r="U188" s="520">
        <v>2643255887</v>
      </c>
      <c r="V188" s="520">
        <v>5945320418</v>
      </c>
      <c r="W188" s="520">
        <v>9907941760</v>
      </c>
      <c r="X188" s="520">
        <v>17622745922</v>
      </c>
      <c r="Y188" s="520">
        <v>14505356438</v>
      </c>
      <c r="Z188" s="520">
        <v>35638816312</v>
      </c>
      <c r="AA188" s="520">
        <f>SUM(AA189:AA190)</f>
        <v>106617962403</v>
      </c>
      <c r="AB188" s="61"/>
      <c r="AC188" s="61">
        <f>SUM(AC189:AC190)</f>
        <v>0</v>
      </c>
      <c r="AD188" s="67">
        <f t="shared" si="31"/>
        <v>106617962403</v>
      </c>
      <c r="AE188" s="67">
        <f t="shared" si="29"/>
        <v>103660252143</v>
      </c>
      <c r="AF188" s="62">
        <f t="shared" si="30"/>
        <v>8.3821187923551648</v>
      </c>
    </row>
    <row r="189" spans="2:32">
      <c r="B189" s="1" t="s">
        <v>284</v>
      </c>
      <c r="C189" s="2">
        <v>680400</v>
      </c>
      <c r="D189" s="401">
        <v>6021</v>
      </c>
      <c r="E189" s="3" t="s">
        <v>15</v>
      </c>
      <c r="F189" s="3" t="s">
        <v>386</v>
      </c>
      <c r="G189" s="21">
        <v>2763567709</v>
      </c>
      <c r="H189" s="21">
        <f t="shared" si="26"/>
        <v>7641533655</v>
      </c>
      <c r="I189" s="21">
        <v>10405101364</v>
      </c>
      <c r="J189" s="21">
        <v>5429788198</v>
      </c>
      <c r="K189" s="21">
        <f t="shared" si="25"/>
        <v>2042733379</v>
      </c>
      <c r="L189" s="21">
        <v>7472521577</v>
      </c>
      <c r="M189" s="21">
        <f t="shared" si="24"/>
        <v>933885620</v>
      </c>
      <c r="N189" s="21">
        <v>8406407197</v>
      </c>
      <c r="O189" s="21">
        <f t="shared" si="28"/>
        <v>-4069438335</v>
      </c>
      <c r="P189" s="21">
        <v>9610406053</v>
      </c>
      <c r="Q189" s="21">
        <v>1241385463</v>
      </c>
      <c r="R189" s="21">
        <f>IFERROR(VLOOKUP(C189,[6]IS_WTB!C$2:U$259,19,),)</f>
        <v>2751354118</v>
      </c>
      <c r="S189" s="21">
        <v>4336968862</v>
      </c>
      <c r="T189" s="30">
        <v>5596615571</v>
      </c>
      <c r="U189" s="30">
        <v>1080387479</v>
      </c>
      <c r="V189" s="30">
        <v>2445812735</v>
      </c>
      <c r="W189" s="30">
        <v>4875221788</v>
      </c>
      <c r="X189" s="30">
        <v>11220315469</v>
      </c>
      <c r="Y189" s="30">
        <v>13239246943</v>
      </c>
      <c r="Z189" s="30">
        <v>32436659070</v>
      </c>
      <c r="AA189" s="30">
        <f>IFERROR(VLOOKUP(C189,'전사시산표(3단계)_1013'!$C:$L,10,0),0)</f>
        <v>101801010619</v>
      </c>
      <c r="AB189" s="21"/>
      <c r="AC189" s="21">
        <f>IFERROR(VLOOKUP(C189,경상연구개발비대체!$A$2:$B$83,2,0),0)</f>
        <v>0</v>
      </c>
      <c r="AD189" s="35">
        <f t="shared" si="31"/>
        <v>101801010619</v>
      </c>
      <c r="AE189" s="37">
        <f t="shared" si="29"/>
        <v>100559625156</v>
      </c>
      <c r="AF189" s="40">
        <f t="shared" si="30"/>
        <v>17.967935063660637</v>
      </c>
    </row>
    <row r="190" spans="2:32">
      <c r="B190" s="1" t="s">
        <v>284</v>
      </c>
      <c r="C190" s="2">
        <v>680800</v>
      </c>
      <c r="D190" s="401">
        <v>6021</v>
      </c>
      <c r="E190" s="3" t="s">
        <v>243</v>
      </c>
      <c r="F190" s="3" t="s">
        <v>386</v>
      </c>
      <c r="G190" s="21">
        <v>324731109</v>
      </c>
      <c r="H190" s="21">
        <f t="shared" si="26"/>
        <v>1845768451</v>
      </c>
      <c r="I190" s="21">
        <v>2170499560</v>
      </c>
      <c r="J190" s="21">
        <v>1737519496</v>
      </c>
      <c r="K190" s="21">
        <f t="shared" si="25"/>
        <v>1846869851</v>
      </c>
      <c r="L190" s="21">
        <v>3584389347</v>
      </c>
      <c r="M190" s="21">
        <f t="shared" si="24"/>
        <v>1748084592</v>
      </c>
      <c r="N190" s="21">
        <v>5332473939</v>
      </c>
      <c r="O190" s="21">
        <f t="shared" si="28"/>
        <v>-316609606</v>
      </c>
      <c r="P190" s="21">
        <v>7047997258</v>
      </c>
      <c r="Q190" s="21">
        <v>1716324797</v>
      </c>
      <c r="R190" s="21">
        <f>IFERROR(VLOOKUP(C190,[6]IS_WTB!C$2:U$259,19,),)</f>
        <v>3555607013</v>
      </c>
      <c r="S190" s="21">
        <v>5015864333</v>
      </c>
      <c r="T190" s="30">
        <v>6770216099</v>
      </c>
      <c r="U190" s="30">
        <v>1562868408</v>
      </c>
      <c r="V190" s="30">
        <v>3499507683</v>
      </c>
      <c r="W190" s="30">
        <v>5032719972</v>
      </c>
      <c r="X190" s="30">
        <v>6402430453</v>
      </c>
      <c r="Y190" s="30">
        <v>1266109495</v>
      </c>
      <c r="Z190" s="30">
        <v>3202157242</v>
      </c>
      <c r="AA190" s="30">
        <f>IFERROR(VLOOKUP(C190,'전사시산표(3단계)_1013'!$C:$L,10,0),0)</f>
        <v>4816951784</v>
      </c>
      <c r="AB190" s="21"/>
      <c r="AC190" s="21">
        <f>IFERROR(VLOOKUP(C190,경상연구개발비대체!$A$2:$B$83,2,0),0)</f>
        <v>0</v>
      </c>
      <c r="AD190" s="35">
        <f t="shared" si="31"/>
        <v>4816951784</v>
      </c>
      <c r="AE190" s="35">
        <f t="shared" si="29"/>
        <v>3100626987</v>
      </c>
      <c r="AF190" s="38">
        <f t="shared" si="30"/>
        <v>0.45798050485537389</v>
      </c>
    </row>
    <row r="191" spans="2:32">
      <c r="B191" s="64" t="s">
        <v>276</v>
      </c>
      <c r="C191" s="65">
        <v>6803</v>
      </c>
      <c r="D191" s="65"/>
      <c r="E191" s="66" t="s">
        <v>14</v>
      </c>
      <c r="F191" s="66"/>
      <c r="G191" s="61">
        <f>SUM(G192)</f>
        <v>641878158</v>
      </c>
      <c r="H191" s="61">
        <f t="shared" si="26"/>
        <v>2686775146</v>
      </c>
      <c r="I191" s="61">
        <v>3328653304</v>
      </c>
      <c r="J191" s="61">
        <v>53923281</v>
      </c>
      <c r="K191" s="61">
        <f t="shared" si="25"/>
        <v>45774026</v>
      </c>
      <c r="L191" s="61">
        <v>99697307</v>
      </c>
      <c r="M191" s="61">
        <f t="shared" si="24"/>
        <v>38480900</v>
      </c>
      <c r="N191" s="61">
        <v>138178207</v>
      </c>
      <c r="O191" s="61">
        <f t="shared" si="28"/>
        <v>27547231</v>
      </c>
      <c r="P191" s="61">
        <v>190547453</v>
      </c>
      <c r="Q191" s="61">
        <v>59705026</v>
      </c>
      <c r="R191" s="61">
        <f>IFERROR(VLOOKUP(C191,[6]IS_WTB!C$2:U$259,19,),)</f>
        <v>114537161</v>
      </c>
      <c r="S191" s="61">
        <v>165725438</v>
      </c>
      <c r="T191" s="520">
        <v>221255518</v>
      </c>
      <c r="U191" s="520">
        <v>63769037</v>
      </c>
      <c r="V191" s="520">
        <v>119965139</v>
      </c>
      <c r="W191" s="520">
        <v>181958909</v>
      </c>
      <c r="X191" s="520">
        <v>293432658</v>
      </c>
      <c r="Y191" s="520">
        <v>130776359</v>
      </c>
      <c r="Z191" s="520">
        <v>262240028</v>
      </c>
      <c r="AA191" s="520">
        <f>SUM(AA192)</f>
        <v>434624472</v>
      </c>
      <c r="AB191" s="61"/>
      <c r="AC191" s="61">
        <f>SUM(AC192)</f>
        <v>0</v>
      </c>
      <c r="AD191" s="67">
        <f t="shared" si="31"/>
        <v>434624472</v>
      </c>
      <c r="AE191" s="67">
        <f t="shared" si="29"/>
        <v>374919446</v>
      </c>
      <c r="AF191" s="62">
        <f t="shared" si="30"/>
        <v>1.6945089071179684</v>
      </c>
    </row>
    <row r="192" spans="2:32">
      <c r="B192" s="9" t="s">
        <v>284</v>
      </c>
      <c r="C192" s="34">
        <v>681220</v>
      </c>
      <c r="D192" s="405">
        <v>6069</v>
      </c>
      <c r="E192" s="33" t="s">
        <v>13</v>
      </c>
      <c r="F192" s="33" t="s">
        <v>752</v>
      </c>
      <c r="G192" s="36">
        <v>641878158</v>
      </c>
      <c r="H192" s="36">
        <f t="shared" si="26"/>
        <v>2686775146</v>
      </c>
      <c r="I192" s="36">
        <v>3328653304</v>
      </c>
      <c r="J192" s="36">
        <v>53923281</v>
      </c>
      <c r="K192" s="36">
        <f t="shared" si="25"/>
        <v>45774026</v>
      </c>
      <c r="L192" s="36">
        <v>99697307</v>
      </c>
      <c r="M192" s="36">
        <f t="shared" si="24"/>
        <v>38480900</v>
      </c>
      <c r="N192" s="36">
        <v>138178207</v>
      </c>
      <c r="O192" s="36">
        <f t="shared" si="28"/>
        <v>27547231</v>
      </c>
      <c r="P192" s="36">
        <v>190547453</v>
      </c>
      <c r="Q192" s="36">
        <v>59705026</v>
      </c>
      <c r="R192" s="36">
        <f>IFERROR(VLOOKUP(C192,[6]IS_WTB!C$2:U$259,19,),)</f>
        <v>114537161</v>
      </c>
      <c r="S192" s="36">
        <v>165725438</v>
      </c>
      <c r="T192" s="39">
        <v>221255518</v>
      </c>
      <c r="U192" s="39">
        <v>63769037</v>
      </c>
      <c r="V192" s="39">
        <v>119965139</v>
      </c>
      <c r="W192" s="39">
        <v>181958909</v>
      </c>
      <c r="X192" s="39">
        <v>293432658</v>
      </c>
      <c r="Y192" s="39">
        <v>130776359</v>
      </c>
      <c r="Z192" s="39">
        <v>262240028</v>
      </c>
      <c r="AA192" s="39">
        <f>IFERROR(VLOOKUP(C192,'전사시산표(3단계)_1013'!$C:$L,10,0),0)</f>
        <v>434624472</v>
      </c>
      <c r="AB192" s="36"/>
      <c r="AC192" s="21">
        <f>IFERROR(VLOOKUP(C192,경상연구개발비대체!$A$2:$B$83,2,0),0)</f>
        <v>0</v>
      </c>
      <c r="AD192" s="37">
        <f t="shared" si="31"/>
        <v>434624472</v>
      </c>
      <c r="AE192" s="37">
        <f t="shared" si="29"/>
        <v>374919446</v>
      </c>
      <c r="AF192" s="40">
        <f t="shared" si="30"/>
        <v>1.6945089071179684</v>
      </c>
    </row>
    <row r="193" spans="1:33">
      <c r="B193" s="64" t="s">
        <v>276</v>
      </c>
      <c r="C193" s="65">
        <v>6805</v>
      </c>
      <c r="D193" s="65"/>
      <c r="E193" s="66" t="s">
        <v>650</v>
      </c>
      <c r="F193" s="66"/>
      <c r="G193" s="61">
        <f>SUM(G194)</f>
        <v>0</v>
      </c>
      <c r="H193" s="61">
        <f t="shared" si="26"/>
        <v>28847932</v>
      </c>
      <c r="I193" s="61">
        <v>28847932</v>
      </c>
      <c r="J193" s="61">
        <v>0</v>
      </c>
      <c r="K193" s="61">
        <f t="shared" si="25"/>
        <v>0</v>
      </c>
      <c r="L193" s="61">
        <v>0</v>
      </c>
      <c r="M193" s="61">
        <f t="shared" si="24"/>
        <v>0</v>
      </c>
      <c r="N193" s="61">
        <v>0</v>
      </c>
      <c r="O193" s="61">
        <f t="shared" si="28"/>
        <v>0</v>
      </c>
      <c r="P193" s="61">
        <v>0</v>
      </c>
      <c r="Q193" s="61">
        <v>0</v>
      </c>
      <c r="R193" s="61">
        <f>IFERROR(VLOOKUP(C193,[6]IS_WTB!C$2:U$259,19,),)</f>
        <v>0</v>
      </c>
      <c r="S193" s="61">
        <v>0</v>
      </c>
      <c r="T193" s="520">
        <v>0</v>
      </c>
      <c r="U193" s="520">
        <v>0</v>
      </c>
      <c r="V193" s="520">
        <v>0</v>
      </c>
      <c r="W193" s="520">
        <v>0</v>
      </c>
      <c r="X193" s="520">
        <v>0</v>
      </c>
      <c r="Y193" s="520">
        <v>0</v>
      </c>
      <c r="Z193" s="520">
        <v>0</v>
      </c>
      <c r="AA193" s="520">
        <f>SUM(AA194)</f>
        <v>0</v>
      </c>
      <c r="AB193" s="61"/>
      <c r="AC193" s="61"/>
      <c r="AD193" s="67">
        <f t="shared" si="31"/>
        <v>0</v>
      </c>
      <c r="AE193" s="67">
        <f t="shared" si="29"/>
        <v>0</v>
      </c>
      <c r="AF193" s="62" t="str">
        <f t="shared" si="30"/>
        <v/>
      </c>
    </row>
    <row r="194" spans="1:33" ht="17.25" thickBot="1">
      <c r="B194" s="9" t="s">
        <v>284</v>
      </c>
      <c r="C194" s="34">
        <v>681130</v>
      </c>
      <c r="D194" s="405">
        <v>6069</v>
      </c>
      <c r="E194" s="33" t="s">
        <v>651</v>
      </c>
      <c r="F194" s="33" t="s">
        <v>752</v>
      </c>
      <c r="G194" s="36">
        <v>0</v>
      </c>
      <c r="H194" s="36">
        <f t="shared" si="26"/>
        <v>28847932</v>
      </c>
      <c r="I194" s="36">
        <v>28847932</v>
      </c>
      <c r="J194" s="36">
        <v>0</v>
      </c>
      <c r="K194" s="36">
        <f t="shared" si="25"/>
        <v>0</v>
      </c>
      <c r="L194" s="36">
        <v>0</v>
      </c>
      <c r="M194" s="36">
        <f t="shared" si="24"/>
        <v>0</v>
      </c>
      <c r="N194" s="36">
        <v>0</v>
      </c>
      <c r="O194" s="36">
        <f t="shared" si="28"/>
        <v>0</v>
      </c>
      <c r="P194" s="36">
        <v>0</v>
      </c>
      <c r="Q194" s="36">
        <v>0</v>
      </c>
      <c r="R194" s="36">
        <f>IFERROR(VLOOKUP(C194,[6]IS_WTB!C$2:U$259,19,),)</f>
        <v>0</v>
      </c>
      <c r="S194" s="36">
        <v>0</v>
      </c>
      <c r="T194" s="39">
        <v>0</v>
      </c>
      <c r="U194" s="39">
        <v>0</v>
      </c>
      <c r="V194" s="39">
        <v>0</v>
      </c>
      <c r="W194" s="39">
        <v>0</v>
      </c>
      <c r="X194" s="39">
        <v>0</v>
      </c>
      <c r="Y194" s="39">
        <v>0</v>
      </c>
      <c r="Z194" s="39">
        <v>0</v>
      </c>
      <c r="AA194" s="39">
        <f>IFERROR(VLOOKUP(C194,'전사시산표(3단계)_1013'!$C:$L,10,0),0)</f>
        <v>0</v>
      </c>
      <c r="AB194" s="36"/>
      <c r="AC194" s="21">
        <f>IFERROR(VLOOKUP(C194,경상연구개발비대체!$A$2:$B$83,2,0),0)</f>
        <v>0</v>
      </c>
      <c r="AD194" s="37">
        <f t="shared" si="31"/>
        <v>0</v>
      </c>
      <c r="AE194" s="37">
        <f t="shared" si="29"/>
        <v>0</v>
      </c>
      <c r="AF194" s="40" t="str">
        <f t="shared" si="30"/>
        <v/>
      </c>
    </row>
    <row r="195" spans="1:33" ht="17.25" thickBot="1">
      <c r="B195" s="44" t="s">
        <v>275</v>
      </c>
      <c r="C195" s="49" t="s">
        <v>453</v>
      </c>
      <c r="D195" s="404"/>
      <c r="E195" s="46" t="s">
        <v>454</v>
      </c>
      <c r="F195" s="46"/>
      <c r="G195" s="50">
        <f>SUM(G196,G198,G200,G205)</f>
        <v>268</v>
      </c>
      <c r="H195" s="50">
        <f t="shared" si="26"/>
        <v>38348964</v>
      </c>
      <c r="I195" s="50">
        <v>38349232</v>
      </c>
      <c r="J195" s="50">
        <v>5402748</v>
      </c>
      <c r="K195" s="50">
        <f t="shared" si="25"/>
        <v>56535386</v>
      </c>
      <c r="L195" s="50">
        <v>61938134</v>
      </c>
      <c r="M195" s="50">
        <f t="shared" si="24"/>
        <v>211989</v>
      </c>
      <c r="N195" s="50">
        <v>62150123</v>
      </c>
      <c r="O195" s="50">
        <f t="shared" si="28"/>
        <v>336402747</v>
      </c>
      <c r="P195" s="50">
        <v>822576435</v>
      </c>
      <c r="Q195" s="50">
        <v>8423716</v>
      </c>
      <c r="R195" s="50">
        <v>365361491</v>
      </c>
      <c r="S195" s="50">
        <v>398552870</v>
      </c>
      <c r="T195" s="52">
        <v>447502677</v>
      </c>
      <c r="U195" s="52">
        <v>63429445</v>
      </c>
      <c r="V195" s="52">
        <v>115988697</v>
      </c>
      <c r="W195" s="52">
        <v>204126589</v>
      </c>
      <c r="X195" s="52">
        <v>292819108</v>
      </c>
      <c r="Y195" s="52">
        <v>41596198</v>
      </c>
      <c r="Z195" s="52">
        <v>119976551</v>
      </c>
      <c r="AA195" s="52">
        <f>SUM(AA196,AA198,AA200,AA203,AA205)</f>
        <v>157874055</v>
      </c>
      <c r="AB195" s="50"/>
      <c r="AC195" s="50"/>
      <c r="AD195" s="51">
        <f t="shared" ref="AD195:AD207" si="32">AA195-AB195+AC195</f>
        <v>157874055</v>
      </c>
      <c r="AE195" s="51">
        <f t="shared" si="29"/>
        <v>149450339</v>
      </c>
      <c r="AF195" s="53">
        <f t="shared" si="30"/>
        <v>0.33396524016771412</v>
      </c>
    </row>
    <row r="196" spans="1:33">
      <c r="B196" s="55" t="s">
        <v>276</v>
      </c>
      <c r="C196" s="56">
        <v>8021</v>
      </c>
      <c r="D196" s="56"/>
      <c r="E196" s="57" t="s">
        <v>387</v>
      </c>
      <c r="F196" s="57"/>
      <c r="G196" s="59">
        <f>SUM(G197)</f>
        <v>0</v>
      </c>
      <c r="H196" s="59">
        <f t="shared" si="26"/>
        <v>0</v>
      </c>
      <c r="I196" s="59">
        <v>0</v>
      </c>
      <c r="J196" s="59">
        <v>0</v>
      </c>
      <c r="K196" s="59">
        <f t="shared" si="25"/>
        <v>0</v>
      </c>
      <c r="L196" s="59">
        <v>0</v>
      </c>
      <c r="M196" s="59">
        <f t="shared" si="24"/>
        <v>0</v>
      </c>
      <c r="N196" s="59">
        <v>0</v>
      </c>
      <c r="O196" s="59">
        <f t="shared" si="28"/>
        <v>0</v>
      </c>
      <c r="P196" s="59">
        <v>0</v>
      </c>
      <c r="Q196" s="59">
        <v>0</v>
      </c>
      <c r="R196" s="59">
        <f>IFERROR(VLOOKUP(C196,[6]IS_WTB!C$2:U$259,19,),)</f>
        <v>0</v>
      </c>
      <c r="S196" s="59">
        <v>0</v>
      </c>
      <c r="T196" s="58">
        <v>0</v>
      </c>
      <c r="U196" s="58">
        <v>0</v>
      </c>
      <c r="V196" s="58">
        <v>0</v>
      </c>
      <c r="W196" s="58">
        <v>0</v>
      </c>
      <c r="X196" s="58">
        <v>0</v>
      </c>
      <c r="Y196" s="58">
        <v>0</v>
      </c>
      <c r="Z196" s="58">
        <v>0</v>
      </c>
      <c r="AA196" s="58">
        <f>SUM(AA197)</f>
        <v>0</v>
      </c>
      <c r="AB196" s="59"/>
      <c r="AC196" s="59"/>
      <c r="AD196" s="63">
        <f t="shared" si="32"/>
        <v>0</v>
      </c>
      <c r="AE196" s="63">
        <f t="shared" si="29"/>
        <v>0</v>
      </c>
      <c r="AF196" s="60" t="str">
        <f t="shared" si="30"/>
        <v/>
      </c>
    </row>
    <row r="197" spans="1:33">
      <c r="B197" s="1" t="s">
        <v>284</v>
      </c>
      <c r="C197" s="2">
        <v>802190</v>
      </c>
      <c r="D197" s="2"/>
      <c r="E197" s="3" t="s">
        <v>388</v>
      </c>
      <c r="F197" s="3" t="s">
        <v>753</v>
      </c>
      <c r="G197" s="21">
        <v>0</v>
      </c>
      <c r="H197" s="21">
        <f t="shared" si="26"/>
        <v>0</v>
      </c>
      <c r="I197" s="21">
        <v>0</v>
      </c>
      <c r="J197" s="21">
        <v>0</v>
      </c>
      <c r="K197" s="21">
        <f t="shared" si="25"/>
        <v>0</v>
      </c>
      <c r="L197" s="21">
        <v>0</v>
      </c>
      <c r="M197" s="21">
        <f t="shared" si="24"/>
        <v>0</v>
      </c>
      <c r="N197" s="21">
        <v>0</v>
      </c>
      <c r="O197" s="21">
        <f t="shared" ref="O197:O202" si="33">S197-N197</f>
        <v>0</v>
      </c>
      <c r="P197" s="21">
        <v>0</v>
      </c>
      <c r="Q197" s="21">
        <v>0</v>
      </c>
      <c r="R197" s="21">
        <f>IFERROR(VLOOKUP(C197,[6]IS_WTB!C$2:U$259,19,),)</f>
        <v>0</v>
      </c>
      <c r="S197" s="21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f>-IFERROR(VLOOKUP(C197,'전사시산표(3단계)_1013'!$C:$L,10,0),0)</f>
        <v>0</v>
      </c>
      <c r="AB197" s="21"/>
      <c r="AC197" s="21"/>
      <c r="AD197" s="35">
        <f t="shared" si="32"/>
        <v>0</v>
      </c>
      <c r="AE197" s="35">
        <f t="shared" si="29"/>
        <v>0</v>
      </c>
      <c r="AF197" s="38" t="str">
        <f t="shared" si="30"/>
        <v/>
      </c>
    </row>
    <row r="198" spans="1:33">
      <c r="B198" s="64" t="s">
        <v>276</v>
      </c>
      <c r="C198" s="65">
        <v>8031</v>
      </c>
      <c r="D198" s="65"/>
      <c r="E198" s="66" t="s">
        <v>389</v>
      </c>
      <c r="F198" s="66"/>
      <c r="G198" s="61">
        <f>SUM(G199)</f>
        <v>0</v>
      </c>
      <c r="H198" s="61">
        <f t="shared" si="26"/>
        <v>0</v>
      </c>
      <c r="I198" s="61">
        <v>0</v>
      </c>
      <c r="J198" s="61">
        <v>0</v>
      </c>
      <c r="K198" s="61">
        <f t="shared" si="25"/>
        <v>0</v>
      </c>
      <c r="L198" s="61">
        <v>0</v>
      </c>
      <c r="M198" s="61">
        <f t="shared" si="24"/>
        <v>0</v>
      </c>
      <c r="N198" s="61">
        <v>0</v>
      </c>
      <c r="O198" s="61">
        <f t="shared" si="33"/>
        <v>0</v>
      </c>
      <c r="P198" s="61">
        <v>0</v>
      </c>
      <c r="Q198" s="61">
        <v>0</v>
      </c>
      <c r="R198" s="61">
        <f>IFERROR(VLOOKUP(C198,[6]IS_WTB!C$2:U$259,19,),)</f>
        <v>0</v>
      </c>
      <c r="S198" s="61">
        <v>0</v>
      </c>
      <c r="T198" s="520">
        <v>0</v>
      </c>
      <c r="U198" s="520">
        <v>0</v>
      </c>
      <c r="V198" s="520">
        <v>0</v>
      </c>
      <c r="W198" s="520">
        <v>0</v>
      </c>
      <c r="X198" s="520">
        <v>0</v>
      </c>
      <c r="Y198" s="520">
        <v>0</v>
      </c>
      <c r="Z198" s="520">
        <v>0</v>
      </c>
      <c r="AA198" s="520">
        <f>SUM(AA199)</f>
        <v>0</v>
      </c>
      <c r="AB198" s="61"/>
      <c r="AC198" s="61"/>
      <c r="AD198" s="67">
        <f t="shared" si="32"/>
        <v>0</v>
      </c>
      <c r="AE198" s="67">
        <f t="shared" si="29"/>
        <v>0</v>
      </c>
      <c r="AF198" s="62" t="str">
        <f t="shared" si="30"/>
        <v/>
      </c>
    </row>
    <row r="199" spans="1:33">
      <c r="B199" s="1" t="s">
        <v>284</v>
      </c>
      <c r="C199" s="2">
        <v>803190</v>
      </c>
      <c r="D199" s="2"/>
      <c r="E199" s="3" t="s">
        <v>390</v>
      </c>
      <c r="F199" s="3" t="s">
        <v>754</v>
      </c>
      <c r="G199" s="21">
        <v>0</v>
      </c>
      <c r="H199" s="21">
        <f t="shared" si="26"/>
        <v>0</v>
      </c>
      <c r="I199" s="21">
        <v>0</v>
      </c>
      <c r="J199" s="21">
        <v>0</v>
      </c>
      <c r="K199" s="21">
        <f t="shared" si="25"/>
        <v>0</v>
      </c>
      <c r="L199" s="21">
        <v>0</v>
      </c>
      <c r="M199" s="21">
        <f t="shared" si="24"/>
        <v>0</v>
      </c>
      <c r="N199" s="21">
        <v>0</v>
      </c>
      <c r="O199" s="21">
        <f t="shared" si="33"/>
        <v>0</v>
      </c>
      <c r="P199" s="21">
        <v>0</v>
      </c>
      <c r="Q199" s="21">
        <v>0</v>
      </c>
      <c r="R199" s="21">
        <f>IFERROR(VLOOKUP(C199,[6]IS_WTB!C$2:U$259,19,),)</f>
        <v>0</v>
      </c>
      <c r="S199" s="21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f>-IFERROR(VLOOKUP(C199,'전사시산표(3단계)_1013'!$C:$L,10,0),0)</f>
        <v>0</v>
      </c>
      <c r="AB199" s="21"/>
      <c r="AC199" s="21"/>
      <c r="AD199" s="35">
        <f t="shared" si="32"/>
        <v>0</v>
      </c>
      <c r="AE199" s="35">
        <f t="shared" si="29"/>
        <v>0</v>
      </c>
      <c r="AF199" s="38" t="str">
        <f t="shared" si="30"/>
        <v/>
      </c>
    </row>
    <row r="200" spans="1:33">
      <c r="B200" s="64" t="s">
        <v>276</v>
      </c>
      <c r="C200" s="65">
        <v>8121</v>
      </c>
      <c r="D200" s="65"/>
      <c r="E200" s="66" t="s">
        <v>762</v>
      </c>
      <c r="F200" s="66"/>
      <c r="G200" s="61">
        <f>SUM(G201:G202)</f>
        <v>0</v>
      </c>
      <c r="H200" s="61">
        <f t="shared" si="26"/>
        <v>0</v>
      </c>
      <c r="I200" s="61">
        <v>0</v>
      </c>
      <c r="J200" s="61">
        <v>4517190</v>
      </c>
      <c r="K200" s="61">
        <f t="shared" si="25"/>
        <v>56186708</v>
      </c>
      <c r="L200" s="61">
        <v>60703898</v>
      </c>
      <c r="M200" s="61">
        <f t="shared" si="24"/>
        <v>0</v>
      </c>
      <c r="N200" s="61">
        <v>60703898</v>
      </c>
      <c r="O200" s="61">
        <f t="shared" si="33"/>
        <v>149281629</v>
      </c>
      <c r="P200" s="61">
        <v>78371898</v>
      </c>
      <c r="Q200" s="61">
        <v>0</v>
      </c>
      <c r="R200" s="61">
        <f>IFERROR(VLOOKUP(C200,[6]IS_WTB!C$2:U$259,19,),)</f>
        <v>228416900</v>
      </c>
      <c r="S200" s="61">
        <v>209985527</v>
      </c>
      <c r="T200" s="520">
        <v>209985527</v>
      </c>
      <c r="U200" s="520">
        <v>1917182</v>
      </c>
      <c r="V200" s="520">
        <v>10705915</v>
      </c>
      <c r="W200" s="520">
        <v>10705915</v>
      </c>
      <c r="X200" s="520">
        <v>10705915</v>
      </c>
      <c r="Y200" s="520">
        <v>0</v>
      </c>
      <c r="Z200" s="520">
        <v>27145533</v>
      </c>
      <c r="AA200" s="520">
        <f>SUM(AA201:AA202)</f>
        <v>27145533</v>
      </c>
      <c r="AB200" s="61"/>
      <c r="AC200" s="61"/>
      <c r="AD200" s="67">
        <f t="shared" si="32"/>
        <v>27145533</v>
      </c>
      <c r="AE200" s="67">
        <f t="shared" si="29"/>
        <v>27145533</v>
      </c>
      <c r="AF200" s="62">
        <f t="shared" si="30"/>
        <v>0.12927335225346268</v>
      </c>
    </row>
    <row r="201" spans="1:33" s="11" customFormat="1">
      <c r="A201" s="24"/>
      <c r="B201" s="1" t="s">
        <v>284</v>
      </c>
      <c r="C201" s="2">
        <v>812100</v>
      </c>
      <c r="D201" s="401">
        <v>9131</v>
      </c>
      <c r="E201" s="3" t="s">
        <v>391</v>
      </c>
      <c r="F201" s="3" t="s">
        <v>763</v>
      </c>
      <c r="G201" s="21">
        <v>0</v>
      </c>
      <c r="H201" s="21">
        <f t="shared" si="26"/>
        <v>0</v>
      </c>
      <c r="I201" s="21">
        <v>0</v>
      </c>
      <c r="J201" s="21">
        <v>4517190</v>
      </c>
      <c r="K201" s="21">
        <f t="shared" si="25"/>
        <v>8739500</v>
      </c>
      <c r="L201" s="21">
        <v>13256690</v>
      </c>
      <c r="M201" s="21">
        <f t="shared" si="24"/>
        <v>0</v>
      </c>
      <c r="N201" s="21">
        <v>13256690</v>
      </c>
      <c r="O201" s="21">
        <f t="shared" si="33"/>
        <v>196453037</v>
      </c>
      <c r="P201" s="21">
        <v>30924690</v>
      </c>
      <c r="Q201" s="21">
        <v>0</v>
      </c>
      <c r="R201" s="21">
        <f>IFERROR(VLOOKUP(C201,[6]IS_WTB!C$2:U$259,19,),)</f>
        <v>228141100</v>
      </c>
      <c r="S201" s="21">
        <v>209709727</v>
      </c>
      <c r="T201" s="30">
        <v>209709727</v>
      </c>
      <c r="U201" s="30">
        <v>1917182</v>
      </c>
      <c r="V201" s="30">
        <v>10705915</v>
      </c>
      <c r="W201" s="30">
        <v>10705915</v>
      </c>
      <c r="X201" s="30">
        <v>10705915</v>
      </c>
      <c r="Y201" s="30">
        <v>0</v>
      </c>
      <c r="Z201" s="30">
        <v>27145533</v>
      </c>
      <c r="AA201" s="30">
        <f>-IFERROR(VLOOKUP(C201,'전사시산표(3단계)_1013'!$C:$L,10,0),0)</f>
        <v>27145533</v>
      </c>
      <c r="AB201" s="21"/>
      <c r="AC201" s="21"/>
      <c r="AD201" s="35">
        <f t="shared" si="32"/>
        <v>27145533</v>
      </c>
      <c r="AE201" s="35">
        <f t="shared" si="29"/>
        <v>27145533</v>
      </c>
      <c r="AF201" s="38">
        <f t="shared" si="30"/>
        <v>0.12944336625835196</v>
      </c>
      <c r="AG201" s="248"/>
    </row>
    <row r="202" spans="1:33" s="11" customFormat="1">
      <c r="A202" s="24"/>
      <c r="B202" s="1" t="s">
        <v>284</v>
      </c>
      <c r="C202" s="2">
        <v>812200</v>
      </c>
      <c r="D202" s="401">
        <v>9132</v>
      </c>
      <c r="E202" s="3" t="s">
        <v>392</v>
      </c>
      <c r="F202" s="3" t="s">
        <v>763</v>
      </c>
      <c r="G202" s="21">
        <v>0</v>
      </c>
      <c r="H202" s="21">
        <f t="shared" si="26"/>
        <v>0</v>
      </c>
      <c r="I202" s="21">
        <v>0</v>
      </c>
      <c r="J202" s="21">
        <v>0</v>
      </c>
      <c r="K202" s="21">
        <f t="shared" si="25"/>
        <v>47447208</v>
      </c>
      <c r="L202" s="21">
        <v>47447208</v>
      </c>
      <c r="M202" s="21">
        <f t="shared" si="24"/>
        <v>0</v>
      </c>
      <c r="N202" s="21">
        <v>47447208</v>
      </c>
      <c r="O202" s="21">
        <f t="shared" si="33"/>
        <v>-47171408</v>
      </c>
      <c r="P202" s="21">
        <v>47447208</v>
      </c>
      <c r="Q202" s="21">
        <v>0</v>
      </c>
      <c r="R202" s="21">
        <f>IFERROR(VLOOKUP(C202,[6]IS_WTB!C$2:U$259,19,),)</f>
        <v>275800</v>
      </c>
      <c r="S202" s="21">
        <v>275800</v>
      </c>
      <c r="T202" s="30">
        <v>275800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f>-IFERROR(VLOOKUP(C202,'전사시산표(3단계)_1013'!$C:$L,10,0),0)</f>
        <v>0</v>
      </c>
      <c r="AB202" s="21"/>
      <c r="AC202" s="21"/>
      <c r="AD202" s="35">
        <f t="shared" si="32"/>
        <v>0</v>
      </c>
      <c r="AE202" s="35">
        <f t="shared" si="29"/>
        <v>0</v>
      </c>
      <c r="AF202" s="38">
        <f t="shared" si="30"/>
        <v>0</v>
      </c>
    </row>
    <row r="203" spans="1:33">
      <c r="A203" s="24"/>
      <c r="B203" s="64" t="s">
        <v>276</v>
      </c>
      <c r="C203" s="65">
        <v>8123</v>
      </c>
      <c r="D203" s="65"/>
      <c r="E203" s="66" t="s">
        <v>1214</v>
      </c>
      <c r="F203" s="66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>
        <v>0</v>
      </c>
      <c r="R203" s="61">
        <f>IFERROR(VLOOKUP(C203,[6]IS_WTB!C$2:U$259,19,),)</f>
        <v>0</v>
      </c>
      <c r="S203" s="61"/>
      <c r="T203" s="520">
        <v>651729</v>
      </c>
      <c r="U203" s="520">
        <v>0</v>
      </c>
      <c r="V203" s="520">
        <v>0</v>
      </c>
      <c r="W203" s="520">
        <v>0</v>
      </c>
      <c r="X203" s="520">
        <v>0</v>
      </c>
      <c r="Y203" s="520">
        <v>0</v>
      </c>
      <c r="Z203" s="520">
        <v>8319170</v>
      </c>
      <c r="AA203" s="520">
        <f>SUM(AA204)</f>
        <v>8938835</v>
      </c>
      <c r="AB203" s="61"/>
      <c r="AC203" s="61"/>
      <c r="AD203" s="67">
        <f t="shared" si="32"/>
        <v>8938835</v>
      </c>
      <c r="AE203" s="67">
        <f t="shared" si="29"/>
        <v>8938835</v>
      </c>
      <c r="AF203" s="62">
        <f t="shared" si="30"/>
        <v>13.715570428813203</v>
      </c>
    </row>
    <row r="204" spans="1:33">
      <c r="B204" s="1" t="s">
        <v>285</v>
      </c>
      <c r="C204" s="2">
        <v>812300</v>
      </c>
      <c r="D204" s="401"/>
      <c r="E204" s="3" t="s">
        <v>1215</v>
      </c>
      <c r="F204" s="3" t="s">
        <v>1215</v>
      </c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>
        <v>0</v>
      </c>
      <c r="R204" s="21">
        <f>IFERROR(VLOOKUP(C204,[6]IS_WTB!C$2:U$259,19,),)</f>
        <v>0</v>
      </c>
      <c r="S204" s="21">
        <v>0</v>
      </c>
      <c r="T204" s="30">
        <v>651729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8319170</v>
      </c>
      <c r="AA204" s="30">
        <f>-IFERROR(VLOOKUP(C204,'전사시산표(3단계)_1013'!$C:$L,10,0),0)</f>
        <v>8938835</v>
      </c>
      <c r="AB204" s="21"/>
      <c r="AC204" s="21"/>
      <c r="AD204" s="35">
        <f t="shared" si="32"/>
        <v>8938835</v>
      </c>
      <c r="AE204" s="35">
        <f t="shared" si="29"/>
        <v>8938835</v>
      </c>
      <c r="AF204" s="38">
        <f t="shared" si="30"/>
        <v>13.715570428813203</v>
      </c>
      <c r="AG204" s="187"/>
    </row>
    <row r="205" spans="1:33">
      <c r="B205" s="64" t="s">
        <v>276</v>
      </c>
      <c r="C205" s="65">
        <v>8151</v>
      </c>
      <c r="D205" s="65"/>
      <c r="E205" s="66" t="s">
        <v>393</v>
      </c>
      <c r="F205" s="66"/>
      <c r="G205" s="61">
        <f>SUM(G206)</f>
        <v>268</v>
      </c>
      <c r="H205" s="61">
        <f t="shared" si="26"/>
        <v>38348964</v>
      </c>
      <c r="I205" s="61">
        <v>38349232</v>
      </c>
      <c r="J205" s="61">
        <v>885558</v>
      </c>
      <c r="K205" s="61">
        <f t="shared" si="25"/>
        <v>348678</v>
      </c>
      <c r="L205" s="61">
        <v>1234236</v>
      </c>
      <c r="M205" s="61">
        <f t="shared" ref="M205:M276" si="34">N205-L205</f>
        <v>211989</v>
      </c>
      <c r="N205" s="61">
        <v>1446225</v>
      </c>
      <c r="O205" s="61">
        <f t="shared" ref="O205:O218" si="35">S205-N205</f>
        <v>187121118</v>
      </c>
      <c r="P205" s="61">
        <v>744204537</v>
      </c>
      <c r="Q205" s="61">
        <v>8423716</v>
      </c>
      <c r="R205" s="61">
        <f>IFERROR(VLOOKUP(C205,[6]IS_WTB!C$2:U$259,19,),)</f>
        <v>136944591</v>
      </c>
      <c r="S205" s="61">
        <v>188567343</v>
      </c>
      <c r="T205" s="520">
        <v>236865421</v>
      </c>
      <c r="U205" s="520">
        <v>61512263</v>
      </c>
      <c r="V205" s="520">
        <v>105282782</v>
      </c>
      <c r="W205" s="520">
        <v>193420674</v>
      </c>
      <c r="X205" s="520">
        <v>282113193</v>
      </c>
      <c r="Y205" s="520">
        <v>41596198</v>
      </c>
      <c r="Z205" s="520">
        <v>84511848</v>
      </c>
      <c r="AA205" s="520">
        <f>SUM(AA206:AA207)</f>
        <v>121789687</v>
      </c>
      <c r="AB205" s="61"/>
      <c r="AC205" s="61"/>
      <c r="AD205" s="67">
        <f t="shared" si="32"/>
        <v>121789687</v>
      </c>
      <c r="AE205" s="67">
        <f t="shared" si="29"/>
        <v>113365971</v>
      </c>
      <c r="AF205" s="62">
        <f t="shared" si="30"/>
        <v>0.47860920568899756</v>
      </c>
    </row>
    <row r="206" spans="1:33">
      <c r="B206" s="1" t="s">
        <v>843</v>
      </c>
      <c r="C206" s="2">
        <v>815190</v>
      </c>
      <c r="D206" s="401">
        <v>9393</v>
      </c>
      <c r="E206" s="3" t="s">
        <v>394</v>
      </c>
      <c r="F206" s="3" t="s">
        <v>844</v>
      </c>
      <c r="G206" s="21">
        <v>268</v>
      </c>
      <c r="H206" s="21">
        <f t="shared" si="26"/>
        <v>38348964</v>
      </c>
      <c r="I206" s="21">
        <v>38349232</v>
      </c>
      <c r="J206" s="21">
        <v>17922</v>
      </c>
      <c r="K206" s="21">
        <f t="shared" ref="K206:K276" si="36">L206-J206</f>
        <v>348678</v>
      </c>
      <c r="L206" s="21">
        <v>366600</v>
      </c>
      <c r="M206" s="21">
        <f t="shared" si="34"/>
        <v>211989</v>
      </c>
      <c r="N206" s="21">
        <v>578589</v>
      </c>
      <c r="O206" s="21">
        <f t="shared" si="35"/>
        <v>187988754</v>
      </c>
      <c r="P206" s="21">
        <v>743336901</v>
      </c>
      <c r="Q206" s="21">
        <v>8423716</v>
      </c>
      <c r="R206" s="21">
        <f>IFERROR(VLOOKUP(C206,[6]IS_WTB!C$2:U$259,19,),)</f>
        <v>136944591</v>
      </c>
      <c r="S206" s="21">
        <v>188567343</v>
      </c>
      <c r="T206" s="30">
        <v>236865421</v>
      </c>
      <c r="U206" s="30">
        <v>61220663</v>
      </c>
      <c r="V206" s="30">
        <v>104628806</v>
      </c>
      <c r="W206" s="30">
        <v>192766698</v>
      </c>
      <c r="X206" s="30">
        <v>281459217</v>
      </c>
      <c r="Y206" s="30">
        <v>41596198</v>
      </c>
      <c r="Z206" s="30">
        <v>84511848</v>
      </c>
      <c r="AA206" s="30">
        <f>-IFERROR(VLOOKUP(C206,'전사시산표(3단계)_1013'!$C:$L,10,0),0)</f>
        <v>121789687</v>
      </c>
      <c r="AB206" s="21"/>
      <c r="AC206" s="21"/>
      <c r="AD206" s="35">
        <f t="shared" si="32"/>
        <v>121789687</v>
      </c>
      <c r="AE206" s="35">
        <f t="shared" si="29"/>
        <v>113365971</v>
      </c>
      <c r="AF206" s="38">
        <f t="shared" si="30"/>
        <v>0.47860920568899756</v>
      </c>
    </row>
    <row r="207" spans="1:33" ht="17.25" thickBot="1">
      <c r="B207" s="205" t="s">
        <v>825</v>
      </c>
      <c r="C207" s="186">
        <v>815100</v>
      </c>
      <c r="D207" s="406">
        <v>9393</v>
      </c>
      <c r="E207" s="10" t="s">
        <v>819</v>
      </c>
      <c r="F207" s="10" t="s">
        <v>835</v>
      </c>
      <c r="G207" s="42">
        <v>0</v>
      </c>
      <c r="H207" s="42">
        <f t="shared" si="26"/>
        <v>0</v>
      </c>
      <c r="I207" s="42">
        <v>0</v>
      </c>
      <c r="J207" s="42">
        <v>867636</v>
      </c>
      <c r="K207" s="42">
        <f t="shared" si="36"/>
        <v>0</v>
      </c>
      <c r="L207" s="36">
        <v>867636</v>
      </c>
      <c r="M207" s="36">
        <f t="shared" si="34"/>
        <v>0</v>
      </c>
      <c r="N207" s="36">
        <v>867636</v>
      </c>
      <c r="O207" s="36">
        <f t="shared" si="35"/>
        <v>-867636</v>
      </c>
      <c r="P207" s="36">
        <v>867636</v>
      </c>
      <c r="Q207" s="36">
        <v>0</v>
      </c>
      <c r="R207" s="36">
        <f>IFERROR(VLOOKUP(C207,[6]IS_WTB!C$2:U$259,19,),)</f>
        <v>0</v>
      </c>
      <c r="S207" s="36">
        <v>0</v>
      </c>
      <c r="T207" s="39">
        <v>0</v>
      </c>
      <c r="U207" s="39">
        <v>291600</v>
      </c>
      <c r="V207" s="39">
        <v>653976</v>
      </c>
      <c r="W207" s="39">
        <v>653976</v>
      </c>
      <c r="X207" s="39">
        <v>653976</v>
      </c>
      <c r="Y207" s="39">
        <v>0</v>
      </c>
      <c r="Z207" s="39">
        <v>0</v>
      </c>
      <c r="AA207" s="39">
        <f>-IFERROR(VLOOKUP(C207,'전사시산표(3단계)_1013'!$C:$L,10,0),0)</f>
        <v>0</v>
      </c>
      <c r="AB207" s="36"/>
      <c r="AC207" s="36"/>
      <c r="AD207" s="37">
        <f t="shared" si="32"/>
        <v>0</v>
      </c>
      <c r="AE207" s="206">
        <f t="shared" si="29"/>
        <v>0</v>
      </c>
      <c r="AF207" s="208" t="str">
        <f t="shared" si="30"/>
        <v/>
      </c>
    </row>
    <row r="208" spans="1:33" ht="17.25" thickBot="1">
      <c r="B208" s="44" t="s">
        <v>275</v>
      </c>
      <c r="C208" s="49" t="s">
        <v>453</v>
      </c>
      <c r="D208" s="404"/>
      <c r="E208" s="46" t="s">
        <v>455</v>
      </c>
      <c r="F208" s="46"/>
      <c r="G208" s="50">
        <f>-SUM(G209,G213,G216,G221,G223)</f>
        <v>0</v>
      </c>
      <c r="H208" s="50">
        <f t="shared" ref="H208:H276" si="37">I208-G208</f>
        <v>-1815854760</v>
      </c>
      <c r="I208" s="50">
        <v>-1815854760</v>
      </c>
      <c r="J208" s="50">
        <v>-2882061</v>
      </c>
      <c r="K208" s="50">
        <f t="shared" si="36"/>
        <v>-314230765</v>
      </c>
      <c r="L208" s="50">
        <v>-317112826</v>
      </c>
      <c r="M208" s="50">
        <f t="shared" si="34"/>
        <v>-37522939</v>
      </c>
      <c r="N208" s="50">
        <v>-354635765</v>
      </c>
      <c r="O208" s="50">
        <f t="shared" si="35"/>
        <v>102011128</v>
      </c>
      <c r="P208" s="50">
        <v>-571617997</v>
      </c>
      <c r="Q208" s="50">
        <v>-246081066</v>
      </c>
      <c r="R208" s="50">
        <v>-241280710</v>
      </c>
      <c r="S208" s="50">
        <v>-252624637</v>
      </c>
      <c r="T208" s="52">
        <v>-509105258</v>
      </c>
      <c r="U208" s="52">
        <v>5755919</v>
      </c>
      <c r="V208" s="52">
        <v>-114553973</v>
      </c>
      <c r="W208" s="52">
        <v>-1618503171</v>
      </c>
      <c r="X208" s="52">
        <v>-1674354586</v>
      </c>
      <c r="Y208" s="52">
        <v>-10045696</v>
      </c>
      <c r="Z208" s="52">
        <v>-312018827</v>
      </c>
      <c r="AA208" s="52">
        <f>-SUM(AA209,AA213,AA216,AA219,AA221,AA223)</f>
        <v>-546926511</v>
      </c>
      <c r="AB208" s="50"/>
      <c r="AC208" s="50"/>
      <c r="AD208" s="51">
        <f t="shared" ref="AD208:AD226" si="38">AA208+AB208-AC208</f>
        <v>-546926511</v>
      </c>
      <c r="AE208" s="51">
        <f t="shared" si="29"/>
        <v>-300845445</v>
      </c>
      <c r="AF208" s="53">
        <f t="shared" si="30"/>
        <v>0.59092975425525851</v>
      </c>
    </row>
    <row r="209" spans="1:33">
      <c r="B209" s="55" t="s">
        <v>276</v>
      </c>
      <c r="C209" s="56">
        <v>8181</v>
      </c>
      <c r="D209" s="56"/>
      <c r="E209" s="57" t="s">
        <v>395</v>
      </c>
      <c r="F209" s="57"/>
      <c r="G209" s="59">
        <f>SUM(G210:G212)</f>
        <v>0</v>
      </c>
      <c r="H209" s="59">
        <f t="shared" si="37"/>
        <v>0</v>
      </c>
      <c r="I209" s="59">
        <v>0</v>
      </c>
      <c r="J209" s="59">
        <v>0</v>
      </c>
      <c r="K209" s="59">
        <f t="shared" si="36"/>
        <v>541969</v>
      </c>
      <c r="L209" s="59">
        <v>541969</v>
      </c>
      <c r="M209" s="59">
        <f t="shared" si="34"/>
        <v>5000354</v>
      </c>
      <c r="N209" s="59">
        <v>5542323</v>
      </c>
      <c r="O209" s="59">
        <f t="shared" si="35"/>
        <v>116833387</v>
      </c>
      <c r="P209" s="59">
        <v>5542323</v>
      </c>
      <c r="Q209" s="59">
        <v>109029000</v>
      </c>
      <c r="R209" s="59">
        <f>IFERROR(VLOOKUP(C209,[6]IS_WTB!C$2:U$259,19,),)</f>
        <v>111372320</v>
      </c>
      <c r="S209" s="59">
        <v>122375710</v>
      </c>
      <c r="T209" s="58">
        <v>181843970</v>
      </c>
      <c r="U209" s="58">
        <v>293960</v>
      </c>
      <c r="V209" s="58">
        <v>80383325</v>
      </c>
      <c r="W209" s="58">
        <v>80383325</v>
      </c>
      <c r="X209" s="58">
        <v>95474502</v>
      </c>
      <c r="Y209" s="58">
        <v>10000000</v>
      </c>
      <c r="Z209" s="58">
        <v>22432395</v>
      </c>
      <c r="AA209" s="58">
        <f>SUM(AA210:AA212)</f>
        <v>22432395</v>
      </c>
      <c r="AB209" s="59"/>
      <c r="AC209" s="59"/>
      <c r="AD209" s="63">
        <f t="shared" si="38"/>
        <v>22432395</v>
      </c>
      <c r="AE209" s="63">
        <f t="shared" si="29"/>
        <v>-86596605</v>
      </c>
      <c r="AF209" s="60">
        <f t="shared" si="30"/>
        <v>-0.47621378371798634</v>
      </c>
    </row>
    <row r="210" spans="1:33">
      <c r="B210" s="1" t="s">
        <v>284</v>
      </c>
      <c r="C210" s="2">
        <v>829100</v>
      </c>
      <c r="D210" s="2"/>
      <c r="E210" s="3" t="s">
        <v>396</v>
      </c>
      <c r="F210" s="3" t="s">
        <v>755</v>
      </c>
      <c r="G210" s="21">
        <v>0</v>
      </c>
      <c r="H210" s="21">
        <f t="shared" si="37"/>
        <v>0</v>
      </c>
      <c r="I210" s="21">
        <v>0</v>
      </c>
      <c r="J210" s="21">
        <v>0</v>
      </c>
      <c r="K210" s="21">
        <f t="shared" si="36"/>
        <v>0</v>
      </c>
      <c r="L210" s="21">
        <v>0</v>
      </c>
      <c r="M210" s="21">
        <f t="shared" si="34"/>
        <v>0</v>
      </c>
      <c r="N210" s="21">
        <v>0</v>
      </c>
      <c r="O210" s="21">
        <f t="shared" si="35"/>
        <v>107127500</v>
      </c>
      <c r="P210" s="21">
        <v>0</v>
      </c>
      <c r="Q210" s="21">
        <v>105050000</v>
      </c>
      <c r="R210" s="21">
        <f>IFERROR(VLOOKUP(C210,[6]IS_WTB!C$2:U$259,19,),)</f>
        <v>107127500</v>
      </c>
      <c r="S210" s="21">
        <v>107127500</v>
      </c>
      <c r="T210" s="30">
        <v>114027500</v>
      </c>
      <c r="U210" s="30">
        <v>0</v>
      </c>
      <c r="V210" s="30">
        <v>0</v>
      </c>
      <c r="W210" s="30">
        <v>0</v>
      </c>
      <c r="X210" s="30">
        <v>15000000</v>
      </c>
      <c r="Y210" s="30">
        <v>10000000</v>
      </c>
      <c r="Z210" s="30">
        <v>10000000</v>
      </c>
      <c r="AA210" s="30">
        <f>IFERROR(VLOOKUP(C210,'전사시산표(3단계)_1013'!$C:$L,10,0),0)</f>
        <v>10000000</v>
      </c>
      <c r="AB210" s="21"/>
      <c r="AC210" s="21"/>
      <c r="AD210" s="35">
        <f t="shared" si="38"/>
        <v>10000000</v>
      </c>
      <c r="AE210" s="35">
        <f t="shared" si="29"/>
        <v>-95050000</v>
      </c>
      <c r="AF210" s="38">
        <f t="shared" si="30"/>
        <v>-0.83357084913726953</v>
      </c>
    </row>
    <row r="211" spans="1:33">
      <c r="B211" s="1" t="s">
        <v>284</v>
      </c>
      <c r="C211" s="2">
        <v>829200</v>
      </c>
      <c r="D211" s="401">
        <v>9662</v>
      </c>
      <c r="E211" s="3" t="s">
        <v>397</v>
      </c>
      <c r="F211" s="3" t="s">
        <v>756</v>
      </c>
      <c r="G211" s="21">
        <v>0</v>
      </c>
      <c r="H211" s="21">
        <f t="shared" si="37"/>
        <v>0</v>
      </c>
      <c r="I211" s="21">
        <v>0</v>
      </c>
      <c r="J211" s="21">
        <v>0</v>
      </c>
      <c r="K211" s="21">
        <f t="shared" si="36"/>
        <v>541969</v>
      </c>
      <c r="L211" s="21">
        <v>541969</v>
      </c>
      <c r="M211" s="21">
        <f t="shared" si="34"/>
        <v>5000354</v>
      </c>
      <c r="N211" s="21">
        <v>5542323</v>
      </c>
      <c r="O211" s="21">
        <f t="shared" si="35"/>
        <v>9705887</v>
      </c>
      <c r="P211" s="21">
        <v>5542323</v>
      </c>
      <c r="Q211" s="21">
        <v>3979000</v>
      </c>
      <c r="R211" s="21">
        <f>IFERROR(VLOOKUP(C211,[6]IS_WTB!C$2:U$259,19,),)</f>
        <v>4244820</v>
      </c>
      <c r="S211" s="21">
        <v>15248210</v>
      </c>
      <c r="T211" s="30">
        <v>17816470</v>
      </c>
      <c r="U211" s="30">
        <v>293960</v>
      </c>
      <c r="V211" s="30">
        <v>383325</v>
      </c>
      <c r="W211" s="30">
        <v>383325</v>
      </c>
      <c r="X211" s="30">
        <v>474502</v>
      </c>
      <c r="Y211" s="30">
        <v>0</v>
      </c>
      <c r="Z211" s="30">
        <v>12432395</v>
      </c>
      <c r="AA211" s="30">
        <f>IFERROR(VLOOKUP(C211,'전사시산표(3단계)_1013'!$C:$L,10,0),0)</f>
        <v>12432395</v>
      </c>
      <c r="AB211" s="21"/>
      <c r="AC211" s="21"/>
      <c r="AD211" s="35">
        <f t="shared" si="38"/>
        <v>12432395</v>
      </c>
      <c r="AE211" s="35">
        <f t="shared" si="29"/>
        <v>8453395</v>
      </c>
      <c r="AF211" s="38">
        <f t="shared" si="30"/>
        <v>0.47447081268062641</v>
      </c>
    </row>
    <row r="212" spans="1:33">
      <c r="B212" s="1" t="s">
        <v>284</v>
      </c>
      <c r="C212" s="2">
        <v>829300</v>
      </c>
      <c r="D212" s="2"/>
      <c r="E212" s="3" t="s">
        <v>398</v>
      </c>
      <c r="F212" s="3" t="s">
        <v>755</v>
      </c>
      <c r="G212" s="21">
        <v>0</v>
      </c>
      <c r="H212" s="21">
        <f t="shared" si="37"/>
        <v>0</v>
      </c>
      <c r="I212" s="21">
        <v>0</v>
      </c>
      <c r="J212" s="21">
        <v>0</v>
      </c>
      <c r="K212" s="21">
        <f t="shared" si="36"/>
        <v>0</v>
      </c>
      <c r="L212" s="21">
        <v>0</v>
      </c>
      <c r="M212" s="21">
        <f t="shared" si="34"/>
        <v>0</v>
      </c>
      <c r="N212" s="21">
        <v>0</v>
      </c>
      <c r="O212" s="21">
        <f t="shared" si="35"/>
        <v>0</v>
      </c>
      <c r="P212" s="21">
        <v>0</v>
      </c>
      <c r="Q212" s="21">
        <v>0</v>
      </c>
      <c r="R212" s="21">
        <f>IFERROR(VLOOKUP(C212,[6]IS_WTB!C$2:U$259,19,),)</f>
        <v>0</v>
      </c>
      <c r="S212" s="21">
        <v>0</v>
      </c>
      <c r="T212" s="30">
        <v>50000000</v>
      </c>
      <c r="U212" s="30">
        <v>0</v>
      </c>
      <c r="V212" s="30">
        <v>80000000</v>
      </c>
      <c r="W212" s="30">
        <v>80000000</v>
      </c>
      <c r="X212" s="30">
        <v>80000000</v>
      </c>
      <c r="Y212" s="30">
        <v>0</v>
      </c>
      <c r="Z212" s="30">
        <v>0</v>
      </c>
      <c r="AA212" s="30">
        <f>IFERROR(VLOOKUP(C212,'전사시산표(3단계)_1013'!$C:$L,10,0),0)</f>
        <v>0</v>
      </c>
      <c r="AB212" s="21"/>
      <c r="AC212" s="21"/>
      <c r="AD212" s="35">
        <f t="shared" si="38"/>
        <v>0</v>
      </c>
      <c r="AE212" s="35">
        <f t="shared" si="29"/>
        <v>0</v>
      </c>
      <c r="AF212" s="38">
        <f t="shared" si="30"/>
        <v>0</v>
      </c>
    </row>
    <row r="213" spans="1:33">
      <c r="B213" s="64" t="s">
        <v>276</v>
      </c>
      <c r="C213" s="65">
        <v>8211</v>
      </c>
      <c r="D213" s="65"/>
      <c r="E213" s="66" t="s">
        <v>399</v>
      </c>
      <c r="F213" s="66"/>
      <c r="G213" s="61">
        <f>SUM(G214:G215)</f>
        <v>0</v>
      </c>
      <c r="H213" s="61">
        <f t="shared" si="37"/>
        <v>900464600</v>
      </c>
      <c r="I213" s="61">
        <v>900464600</v>
      </c>
      <c r="J213" s="61">
        <v>7823</v>
      </c>
      <c r="K213" s="61">
        <f t="shared" si="36"/>
        <v>59803076</v>
      </c>
      <c r="L213" s="61">
        <v>59810899</v>
      </c>
      <c r="M213" s="61">
        <f t="shared" si="34"/>
        <v>32521743</v>
      </c>
      <c r="N213" s="61">
        <v>92332642</v>
      </c>
      <c r="O213" s="61">
        <f t="shared" si="35"/>
        <v>-82226151</v>
      </c>
      <c r="P213" s="61">
        <v>225542519</v>
      </c>
      <c r="Q213" s="61">
        <v>18582692</v>
      </c>
      <c r="R213" s="61">
        <f>IFERROR(VLOOKUP(C213,[6]IS_WTB!C$2:U$259,19,),)</f>
        <v>10111280</v>
      </c>
      <c r="S213" s="61">
        <v>10106491</v>
      </c>
      <c r="T213" s="520">
        <v>194284884</v>
      </c>
      <c r="U213" s="520">
        <v>-7618696</v>
      </c>
      <c r="V213" s="520">
        <v>-9126780</v>
      </c>
      <c r="W213" s="520">
        <v>1410456399</v>
      </c>
      <c r="X213" s="520">
        <v>1430983671</v>
      </c>
      <c r="Y213" s="520">
        <v>41475</v>
      </c>
      <c r="Z213" s="520">
        <v>43186</v>
      </c>
      <c r="AA213" s="520">
        <f>SUM(AA214:AA215)</f>
        <v>13444</v>
      </c>
      <c r="AB213" s="61"/>
      <c r="AC213" s="61"/>
      <c r="AD213" s="67">
        <f t="shared" si="38"/>
        <v>13444</v>
      </c>
      <c r="AE213" s="67">
        <f t="shared" si="29"/>
        <v>-18569248</v>
      </c>
      <c r="AF213" s="62">
        <f t="shared" si="30"/>
        <v>-9.5577420217622278E-2</v>
      </c>
    </row>
    <row r="214" spans="1:33">
      <c r="B214" s="1" t="s">
        <v>284</v>
      </c>
      <c r="C214" s="2">
        <v>821100</v>
      </c>
      <c r="D214" s="401">
        <v>9681</v>
      </c>
      <c r="E214" s="3" t="s">
        <v>400</v>
      </c>
      <c r="F214" s="3" t="s">
        <v>757</v>
      </c>
      <c r="G214" s="21">
        <v>0</v>
      </c>
      <c r="H214" s="21">
        <f t="shared" si="37"/>
        <v>22000000</v>
      </c>
      <c r="I214" s="21">
        <v>22000000</v>
      </c>
      <c r="J214" s="21">
        <v>7823</v>
      </c>
      <c r="K214" s="21">
        <f t="shared" si="36"/>
        <v>59803076</v>
      </c>
      <c r="L214" s="21">
        <v>59810899</v>
      </c>
      <c r="M214" s="21">
        <f t="shared" si="34"/>
        <v>32521743</v>
      </c>
      <c r="N214" s="21">
        <v>92332642</v>
      </c>
      <c r="O214" s="21">
        <f t="shared" si="35"/>
        <v>-82438171</v>
      </c>
      <c r="P214" s="21">
        <v>202060346</v>
      </c>
      <c r="Q214" s="21">
        <v>18370672</v>
      </c>
      <c r="R214" s="21">
        <f>IFERROR(VLOOKUP(C214,[6]IS_WTB!C$2:U$259,19,),)</f>
        <v>9899260</v>
      </c>
      <c r="S214" s="21">
        <v>9894471</v>
      </c>
      <c r="T214" s="30">
        <v>194072864</v>
      </c>
      <c r="U214" s="30">
        <v>-7618696</v>
      </c>
      <c r="V214" s="30">
        <v>-9126780</v>
      </c>
      <c r="W214" s="30">
        <v>1410456399</v>
      </c>
      <c r="X214" s="30">
        <v>1430338201</v>
      </c>
      <c r="Y214" s="30">
        <v>21885</v>
      </c>
      <c r="Z214" s="30">
        <v>23596</v>
      </c>
      <c r="AA214" s="30">
        <f>IFERROR(VLOOKUP(C214,'전사시산표(3단계)_1013'!$C:$L,10,0),0)</f>
        <v>-6146</v>
      </c>
      <c r="AB214" s="21"/>
      <c r="AC214" s="21"/>
      <c r="AD214" s="35">
        <f t="shared" si="38"/>
        <v>-6146</v>
      </c>
      <c r="AE214" s="35">
        <f t="shared" si="29"/>
        <v>-18376818</v>
      </c>
      <c r="AF214" s="38">
        <f t="shared" si="30"/>
        <v>-9.4690301473574379E-2</v>
      </c>
    </row>
    <row r="215" spans="1:33">
      <c r="B215" s="1" t="s">
        <v>284</v>
      </c>
      <c r="C215" s="2">
        <v>821190</v>
      </c>
      <c r="D215" s="401">
        <v>9681</v>
      </c>
      <c r="E215" s="3" t="s">
        <v>401</v>
      </c>
      <c r="F215" s="3" t="s">
        <v>757</v>
      </c>
      <c r="G215" s="21">
        <v>0</v>
      </c>
      <c r="H215" s="21">
        <f t="shared" si="37"/>
        <v>878464600</v>
      </c>
      <c r="I215" s="21">
        <v>878464600</v>
      </c>
      <c r="J215" s="21">
        <v>0</v>
      </c>
      <c r="K215" s="21">
        <f t="shared" si="36"/>
        <v>0</v>
      </c>
      <c r="L215" s="21">
        <v>0</v>
      </c>
      <c r="M215" s="21">
        <f t="shared" si="34"/>
        <v>0</v>
      </c>
      <c r="N215" s="21">
        <v>0</v>
      </c>
      <c r="O215" s="21">
        <f t="shared" si="35"/>
        <v>212020</v>
      </c>
      <c r="P215" s="21">
        <v>23482173</v>
      </c>
      <c r="Q215" s="21">
        <v>212020</v>
      </c>
      <c r="R215" s="21">
        <f>IFERROR(VLOOKUP(C215,[6]IS_WTB!C$2:U$259,19,),)</f>
        <v>212020</v>
      </c>
      <c r="S215" s="21">
        <v>212020</v>
      </c>
      <c r="T215" s="30">
        <v>212020</v>
      </c>
      <c r="U215" s="30">
        <v>0</v>
      </c>
      <c r="V215" s="30">
        <v>0</v>
      </c>
      <c r="W215" s="30">
        <v>0</v>
      </c>
      <c r="X215" s="30">
        <v>645470</v>
      </c>
      <c r="Y215" s="30">
        <v>19590</v>
      </c>
      <c r="Z215" s="30">
        <v>19590</v>
      </c>
      <c r="AA215" s="30">
        <f>IFERROR(VLOOKUP(C215,'전사시산표(3단계)_1013'!$C:$L,10,0),0)</f>
        <v>19590</v>
      </c>
      <c r="AB215" s="21"/>
      <c r="AC215" s="21"/>
      <c r="AD215" s="35">
        <f t="shared" si="38"/>
        <v>19590</v>
      </c>
      <c r="AE215" s="35">
        <f t="shared" si="29"/>
        <v>-192430</v>
      </c>
      <c r="AF215" s="38">
        <f t="shared" si="30"/>
        <v>-0.90760305631544191</v>
      </c>
    </row>
    <row r="216" spans="1:33">
      <c r="B216" s="64" t="s">
        <v>276</v>
      </c>
      <c r="C216" s="65">
        <v>8251</v>
      </c>
      <c r="D216" s="65"/>
      <c r="E216" s="66" t="s">
        <v>761</v>
      </c>
      <c r="F216" s="66"/>
      <c r="G216" s="61">
        <f>SUM(G217:G218)</f>
        <v>0</v>
      </c>
      <c r="H216" s="61">
        <f t="shared" si="37"/>
        <v>16308994</v>
      </c>
      <c r="I216" s="61">
        <v>16308994</v>
      </c>
      <c r="J216" s="61">
        <v>21000</v>
      </c>
      <c r="K216" s="61">
        <f t="shared" si="36"/>
        <v>253697471</v>
      </c>
      <c r="L216" s="61">
        <v>253718471</v>
      </c>
      <c r="M216" s="61">
        <f t="shared" si="34"/>
        <v>0</v>
      </c>
      <c r="N216" s="61">
        <v>253718471</v>
      </c>
      <c r="O216" s="61">
        <f t="shared" si="35"/>
        <v>-135249098</v>
      </c>
      <c r="P216" s="61">
        <v>337454674</v>
      </c>
      <c r="Q216" s="61">
        <v>118469373</v>
      </c>
      <c r="R216" s="61">
        <f>IFERROR(VLOOKUP(C216,[6]IS_WTB!C$2:U$259,19,),)</f>
        <v>118469373</v>
      </c>
      <c r="S216" s="61">
        <v>118469373</v>
      </c>
      <c r="T216" s="520">
        <v>123299773</v>
      </c>
      <c r="U216" s="520">
        <v>169000</v>
      </c>
      <c r="V216" s="520">
        <v>40132847</v>
      </c>
      <c r="W216" s="520">
        <v>40132847</v>
      </c>
      <c r="X216" s="520">
        <v>60365803</v>
      </c>
      <c r="Y216" s="520">
        <v>0</v>
      </c>
      <c r="Z216" s="520">
        <v>0</v>
      </c>
      <c r="AA216" s="520">
        <f>SUM(AA217:AA218)</f>
        <v>0</v>
      </c>
      <c r="AB216" s="61"/>
      <c r="AC216" s="61"/>
      <c r="AD216" s="67">
        <f t="shared" si="38"/>
        <v>0</v>
      </c>
      <c r="AE216" s="67">
        <f t="shared" si="29"/>
        <v>-118469373</v>
      </c>
      <c r="AF216" s="62">
        <f t="shared" si="30"/>
        <v>-0.96082393436360991</v>
      </c>
    </row>
    <row r="217" spans="1:33" s="11" customFormat="1">
      <c r="A217" s="24"/>
      <c r="B217" s="1" t="s">
        <v>284</v>
      </c>
      <c r="C217" s="2">
        <v>833100</v>
      </c>
      <c r="D217" s="401">
        <v>9621</v>
      </c>
      <c r="E217" s="3" t="s">
        <v>402</v>
      </c>
      <c r="F217" s="3" t="s">
        <v>761</v>
      </c>
      <c r="G217" s="21">
        <v>0</v>
      </c>
      <c r="H217" s="21">
        <f t="shared" si="37"/>
        <v>11517675</v>
      </c>
      <c r="I217" s="21">
        <v>11517675</v>
      </c>
      <c r="J217" s="21">
        <v>18000</v>
      </c>
      <c r="K217" s="21">
        <f t="shared" si="36"/>
        <v>253697471</v>
      </c>
      <c r="L217" s="21">
        <v>253715471</v>
      </c>
      <c r="M217" s="21">
        <f t="shared" si="34"/>
        <v>0</v>
      </c>
      <c r="N217" s="21">
        <v>253715471</v>
      </c>
      <c r="O217" s="21">
        <f t="shared" si="35"/>
        <v>-217565471</v>
      </c>
      <c r="P217" s="21">
        <v>313838471</v>
      </c>
      <c r="Q217" s="21">
        <v>36150000</v>
      </c>
      <c r="R217" s="21">
        <f>IFERROR(VLOOKUP(C217,[6]IS_WTB!C$2:U$259,19,),)</f>
        <v>36150000</v>
      </c>
      <c r="S217" s="21">
        <v>36150000</v>
      </c>
      <c r="T217" s="30">
        <v>38721296</v>
      </c>
      <c r="U217" s="30">
        <v>169000</v>
      </c>
      <c r="V217" s="30">
        <v>40132847</v>
      </c>
      <c r="W217" s="30">
        <v>40132847</v>
      </c>
      <c r="X217" s="30">
        <v>40373722</v>
      </c>
      <c r="Y217" s="30">
        <v>0</v>
      </c>
      <c r="Z217" s="30">
        <v>0</v>
      </c>
      <c r="AA217" s="30">
        <f>IFERROR(VLOOKUP(C217,'전사시산표(3단계)_1013'!$C:$L,10,0),0)</f>
        <v>0</v>
      </c>
      <c r="AB217" s="21"/>
      <c r="AC217" s="21"/>
      <c r="AD217" s="35">
        <f t="shared" si="38"/>
        <v>0</v>
      </c>
      <c r="AE217" s="35">
        <f t="shared" si="29"/>
        <v>-36150000</v>
      </c>
      <c r="AF217" s="38">
        <f t="shared" si="30"/>
        <v>-0.93359478463737366</v>
      </c>
    </row>
    <row r="218" spans="1:33" s="11" customFormat="1">
      <c r="A218" s="24"/>
      <c r="B218" s="1" t="s">
        <v>284</v>
      </c>
      <c r="C218" s="2">
        <v>833200</v>
      </c>
      <c r="D218" s="401">
        <v>9622</v>
      </c>
      <c r="E218" s="3" t="s">
        <v>403</v>
      </c>
      <c r="F218" s="3" t="s">
        <v>761</v>
      </c>
      <c r="G218" s="21">
        <v>0</v>
      </c>
      <c r="H218" s="21">
        <f t="shared" si="37"/>
        <v>4791319</v>
      </c>
      <c r="I218" s="21">
        <v>4791319</v>
      </c>
      <c r="J218" s="21">
        <v>3000</v>
      </c>
      <c r="K218" s="21">
        <f t="shared" si="36"/>
        <v>0</v>
      </c>
      <c r="L218" s="21">
        <v>3000</v>
      </c>
      <c r="M218" s="21">
        <f t="shared" si="34"/>
        <v>0</v>
      </c>
      <c r="N218" s="21">
        <v>3000</v>
      </c>
      <c r="O218" s="21">
        <f t="shared" si="35"/>
        <v>82316373</v>
      </c>
      <c r="P218" s="21">
        <v>23616203</v>
      </c>
      <c r="Q218" s="21">
        <v>82319373</v>
      </c>
      <c r="R218" s="21">
        <f>IFERROR(VLOOKUP(C218,[6]IS_WTB!C$2:U$259,19,),)</f>
        <v>82319373</v>
      </c>
      <c r="S218" s="21">
        <v>82319373</v>
      </c>
      <c r="T218" s="30">
        <v>84578477</v>
      </c>
      <c r="U218" s="30">
        <v>0</v>
      </c>
      <c r="V218" s="30">
        <v>0</v>
      </c>
      <c r="W218" s="30">
        <v>0</v>
      </c>
      <c r="X218" s="30">
        <v>19992081</v>
      </c>
      <c r="Y218" s="30">
        <v>0</v>
      </c>
      <c r="Z218" s="30">
        <v>0</v>
      </c>
      <c r="AA218" s="30">
        <f>IFERROR(VLOOKUP(C218,'전사시산표(3단계)_1013'!$C:$L,10,0),0)</f>
        <v>0</v>
      </c>
      <c r="AB218" s="21"/>
      <c r="AC218" s="21"/>
      <c r="AD218" s="35">
        <f t="shared" si="38"/>
        <v>0</v>
      </c>
      <c r="AE218" s="35">
        <f t="shared" si="29"/>
        <v>-82319373</v>
      </c>
      <c r="AF218" s="38">
        <f t="shared" si="30"/>
        <v>-0.97328984772331617</v>
      </c>
    </row>
    <row r="219" spans="1:33">
      <c r="A219" s="24"/>
      <c r="B219" s="64" t="s">
        <v>272</v>
      </c>
      <c r="C219" s="65">
        <v>8333</v>
      </c>
      <c r="D219" s="65"/>
      <c r="E219" s="66" t="s">
        <v>1214</v>
      </c>
      <c r="F219" s="66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>
        <v>0</v>
      </c>
      <c r="R219" s="61">
        <f>IFERROR(VLOOKUP(C219,[6]IS_WTB!C$2:U$259,19,),)</f>
        <v>0</v>
      </c>
      <c r="S219" s="61"/>
      <c r="T219" s="520">
        <v>7189623</v>
      </c>
      <c r="U219" s="520">
        <v>0</v>
      </c>
      <c r="V219" s="520">
        <v>0</v>
      </c>
      <c r="W219" s="520">
        <v>840639</v>
      </c>
      <c r="X219" s="520">
        <v>840639</v>
      </c>
      <c r="Y219" s="520">
        <v>0</v>
      </c>
      <c r="Z219" s="520">
        <v>288444000</v>
      </c>
      <c r="AA219" s="520">
        <f>SUM(AA220)</f>
        <v>288444000</v>
      </c>
      <c r="AB219" s="61"/>
      <c r="AC219" s="61"/>
      <c r="AD219" s="67">
        <f t="shared" si="38"/>
        <v>288444000</v>
      </c>
      <c r="AE219" s="67">
        <f t="shared" si="29"/>
        <v>288444000</v>
      </c>
      <c r="AF219" s="62">
        <f t="shared" si="30"/>
        <v>40.119488880014991</v>
      </c>
    </row>
    <row r="220" spans="1:33">
      <c r="B220" s="1" t="s">
        <v>285</v>
      </c>
      <c r="C220" s="2">
        <v>833300</v>
      </c>
      <c r="D220" s="401"/>
      <c r="E220" s="3" t="s">
        <v>1216</v>
      </c>
      <c r="F220" s="3" t="s">
        <v>1216</v>
      </c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>
        <v>0</v>
      </c>
      <c r="R220" s="21">
        <f>IFERROR(VLOOKUP(C220,[6]IS_WTB!C$2:U$259,19,),)</f>
        <v>0</v>
      </c>
      <c r="S220" s="21"/>
      <c r="T220" s="30">
        <v>7189623</v>
      </c>
      <c r="U220" s="30">
        <v>0</v>
      </c>
      <c r="V220" s="30">
        <v>0</v>
      </c>
      <c r="W220" s="30">
        <v>840639</v>
      </c>
      <c r="X220" s="30">
        <v>840639</v>
      </c>
      <c r="Y220" s="30">
        <v>0</v>
      </c>
      <c r="Z220" s="30">
        <v>288444000</v>
      </c>
      <c r="AA220" s="30">
        <f>IFERROR(VLOOKUP(C220,'전사시산표(3단계)_1013'!$C:$L,10,0),0)</f>
        <v>288444000</v>
      </c>
      <c r="AB220" s="21"/>
      <c r="AC220" s="21"/>
      <c r="AD220" s="35">
        <f t="shared" si="38"/>
        <v>288444000</v>
      </c>
      <c r="AE220" s="35">
        <f t="shared" si="29"/>
        <v>288444000</v>
      </c>
      <c r="AF220" s="38">
        <f t="shared" si="30"/>
        <v>40.119488880014991</v>
      </c>
      <c r="AG220" s="187"/>
    </row>
    <row r="221" spans="1:33">
      <c r="B221" s="64" t="s">
        <v>276</v>
      </c>
      <c r="C221" s="65">
        <v>8351</v>
      </c>
      <c r="D221" s="65"/>
      <c r="E221" s="66" t="s">
        <v>405</v>
      </c>
      <c r="F221" s="66"/>
      <c r="G221" s="61">
        <f>SUM(G222)</f>
        <v>0</v>
      </c>
      <c r="H221" s="61">
        <f t="shared" si="37"/>
        <v>899081166</v>
      </c>
      <c r="I221" s="61">
        <v>899081166</v>
      </c>
      <c r="J221" s="61">
        <v>2853238</v>
      </c>
      <c r="K221" s="61">
        <f t="shared" si="36"/>
        <v>188249</v>
      </c>
      <c r="L221" s="61">
        <v>3041487</v>
      </c>
      <c r="M221" s="61">
        <f t="shared" si="34"/>
        <v>842</v>
      </c>
      <c r="N221" s="61">
        <v>3042329</v>
      </c>
      <c r="O221" s="61">
        <f t="shared" ref="O221:O234" si="39">S221-N221</f>
        <v>-1369266</v>
      </c>
      <c r="P221" s="61">
        <v>3078481</v>
      </c>
      <c r="Q221" s="61">
        <v>1</v>
      </c>
      <c r="R221" s="61">
        <f>IFERROR(VLOOKUP(C221,[6]IS_WTB!C$2:U$259,19,),)</f>
        <v>1327737</v>
      </c>
      <c r="S221" s="61">
        <v>1673063</v>
      </c>
      <c r="T221" s="520">
        <v>2487008</v>
      </c>
      <c r="U221" s="520">
        <v>1399817</v>
      </c>
      <c r="V221" s="520">
        <v>3164581</v>
      </c>
      <c r="W221" s="520">
        <v>86689961</v>
      </c>
      <c r="X221" s="520">
        <v>86689971</v>
      </c>
      <c r="Y221" s="520">
        <v>4221</v>
      </c>
      <c r="Z221" s="520">
        <v>1099246</v>
      </c>
      <c r="AA221" s="520">
        <f>SUM(AA222)</f>
        <v>236036672</v>
      </c>
      <c r="AB221" s="61"/>
      <c r="AC221" s="61"/>
      <c r="AD221" s="67">
        <f t="shared" si="38"/>
        <v>236036672</v>
      </c>
      <c r="AE221" s="67">
        <f t="shared" si="29"/>
        <v>236036671</v>
      </c>
      <c r="AF221" s="62">
        <f t="shared" si="30"/>
        <v>94.907885700407874</v>
      </c>
    </row>
    <row r="222" spans="1:33">
      <c r="B222" s="1" t="s">
        <v>284</v>
      </c>
      <c r="C222" s="2">
        <v>835100</v>
      </c>
      <c r="D222" s="401">
        <v>9799</v>
      </c>
      <c r="E222" s="3" t="s">
        <v>405</v>
      </c>
      <c r="F222" s="3" t="s">
        <v>758</v>
      </c>
      <c r="G222" s="21">
        <v>0</v>
      </c>
      <c r="H222" s="21">
        <f t="shared" si="37"/>
        <v>899081166</v>
      </c>
      <c r="I222" s="21">
        <v>899081166</v>
      </c>
      <c r="J222" s="21">
        <v>2853238</v>
      </c>
      <c r="K222" s="21">
        <f t="shared" si="36"/>
        <v>188249</v>
      </c>
      <c r="L222" s="21">
        <v>3041487</v>
      </c>
      <c r="M222" s="21">
        <f t="shared" si="34"/>
        <v>842</v>
      </c>
      <c r="N222" s="21">
        <v>3042329</v>
      </c>
      <c r="O222" s="21">
        <f t="shared" si="39"/>
        <v>-1369266</v>
      </c>
      <c r="P222" s="21">
        <v>3078481</v>
      </c>
      <c r="Q222" s="21">
        <v>1</v>
      </c>
      <c r="R222" s="21">
        <f>IFERROR(VLOOKUP(C222,[6]IS_WTB!C$2:U$259,19,),)</f>
        <v>1327737</v>
      </c>
      <c r="S222" s="21">
        <v>1673063</v>
      </c>
      <c r="T222" s="30">
        <v>2487008</v>
      </c>
      <c r="U222" s="30">
        <v>1399817</v>
      </c>
      <c r="V222" s="30">
        <v>3164581</v>
      </c>
      <c r="W222" s="30">
        <v>86689961</v>
      </c>
      <c r="X222" s="30">
        <v>86689971</v>
      </c>
      <c r="Y222" s="30">
        <v>4221</v>
      </c>
      <c r="Z222" s="30">
        <v>1099246</v>
      </c>
      <c r="AA222" s="30">
        <f>IFERROR(VLOOKUP(C222,'전사시산표(3단계)_1013'!$C:$L,10,0),0)</f>
        <v>236036672</v>
      </c>
      <c r="AB222" s="21"/>
      <c r="AC222" s="21"/>
      <c r="AD222" s="35">
        <f t="shared" si="38"/>
        <v>236036672</v>
      </c>
      <c r="AE222" s="35">
        <f t="shared" si="29"/>
        <v>236036671</v>
      </c>
      <c r="AF222" s="38">
        <f t="shared" si="30"/>
        <v>94.907885700407874</v>
      </c>
    </row>
    <row r="223" spans="1:33">
      <c r="B223" s="64" t="s">
        <v>276</v>
      </c>
      <c r="C223" s="65">
        <v>8371</v>
      </c>
      <c r="D223" s="65"/>
      <c r="E223" s="66" t="s">
        <v>406</v>
      </c>
      <c r="F223" s="66"/>
      <c r="G223" s="61">
        <f>SUM(G224:G226)</f>
        <v>0</v>
      </c>
      <c r="H223" s="61">
        <f t="shared" si="37"/>
        <v>0</v>
      </c>
      <c r="I223" s="61">
        <v>0</v>
      </c>
      <c r="J223" s="61">
        <v>0</v>
      </c>
      <c r="K223" s="61">
        <f t="shared" si="36"/>
        <v>0</v>
      </c>
      <c r="L223" s="61">
        <v>0</v>
      </c>
      <c r="M223" s="61">
        <f t="shared" si="34"/>
        <v>0</v>
      </c>
      <c r="N223" s="61">
        <v>0</v>
      </c>
      <c r="O223" s="61">
        <f t="shared" si="39"/>
        <v>0</v>
      </c>
      <c r="P223" s="61">
        <v>0</v>
      </c>
      <c r="Q223" s="61">
        <v>0</v>
      </c>
      <c r="R223" s="61">
        <f>IFERROR(VLOOKUP(C223,[6]IS_WTB!C$2:U$259,19,),)</f>
        <v>0</v>
      </c>
      <c r="S223" s="61">
        <v>0</v>
      </c>
      <c r="T223" s="520">
        <v>0</v>
      </c>
      <c r="U223" s="520">
        <v>0</v>
      </c>
      <c r="V223" s="520">
        <v>0</v>
      </c>
      <c r="W223" s="520">
        <v>0</v>
      </c>
      <c r="X223" s="520">
        <v>0</v>
      </c>
      <c r="Y223" s="520">
        <v>0</v>
      </c>
      <c r="Z223" s="520">
        <v>0</v>
      </c>
      <c r="AA223" s="520">
        <f>SUM(AA224:AA226)</f>
        <v>0</v>
      </c>
      <c r="AB223" s="61"/>
      <c r="AC223" s="61"/>
      <c r="AD223" s="67">
        <f t="shared" si="38"/>
        <v>0</v>
      </c>
      <c r="AE223" s="67">
        <f t="shared" si="29"/>
        <v>0</v>
      </c>
      <c r="AF223" s="62" t="str">
        <f t="shared" si="30"/>
        <v/>
      </c>
    </row>
    <row r="224" spans="1:33">
      <c r="B224" s="1" t="s">
        <v>284</v>
      </c>
      <c r="C224" s="2">
        <v>837100</v>
      </c>
      <c r="D224" s="2"/>
      <c r="E224" s="3" t="s">
        <v>407</v>
      </c>
      <c r="F224" s="3" t="s">
        <v>404</v>
      </c>
      <c r="G224" s="21">
        <v>0</v>
      </c>
      <c r="H224" s="21">
        <f t="shared" si="37"/>
        <v>0</v>
      </c>
      <c r="I224" s="21">
        <v>0</v>
      </c>
      <c r="J224" s="21">
        <v>0</v>
      </c>
      <c r="K224" s="21">
        <f t="shared" si="36"/>
        <v>0</v>
      </c>
      <c r="L224" s="21">
        <v>0</v>
      </c>
      <c r="M224" s="21">
        <f t="shared" si="34"/>
        <v>0</v>
      </c>
      <c r="N224" s="21">
        <v>0</v>
      </c>
      <c r="O224" s="21">
        <f t="shared" si="39"/>
        <v>0</v>
      </c>
      <c r="P224" s="21">
        <v>0</v>
      </c>
      <c r="Q224" s="21">
        <v>0</v>
      </c>
      <c r="R224" s="21">
        <f>IFERROR(VLOOKUP(C224,[6]IS_WTB!C$2:U$259,19,),)</f>
        <v>0</v>
      </c>
      <c r="S224" s="21">
        <v>0</v>
      </c>
      <c r="T224" s="30">
        <v>0</v>
      </c>
      <c r="U224" s="30">
        <v>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0">
        <f>IFERROR(VLOOKUP(C224,'전사시산표(3단계)_1013'!$C:$L,10,0),0)</f>
        <v>0</v>
      </c>
      <c r="AB224" s="21"/>
      <c r="AC224" s="21"/>
      <c r="AD224" s="35">
        <f t="shared" si="38"/>
        <v>0</v>
      </c>
      <c r="AE224" s="35">
        <f t="shared" si="29"/>
        <v>0</v>
      </c>
      <c r="AF224" s="38" t="str">
        <f t="shared" si="30"/>
        <v/>
      </c>
    </row>
    <row r="225" spans="1:32">
      <c r="B225" s="1" t="s">
        <v>284</v>
      </c>
      <c r="C225" s="2">
        <v>837110</v>
      </c>
      <c r="D225" s="2"/>
      <c r="E225" s="3" t="s">
        <v>408</v>
      </c>
      <c r="F225" s="3" t="s">
        <v>404</v>
      </c>
      <c r="G225" s="21">
        <v>0</v>
      </c>
      <c r="H225" s="21">
        <f t="shared" si="37"/>
        <v>0</v>
      </c>
      <c r="I225" s="21">
        <v>0</v>
      </c>
      <c r="J225" s="21">
        <v>0</v>
      </c>
      <c r="K225" s="21">
        <f t="shared" si="36"/>
        <v>0</v>
      </c>
      <c r="L225" s="21">
        <v>0</v>
      </c>
      <c r="M225" s="21">
        <f t="shared" si="34"/>
        <v>0</v>
      </c>
      <c r="N225" s="21">
        <v>0</v>
      </c>
      <c r="O225" s="21">
        <f t="shared" si="39"/>
        <v>0</v>
      </c>
      <c r="P225" s="21">
        <v>0</v>
      </c>
      <c r="Q225" s="21">
        <v>0</v>
      </c>
      <c r="R225" s="21">
        <f>IFERROR(VLOOKUP(C225,[6]IS_WTB!C$2:U$259,19,),)</f>
        <v>0</v>
      </c>
      <c r="S225" s="21">
        <v>0</v>
      </c>
      <c r="T225" s="30">
        <v>0</v>
      </c>
      <c r="U225" s="30">
        <v>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0">
        <f>IFERROR(VLOOKUP(C225,'전사시산표(3단계)_1013'!$C:$L,10,0),0)</f>
        <v>0</v>
      </c>
      <c r="AB225" s="21"/>
      <c r="AC225" s="21"/>
      <c r="AD225" s="35">
        <f t="shared" si="38"/>
        <v>0</v>
      </c>
      <c r="AE225" s="35">
        <f t="shared" si="29"/>
        <v>0</v>
      </c>
      <c r="AF225" s="38" t="str">
        <f t="shared" si="30"/>
        <v/>
      </c>
    </row>
    <row r="226" spans="1:32" ht="17.25" thickBot="1">
      <c r="B226" s="9" t="s">
        <v>284</v>
      </c>
      <c r="C226" s="34">
        <v>837130</v>
      </c>
      <c r="D226" s="34"/>
      <c r="E226" s="33" t="s">
        <v>409</v>
      </c>
      <c r="F226" s="33" t="s">
        <v>404</v>
      </c>
      <c r="G226" s="36">
        <v>0</v>
      </c>
      <c r="H226" s="36">
        <f t="shared" si="37"/>
        <v>0</v>
      </c>
      <c r="I226" s="36">
        <v>0</v>
      </c>
      <c r="J226" s="36">
        <v>0</v>
      </c>
      <c r="K226" s="36">
        <f t="shared" si="36"/>
        <v>0</v>
      </c>
      <c r="L226" s="36">
        <v>0</v>
      </c>
      <c r="M226" s="36">
        <f t="shared" si="34"/>
        <v>0</v>
      </c>
      <c r="N226" s="36">
        <v>0</v>
      </c>
      <c r="O226" s="36">
        <f t="shared" si="39"/>
        <v>0</v>
      </c>
      <c r="P226" s="36">
        <v>0</v>
      </c>
      <c r="Q226" s="36">
        <v>0</v>
      </c>
      <c r="R226" s="36">
        <f>IFERROR(VLOOKUP(C226,[6]IS_WTB!C$2:U$259,19,),)</f>
        <v>0</v>
      </c>
      <c r="S226" s="36">
        <v>0</v>
      </c>
      <c r="T226" s="39">
        <v>0</v>
      </c>
      <c r="U226" s="39">
        <v>0</v>
      </c>
      <c r="V226" s="39">
        <v>0</v>
      </c>
      <c r="W226" s="39">
        <v>0</v>
      </c>
      <c r="X226" s="39">
        <v>0</v>
      </c>
      <c r="Y226" s="39">
        <v>0</v>
      </c>
      <c r="Z226" s="39">
        <v>0</v>
      </c>
      <c r="AA226" s="39">
        <f>IFERROR(VLOOKUP(C226,'전사시산표(3단계)_1013'!$C:$L,10,0),0)</f>
        <v>0</v>
      </c>
      <c r="AB226" s="36"/>
      <c r="AC226" s="36"/>
      <c r="AD226" s="37">
        <f t="shared" si="38"/>
        <v>0</v>
      </c>
      <c r="AE226" s="37">
        <f t="shared" si="29"/>
        <v>0</v>
      </c>
      <c r="AF226" s="40" t="str">
        <f t="shared" si="30"/>
        <v/>
      </c>
    </row>
    <row r="227" spans="1:32" ht="17.25" thickBot="1">
      <c r="B227" s="44" t="s">
        <v>275</v>
      </c>
      <c r="C227" s="49" t="s">
        <v>453</v>
      </c>
      <c r="D227" s="404"/>
      <c r="E227" s="46" t="s">
        <v>410</v>
      </c>
      <c r="F227" s="46"/>
      <c r="G227" s="50">
        <f>SUM(G228,G239,G243,G233)</f>
        <v>122668131</v>
      </c>
      <c r="H227" s="50">
        <f t="shared" si="37"/>
        <v>3042636982</v>
      </c>
      <c r="I227" s="50">
        <f>SUM(I228,I239,I243,I233)</f>
        <v>3165305113</v>
      </c>
      <c r="J227" s="50">
        <v>2416974751</v>
      </c>
      <c r="K227" s="50">
        <f t="shared" si="36"/>
        <v>2275339661</v>
      </c>
      <c r="L227" s="50">
        <v>4692314412</v>
      </c>
      <c r="M227" s="50">
        <f t="shared" si="34"/>
        <v>2261750479</v>
      </c>
      <c r="N227" s="50">
        <v>6954064891</v>
      </c>
      <c r="O227" s="50">
        <f t="shared" si="39"/>
        <v>13566111862</v>
      </c>
      <c r="P227" s="50">
        <v>8944496893</v>
      </c>
      <c r="Q227" s="50">
        <v>2001693031</v>
      </c>
      <c r="R227" s="50">
        <v>18673520155</v>
      </c>
      <c r="S227" s="50">
        <v>20520176753</v>
      </c>
      <c r="T227" s="52">
        <v>8989453341</v>
      </c>
      <c r="U227" s="52">
        <v>2876336375</v>
      </c>
      <c r="V227" s="52">
        <v>3868196510</v>
      </c>
      <c r="W227" s="52">
        <v>3670219993</v>
      </c>
      <c r="X227" s="52">
        <v>7362813813</v>
      </c>
      <c r="Y227" s="52">
        <v>3097830239</v>
      </c>
      <c r="Z227" s="52">
        <v>4128304595</v>
      </c>
      <c r="AA227" s="52">
        <f>SUM(AA228,AA239,AA243,AA233,AA237)</f>
        <v>8742914150</v>
      </c>
      <c r="AB227" s="50"/>
      <c r="AC227" s="50"/>
      <c r="AD227" s="51">
        <f t="shared" ref="AD227:AD246" si="40">AA227-AB227+AC227</f>
        <v>8742914150</v>
      </c>
      <c r="AE227" s="51">
        <f t="shared" si="29"/>
        <v>6741221119</v>
      </c>
      <c r="AF227" s="53">
        <f t="shared" si="30"/>
        <v>0.74990334376106749</v>
      </c>
    </row>
    <row r="228" spans="1:32">
      <c r="B228" s="55" t="s">
        <v>276</v>
      </c>
      <c r="C228" s="56">
        <v>8001</v>
      </c>
      <c r="D228" s="56"/>
      <c r="E228" s="57" t="s">
        <v>12</v>
      </c>
      <c r="F228" s="57"/>
      <c r="G228" s="59">
        <f>SUM(G229:G231)</f>
        <v>122625428</v>
      </c>
      <c r="H228" s="59">
        <f t="shared" si="37"/>
        <v>3005835554</v>
      </c>
      <c r="I228" s="59">
        <v>3128460982</v>
      </c>
      <c r="J228" s="59">
        <v>2249372358</v>
      </c>
      <c r="K228" s="59">
        <f t="shared" si="36"/>
        <v>2192727106</v>
      </c>
      <c r="L228" s="59">
        <v>4442099464</v>
      </c>
      <c r="M228" s="59">
        <f t="shared" si="34"/>
        <v>2070295588</v>
      </c>
      <c r="N228" s="59">
        <v>6512395052</v>
      </c>
      <c r="O228" s="59">
        <f t="shared" si="39"/>
        <v>-817650391</v>
      </c>
      <c r="P228" s="59">
        <v>8497943520</v>
      </c>
      <c r="Q228" s="59">
        <v>1878899875</v>
      </c>
      <c r="R228" s="59">
        <f>IFERROR(VLOOKUP(C228,[6]IS_WTB!C$2:U$259,19,),)</f>
        <v>3834366261</v>
      </c>
      <c r="S228" s="59">
        <v>5694744661</v>
      </c>
      <c r="T228" s="58">
        <v>6237721360</v>
      </c>
      <c r="U228" s="58">
        <v>336860166</v>
      </c>
      <c r="V228" s="58">
        <v>636183247</v>
      </c>
      <c r="W228" s="58">
        <v>848513542</v>
      </c>
      <c r="X228" s="58">
        <v>966523530</v>
      </c>
      <c r="Y228" s="58">
        <v>191367372</v>
      </c>
      <c r="Z228" s="58">
        <v>380009848</v>
      </c>
      <c r="AA228" s="59">
        <f>SUM(AA229:AA232)</f>
        <v>534234801</v>
      </c>
      <c r="AB228" s="59"/>
      <c r="AC228" s="59"/>
      <c r="AD228" s="63">
        <f t="shared" si="40"/>
        <v>534234801</v>
      </c>
      <c r="AE228" s="63">
        <f t="shared" si="29"/>
        <v>-1344665074</v>
      </c>
      <c r="AF228" s="60">
        <f t="shared" si="30"/>
        <v>-0.21556991670432679</v>
      </c>
    </row>
    <row r="229" spans="1:32">
      <c r="B229" s="1" t="s">
        <v>284</v>
      </c>
      <c r="C229" s="2">
        <v>800100</v>
      </c>
      <c r="D229" s="401">
        <v>9012</v>
      </c>
      <c r="E229" s="3" t="s">
        <v>11</v>
      </c>
      <c r="F229" s="3" t="s">
        <v>411</v>
      </c>
      <c r="G229" s="21">
        <v>122625428</v>
      </c>
      <c r="H229" s="21">
        <f t="shared" si="37"/>
        <v>3005810122</v>
      </c>
      <c r="I229" s="21">
        <v>3128435550</v>
      </c>
      <c r="J229" s="21">
        <v>2202079638</v>
      </c>
      <c r="K229" s="21">
        <f t="shared" si="36"/>
        <v>2146125845</v>
      </c>
      <c r="L229" s="21">
        <v>4348205483</v>
      </c>
      <c r="M229" s="21">
        <f t="shared" si="34"/>
        <v>2025771081</v>
      </c>
      <c r="N229" s="21">
        <v>6373976564</v>
      </c>
      <c r="O229" s="21">
        <f t="shared" si="39"/>
        <v>-779051921</v>
      </c>
      <c r="P229" s="21">
        <v>8319165001</v>
      </c>
      <c r="Q229" s="21">
        <v>1843260309</v>
      </c>
      <c r="R229" s="21">
        <f>IFERROR(VLOOKUP(C229,[6]IS_WTB!C$2:U$259,19,),)</f>
        <v>3767845463</v>
      </c>
      <c r="S229" s="21">
        <v>5594924643</v>
      </c>
      <c r="T229" s="30">
        <v>6106585995</v>
      </c>
      <c r="U229" s="30">
        <v>312469307</v>
      </c>
      <c r="V229" s="30">
        <v>592712815</v>
      </c>
      <c r="W229" s="30">
        <v>786565155</v>
      </c>
      <c r="X229" s="30">
        <v>889596116</v>
      </c>
      <c r="Y229" s="30">
        <v>179914218</v>
      </c>
      <c r="Z229" s="30">
        <v>363051663</v>
      </c>
      <c r="AA229" s="21">
        <f>-IFERROR(VLOOKUP(C229,'전사시산표(3단계)_1013'!$C:$L,10,0),0)</f>
        <v>513905151</v>
      </c>
      <c r="AB229" s="21"/>
      <c r="AC229" s="21"/>
      <c r="AD229" s="35">
        <f t="shared" si="40"/>
        <v>513905151</v>
      </c>
      <c r="AE229" s="35">
        <f t="shared" si="29"/>
        <v>-1329355158</v>
      </c>
      <c r="AF229" s="38">
        <f t="shared" si="30"/>
        <v>-0.21769203923247132</v>
      </c>
    </row>
    <row r="230" spans="1:32">
      <c r="B230" s="1" t="s">
        <v>284</v>
      </c>
      <c r="C230" s="2">
        <v>800150</v>
      </c>
      <c r="D230" s="2"/>
      <c r="E230" s="3" t="s">
        <v>412</v>
      </c>
      <c r="F230" s="3" t="s">
        <v>730</v>
      </c>
      <c r="G230" s="21">
        <v>0</v>
      </c>
      <c r="H230" s="21">
        <f t="shared" si="37"/>
        <v>0</v>
      </c>
      <c r="I230" s="21">
        <v>0</v>
      </c>
      <c r="J230" s="21">
        <v>0</v>
      </c>
      <c r="K230" s="21">
        <f t="shared" si="36"/>
        <v>0</v>
      </c>
      <c r="L230" s="21">
        <v>0</v>
      </c>
      <c r="M230" s="21">
        <f t="shared" si="34"/>
        <v>1041004</v>
      </c>
      <c r="N230" s="21">
        <v>1041004</v>
      </c>
      <c r="O230" s="21">
        <f t="shared" si="39"/>
        <v>3750874</v>
      </c>
      <c r="P230" s="21">
        <v>2612944</v>
      </c>
      <c r="Q230" s="21">
        <v>1584549</v>
      </c>
      <c r="R230" s="21">
        <f>IFERROR(VLOOKUP(C230,[6]IS_WTB!C$2:U$259,19,),)</f>
        <v>3181807</v>
      </c>
      <c r="S230" s="21">
        <v>4791878</v>
      </c>
      <c r="T230" s="30">
        <v>6414864</v>
      </c>
      <c r="U230" s="30">
        <v>1636005</v>
      </c>
      <c r="V230" s="30">
        <v>3285133</v>
      </c>
      <c r="W230" s="30">
        <v>4947489</v>
      </c>
      <c r="X230" s="30">
        <v>6623180</v>
      </c>
      <c r="Y230" s="30">
        <v>1689131</v>
      </c>
      <c r="Z230" s="30">
        <v>3391811</v>
      </c>
      <c r="AA230" s="21">
        <f>-IFERROR(VLOOKUP(C230,'전사시산표(3단계)_1013'!$C:$L,10,0),0)</f>
        <v>5108149</v>
      </c>
      <c r="AB230" s="21"/>
      <c r="AC230" s="21"/>
      <c r="AD230" s="35">
        <f t="shared" si="40"/>
        <v>5108149</v>
      </c>
      <c r="AE230" s="35">
        <f t="shared" si="29"/>
        <v>3523600</v>
      </c>
      <c r="AF230" s="38">
        <f t="shared" si="30"/>
        <v>0.54928678145008214</v>
      </c>
    </row>
    <row r="231" spans="1:32">
      <c r="B231" s="1" t="s">
        <v>284</v>
      </c>
      <c r="C231" s="2">
        <v>800190</v>
      </c>
      <c r="D231" s="401">
        <v>9019</v>
      </c>
      <c r="E231" s="3" t="s">
        <v>413</v>
      </c>
      <c r="F231" s="3" t="s">
        <v>730</v>
      </c>
      <c r="G231" s="21">
        <v>0</v>
      </c>
      <c r="H231" s="21">
        <f t="shared" si="37"/>
        <v>25432</v>
      </c>
      <c r="I231" s="21">
        <v>25432</v>
      </c>
      <c r="J231" s="21">
        <v>0</v>
      </c>
      <c r="K231" s="21">
        <f t="shared" si="36"/>
        <v>0</v>
      </c>
      <c r="L231" s="21">
        <v>0</v>
      </c>
      <c r="M231" s="21">
        <f t="shared" si="34"/>
        <v>0</v>
      </c>
      <c r="N231" s="21">
        <v>0</v>
      </c>
      <c r="O231" s="21">
        <f t="shared" si="39"/>
        <v>0</v>
      </c>
      <c r="P231" s="21">
        <v>0</v>
      </c>
      <c r="Q231" s="21">
        <v>0</v>
      </c>
      <c r="R231" s="21">
        <f>IFERROR(VLOOKUP(C231,[6]IS_WTB!C$2:U$259,19,),)</f>
        <v>0</v>
      </c>
      <c r="S231" s="21">
        <v>0</v>
      </c>
      <c r="T231" s="30">
        <v>0</v>
      </c>
      <c r="U231" s="30">
        <v>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21">
        <f>-IFERROR(VLOOKUP(C231,'전사시산표(3단계)_1013'!$C:$L,10,0),0)</f>
        <v>0</v>
      </c>
      <c r="AB231" s="21"/>
      <c r="AC231" s="21"/>
      <c r="AD231" s="35">
        <f t="shared" si="40"/>
        <v>0</v>
      </c>
      <c r="AE231" s="35">
        <f t="shared" ref="AE231:AE276" si="41">AD231-Q231</f>
        <v>0</v>
      </c>
      <c r="AF231" s="38" t="str">
        <f t="shared" ref="AF231:AF269" si="42">IFERROR(AE231/T231,"")</f>
        <v/>
      </c>
    </row>
    <row r="232" spans="1:32">
      <c r="B232" s="1" t="s">
        <v>825</v>
      </c>
      <c r="C232" s="2">
        <v>800230</v>
      </c>
      <c r="D232" s="401">
        <v>9401</v>
      </c>
      <c r="E232" s="3" t="s">
        <v>815</v>
      </c>
      <c r="F232" s="3" t="s">
        <v>730</v>
      </c>
      <c r="G232" s="21"/>
      <c r="H232" s="21">
        <f t="shared" si="37"/>
        <v>0</v>
      </c>
      <c r="I232" s="21"/>
      <c r="J232" s="21">
        <v>47292720</v>
      </c>
      <c r="K232" s="21">
        <f t="shared" si="36"/>
        <v>46601261</v>
      </c>
      <c r="L232" s="21">
        <v>93893981</v>
      </c>
      <c r="M232" s="21">
        <f t="shared" si="34"/>
        <v>43483503</v>
      </c>
      <c r="N232" s="21">
        <v>137377484</v>
      </c>
      <c r="O232" s="21">
        <f t="shared" si="39"/>
        <v>-42349344</v>
      </c>
      <c r="P232" s="21">
        <v>176165575</v>
      </c>
      <c r="Q232" s="21">
        <v>34055017</v>
      </c>
      <c r="R232" s="21">
        <f>IFERROR(VLOOKUP(C232,[6]IS_WTB!C$2:U$259,19,),)</f>
        <v>63338991</v>
      </c>
      <c r="S232" s="21">
        <v>95028140</v>
      </c>
      <c r="T232" s="30">
        <v>124720501</v>
      </c>
      <c r="U232" s="30">
        <v>22754854</v>
      </c>
      <c r="V232" s="30">
        <v>40185299</v>
      </c>
      <c r="W232" s="30">
        <v>57000898</v>
      </c>
      <c r="X232" s="30">
        <v>70304234</v>
      </c>
      <c r="Y232" s="30">
        <v>9764023</v>
      </c>
      <c r="Z232" s="30">
        <v>13566374</v>
      </c>
      <c r="AA232" s="21">
        <f>-IFERROR(VLOOKUP(C232,'전사시산표(3단계)_1013'!$C:$L,10,0),0)</f>
        <v>15221501</v>
      </c>
      <c r="AB232" s="21"/>
      <c r="AC232" s="21"/>
      <c r="AD232" s="35">
        <f t="shared" si="40"/>
        <v>15221501</v>
      </c>
      <c r="AE232" s="35">
        <f t="shared" si="41"/>
        <v>-18833516</v>
      </c>
      <c r="AF232" s="38">
        <f t="shared" si="42"/>
        <v>-0.15100577570643339</v>
      </c>
    </row>
    <row r="233" spans="1:32">
      <c r="B233" s="64" t="s">
        <v>276</v>
      </c>
      <c r="C233" s="65"/>
      <c r="D233" s="65"/>
      <c r="E233" s="66" t="s">
        <v>816</v>
      </c>
      <c r="F233" s="66"/>
      <c r="G233" s="61">
        <f>G234</f>
        <v>0</v>
      </c>
      <c r="H233" s="61">
        <f t="shared" si="37"/>
        <v>0</v>
      </c>
      <c r="I233" s="61">
        <f t="shared" ref="I233" si="43">I234</f>
        <v>0</v>
      </c>
      <c r="J233" s="61">
        <v>116679451</v>
      </c>
      <c r="K233" s="61">
        <f t="shared" si="36"/>
        <v>64372603</v>
      </c>
      <c r="L233" s="61">
        <v>181052054</v>
      </c>
      <c r="M233" s="61">
        <f t="shared" si="34"/>
        <v>61913423</v>
      </c>
      <c r="N233" s="61">
        <v>242965477</v>
      </c>
      <c r="O233" s="61">
        <f t="shared" si="39"/>
        <v>14514174218</v>
      </c>
      <c r="P233" s="61">
        <f t="shared" ref="P233:U233" si="44">SUM(P234:P236)</f>
        <v>249001640</v>
      </c>
      <c r="Q233" s="61">
        <f t="shared" si="44"/>
        <v>5753425</v>
      </c>
      <c r="R233" s="61">
        <f t="shared" si="44"/>
        <v>14746489927</v>
      </c>
      <c r="S233" s="61">
        <f t="shared" si="44"/>
        <v>14757139695</v>
      </c>
      <c r="T233" s="520">
        <f t="shared" si="44"/>
        <v>2685015637</v>
      </c>
      <c r="U233" s="520">
        <f t="shared" si="44"/>
        <v>1138033863</v>
      </c>
      <c r="V233" s="520">
        <v>-75500083</v>
      </c>
      <c r="W233" s="520">
        <v>914235993</v>
      </c>
      <c r="X233" s="520">
        <v>3059223398</v>
      </c>
      <c r="Y233" s="520">
        <v>0</v>
      </c>
      <c r="Z233" s="520">
        <v>0</v>
      </c>
      <c r="AA233" s="61">
        <f>SUM(AA234:AA236)</f>
        <v>3015710090</v>
      </c>
      <c r="AB233" s="61"/>
      <c r="AC233" s="61"/>
      <c r="AD233" s="67">
        <f t="shared" si="40"/>
        <v>3015710090</v>
      </c>
      <c r="AE233" s="67">
        <f t="shared" si="41"/>
        <v>3009956665</v>
      </c>
      <c r="AF233" s="62">
        <f t="shared" si="42"/>
        <v>1.1210201622375133</v>
      </c>
    </row>
    <row r="234" spans="1:32">
      <c r="B234" s="626" t="s">
        <v>284</v>
      </c>
      <c r="C234" s="2">
        <v>805300</v>
      </c>
      <c r="D234" s="401">
        <v>9071</v>
      </c>
      <c r="E234" s="627" t="s">
        <v>817</v>
      </c>
      <c r="F234" s="627" t="s">
        <v>834</v>
      </c>
      <c r="G234" s="21"/>
      <c r="H234" s="21">
        <f t="shared" si="37"/>
        <v>0</v>
      </c>
      <c r="I234" s="21"/>
      <c r="J234" s="21">
        <v>116679451</v>
      </c>
      <c r="K234" s="21">
        <f t="shared" si="36"/>
        <v>64372603</v>
      </c>
      <c r="L234" s="21">
        <v>181052054</v>
      </c>
      <c r="M234" s="21">
        <f t="shared" si="34"/>
        <v>61913423</v>
      </c>
      <c r="N234" s="21">
        <v>242965477</v>
      </c>
      <c r="O234" s="21">
        <f t="shared" si="39"/>
        <v>-181416224</v>
      </c>
      <c r="P234" s="21">
        <v>249001640</v>
      </c>
      <c r="Q234" s="21">
        <v>5753425</v>
      </c>
      <c r="R234" s="21">
        <f>IFERROR(VLOOKUP(C234,[6]IS_WTB!C$2:U$259,19,),)</f>
        <v>50899485</v>
      </c>
      <c r="S234" s="21">
        <v>61549253</v>
      </c>
      <c r="T234" s="30">
        <v>2685015637</v>
      </c>
      <c r="U234" s="30">
        <v>1138033863</v>
      </c>
      <c r="V234" s="30">
        <v>-75500083</v>
      </c>
      <c r="W234" s="30">
        <v>914235993</v>
      </c>
      <c r="X234" s="30">
        <v>0</v>
      </c>
      <c r="Y234" s="30">
        <v>0</v>
      </c>
      <c r="Z234" s="30">
        <v>0</v>
      </c>
      <c r="AA234" s="21">
        <f>-IFERROR(VLOOKUP(C234,'전사시산표(3단계)_1013'!$C:$L,10,0),0)</f>
        <v>0</v>
      </c>
      <c r="AB234" s="21"/>
      <c r="AC234" s="21"/>
      <c r="AD234" s="35">
        <f t="shared" si="40"/>
        <v>0</v>
      </c>
      <c r="AE234" s="35">
        <f t="shared" si="41"/>
        <v>-5753425</v>
      </c>
      <c r="AF234" s="38">
        <f t="shared" si="42"/>
        <v>-2.1427901278177918E-3</v>
      </c>
    </row>
    <row r="235" spans="1:32" s="691" customFormat="1">
      <c r="A235" s="23"/>
      <c r="B235" s="626" t="s">
        <v>284</v>
      </c>
      <c r="C235" s="2">
        <v>805200</v>
      </c>
      <c r="D235" s="692"/>
      <c r="E235" s="627" t="s">
        <v>1472</v>
      </c>
      <c r="F235" s="627" t="s">
        <v>834</v>
      </c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30"/>
      <c r="U235" s="30"/>
      <c r="V235" s="30"/>
      <c r="W235" s="30"/>
      <c r="X235" s="30">
        <v>3059223398</v>
      </c>
      <c r="Y235" s="30">
        <v>0</v>
      </c>
      <c r="Z235" s="30">
        <v>0</v>
      </c>
      <c r="AA235" s="21">
        <f>-IFERROR(VLOOKUP(C235,'전사시산표(3단계)_1013'!$C:$L,10,0),0)</f>
        <v>3015710090</v>
      </c>
      <c r="AB235" s="21"/>
      <c r="AC235" s="21"/>
      <c r="AD235" s="35">
        <f t="shared" si="40"/>
        <v>3015710090</v>
      </c>
      <c r="AE235" s="35">
        <f t="shared" si="41"/>
        <v>3015710090</v>
      </c>
      <c r="AF235" s="38" t="str">
        <f t="shared" si="42"/>
        <v/>
      </c>
    </row>
    <row r="236" spans="1:32">
      <c r="B236" s="1" t="s">
        <v>284</v>
      </c>
      <c r="C236" s="2">
        <v>805600</v>
      </c>
      <c r="D236" s="401" t="s">
        <v>1181</v>
      </c>
      <c r="E236" s="3" t="s">
        <v>1180</v>
      </c>
      <c r="F236" s="3" t="s">
        <v>834</v>
      </c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>
        <v>0</v>
      </c>
      <c r="R236" s="21">
        <f>IFERROR(VLOOKUP(C236,[6]IS_WTB!C$2:U$259,19,),)</f>
        <v>14695590442</v>
      </c>
      <c r="S236" s="21">
        <v>14695590442</v>
      </c>
      <c r="T236" s="30">
        <v>0</v>
      </c>
      <c r="U236" s="30">
        <v>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21">
        <f>-IFERROR(VLOOKUP(C236,'전사시산표(3단계)_1013'!$C:$L,10,0),0)</f>
        <v>0</v>
      </c>
      <c r="AB236" s="21"/>
      <c r="AC236" s="21"/>
      <c r="AD236" s="35">
        <f t="shared" si="40"/>
        <v>0</v>
      </c>
      <c r="AE236" s="35">
        <f t="shared" si="41"/>
        <v>0</v>
      </c>
      <c r="AF236" s="38" t="str">
        <f t="shared" si="42"/>
        <v/>
      </c>
    </row>
    <row r="237" spans="1:32" s="569" customFormat="1">
      <c r="A237" s="23"/>
      <c r="B237" s="64" t="s">
        <v>276</v>
      </c>
      <c r="C237" s="65"/>
      <c r="D237" s="65"/>
      <c r="E237" s="66" t="s">
        <v>1310</v>
      </c>
      <c r="F237" s="66"/>
      <c r="G237" s="61">
        <f>G238</f>
        <v>0</v>
      </c>
      <c r="H237" s="61">
        <f t="shared" ref="H237" si="45">I237-G237</f>
        <v>0</v>
      </c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520"/>
      <c r="U237" s="520">
        <v>1382909613</v>
      </c>
      <c r="V237" s="520">
        <v>3273380931</v>
      </c>
      <c r="W237" s="520">
        <v>1812095123</v>
      </c>
      <c r="X237" s="520">
        <v>2878577287</v>
      </c>
      <c r="Y237" s="520">
        <v>2867813375</v>
      </c>
      <c r="Z237" s="520">
        <v>3637133422</v>
      </c>
      <c r="AA237" s="61">
        <f>SUM(AA238)</f>
        <v>4719565041</v>
      </c>
      <c r="AB237" s="61"/>
      <c r="AC237" s="61"/>
      <c r="AD237" s="67">
        <f t="shared" si="40"/>
        <v>4719565041</v>
      </c>
      <c r="AE237" s="67">
        <f t="shared" si="41"/>
        <v>4719565041</v>
      </c>
      <c r="AF237" s="62" t="str">
        <f t="shared" si="42"/>
        <v/>
      </c>
    </row>
    <row r="238" spans="1:32" s="569" customFormat="1">
      <c r="A238" s="23"/>
      <c r="B238" s="1" t="s">
        <v>284</v>
      </c>
      <c r="C238" s="2">
        <v>805500</v>
      </c>
      <c r="D238" s="401">
        <v>9081</v>
      </c>
      <c r="E238" s="3" t="s">
        <v>1308</v>
      </c>
      <c r="F238" s="3" t="s">
        <v>1309</v>
      </c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30"/>
      <c r="U238" s="30">
        <v>1382909613</v>
      </c>
      <c r="V238" s="30">
        <v>3273380931</v>
      </c>
      <c r="W238" s="30">
        <v>1812095123</v>
      </c>
      <c r="X238" s="30">
        <v>2878577287</v>
      </c>
      <c r="Y238" s="30">
        <v>2867813375</v>
      </c>
      <c r="Z238" s="30">
        <v>3637133422</v>
      </c>
      <c r="AA238" s="21">
        <f>-IFERROR(VLOOKUP(C238,'전사시산표(3단계)_1013'!$C:$L,10,0),0)</f>
        <v>4719565041</v>
      </c>
      <c r="AB238" s="21"/>
      <c r="AC238" s="21"/>
      <c r="AD238" s="35">
        <f t="shared" si="40"/>
        <v>4719565041</v>
      </c>
      <c r="AE238" s="35">
        <f t="shared" si="41"/>
        <v>4719565041</v>
      </c>
      <c r="AF238" s="38" t="str">
        <f t="shared" si="42"/>
        <v/>
      </c>
    </row>
    <row r="239" spans="1:32">
      <c r="B239" s="64" t="s">
        <v>276</v>
      </c>
      <c r="C239" s="65">
        <v>8071</v>
      </c>
      <c r="D239" s="65"/>
      <c r="E239" s="66" t="s">
        <v>414</v>
      </c>
      <c r="F239" s="66"/>
      <c r="G239" s="61">
        <f>SUM(G240:G242)</f>
        <v>0</v>
      </c>
      <c r="H239" s="61">
        <f t="shared" si="37"/>
        <v>33089774</v>
      </c>
      <c r="I239" s="61">
        <v>33089774</v>
      </c>
      <c r="J239" s="61">
        <v>30259559</v>
      </c>
      <c r="K239" s="61">
        <f t="shared" si="36"/>
        <v>19035545</v>
      </c>
      <c r="L239" s="61">
        <v>49295104</v>
      </c>
      <c r="M239" s="61">
        <f t="shared" si="34"/>
        <v>93077737</v>
      </c>
      <c r="N239" s="61">
        <v>142372841</v>
      </c>
      <c r="O239" s="61">
        <f t="shared" ref="O239:O251" si="46">S239-N239</f>
        <v>-54168714</v>
      </c>
      <c r="P239" s="61">
        <v>164751944</v>
      </c>
      <c r="Q239" s="61">
        <v>56687901</v>
      </c>
      <c r="R239" s="61">
        <f>IFERROR(VLOOKUP(C239,[6]IS_WTB!C$2:U$259,19,),)</f>
        <v>78453019</v>
      </c>
      <c r="S239" s="61">
        <v>88204127</v>
      </c>
      <c r="T239" s="520">
        <v>98696738</v>
      </c>
      <c r="U239" s="520">
        <v>12678845</v>
      </c>
      <c r="V239" s="520">
        <v>26222731</v>
      </c>
      <c r="W239" s="520">
        <v>62250389</v>
      </c>
      <c r="X239" s="520">
        <v>78751422</v>
      </c>
      <c r="Y239" s="520">
        <v>28788401</v>
      </c>
      <c r="Z239" s="520">
        <v>50423160</v>
      </c>
      <c r="AA239" s="61">
        <f>SUM(AA240:AA242)</f>
        <v>96273207</v>
      </c>
      <c r="AB239" s="61"/>
      <c r="AC239" s="61"/>
      <c r="AD239" s="67">
        <f t="shared" si="40"/>
        <v>96273207</v>
      </c>
      <c r="AE239" s="67">
        <f t="shared" si="41"/>
        <v>39585306</v>
      </c>
      <c r="AF239" s="62">
        <f t="shared" si="42"/>
        <v>0.40108018564909409</v>
      </c>
    </row>
    <row r="240" spans="1:32">
      <c r="B240" s="1" t="s">
        <v>284</v>
      </c>
      <c r="C240" s="2">
        <v>807100</v>
      </c>
      <c r="D240" s="401">
        <v>9059</v>
      </c>
      <c r="E240" s="3" t="s">
        <v>415</v>
      </c>
      <c r="F240" s="3" t="s">
        <v>414</v>
      </c>
      <c r="G240" s="21">
        <v>0</v>
      </c>
      <c r="H240" s="21">
        <f t="shared" si="37"/>
        <v>60891</v>
      </c>
      <c r="I240" s="21">
        <v>60891</v>
      </c>
      <c r="J240" s="21">
        <v>312498</v>
      </c>
      <c r="K240" s="21">
        <f t="shared" si="36"/>
        <v>2959021</v>
      </c>
      <c r="L240" s="21">
        <v>3271519</v>
      </c>
      <c r="M240" s="21">
        <f t="shared" si="34"/>
        <v>12345616</v>
      </c>
      <c r="N240" s="21">
        <v>15617135</v>
      </c>
      <c r="O240" s="21">
        <f t="shared" si="46"/>
        <v>4131008</v>
      </c>
      <c r="P240" s="21">
        <v>21810714</v>
      </c>
      <c r="Q240" s="21">
        <v>14180691</v>
      </c>
      <c r="R240" s="21">
        <f>IFERROR(VLOOKUP(C240,[6]IS_WTB!C$2:U$259,19,),)</f>
        <v>19013645</v>
      </c>
      <c r="S240" s="21">
        <v>19748143</v>
      </c>
      <c r="T240" s="30">
        <v>19923537</v>
      </c>
      <c r="U240" s="30">
        <v>-4917726</v>
      </c>
      <c r="V240" s="30">
        <v>-3650864</v>
      </c>
      <c r="W240" s="30">
        <v>2087553</v>
      </c>
      <c r="X240" s="30">
        <v>6596742</v>
      </c>
      <c r="Y240" s="30">
        <v>7341886</v>
      </c>
      <c r="Z240" s="30">
        <v>13038718</v>
      </c>
      <c r="AA240" s="30">
        <f>-IFERROR(VLOOKUP(C240,'전사시산표(3단계)_1013'!$C:$L,10,0),0)</f>
        <v>17160752</v>
      </c>
      <c r="AB240" s="21"/>
      <c r="AC240" s="21"/>
      <c r="AD240" s="35">
        <f t="shared" si="40"/>
        <v>17160752</v>
      </c>
      <c r="AE240" s="35">
        <f t="shared" si="41"/>
        <v>2980061</v>
      </c>
      <c r="AF240" s="38">
        <f t="shared" si="42"/>
        <v>0.14957489726849205</v>
      </c>
    </row>
    <row r="241" spans="1:32">
      <c r="B241" s="1" t="s">
        <v>284</v>
      </c>
      <c r="C241" s="2">
        <v>807110</v>
      </c>
      <c r="D241" s="2"/>
      <c r="E241" s="3" t="s">
        <v>416</v>
      </c>
      <c r="F241" s="3" t="s">
        <v>414</v>
      </c>
      <c r="G241" s="21">
        <v>0</v>
      </c>
      <c r="H241" s="21">
        <f t="shared" si="37"/>
        <v>0</v>
      </c>
      <c r="I241" s="21">
        <v>0</v>
      </c>
      <c r="J241" s="21">
        <v>0</v>
      </c>
      <c r="K241" s="21">
        <f t="shared" si="36"/>
        <v>0</v>
      </c>
      <c r="L241" s="21">
        <v>0</v>
      </c>
      <c r="M241" s="21">
        <f t="shared" si="34"/>
        <v>0</v>
      </c>
      <c r="N241" s="21">
        <v>0</v>
      </c>
      <c r="O241" s="21">
        <f t="shared" si="46"/>
        <v>0</v>
      </c>
      <c r="P241" s="21">
        <v>0</v>
      </c>
      <c r="Q241" s="21">
        <v>0</v>
      </c>
      <c r="R241" s="21">
        <f>IFERROR(VLOOKUP(C241,[6]IS_WTB!C$2:U$259,19,),)</f>
        <v>0</v>
      </c>
      <c r="S241" s="21">
        <v>0</v>
      </c>
      <c r="T241" s="30">
        <v>0</v>
      </c>
      <c r="U241" s="30">
        <v>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0">
        <f>-IFERROR(VLOOKUP(C241,'전사시산표(3단계)_1013'!$C:$L,10,0),0)</f>
        <v>0</v>
      </c>
      <c r="AB241" s="21"/>
      <c r="AC241" s="21"/>
      <c r="AD241" s="35">
        <f t="shared" si="40"/>
        <v>0</v>
      </c>
      <c r="AE241" s="35">
        <f t="shared" si="41"/>
        <v>0</v>
      </c>
      <c r="AF241" s="38" t="str">
        <f t="shared" si="42"/>
        <v/>
      </c>
    </row>
    <row r="242" spans="1:32">
      <c r="B242" s="1" t="s">
        <v>284</v>
      </c>
      <c r="C242" s="2">
        <v>807130</v>
      </c>
      <c r="D242" s="401">
        <v>9059</v>
      </c>
      <c r="E242" s="3" t="s">
        <v>417</v>
      </c>
      <c r="F242" s="3" t="s">
        <v>414</v>
      </c>
      <c r="G242" s="21">
        <v>0</v>
      </c>
      <c r="H242" s="21">
        <f t="shared" si="37"/>
        <v>33028883</v>
      </c>
      <c r="I242" s="21">
        <v>33028883</v>
      </c>
      <c r="J242" s="21">
        <v>29947061</v>
      </c>
      <c r="K242" s="21">
        <f t="shared" si="36"/>
        <v>16076524</v>
      </c>
      <c r="L242" s="21">
        <v>46023585</v>
      </c>
      <c r="M242" s="21">
        <f t="shared" si="34"/>
        <v>80732121</v>
      </c>
      <c r="N242" s="21">
        <v>126755706</v>
      </c>
      <c r="O242" s="21">
        <f t="shared" si="46"/>
        <v>-58299722</v>
      </c>
      <c r="P242" s="21">
        <v>142941230</v>
      </c>
      <c r="Q242" s="21">
        <v>42507210</v>
      </c>
      <c r="R242" s="21">
        <f>IFERROR(VLOOKUP(C242,[6]IS_WTB!C$2:U$259,19,),)</f>
        <v>59439374</v>
      </c>
      <c r="S242" s="21">
        <v>68455984</v>
      </c>
      <c r="T242" s="30">
        <v>78773201</v>
      </c>
      <c r="U242" s="30">
        <v>17596571</v>
      </c>
      <c r="V242" s="30">
        <v>29873595</v>
      </c>
      <c r="W242" s="30">
        <v>60162836</v>
      </c>
      <c r="X242" s="30">
        <v>72154680</v>
      </c>
      <c r="Y242" s="30">
        <v>21446515</v>
      </c>
      <c r="Z242" s="30">
        <v>37384442</v>
      </c>
      <c r="AA242" s="30">
        <f>-IFERROR(VLOOKUP(C242,'전사시산표(3단계)_1013'!$C:$L,10,0),0)</f>
        <v>79112455</v>
      </c>
      <c r="AB242" s="21"/>
      <c r="AC242" s="21"/>
      <c r="AD242" s="35">
        <f t="shared" si="40"/>
        <v>79112455</v>
      </c>
      <c r="AE242" s="35">
        <f t="shared" si="41"/>
        <v>36605245</v>
      </c>
      <c r="AF242" s="38">
        <f t="shared" si="42"/>
        <v>0.46469160241437946</v>
      </c>
    </row>
    <row r="243" spans="1:32">
      <c r="B243" s="64" t="s">
        <v>276</v>
      </c>
      <c r="C243" s="65">
        <v>8081</v>
      </c>
      <c r="D243" s="65"/>
      <c r="E243" s="66" t="s">
        <v>418</v>
      </c>
      <c r="F243" s="66"/>
      <c r="G243" s="61">
        <f>SUM(G244:G246)</f>
        <v>42703</v>
      </c>
      <c r="H243" s="61">
        <f t="shared" si="37"/>
        <v>3711654</v>
      </c>
      <c r="I243" s="61">
        <v>3754357</v>
      </c>
      <c r="J243" s="61">
        <v>20663383</v>
      </c>
      <c r="K243" s="61">
        <f t="shared" si="36"/>
        <v>-795593</v>
      </c>
      <c r="L243" s="61">
        <v>19867790</v>
      </c>
      <c r="M243" s="61">
        <f t="shared" si="34"/>
        <v>36463731</v>
      </c>
      <c r="N243" s="61">
        <v>56331521</v>
      </c>
      <c r="O243" s="61">
        <f t="shared" si="46"/>
        <v>-76243251</v>
      </c>
      <c r="P243" s="61">
        <v>32799789</v>
      </c>
      <c r="Q243" s="61">
        <v>60351830</v>
      </c>
      <c r="R243" s="61">
        <f>IFERROR(VLOOKUP(C243,[6]IS_WTB!C$2:U$259,19,),)</f>
        <v>14210948</v>
      </c>
      <c r="S243" s="61">
        <v>-19911730</v>
      </c>
      <c r="T243" s="520">
        <v>-31980394</v>
      </c>
      <c r="U243" s="520">
        <v>5853888</v>
      </c>
      <c r="V243" s="520">
        <v>7909684</v>
      </c>
      <c r="W243" s="520">
        <v>33124946</v>
      </c>
      <c r="X243" s="520">
        <v>379738176</v>
      </c>
      <c r="Y243" s="520">
        <v>9861091</v>
      </c>
      <c r="Z243" s="520">
        <v>60738165</v>
      </c>
      <c r="AA243" s="520">
        <f>SUM(AA244:AA246)</f>
        <v>377131011</v>
      </c>
      <c r="AB243" s="61"/>
      <c r="AC243" s="61"/>
      <c r="AD243" s="67">
        <f t="shared" si="40"/>
        <v>377131011</v>
      </c>
      <c r="AE243" s="67">
        <f t="shared" si="41"/>
        <v>316779181</v>
      </c>
      <c r="AF243" s="62">
        <f t="shared" si="42"/>
        <v>-9.9054183322444374</v>
      </c>
    </row>
    <row r="244" spans="1:32">
      <c r="B244" s="1" t="s">
        <v>284</v>
      </c>
      <c r="C244" s="2">
        <v>808100</v>
      </c>
      <c r="D244" s="401">
        <v>9062</v>
      </c>
      <c r="E244" s="3" t="s">
        <v>419</v>
      </c>
      <c r="F244" s="3" t="s">
        <v>420</v>
      </c>
      <c r="G244" s="21">
        <v>0</v>
      </c>
      <c r="H244" s="21">
        <f t="shared" si="37"/>
        <v>992847</v>
      </c>
      <c r="I244" s="21">
        <v>992847</v>
      </c>
      <c r="J244" s="21">
        <v>0</v>
      </c>
      <c r="K244" s="21">
        <f t="shared" si="36"/>
        <v>0</v>
      </c>
      <c r="L244" s="21">
        <v>0</v>
      </c>
      <c r="M244" s="21">
        <f t="shared" si="34"/>
        <v>0</v>
      </c>
      <c r="N244" s="21">
        <v>0</v>
      </c>
      <c r="O244" s="21">
        <f t="shared" si="46"/>
        <v>0</v>
      </c>
      <c r="P244" s="21">
        <v>0</v>
      </c>
      <c r="Q244" s="21">
        <v>0</v>
      </c>
      <c r="R244" s="21">
        <f>IFERROR(VLOOKUP(C244,[6]IS_WTB!C$2:U$259,19,),)</f>
        <v>0</v>
      </c>
      <c r="S244" s="21">
        <v>0</v>
      </c>
      <c r="T244" s="30">
        <v>3223140</v>
      </c>
      <c r="U244" s="30">
        <v>0</v>
      </c>
      <c r="V244" s="30">
        <v>0</v>
      </c>
      <c r="W244" s="30">
        <v>0</v>
      </c>
      <c r="X244" s="30">
        <v>0</v>
      </c>
      <c r="Y244" s="30">
        <v>236633</v>
      </c>
      <c r="Z244" s="30">
        <v>236633</v>
      </c>
      <c r="AA244" s="30">
        <f>-IFERROR(VLOOKUP(C244,'전사시산표(3단계)_1013'!$C:$L,10,0),0)</f>
        <v>236633</v>
      </c>
      <c r="AB244" s="21"/>
      <c r="AC244" s="21"/>
      <c r="AD244" s="35">
        <f t="shared" si="40"/>
        <v>236633</v>
      </c>
      <c r="AE244" s="35">
        <f t="shared" si="41"/>
        <v>236633</v>
      </c>
      <c r="AF244" s="38">
        <f t="shared" si="42"/>
        <v>7.3416916423115347E-2</v>
      </c>
    </row>
    <row r="245" spans="1:32">
      <c r="B245" s="1" t="s">
        <v>284</v>
      </c>
      <c r="C245" s="2">
        <v>808170</v>
      </c>
      <c r="D245" s="401">
        <v>9069</v>
      </c>
      <c r="E245" s="3" t="s">
        <v>421</v>
      </c>
      <c r="F245" s="3" t="s">
        <v>420</v>
      </c>
      <c r="G245" s="21">
        <v>42703</v>
      </c>
      <c r="H245" s="21">
        <f t="shared" si="37"/>
        <v>2654309</v>
      </c>
      <c r="I245" s="21">
        <v>2697012</v>
      </c>
      <c r="J245" s="21">
        <v>20663383</v>
      </c>
      <c r="K245" s="21">
        <f>L245-J245</f>
        <v>-795593</v>
      </c>
      <c r="L245" s="21">
        <v>19867790</v>
      </c>
      <c r="M245" s="21">
        <f t="shared" si="34"/>
        <v>36463731</v>
      </c>
      <c r="N245" s="21">
        <v>56331521</v>
      </c>
      <c r="O245" s="21">
        <f t="shared" si="46"/>
        <v>-76243251</v>
      </c>
      <c r="P245" s="21">
        <v>32655942</v>
      </c>
      <c r="Q245" s="21">
        <v>60351830</v>
      </c>
      <c r="R245" s="21">
        <f>IFERROR(VLOOKUP(C245,[6]IS_WTB!C$2:U$259,19,),)</f>
        <v>14210948</v>
      </c>
      <c r="S245" s="21">
        <v>-19911730</v>
      </c>
      <c r="T245" s="30">
        <v>-35211075</v>
      </c>
      <c r="U245" s="30">
        <v>5853888</v>
      </c>
      <c r="V245" s="30">
        <v>5010531</v>
      </c>
      <c r="W245" s="30">
        <v>30829774</v>
      </c>
      <c r="X245" s="30">
        <v>378253674</v>
      </c>
      <c r="Y245" s="30">
        <v>8241528</v>
      </c>
      <c r="Z245" s="30">
        <v>59118602</v>
      </c>
      <c r="AA245" s="30">
        <f>-IFERROR(VLOOKUP(C245,'전사시산표(3단계)_1013'!$C:$L,10,0),0)</f>
        <v>373041168</v>
      </c>
      <c r="AB245" s="21"/>
      <c r="AC245" s="21"/>
      <c r="AD245" s="35">
        <f t="shared" si="40"/>
        <v>373041168</v>
      </c>
      <c r="AE245" s="35">
        <f t="shared" si="41"/>
        <v>312689338</v>
      </c>
      <c r="AF245" s="38">
        <f t="shared" si="42"/>
        <v>-8.8804257751289892</v>
      </c>
    </row>
    <row r="246" spans="1:32" ht="17.25" thickBot="1">
      <c r="B246" s="9" t="s">
        <v>284</v>
      </c>
      <c r="C246" s="34">
        <v>808190</v>
      </c>
      <c r="D246" s="405">
        <v>9069</v>
      </c>
      <c r="E246" s="33" t="s">
        <v>422</v>
      </c>
      <c r="F246" s="33" t="s">
        <v>420</v>
      </c>
      <c r="G246" s="36">
        <v>0</v>
      </c>
      <c r="H246" s="36">
        <f t="shared" si="37"/>
        <v>64498</v>
      </c>
      <c r="I246" s="36">
        <v>64498</v>
      </c>
      <c r="J246" s="36">
        <v>0</v>
      </c>
      <c r="K246" s="36">
        <f t="shared" si="36"/>
        <v>0</v>
      </c>
      <c r="L246" s="36">
        <v>0</v>
      </c>
      <c r="M246" s="36">
        <f t="shared" si="34"/>
        <v>0</v>
      </c>
      <c r="N246" s="36">
        <v>0</v>
      </c>
      <c r="O246" s="36">
        <f t="shared" si="46"/>
        <v>0</v>
      </c>
      <c r="P246" s="36">
        <v>143847</v>
      </c>
      <c r="Q246" s="36">
        <v>0</v>
      </c>
      <c r="R246" s="36">
        <f>IFERROR(VLOOKUP(C246,[6]IS_WTB!C$2:U$259,19,),)</f>
        <v>0</v>
      </c>
      <c r="S246" s="36">
        <v>0</v>
      </c>
      <c r="T246" s="39">
        <v>7541</v>
      </c>
      <c r="U246" s="39">
        <v>0</v>
      </c>
      <c r="V246" s="39">
        <v>2899153</v>
      </c>
      <c r="W246" s="39">
        <v>2295172</v>
      </c>
      <c r="X246" s="39">
        <v>1484502</v>
      </c>
      <c r="Y246" s="39">
        <v>1382930</v>
      </c>
      <c r="Z246" s="39">
        <v>1382930</v>
      </c>
      <c r="AA246" s="39">
        <f>-IFERROR(VLOOKUP(C246,'전사시산표(3단계)_1013'!$C:$L,10,0),0)</f>
        <v>3853210</v>
      </c>
      <c r="AB246" s="36"/>
      <c r="AC246" s="36"/>
      <c r="AD246" s="37">
        <f t="shared" si="40"/>
        <v>3853210</v>
      </c>
      <c r="AE246" s="37">
        <f t="shared" si="41"/>
        <v>3853210</v>
      </c>
      <c r="AF246" s="40">
        <f t="shared" si="42"/>
        <v>510.9680413738231</v>
      </c>
    </row>
    <row r="247" spans="1:32" ht="17.25" thickBot="1">
      <c r="B247" s="44" t="s">
        <v>275</v>
      </c>
      <c r="C247" s="49" t="s">
        <v>453</v>
      </c>
      <c r="D247" s="404"/>
      <c r="E247" s="46" t="s">
        <v>423</v>
      </c>
      <c r="F247" s="46"/>
      <c r="G247" s="50">
        <f>-SUM(G248,G256,G260,G266)</f>
        <v>-401804785</v>
      </c>
      <c r="H247" s="50">
        <f t="shared" si="37"/>
        <v>-30248862</v>
      </c>
      <c r="I247" s="50">
        <v>-432053647</v>
      </c>
      <c r="J247" s="50">
        <v>-330579738</v>
      </c>
      <c r="K247" s="50">
        <f t="shared" si="36"/>
        <v>-353347155</v>
      </c>
      <c r="L247" s="50">
        <v>-683926893</v>
      </c>
      <c r="M247" s="50">
        <f t="shared" si="34"/>
        <v>-333441736</v>
      </c>
      <c r="N247" s="50">
        <v>-1017368629</v>
      </c>
      <c r="O247" s="50">
        <f t="shared" si="46"/>
        <v>195944599</v>
      </c>
      <c r="P247" s="50">
        <v>-1322772959</v>
      </c>
      <c r="Q247" s="50">
        <v>-282136191</v>
      </c>
      <c r="R247" s="50">
        <v>-530584598</v>
      </c>
      <c r="S247" s="50">
        <v>-821424030</v>
      </c>
      <c r="T247" s="52">
        <v>-13582242624</v>
      </c>
      <c r="U247" s="52">
        <v>-90136164</v>
      </c>
      <c r="V247" s="52">
        <v>-307436667</v>
      </c>
      <c r="W247" s="52">
        <v>-513952790</v>
      </c>
      <c r="X247" s="52">
        <v>-5146749228</v>
      </c>
      <c r="Y247" s="52">
        <v>-610255061</v>
      </c>
      <c r="Z247" s="52">
        <v>-6036627462</v>
      </c>
      <c r="AA247" s="52">
        <f>-SUM(AA248,AA254,AA256,AA260,AA264,AA266,AA252)</f>
        <v>-8543696127</v>
      </c>
      <c r="AB247" s="50"/>
      <c r="AC247" s="50"/>
      <c r="AD247" s="51">
        <f t="shared" ref="AD247:AD271" si="47">AA247+AB247-AC247</f>
        <v>-8543696127</v>
      </c>
      <c r="AE247" s="51">
        <f t="shared" si="41"/>
        <v>-8261559936</v>
      </c>
      <c r="AF247" s="53">
        <f t="shared" si="42"/>
        <v>0.60826184340145095</v>
      </c>
    </row>
    <row r="248" spans="1:32">
      <c r="B248" s="55" t="s">
        <v>276</v>
      </c>
      <c r="C248" s="56">
        <v>8201</v>
      </c>
      <c r="D248" s="56"/>
      <c r="E248" s="57" t="s">
        <v>424</v>
      </c>
      <c r="F248" s="57"/>
      <c r="G248" s="59">
        <f>SUM(G249)</f>
        <v>10416681</v>
      </c>
      <c r="H248" s="59">
        <f t="shared" si="37"/>
        <v>10547225</v>
      </c>
      <c r="I248" s="59">
        <v>20963906</v>
      </c>
      <c r="J248" s="59">
        <v>325298715</v>
      </c>
      <c r="K248" s="59">
        <f t="shared" si="36"/>
        <v>341188023</v>
      </c>
      <c r="L248" s="59">
        <v>666486738</v>
      </c>
      <c r="M248" s="59">
        <f t="shared" si="34"/>
        <v>307321971</v>
      </c>
      <c r="N248" s="59">
        <v>973808709</v>
      </c>
      <c r="O248" s="59">
        <f t="shared" si="46"/>
        <v>-247112690</v>
      </c>
      <c r="P248" s="59">
        <v>1260039800</v>
      </c>
      <c r="Q248" s="59">
        <v>264322515</v>
      </c>
      <c r="R248" s="59">
        <f>IFERROR(VLOOKUP(C248,[6]IS_WTB!C$2:U$259,19,),)</f>
        <v>506064167</v>
      </c>
      <c r="S248" s="59">
        <v>726696019</v>
      </c>
      <c r="T248" s="58">
        <v>952515073</v>
      </c>
      <c r="U248" s="58">
        <v>225478382</v>
      </c>
      <c r="V248" s="58">
        <v>438593638</v>
      </c>
      <c r="W248" s="58">
        <v>639528154</v>
      </c>
      <c r="X248" s="58">
        <v>834343978</v>
      </c>
      <c r="Y248" s="58">
        <v>210396640</v>
      </c>
      <c r="Z248" s="58">
        <v>385943913</v>
      </c>
      <c r="AA248" s="58">
        <f>SUM(AA249:AA251)</f>
        <v>603180510</v>
      </c>
      <c r="AB248" s="59"/>
      <c r="AC248" s="59"/>
      <c r="AD248" s="63">
        <f t="shared" si="47"/>
        <v>603180510</v>
      </c>
      <c r="AE248" s="63">
        <f t="shared" si="41"/>
        <v>338857995</v>
      </c>
      <c r="AF248" s="60">
        <f t="shared" si="42"/>
        <v>0.35575079555722683</v>
      </c>
    </row>
    <row r="249" spans="1:32">
      <c r="B249" s="1" t="s">
        <v>284</v>
      </c>
      <c r="C249" s="2">
        <v>820190</v>
      </c>
      <c r="D249" s="401">
        <v>9539</v>
      </c>
      <c r="E249" s="3" t="s">
        <v>9</v>
      </c>
      <c r="F249" s="3" t="s">
        <v>425</v>
      </c>
      <c r="G249" s="21">
        <v>10416681</v>
      </c>
      <c r="H249" s="21">
        <f t="shared" si="37"/>
        <v>10547225</v>
      </c>
      <c r="I249" s="21">
        <v>20963906</v>
      </c>
      <c r="J249" s="21">
        <v>10578083</v>
      </c>
      <c r="K249" s="21">
        <f t="shared" si="36"/>
        <v>42135621</v>
      </c>
      <c r="L249" s="21">
        <v>52713704</v>
      </c>
      <c r="M249" s="21">
        <f t="shared" si="34"/>
        <v>27166186</v>
      </c>
      <c r="N249" s="21">
        <v>79879890</v>
      </c>
      <c r="O249" s="21">
        <f t="shared" si="46"/>
        <v>5939033</v>
      </c>
      <c r="P249" s="21">
        <v>107487279</v>
      </c>
      <c r="Q249" s="21">
        <v>28103540</v>
      </c>
      <c r="R249" s="21">
        <f>IFERROR(VLOOKUP(C249,[6]IS_WTB!C$2:U$259,19,),)</f>
        <v>56732264</v>
      </c>
      <c r="S249" s="21">
        <v>85818923</v>
      </c>
      <c r="T249" s="30">
        <v>138844598</v>
      </c>
      <c r="U249" s="30">
        <v>31935825</v>
      </c>
      <c r="V249" s="30">
        <v>64286905</v>
      </c>
      <c r="W249" s="30">
        <v>97254709</v>
      </c>
      <c r="X249" s="30">
        <v>130675717</v>
      </c>
      <c r="Y249" s="30">
        <v>34105461</v>
      </c>
      <c r="Z249" s="30">
        <v>68663248</v>
      </c>
      <c r="AA249" s="30">
        <f>IFERROR(VLOOKUP(C249,'전사시산표(3단계)_1013'!$C:$L,10,0),0)</f>
        <v>101876355</v>
      </c>
      <c r="AB249" s="21"/>
      <c r="AC249" s="21"/>
      <c r="AD249" s="35">
        <f t="shared" si="47"/>
        <v>101876355</v>
      </c>
      <c r="AE249" s="35">
        <f t="shared" si="41"/>
        <v>73772815</v>
      </c>
      <c r="AF249" s="38">
        <f t="shared" si="42"/>
        <v>0.53133370734380314</v>
      </c>
    </row>
    <row r="250" spans="1:32">
      <c r="B250" s="1" t="s">
        <v>284</v>
      </c>
      <c r="C250" s="2">
        <v>820191</v>
      </c>
      <c r="D250" s="2"/>
      <c r="E250" s="3" t="s">
        <v>820</v>
      </c>
      <c r="F250" s="3" t="s">
        <v>425</v>
      </c>
      <c r="G250" s="21"/>
      <c r="H250" s="21">
        <f t="shared" si="37"/>
        <v>0</v>
      </c>
      <c r="I250" s="21"/>
      <c r="J250" s="21">
        <v>0</v>
      </c>
      <c r="K250" s="21">
        <f t="shared" si="36"/>
        <v>0</v>
      </c>
      <c r="L250" s="21">
        <v>0</v>
      </c>
      <c r="M250" s="21">
        <f t="shared" si="34"/>
        <v>0</v>
      </c>
      <c r="N250" s="21">
        <v>0</v>
      </c>
      <c r="O250" s="21">
        <f t="shared" si="46"/>
        <v>0</v>
      </c>
      <c r="P250" s="21">
        <v>0</v>
      </c>
      <c r="Q250" s="21">
        <v>0</v>
      </c>
      <c r="R250" s="21">
        <f>IFERROR(VLOOKUP(C250,[6]IS_WTB!C$2:U$259,19,),)</f>
        <v>0</v>
      </c>
      <c r="S250" s="21">
        <v>0</v>
      </c>
      <c r="T250" s="30">
        <v>0</v>
      </c>
      <c r="U250" s="30">
        <v>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0">
        <f>IFERROR(VLOOKUP(C250,'전사시산표(3단계)_1013'!$C:$L,10,0),0)</f>
        <v>0</v>
      </c>
      <c r="AB250" s="21"/>
      <c r="AC250" s="21"/>
      <c r="AD250" s="35">
        <f t="shared" si="47"/>
        <v>0</v>
      </c>
      <c r="AE250" s="35">
        <f t="shared" si="41"/>
        <v>0</v>
      </c>
      <c r="AF250" s="38" t="str">
        <f t="shared" si="42"/>
        <v/>
      </c>
    </row>
    <row r="251" spans="1:32">
      <c r="B251" s="1" t="s">
        <v>284</v>
      </c>
      <c r="C251" s="2">
        <v>820200</v>
      </c>
      <c r="D251" s="401">
        <v>9523</v>
      </c>
      <c r="E251" s="3" t="s">
        <v>821</v>
      </c>
      <c r="F251" s="3" t="s">
        <v>425</v>
      </c>
      <c r="G251" s="21"/>
      <c r="H251" s="21">
        <f t="shared" si="37"/>
        <v>0</v>
      </c>
      <c r="I251" s="21"/>
      <c r="J251" s="21">
        <v>314720632</v>
      </c>
      <c r="K251" s="21">
        <f t="shared" si="36"/>
        <v>299052402</v>
      </c>
      <c r="L251" s="21">
        <v>613773034</v>
      </c>
      <c r="M251" s="21">
        <f t="shared" si="34"/>
        <v>280155785</v>
      </c>
      <c r="N251" s="21">
        <v>893928819</v>
      </c>
      <c r="O251" s="21">
        <f t="shared" si="46"/>
        <v>-253051723</v>
      </c>
      <c r="P251" s="21">
        <v>1152552521</v>
      </c>
      <c r="Q251" s="21">
        <v>236218975</v>
      </c>
      <c r="R251" s="21">
        <f>IFERROR(VLOOKUP(C251,[6]IS_WTB!C$2:U$259,19,),)</f>
        <v>449331903</v>
      </c>
      <c r="S251" s="21">
        <v>640877096</v>
      </c>
      <c r="T251" s="30">
        <v>813670475</v>
      </c>
      <c r="U251" s="30">
        <v>193542557</v>
      </c>
      <c r="V251" s="30">
        <v>374306733</v>
      </c>
      <c r="W251" s="30">
        <v>542273445</v>
      </c>
      <c r="X251" s="30">
        <v>703668261</v>
      </c>
      <c r="Y251" s="30">
        <v>176291179</v>
      </c>
      <c r="Z251" s="30">
        <v>317280665</v>
      </c>
      <c r="AA251" s="30">
        <f>IFERROR(VLOOKUP(C251,'전사시산표(3단계)_1013'!$C:$L,10,0),0)</f>
        <v>501304155</v>
      </c>
      <c r="AB251" s="21"/>
      <c r="AC251" s="21"/>
      <c r="AD251" s="35">
        <f t="shared" si="47"/>
        <v>501304155</v>
      </c>
      <c r="AE251" s="35">
        <f t="shared" si="41"/>
        <v>265085180</v>
      </c>
      <c r="AF251" s="38">
        <f t="shared" si="42"/>
        <v>0.32578935594289565</v>
      </c>
    </row>
    <row r="252" spans="1:32" s="623" customFormat="1">
      <c r="A252" s="23"/>
      <c r="B252" s="64" t="s">
        <v>276</v>
      </c>
      <c r="C252" s="65"/>
      <c r="D252" s="65"/>
      <c r="E252" s="66" t="s">
        <v>1375</v>
      </c>
      <c r="F252" s="66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8"/>
      <c r="U252" s="58"/>
      <c r="V252" s="58"/>
      <c r="W252" s="58"/>
      <c r="X252" s="58">
        <v>1446261005</v>
      </c>
      <c r="Y252" s="58">
        <v>384606366</v>
      </c>
      <c r="Z252" s="58">
        <v>5624443533</v>
      </c>
      <c r="AA252" s="58">
        <f>SUM(AA253)</f>
        <v>7896068844</v>
      </c>
      <c r="AB252" s="58">
        <f t="shared" ref="AB252:AC252" si="48">SUM(AB253)</f>
        <v>0</v>
      </c>
      <c r="AC252" s="58">
        <f t="shared" si="48"/>
        <v>0</v>
      </c>
      <c r="AD252" s="67">
        <f t="shared" si="47"/>
        <v>7896068844</v>
      </c>
      <c r="AE252" s="67">
        <f t="shared" si="41"/>
        <v>7896068844</v>
      </c>
      <c r="AF252" s="60" t="str">
        <f t="shared" si="42"/>
        <v/>
      </c>
    </row>
    <row r="253" spans="1:32" s="623" customFormat="1">
      <c r="A253" s="23"/>
      <c r="B253" s="626" t="s">
        <v>284</v>
      </c>
      <c r="C253" s="624">
        <v>823300</v>
      </c>
      <c r="D253" s="628"/>
      <c r="E253" s="627" t="s">
        <v>1362</v>
      </c>
      <c r="F253" s="627" t="s">
        <v>1363</v>
      </c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31"/>
      <c r="U253" s="31"/>
      <c r="V253" s="31"/>
      <c r="W253" s="31"/>
      <c r="X253" s="31">
        <v>1446261005</v>
      </c>
      <c r="Y253" s="31">
        <v>384606366</v>
      </c>
      <c r="Z253" s="31">
        <v>5624443533</v>
      </c>
      <c r="AA253" s="30">
        <f>IFERROR(VLOOKUP(C253,'전사시산표(3단계)_1013'!$C:$L,10,0),0)</f>
        <v>7896068844</v>
      </c>
      <c r="AB253" s="22"/>
      <c r="AC253" s="22"/>
      <c r="AD253" s="625">
        <f t="shared" si="47"/>
        <v>7896068844</v>
      </c>
      <c r="AE253" s="625">
        <f t="shared" si="41"/>
        <v>7896068844</v>
      </c>
      <c r="AF253" s="181" t="str">
        <f t="shared" si="42"/>
        <v/>
      </c>
    </row>
    <row r="254" spans="1:32">
      <c r="B254" s="55" t="s">
        <v>276</v>
      </c>
      <c r="C254" s="56">
        <v>8233</v>
      </c>
      <c r="D254" s="56"/>
      <c r="E254" s="57" t="s">
        <v>1234</v>
      </c>
      <c r="F254" s="57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>
        <v>0</v>
      </c>
      <c r="R254" s="59">
        <f>IFERROR(VLOOKUP(C254,[6]IS_WTB!C$2:U$259,19,),)</f>
        <v>0</v>
      </c>
      <c r="S254" s="59"/>
      <c r="T254" s="58">
        <v>94967846</v>
      </c>
      <c r="U254" s="58">
        <v>0</v>
      </c>
      <c r="V254" s="58">
        <v>0</v>
      </c>
      <c r="W254" s="58">
        <v>0</v>
      </c>
      <c r="X254" s="58">
        <v>0</v>
      </c>
      <c r="Y254" s="58">
        <v>0</v>
      </c>
      <c r="Z254" s="58">
        <v>0</v>
      </c>
      <c r="AA254" s="58">
        <f>SUM(AA255)</f>
        <v>0</v>
      </c>
      <c r="AB254" s="59"/>
      <c r="AC254" s="59"/>
      <c r="AD254" s="63">
        <f t="shared" si="47"/>
        <v>0</v>
      </c>
      <c r="AE254" s="63">
        <f t="shared" si="41"/>
        <v>0</v>
      </c>
      <c r="AF254" s="60">
        <f t="shared" si="42"/>
        <v>0</v>
      </c>
    </row>
    <row r="255" spans="1:32">
      <c r="B255" s="1" t="s">
        <v>284</v>
      </c>
      <c r="C255" s="2">
        <v>803600</v>
      </c>
      <c r="D255" s="401"/>
      <c r="E255" s="3" t="s">
        <v>1234</v>
      </c>
      <c r="F255" s="3" t="s">
        <v>1234</v>
      </c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>
        <v>0</v>
      </c>
      <c r="R255" s="21">
        <f>IFERROR(VLOOKUP(C255,[6]IS_WTB!C$2:U$259,19,),)</f>
        <v>0</v>
      </c>
      <c r="S255" s="21"/>
      <c r="T255" s="30">
        <v>94967846</v>
      </c>
      <c r="U255" s="30">
        <v>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0">
        <f>IFERROR(VLOOKUP(C255,'전사시산표(3단계)_1013'!$C:$L,10,0),0)</f>
        <v>0</v>
      </c>
      <c r="AB255" s="21"/>
      <c r="AC255" s="21"/>
      <c r="AD255" s="35">
        <f t="shared" si="47"/>
        <v>0</v>
      </c>
      <c r="AE255" s="35">
        <f t="shared" si="41"/>
        <v>0</v>
      </c>
      <c r="AF255" s="38">
        <f t="shared" si="42"/>
        <v>0</v>
      </c>
    </row>
    <row r="256" spans="1:32">
      <c r="B256" s="64" t="s">
        <v>276</v>
      </c>
      <c r="C256" s="65">
        <v>8261</v>
      </c>
      <c r="D256" s="65"/>
      <c r="E256" s="66" t="s">
        <v>426</v>
      </c>
      <c r="F256" s="66"/>
      <c r="G256" s="61">
        <f>SUM(G257:G259)</f>
        <v>0</v>
      </c>
      <c r="H256" s="61">
        <f t="shared" si="37"/>
        <v>13630732</v>
      </c>
      <c r="I256" s="61">
        <v>13630732</v>
      </c>
      <c r="J256" s="61">
        <v>7751831</v>
      </c>
      <c r="K256" s="61">
        <f t="shared" si="36"/>
        <v>12287596</v>
      </c>
      <c r="L256" s="61">
        <v>20039427</v>
      </c>
      <c r="M256" s="61">
        <f t="shared" si="34"/>
        <v>26140189</v>
      </c>
      <c r="N256" s="61">
        <v>46179616</v>
      </c>
      <c r="O256" s="61">
        <f t="shared" ref="O256:O263" si="49">S256-N256</f>
        <v>-7957236</v>
      </c>
      <c r="P256" s="61">
        <v>62177908</v>
      </c>
      <c r="Q256" s="61">
        <v>17834403</v>
      </c>
      <c r="R256" s="61">
        <f>IFERROR(VLOOKUP(C256,[6]IS_WTB!C$2:U$259,19,),)</f>
        <v>24541169</v>
      </c>
      <c r="S256" s="61">
        <v>38222380</v>
      </c>
      <c r="T256" s="520">
        <v>63705856</v>
      </c>
      <c r="U256" s="520">
        <v>213119274</v>
      </c>
      <c r="V256" s="520">
        <v>217024601</v>
      </c>
      <c r="W256" s="520">
        <v>222283960</v>
      </c>
      <c r="X256" s="520">
        <v>230756051</v>
      </c>
      <c r="Y256" s="520">
        <v>6007410</v>
      </c>
      <c r="Z256" s="520">
        <v>16087083</v>
      </c>
      <c r="AA256" s="520">
        <f>SUM(AA257:AA259)</f>
        <v>30509153</v>
      </c>
      <c r="AB256" s="61"/>
      <c r="AC256" s="61"/>
      <c r="AD256" s="67">
        <f t="shared" si="47"/>
        <v>30509153</v>
      </c>
      <c r="AE256" s="67">
        <f t="shared" si="41"/>
        <v>12674750</v>
      </c>
      <c r="AF256" s="62">
        <f t="shared" si="42"/>
        <v>0.19895737685402107</v>
      </c>
    </row>
    <row r="257" spans="1:32">
      <c r="B257" s="1" t="s">
        <v>284</v>
      </c>
      <c r="C257" s="2">
        <v>826100</v>
      </c>
      <c r="D257" s="401">
        <v>9549</v>
      </c>
      <c r="E257" s="3" t="s">
        <v>427</v>
      </c>
      <c r="F257" s="3" t="s">
        <v>428</v>
      </c>
      <c r="G257" s="21">
        <v>0</v>
      </c>
      <c r="H257" s="21">
        <f t="shared" si="37"/>
        <v>602173</v>
      </c>
      <c r="I257" s="21">
        <v>602173</v>
      </c>
      <c r="J257" s="21">
        <v>305732</v>
      </c>
      <c r="K257" s="21">
        <f t="shared" si="36"/>
        <v>709364</v>
      </c>
      <c r="L257" s="21">
        <v>1015096</v>
      </c>
      <c r="M257" s="21">
        <f t="shared" si="34"/>
        <v>12355</v>
      </c>
      <c r="N257" s="21">
        <v>1027451</v>
      </c>
      <c r="O257" s="21">
        <f t="shared" si="49"/>
        <v>5717169</v>
      </c>
      <c r="P257" s="21">
        <v>1038933</v>
      </c>
      <c r="Q257" s="21">
        <v>6639047</v>
      </c>
      <c r="R257" s="21">
        <f>IFERROR(VLOOKUP(C257,[6]IS_WTB!C$2:U$259,19,),)</f>
        <v>6639054</v>
      </c>
      <c r="S257" s="21">
        <v>6744620</v>
      </c>
      <c r="T257" s="30">
        <v>14081290</v>
      </c>
      <c r="U257" s="30">
        <v>207612918</v>
      </c>
      <c r="V257" s="30">
        <v>209012352</v>
      </c>
      <c r="W257" s="30">
        <v>211051603</v>
      </c>
      <c r="X257" s="30">
        <v>211051604</v>
      </c>
      <c r="Y257" s="30">
        <v>492641</v>
      </c>
      <c r="Z257" s="30">
        <v>795269</v>
      </c>
      <c r="AA257" s="30">
        <f>IFERROR(VLOOKUP(C257,'전사시산표(3단계)_1013'!$C:$L,10,0),0)</f>
        <v>1069373</v>
      </c>
      <c r="AB257" s="21"/>
      <c r="AC257" s="21"/>
      <c r="AD257" s="35">
        <f t="shared" si="47"/>
        <v>1069373</v>
      </c>
      <c r="AE257" s="35">
        <f t="shared" si="41"/>
        <v>-5569674</v>
      </c>
      <c r="AF257" s="38">
        <f t="shared" si="42"/>
        <v>-0.39553719865154402</v>
      </c>
    </row>
    <row r="258" spans="1:32">
      <c r="B258" s="1" t="s">
        <v>284</v>
      </c>
      <c r="C258" s="2">
        <v>826110</v>
      </c>
      <c r="D258" s="2"/>
      <c r="E258" s="3" t="s">
        <v>429</v>
      </c>
      <c r="F258" s="3" t="s">
        <v>430</v>
      </c>
      <c r="G258" s="21">
        <v>0</v>
      </c>
      <c r="H258" s="21">
        <f t="shared" si="37"/>
        <v>0</v>
      </c>
      <c r="I258" s="21">
        <v>0</v>
      </c>
      <c r="J258" s="21">
        <v>0</v>
      </c>
      <c r="K258" s="21">
        <f t="shared" si="36"/>
        <v>0</v>
      </c>
      <c r="L258" s="21">
        <v>0</v>
      </c>
      <c r="M258" s="21">
        <f t="shared" si="34"/>
        <v>0</v>
      </c>
      <c r="N258" s="21">
        <v>0</v>
      </c>
      <c r="O258" s="21">
        <f t="shared" si="49"/>
        <v>0</v>
      </c>
      <c r="P258" s="21">
        <v>0</v>
      </c>
      <c r="Q258" s="21">
        <v>0</v>
      </c>
      <c r="R258" s="21">
        <f>IFERROR(VLOOKUP(C258,[6]IS_WTB!C$2:U$259,19,),)</f>
        <v>0</v>
      </c>
      <c r="S258" s="21">
        <v>0</v>
      </c>
      <c r="T258" s="30">
        <v>0</v>
      </c>
      <c r="U258" s="30">
        <v>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0">
        <f>IFERROR(VLOOKUP(C258,'전사시산표(3단계)_1013'!$C:$L,10,0),0)</f>
        <v>0</v>
      </c>
      <c r="AB258" s="21"/>
      <c r="AC258" s="21"/>
      <c r="AD258" s="35">
        <f t="shared" si="47"/>
        <v>0</v>
      </c>
      <c r="AE258" s="35">
        <f t="shared" si="41"/>
        <v>0</v>
      </c>
      <c r="AF258" s="38" t="str">
        <f t="shared" si="42"/>
        <v/>
      </c>
    </row>
    <row r="259" spans="1:32">
      <c r="B259" s="1" t="s">
        <v>284</v>
      </c>
      <c r="C259" s="2">
        <v>826130</v>
      </c>
      <c r="D259" s="401">
        <v>9549</v>
      </c>
      <c r="E259" s="3" t="s">
        <v>431</v>
      </c>
      <c r="F259" s="3" t="s">
        <v>428</v>
      </c>
      <c r="G259" s="21">
        <v>0</v>
      </c>
      <c r="H259" s="21">
        <f t="shared" si="37"/>
        <v>13028559</v>
      </c>
      <c r="I259" s="21">
        <v>13028559</v>
      </c>
      <c r="J259" s="21">
        <v>7446099</v>
      </c>
      <c r="K259" s="21">
        <f t="shared" si="36"/>
        <v>11578232</v>
      </c>
      <c r="L259" s="21">
        <v>19024331</v>
      </c>
      <c r="M259" s="21">
        <f t="shared" si="34"/>
        <v>26127834</v>
      </c>
      <c r="N259" s="21">
        <v>45152165</v>
      </c>
      <c r="O259" s="21">
        <f t="shared" si="49"/>
        <v>-13674405</v>
      </c>
      <c r="P259" s="21">
        <v>61138975</v>
      </c>
      <c r="Q259" s="21">
        <v>11195356</v>
      </c>
      <c r="R259" s="21">
        <f>IFERROR(VLOOKUP(C259,[6]IS_WTB!C$2:U$259,19,),)</f>
        <v>17902115</v>
      </c>
      <c r="S259" s="21">
        <v>31477760</v>
      </c>
      <c r="T259" s="30">
        <v>49624566</v>
      </c>
      <c r="U259" s="30">
        <v>5506356</v>
      </c>
      <c r="V259" s="30">
        <v>8012249</v>
      </c>
      <c r="W259" s="30">
        <v>11232357</v>
      </c>
      <c r="X259" s="30">
        <v>19704447</v>
      </c>
      <c r="Y259" s="30">
        <v>5514769</v>
      </c>
      <c r="Z259" s="30">
        <v>15291814</v>
      </c>
      <c r="AA259" s="30">
        <f>IFERROR(VLOOKUP(C259,'전사시산표(3단계)_1013'!$C:$L,10,0),0)</f>
        <v>29439780</v>
      </c>
      <c r="AB259" s="21"/>
      <c r="AC259" s="21"/>
      <c r="AD259" s="35">
        <f t="shared" si="47"/>
        <v>29439780</v>
      </c>
      <c r="AE259" s="35">
        <f t="shared" si="41"/>
        <v>18244424</v>
      </c>
      <c r="AF259" s="38">
        <f t="shared" si="42"/>
        <v>0.36764903898605378</v>
      </c>
    </row>
    <row r="260" spans="1:32">
      <c r="B260" s="64" t="s">
        <v>276</v>
      </c>
      <c r="C260" s="65">
        <v>8271</v>
      </c>
      <c r="D260" s="65"/>
      <c r="E260" s="66" t="s">
        <v>432</v>
      </c>
      <c r="F260" s="66"/>
      <c r="G260" s="61">
        <f>SUM(G261:G263)</f>
        <v>391672</v>
      </c>
      <c r="H260" s="61">
        <f t="shared" si="37"/>
        <v>6070905</v>
      </c>
      <c r="I260" s="61">
        <v>6462577</v>
      </c>
      <c r="J260" s="61">
        <v>-2470808</v>
      </c>
      <c r="K260" s="61">
        <f t="shared" si="36"/>
        <v>-128464</v>
      </c>
      <c r="L260" s="61">
        <v>-2599272</v>
      </c>
      <c r="M260" s="61">
        <f t="shared" si="34"/>
        <v>-20424</v>
      </c>
      <c r="N260" s="61">
        <v>-2619696</v>
      </c>
      <c r="O260" s="61">
        <f t="shared" si="49"/>
        <v>59125327</v>
      </c>
      <c r="P260" s="61">
        <v>555251</v>
      </c>
      <c r="Q260" s="61">
        <v>-20727</v>
      </c>
      <c r="R260" s="61">
        <f>IFERROR(VLOOKUP(C260,[6]IS_WTB!C$2:U$259,19,),)</f>
        <v>-20738</v>
      </c>
      <c r="S260" s="61">
        <v>56505631</v>
      </c>
      <c r="T260" s="520">
        <v>356053849</v>
      </c>
      <c r="U260" s="520">
        <v>-348461492</v>
      </c>
      <c r="V260" s="520">
        <v>-348181572</v>
      </c>
      <c r="W260" s="520">
        <v>-347859324</v>
      </c>
      <c r="X260" s="520">
        <v>1388194</v>
      </c>
      <c r="Y260" s="520">
        <v>9244645</v>
      </c>
      <c r="Z260" s="520">
        <v>10152933</v>
      </c>
      <c r="AA260" s="520">
        <f>SUM(AA261:AA263)</f>
        <v>13937620</v>
      </c>
      <c r="AB260" s="61">
        <v>0</v>
      </c>
      <c r="AC260" s="61">
        <v>0</v>
      </c>
      <c r="AD260" s="67">
        <f t="shared" si="47"/>
        <v>13937620</v>
      </c>
      <c r="AE260" s="67">
        <f t="shared" si="41"/>
        <v>13958347</v>
      </c>
      <c r="AF260" s="62">
        <f t="shared" si="42"/>
        <v>3.9202910007019753E-2</v>
      </c>
    </row>
    <row r="261" spans="1:32">
      <c r="B261" s="1" t="s">
        <v>284</v>
      </c>
      <c r="C261" s="2">
        <v>827100</v>
      </c>
      <c r="D261" s="401">
        <v>9552</v>
      </c>
      <c r="E261" s="3" t="s">
        <v>433</v>
      </c>
      <c r="F261" s="3" t="s">
        <v>434</v>
      </c>
      <c r="G261" s="21">
        <v>0</v>
      </c>
      <c r="H261" s="21">
        <f t="shared" si="37"/>
        <v>397813</v>
      </c>
      <c r="I261" s="21">
        <v>397813</v>
      </c>
      <c r="J261" s="21">
        <v>0</v>
      </c>
      <c r="K261" s="21">
        <f t="shared" si="36"/>
        <v>0</v>
      </c>
      <c r="L261" s="21">
        <v>0</v>
      </c>
      <c r="M261" s="21">
        <f t="shared" si="34"/>
        <v>0</v>
      </c>
      <c r="N261" s="21">
        <v>0</v>
      </c>
      <c r="O261" s="21">
        <f t="shared" si="49"/>
        <v>0</v>
      </c>
      <c r="P261" s="21">
        <v>1425305</v>
      </c>
      <c r="Q261" s="21">
        <v>0</v>
      </c>
      <c r="R261" s="21">
        <f>IFERROR(VLOOKUP(C261,[6]IS_WTB!C$2:U$259,19,),)</f>
        <v>0</v>
      </c>
      <c r="S261" s="21">
        <v>0</v>
      </c>
      <c r="T261" s="30">
        <v>43</v>
      </c>
      <c r="U261" s="30">
        <v>0</v>
      </c>
      <c r="V261" s="30">
        <v>0</v>
      </c>
      <c r="W261" s="30">
        <v>0</v>
      </c>
      <c r="X261" s="30">
        <v>0</v>
      </c>
      <c r="Y261" s="30">
        <v>3014080</v>
      </c>
      <c r="Z261" s="30">
        <v>3014080</v>
      </c>
      <c r="AA261" s="30">
        <f>IFERROR(VLOOKUP(C261,'전사시산표(3단계)_1013'!$C:$L,10,0),0)</f>
        <v>3014080</v>
      </c>
      <c r="AB261" s="21">
        <v>0</v>
      </c>
      <c r="AC261" s="21">
        <v>0</v>
      </c>
      <c r="AD261" s="35">
        <f t="shared" si="47"/>
        <v>3014080</v>
      </c>
      <c r="AE261" s="35">
        <f t="shared" si="41"/>
        <v>3014080</v>
      </c>
      <c r="AF261" s="38">
        <f t="shared" si="42"/>
        <v>70094.883720930229</v>
      </c>
    </row>
    <row r="262" spans="1:32">
      <c r="B262" s="1" t="s">
        <v>284</v>
      </c>
      <c r="C262" s="2">
        <v>827170</v>
      </c>
      <c r="D262" s="401">
        <v>9559</v>
      </c>
      <c r="E262" s="3" t="s">
        <v>1093</v>
      </c>
      <c r="F262" s="3" t="s">
        <v>434</v>
      </c>
      <c r="G262" s="21">
        <v>391672</v>
      </c>
      <c r="H262" s="21">
        <f t="shared" si="37"/>
        <v>2228024</v>
      </c>
      <c r="I262" s="21">
        <v>2619696</v>
      </c>
      <c r="J262" s="21">
        <v>-2470808</v>
      </c>
      <c r="K262" s="21">
        <f t="shared" si="36"/>
        <v>-128464</v>
      </c>
      <c r="L262" s="21">
        <v>-2599272</v>
      </c>
      <c r="M262" s="21">
        <f t="shared" si="34"/>
        <v>-20424</v>
      </c>
      <c r="N262" s="21">
        <v>-2619696</v>
      </c>
      <c r="O262" s="21">
        <f t="shared" si="49"/>
        <v>59125327</v>
      </c>
      <c r="P262" s="21">
        <v>-2598958</v>
      </c>
      <c r="Q262" s="21">
        <v>-20727</v>
      </c>
      <c r="R262" s="21">
        <f>IFERROR(VLOOKUP(C262,[6]IS_WTB!C$2:U$259,19,),)</f>
        <v>-20738</v>
      </c>
      <c r="S262" s="21">
        <v>56505631</v>
      </c>
      <c r="T262" s="30">
        <v>349557982</v>
      </c>
      <c r="U262" s="30">
        <v>-348461492</v>
      </c>
      <c r="V262" s="30">
        <v>-348312986</v>
      </c>
      <c r="W262" s="30">
        <v>-349293665</v>
      </c>
      <c r="X262" s="30">
        <v>1110747</v>
      </c>
      <c r="Y262" s="30">
        <v>1165441</v>
      </c>
      <c r="Z262" s="30">
        <v>2073729</v>
      </c>
      <c r="AA262" s="30">
        <f>IFERROR(VLOOKUP(C262,'전사시산표(3단계)_1013'!$C:$L,10,0),0)</f>
        <v>701453</v>
      </c>
      <c r="AB262" s="21">
        <v>0</v>
      </c>
      <c r="AC262" s="21">
        <v>0</v>
      </c>
      <c r="AD262" s="35">
        <f t="shared" si="47"/>
        <v>701453</v>
      </c>
      <c r="AE262" s="35">
        <f t="shared" si="41"/>
        <v>722180</v>
      </c>
      <c r="AF262" s="38">
        <f t="shared" si="42"/>
        <v>2.0659805731456592E-3</v>
      </c>
    </row>
    <row r="263" spans="1:32">
      <c r="B263" s="9" t="s">
        <v>284</v>
      </c>
      <c r="C263" s="34">
        <v>827190</v>
      </c>
      <c r="D263" s="405">
        <v>9559</v>
      </c>
      <c r="E263" s="33" t="s">
        <v>436</v>
      </c>
      <c r="F263" s="33" t="s">
        <v>434</v>
      </c>
      <c r="G263" s="36">
        <v>0</v>
      </c>
      <c r="H263" s="36">
        <f>I263-G263</f>
        <v>3445068</v>
      </c>
      <c r="I263" s="36">
        <v>3445068</v>
      </c>
      <c r="J263" s="36">
        <v>0</v>
      </c>
      <c r="K263" s="36">
        <f t="shared" si="36"/>
        <v>0</v>
      </c>
      <c r="L263" s="36">
        <v>0</v>
      </c>
      <c r="M263" s="36">
        <f t="shared" si="34"/>
        <v>0</v>
      </c>
      <c r="N263" s="36">
        <v>0</v>
      </c>
      <c r="O263" s="36">
        <f t="shared" si="49"/>
        <v>0</v>
      </c>
      <c r="P263" s="36">
        <v>1728904</v>
      </c>
      <c r="Q263" s="36">
        <v>0</v>
      </c>
      <c r="R263" s="36">
        <f>IFERROR(VLOOKUP(C263,[6]IS_WTB!C$2:U$259,19,),)</f>
        <v>0</v>
      </c>
      <c r="S263" s="36">
        <v>0</v>
      </c>
      <c r="T263" s="39">
        <v>6495824</v>
      </c>
      <c r="U263" s="39">
        <v>0</v>
      </c>
      <c r="V263" s="39">
        <v>131414</v>
      </c>
      <c r="W263" s="39">
        <v>1434341</v>
      </c>
      <c r="X263" s="39">
        <v>277447</v>
      </c>
      <c r="Y263" s="39">
        <v>5065124</v>
      </c>
      <c r="Z263" s="39">
        <v>5065124</v>
      </c>
      <c r="AA263" s="39">
        <f>IFERROR(VLOOKUP(C263,'전사시산표(3단계)_1013'!$C:$L,10,0),0)</f>
        <v>10222087</v>
      </c>
      <c r="AB263" s="36">
        <v>0</v>
      </c>
      <c r="AC263" s="36">
        <v>0</v>
      </c>
      <c r="AD263" s="37">
        <f t="shared" si="47"/>
        <v>10222087</v>
      </c>
      <c r="AE263" s="37">
        <f t="shared" si="41"/>
        <v>10222087</v>
      </c>
      <c r="AF263" s="40">
        <f t="shared" si="42"/>
        <v>1.5736397722598396</v>
      </c>
    </row>
    <row r="264" spans="1:32">
      <c r="B264" s="64" t="s">
        <v>276</v>
      </c>
      <c r="C264" s="56">
        <v>8345</v>
      </c>
      <c r="D264" s="56"/>
      <c r="E264" s="57" t="s">
        <v>1217</v>
      </c>
      <c r="F264" s="57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>
        <v>0</v>
      </c>
      <c r="R264" s="59">
        <f>IFERROR(VLOOKUP(C264,[6]IS_WTB!C$2:U$259,19,),)</f>
        <v>0</v>
      </c>
      <c r="S264" s="59"/>
      <c r="T264" s="58">
        <v>12115000000</v>
      </c>
      <c r="U264" s="58">
        <v>0</v>
      </c>
      <c r="V264" s="58">
        <v>0</v>
      </c>
      <c r="W264" s="58">
        <v>0</v>
      </c>
      <c r="X264" s="58">
        <v>2634000000</v>
      </c>
      <c r="Y264" s="58">
        <v>0</v>
      </c>
      <c r="Z264" s="58">
        <v>0</v>
      </c>
      <c r="AA264" s="58">
        <f>SUM(AA265)</f>
        <v>0</v>
      </c>
      <c r="AB264" s="59"/>
      <c r="AC264" s="59"/>
      <c r="AD264" s="63">
        <f t="shared" si="47"/>
        <v>0</v>
      </c>
      <c r="AE264" s="63">
        <f t="shared" si="41"/>
        <v>0</v>
      </c>
      <c r="AF264" s="60">
        <f t="shared" si="42"/>
        <v>0</v>
      </c>
    </row>
    <row r="265" spans="1:32" s="11" customFormat="1">
      <c r="A265" s="24"/>
      <c r="B265" s="1" t="s">
        <v>284</v>
      </c>
      <c r="C265" s="2">
        <v>836100</v>
      </c>
      <c r="D265" s="401"/>
      <c r="E265" s="3" t="s">
        <v>1218</v>
      </c>
      <c r="F265" s="3" t="s">
        <v>1218</v>
      </c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>
        <v>0</v>
      </c>
      <c r="R265" s="21">
        <f>IFERROR(VLOOKUP(C265,[6]IS_WTB!C$2:U$259,19,),)</f>
        <v>0</v>
      </c>
      <c r="S265" s="21"/>
      <c r="T265" s="30">
        <v>12115000000</v>
      </c>
      <c r="U265" s="30">
        <v>0</v>
      </c>
      <c r="V265" s="30">
        <v>0</v>
      </c>
      <c r="W265" s="30">
        <v>0</v>
      </c>
      <c r="X265" s="30">
        <v>2634000000</v>
      </c>
      <c r="Y265" s="30">
        <v>0</v>
      </c>
      <c r="Z265" s="30">
        <v>0</v>
      </c>
      <c r="AA265" s="30">
        <f>IFERROR(VLOOKUP(C265,'전사시산표(3단계)_1013'!$C:$L,10,0),0)</f>
        <v>0</v>
      </c>
      <c r="AB265" s="21"/>
      <c r="AC265" s="21"/>
      <c r="AD265" s="35">
        <f t="shared" si="47"/>
        <v>0</v>
      </c>
      <c r="AE265" s="35">
        <f t="shared" si="41"/>
        <v>0</v>
      </c>
      <c r="AF265" s="38">
        <f t="shared" si="42"/>
        <v>0</v>
      </c>
    </row>
    <row r="266" spans="1:32">
      <c r="B266" s="64" t="s">
        <v>276</v>
      </c>
      <c r="C266" s="65">
        <v>8331</v>
      </c>
      <c r="D266" s="65"/>
      <c r="E266" s="66" t="s">
        <v>501</v>
      </c>
      <c r="F266" s="66"/>
      <c r="G266" s="61">
        <f>SUM(G267)</f>
        <v>390996432</v>
      </c>
      <c r="H266" s="61">
        <f t="shared" si="37"/>
        <v>0</v>
      </c>
      <c r="I266" s="61">
        <v>390996432</v>
      </c>
      <c r="J266" s="61">
        <v>0</v>
      </c>
      <c r="K266" s="61">
        <f t="shared" si="36"/>
        <v>0</v>
      </c>
      <c r="L266" s="61">
        <v>0</v>
      </c>
      <c r="M266" s="61">
        <f t="shared" si="34"/>
        <v>0</v>
      </c>
      <c r="N266" s="61">
        <v>0</v>
      </c>
      <c r="O266" s="61">
        <f t="shared" ref="O266:O276" si="50">S266-N266</f>
        <v>0</v>
      </c>
      <c r="P266" s="61">
        <v>0</v>
      </c>
      <c r="Q266" s="61">
        <v>0</v>
      </c>
      <c r="R266" s="61">
        <f>IFERROR(VLOOKUP(C266,[6]IS_WTB!C$2:U$259,19,),)</f>
        <v>0</v>
      </c>
      <c r="S266" s="61">
        <v>0</v>
      </c>
      <c r="T266" s="520">
        <v>0</v>
      </c>
      <c r="U266" s="520">
        <v>0</v>
      </c>
      <c r="V266" s="520">
        <v>0</v>
      </c>
      <c r="W266" s="520">
        <v>0</v>
      </c>
      <c r="X266" s="520">
        <v>0</v>
      </c>
      <c r="Y266" s="520">
        <v>0</v>
      </c>
      <c r="Z266" s="520">
        <v>0</v>
      </c>
      <c r="AA266" s="520">
        <f>SUM(AA267)</f>
        <v>0</v>
      </c>
      <c r="AB266" s="61">
        <v>0</v>
      </c>
      <c r="AC266" s="61">
        <v>0</v>
      </c>
      <c r="AD266" s="67">
        <f t="shared" si="47"/>
        <v>0</v>
      </c>
      <c r="AE266" s="67">
        <f t="shared" si="41"/>
        <v>0</v>
      </c>
      <c r="AF266" s="62" t="str">
        <f t="shared" si="42"/>
        <v/>
      </c>
    </row>
    <row r="267" spans="1:32" ht="17.25" thickBot="1">
      <c r="B267" s="1" t="s">
        <v>284</v>
      </c>
      <c r="C267" s="2">
        <v>825200</v>
      </c>
      <c r="D267" s="401">
        <v>9799</v>
      </c>
      <c r="E267" s="3" t="s">
        <v>8</v>
      </c>
      <c r="F267" s="3" t="s">
        <v>759</v>
      </c>
      <c r="G267" s="21">
        <v>390996432</v>
      </c>
      <c r="H267" s="21">
        <f t="shared" si="37"/>
        <v>0</v>
      </c>
      <c r="I267" s="21">
        <v>390996432</v>
      </c>
      <c r="J267" s="21">
        <v>0</v>
      </c>
      <c r="K267" s="21">
        <f t="shared" si="36"/>
        <v>0</v>
      </c>
      <c r="L267" s="21">
        <v>0</v>
      </c>
      <c r="M267" s="21">
        <f t="shared" si="34"/>
        <v>0</v>
      </c>
      <c r="N267" s="21">
        <v>0</v>
      </c>
      <c r="O267" s="21">
        <f t="shared" si="50"/>
        <v>0</v>
      </c>
      <c r="P267" s="21">
        <v>0</v>
      </c>
      <c r="Q267" s="21">
        <v>0</v>
      </c>
      <c r="R267" s="21">
        <f>IFERROR(VLOOKUP(C267,[6]IS_WTB!C$2:U$259,19,),)</f>
        <v>0</v>
      </c>
      <c r="S267" s="21">
        <v>0</v>
      </c>
      <c r="T267" s="30">
        <v>0</v>
      </c>
      <c r="U267" s="30">
        <v>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0">
        <f>IFERROR(VLOOKUP(C267,'전사시산표(3단계)_1013'!$C:$L,10,0),0)</f>
        <v>0</v>
      </c>
      <c r="AB267" s="21">
        <v>0</v>
      </c>
      <c r="AC267" s="21">
        <v>0</v>
      </c>
      <c r="AD267" s="35">
        <f t="shared" si="47"/>
        <v>0</v>
      </c>
      <c r="AE267" s="35">
        <f t="shared" si="41"/>
        <v>0</v>
      </c>
      <c r="AF267" s="38" t="str">
        <f t="shared" si="42"/>
        <v/>
      </c>
    </row>
    <row r="268" spans="1:32" ht="17.25" thickBot="1">
      <c r="B268" s="44" t="s">
        <v>276</v>
      </c>
      <c r="C268" s="49">
        <v>8150</v>
      </c>
      <c r="D268" s="404"/>
      <c r="E268" s="46" t="s">
        <v>760</v>
      </c>
      <c r="F268" s="46"/>
      <c r="G268" s="50">
        <f>-G269</f>
        <v>0</v>
      </c>
      <c r="H268" s="50">
        <f t="shared" si="37"/>
        <v>-1330928381</v>
      </c>
      <c r="I268" s="50">
        <v>-1330928381</v>
      </c>
      <c r="J268" s="50">
        <v>-1140605099</v>
      </c>
      <c r="K268" s="50">
        <f t="shared" si="36"/>
        <v>-1801131446</v>
      </c>
      <c r="L268" s="50">
        <v>-2941736545</v>
      </c>
      <c r="M268" s="50">
        <f t="shared" si="34"/>
        <v>-1551698225</v>
      </c>
      <c r="N268" s="50">
        <v>-4493434770</v>
      </c>
      <c r="O268" s="50">
        <f t="shared" si="50"/>
        <v>-4814756604</v>
      </c>
      <c r="P268" s="50">
        <v>-14913479718</v>
      </c>
      <c r="Q268" s="50">
        <v>-5349357463</v>
      </c>
      <c r="R268" s="50">
        <v>-6943510329</v>
      </c>
      <c r="S268" s="50">
        <v>-9308191374</v>
      </c>
      <c r="T268" s="52">
        <v>-12871138187</v>
      </c>
      <c r="U268" s="52">
        <v>-3075049012</v>
      </c>
      <c r="V268" s="52">
        <v>-6556995263</v>
      </c>
      <c r="W268" s="52">
        <v>-10257411753</v>
      </c>
      <c r="X268" s="52">
        <v>-14413617010</v>
      </c>
      <c r="Y268" s="52">
        <v>-4223891447</v>
      </c>
      <c r="Z268" s="52">
        <v>-6107971029</v>
      </c>
      <c r="AA268" s="52">
        <f>-AA269-AA271-AA270</f>
        <v>-6107971029</v>
      </c>
      <c r="AB268" s="50">
        <v>0</v>
      </c>
      <c r="AC268" s="50">
        <v>0</v>
      </c>
      <c r="AD268" s="51">
        <f t="shared" si="47"/>
        <v>-6107971029</v>
      </c>
      <c r="AE268" s="51">
        <f t="shared" si="41"/>
        <v>-758613566</v>
      </c>
      <c r="AF268" s="53">
        <f t="shared" si="42"/>
        <v>5.8939120610654976E-2</v>
      </c>
    </row>
    <row r="269" spans="1:32" s="11" customFormat="1">
      <c r="A269" s="24"/>
      <c r="B269" s="1" t="s">
        <v>284</v>
      </c>
      <c r="C269" s="2">
        <v>830100</v>
      </c>
      <c r="D269" s="401">
        <v>9581</v>
      </c>
      <c r="E269" s="3" t="s">
        <v>668</v>
      </c>
      <c r="F269" s="3" t="s">
        <v>760</v>
      </c>
      <c r="G269" s="21">
        <v>0</v>
      </c>
      <c r="H269" s="21">
        <f t="shared" si="37"/>
        <v>1330928381</v>
      </c>
      <c r="I269" s="21">
        <v>1330928381</v>
      </c>
      <c r="J269" s="21">
        <v>1140605099</v>
      </c>
      <c r="K269" s="21">
        <f t="shared" si="36"/>
        <v>1801131446</v>
      </c>
      <c r="L269" s="21">
        <v>2941736545</v>
      </c>
      <c r="M269" s="21">
        <f t="shared" si="34"/>
        <v>1551698225</v>
      </c>
      <c r="N269" s="21">
        <v>4493434770</v>
      </c>
      <c r="O269" s="21">
        <f t="shared" si="50"/>
        <v>4380878848</v>
      </c>
      <c r="P269" s="21">
        <v>6580395185</v>
      </c>
      <c r="Q269" s="21">
        <v>4915479707</v>
      </c>
      <c r="R269" s="21">
        <v>6509632573</v>
      </c>
      <c r="S269" s="21">
        <v>8874313618</v>
      </c>
      <c r="T269" s="30">
        <v>11118143954</v>
      </c>
      <c r="U269" s="30">
        <v>2664534617</v>
      </c>
      <c r="V269" s="30">
        <v>6146480868</v>
      </c>
      <c r="W269" s="30">
        <v>9846897358</v>
      </c>
      <c r="X269" s="30">
        <v>14003102615</v>
      </c>
      <c r="Y269" s="30">
        <v>4223891447</v>
      </c>
      <c r="Z269" s="30">
        <v>4223891447</v>
      </c>
      <c r="AA269" s="30">
        <f>IFERROR(VLOOKUP(C269,'전사시산표(3단계)_1013'!$C:$L,10,0),0)</f>
        <v>4223891447</v>
      </c>
      <c r="AB269" s="21">
        <v>0</v>
      </c>
      <c r="AC269" s="21">
        <v>0</v>
      </c>
      <c r="AD269" s="35">
        <f t="shared" si="47"/>
        <v>4223891447</v>
      </c>
      <c r="AE269" s="35">
        <f t="shared" si="41"/>
        <v>-691588260</v>
      </c>
      <c r="AF269" s="38">
        <f t="shared" si="42"/>
        <v>-6.2203571285042204E-2</v>
      </c>
    </row>
    <row r="270" spans="1:32" s="11" customFormat="1">
      <c r="A270" s="24"/>
      <c r="B270" s="1" t="s">
        <v>284</v>
      </c>
      <c r="C270" s="2">
        <v>832150</v>
      </c>
      <c r="D270" s="401">
        <v>9591</v>
      </c>
      <c r="E270" s="3" t="s">
        <v>1588</v>
      </c>
      <c r="F270" s="3" t="s">
        <v>1588</v>
      </c>
      <c r="G270" s="42">
        <v>0</v>
      </c>
      <c r="H270" s="21">
        <v>0</v>
      </c>
      <c r="I270" s="42">
        <v>0</v>
      </c>
      <c r="J270" s="21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1">
        <v>0</v>
      </c>
      <c r="R270" s="21">
        <v>0</v>
      </c>
      <c r="S270" s="21">
        <v>0</v>
      </c>
      <c r="T270" s="30">
        <v>0</v>
      </c>
      <c r="U270" s="30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1884079582</v>
      </c>
      <c r="AA270" s="30">
        <f>IFERROR(VLOOKUP(C270,'전사시산표(3단계)_1013'!$C:$L,10,0),0)</f>
        <v>1884079582</v>
      </c>
      <c r="AB270" s="21"/>
      <c r="AC270" s="21"/>
      <c r="AD270" s="35">
        <f t="shared" si="47"/>
        <v>1884079582</v>
      </c>
      <c r="AE270" s="35">
        <f t="shared" si="41"/>
        <v>1884079582</v>
      </c>
      <c r="AF270" s="38"/>
    </row>
    <row r="271" spans="1:32" s="11" customFormat="1" ht="17.25" thickBot="1">
      <c r="A271" s="24"/>
      <c r="B271" s="1" t="s">
        <v>284</v>
      </c>
      <c r="C271" s="2">
        <v>831120</v>
      </c>
      <c r="D271" s="401">
        <v>9581</v>
      </c>
      <c r="E271" s="3" t="s">
        <v>1085</v>
      </c>
      <c r="F271" s="3" t="s">
        <v>760</v>
      </c>
      <c r="G271" s="42">
        <v>0</v>
      </c>
      <c r="H271" s="21">
        <f t="shared" si="37"/>
        <v>0</v>
      </c>
      <c r="I271" s="42">
        <v>0</v>
      </c>
      <c r="J271" s="21">
        <v>0</v>
      </c>
      <c r="K271" s="21">
        <f t="shared" ref="K271" si="51">L271-J271</f>
        <v>0</v>
      </c>
      <c r="L271" s="21">
        <v>0</v>
      </c>
      <c r="M271" s="21">
        <f t="shared" si="34"/>
        <v>0</v>
      </c>
      <c r="N271" s="21">
        <v>0</v>
      </c>
      <c r="O271" s="21">
        <f t="shared" si="50"/>
        <v>433877756</v>
      </c>
      <c r="P271" s="21">
        <v>8333084533</v>
      </c>
      <c r="Q271" s="21">
        <v>433877756</v>
      </c>
      <c r="R271" s="21">
        <v>433877756</v>
      </c>
      <c r="S271" s="21">
        <v>433877756</v>
      </c>
      <c r="T271" s="30">
        <v>1752994233</v>
      </c>
      <c r="U271" s="30">
        <v>410514395</v>
      </c>
      <c r="V271" s="30">
        <v>410514395</v>
      </c>
      <c r="W271" s="30">
        <v>410514395</v>
      </c>
      <c r="X271" s="30">
        <v>410514395</v>
      </c>
      <c r="Y271" s="30">
        <v>0</v>
      </c>
      <c r="Z271" s="30">
        <v>0</v>
      </c>
      <c r="AA271" s="30">
        <f>IFERROR(VLOOKUP(C271,'전사시산표(3단계)_1013'!$C:$L,10,0),0)</f>
        <v>0</v>
      </c>
      <c r="AB271" s="21"/>
      <c r="AC271" s="21"/>
      <c r="AD271" s="35">
        <f t="shared" si="47"/>
        <v>0</v>
      </c>
      <c r="AE271" s="35">
        <f t="shared" si="41"/>
        <v>-433877756</v>
      </c>
      <c r="AF271" s="38">
        <f t="shared" ref="AF271:AF276" si="52">IFERROR(AE271/T271,"")</f>
        <v>-0.24750666478661484</v>
      </c>
    </row>
    <row r="272" spans="1:32" ht="17.25" thickBot="1">
      <c r="B272" s="44" t="s">
        <v>275</v>
      </c>
      <c r="C272" s="49"/>
      <c r="D272" s="404"/>
      <c r="E272" s="46" t="s">
        <v>437</v>
      </c>
      <c r="F272" s="46"/>
      <c r="G272" s="50">
        <f>G4+G26+G195+G208+G227+G247+G268</f>
        <v>-2181203678</v>
      </c>
      <c r="H272" s="50">
        <f t="shared" si="37"/>
        <v>-17801852649</v>
      </c>
      <c r="I272" s="50">
        <v>-19983056327</v>
      </c>
      <c r="J272" s="50">
        <v>5252522492</v>
      </c>
      <c r="K272" s="50">
        <f t="shared" si="36"/>
        <v>288246469</v>
      </c>
      <c r="L272" s="50">
        <v>5540768961</v>
      </c>
      <c r="M272" s="50">
        <f t="shared" si="34"/>
        <v>679289088</v>
      </c>
      <c r="N272" s="50">
        <v>6220058049</v>
      </c>
      <c r="O272" s="50">
        <f t="shared" si="50"/>
        <v>-4087387849</v>
      </c>
      <c r="P272" s="50">
        <v>-5612388686</v>
      </c>
      <c r="Q272" s="50">
        <v>-8714579121</v>
      </c>
      <c r="R272" s="50">
        <v>1504446751</v>
      </c>
      <c r="S272" s="50">
        <v>2132670200</v>
      </c>
      <c r="T272" s="52">
        <v>-27291172971</v>
      </c>
      <c r="U272" s="52">
        <v>-4247227936</v>
      </c>
      <c r="V272" s="52">
        <v>-21009080911</v>
      </c>
      <c r="W272" s="52">
        <v>-45439010303</v>
      </c>
      <c r="X272" s="52">
        <v>-82947247912</v>
      </c>
      <c r="Y272" s="52">
        <v>-26460729355</v>
      </c>
      <c r="Z272" s="52">
        <v>-77964339707</v>
      </c>
      <c r="AA272" s="52">
        <f>AA4+AA26+AA195+AA208+AA227+AA247+AA268</f>
        <v>-112420519217</v>
      </c>
      <c r="AB272" s="50"/>
      <c r="AC272" s="50"/>
      <c r="AD272" s="51">
        <f>AA272-AB272+AC272</f>
        <v>-112420519217</v>
      </c>
      <c r="AE272" s="51">
        <f t="shared" si="41"/>
        <v>-103705940096</v>
      </c>
      <c r="AF272" s="53">
        <f t="shared" si="52"/>
        <v>3.7999810490446655</v>
      </c>
    </row>
    <row r="273" spans="2:32" ht="17.25" thickBot="1">
      <c r="B273" s="44" t="s">
        <v>275</v>
      </c>
      <c r="C273" s="49">
        <v>849</v>
      </c>
      <c r="D273" s="407">
        <v>9961</v>
      </c>
      <c r="E273" s="46" t="s">
        <v>541</v>
      </c>
      <c r="F273" s="46"/>
      <c r="G273" s="50">
        <f>SUM(G274:G275)</f>
        <v>-4980675672</v>
      </c>
      <c r="H273" s="50">
        <f t="shared" si="37"/>
        <v>-5495246157</v>
      </c>
      <c r="I273" s="50">
        <v>-10475921829</v>
      </c>
      <c r="J273" s="50">
        <v>885599754</v>
      </c>
      <c r="K273" s="50">
        <f t="shared" si="36"/>
        <v>589027308</v>
      </c>
      <c r="L273" s="50">
        <v>1474627062</v>
      </c>
      <c r="M273" s="50">
        <f t="shared" si="34"/>
        <v>124909741</v>
      </c>
      <c r="N273" s="50">
        <v>1599536803</v>
      </c>
      <c r="O273" s="50">
        <f t="shared" si="50"/>
        <v>-264743206</v>
      </c>
      <c r="P273" s="50">
        <v>-535350927</v>
      </c>
      <c r="Q273" s="50">
        <v>-2000758570</v>
      </c>
      <c r="R273" s="50">
        <v>544594110</v>
      </c>
      <c r="S273" s="50">
        <v>1334793597</v>
      </c>
      <c r="T273" s="52">
        <v>2331557403</v>
      </c>
      <c r="U273" s="52">
        <v>-154663144</v>
      </c>
      <c r="V273" s="52">
        <v>-3334930360</v>
      </c>
      <c r="W273" s="52">
        <v>-8194794570</v>
      </c>
      <c r="X273" s="52">
        <v>-16059328213</v>
      </c>
      <c r="Y273" s="52">
        <v>0</v>
      </c>
      <c r="Z273" s="52">
        <v>0</v>
      </c>
      <c r="AA273" s="52">
        <f>SUM(AA274:AA275)</f>
        <v>-36830173936</v>
      </c>
      <c r="AB273" s="50"/>
      <c r="AC273" s="50"/>
      <c r="AD273" s="51">
        <f>AA273+AB273-AC273</f>
        <v>-36830173936</v>
      </c>
      <c r="AE273" s="51">
        <f t="shared" si="41"/>
        <v>-34829415366</v>
      </c>
      <c r="AF273" s="53">
        <f t="shared" si="52"/>
        <v>-14.938262005123791</v>
      </c>
    </row>
    <row r="274" spans="2:32">
      <c r="B274" s="7" t="s">
        <v>284</v>
      </c>
      <c r="C274" s="5">
        <v>849100</v>
      </c>
      <c r="D274" s="5"/>
      <c r="E274" s="6" t="s">
        <v>438</v>
      </c>
      <c r="F274" s="6" t="s">
        <v>542</v>
      </c>
      <c r="G274" s="22">
        <v>-4980675672</v>
      </c>
      <c r="H274" s="22">
        <f t="shared" si="37"/>
        <v>-5495246157</v>
      </c>
      <c r="I274" s="22">
        <v>-10475921829</v>
      </c>
      <c r="J274" s="22">
        <v>885599754</v>
      </c>
      <c r="K274" s="22">
        <f t="shared" si="36"/>
        <v>589027308</v>
      </c>
      <c r="L274" s="22">
        <v>1474627062</v>
      </c>
      <c r="M274" s="22">
        <f t="shared" si="34"/>
        <v>124909741</v>
      </c>
      <c r="N274" s="22">
        <v>1599536803</v>
      </c>
      <c r="O274" s="22">
        <f t="shared" si="50"/>
        <v>-264743206</v>
      </c>
      <c r="P274" s="22">
        <v>-535350927</v>
      </c>
      <c r="Q274" s="22">
        <v>-2000758570</v>
      </c>
      <c r="R274" s="22">
        <v>544594110</v>
      </c>
      <c r="S274" s="21">
        <v>1334793597</v>
      </c>
      <c r="T274" s="31">
        <v>2331557403</v>
      </c>
      <c r="U274" s="31">
        <v>-154663144</v>
      </c>
      <c r="V274" s="31">
        <v>-3334930360</v>
      </c>
      <c r="W274" s="31">
        <v>-8194794570</v>
      </c>
      <c r="X274" s="31">
        <v>-16059328213</v>
      </c>
      <c r="Y274" s="31">
        <v>0</v>
      </c>
      <c r="Z274" s="31">
        <v>0</v>
      </c>
      <c r="AA274" s="31">
        <f>IFERROR(VLOOKUP(C274,'전사시산표(3단계)_1013'!$C:$L,10,0),0)</f>
        <v>-36830173936</v>
      </c>
      <c r="AB274" s="22"/>
      <c r="AC274" s="22"/>
      <c r="AD274" s="35">
        <f>AA274+AB274-AC274</f>
        <v>-36830173936</v>
      </c>
      <c r="AE274" s="35">
        <f t="shared" si="41"/>
        <v>-34829415366</v>
      </c>
      <c r="AF274" s="38">
        <f t="shared" si="52"/>
        <v>-14.938262005123791</v>
      </c>
    </row>
    <row r="275" spans="2:32" ht="17.25" thickBot="1">
      <c r="B275" s="9" t="s">
        <v>284</v>
      </c>
      <c r="C275" s="34">
        <v>849200</v>
      </c>
      <c r="D275" s="34"/>
      <c r="E275" s="33" t="s">
        <v>439</v>
      </c>
      <c r="F275" s="33" t="s">
        <v>542</v>
      </c>
      <c r="G275" s="36">
        <v>0</v>
      </c>
      <c r="H275" s="36">
        <f t="shared" si="37"/>
        <v>0</v>
      </c>
      <c r="I275" s="36">
        <v>0</v>
      </c>
      <c r="J275" s="36">
        <v>0</v>
      </c>
      <c r="K275" s="36">
        <f t="shared" si="36"/>
        <v>0</v>
      </c>
      <c r="L275" s="36">
        <v>0</v>
      </c>
      <c r="M275" s="36">
        <f t="shared" si="34"/>
        <v>0</v>
      </c>
      <c r="N275" s="36">
        <v>0</v>
      </c>
      <c r="O275" s="36">
        <f t="shared" si="50"/>
        <v>0</v>
      </c>
      <c r="P275" s="36">
        <v>0</v>
      </c>
      <c r="Q275" s="36">
        <v>0</v>
      </c>
      <c r="R275" s="36">
        <v>0</v>
      </c>
      <c r="S275" s="21">
        <v>0</v>
      </c>
      <c r="T275" s="39">
        <v>0</v>
      </c>
      <c r="U275" s="39">
        <v>0</v>
      </c>
      <c r="V275" s="39">
        <v>0</v>
      </c>
      <c r="W275" s="39">
        <v>0</v>
      </c>
      <c r="X275" s="39">
        <v>0</v>
      </c>
      <c r="Y275" s="39">
        <v>0</v>
      </c>
      <c r="Z275" s="39">
        <v>0</v>
      </c>
      <c r="AA275" s="39">
        <f>IFERROR(VLOOKUP(C275,'전사시산표(3단계)_1013'!$C:$L,10,0),0)</f>
        <v>0</v>
      </c>
      <c r="AB275" s="36"/>
      <c r="AC275" s="36"/>
      <c r="AD275" s="35">
        <f>AA275+AB275-AC275</f>
        <v>0</v>
      </c>
      <c r="AE275" s="35">
        <f t="shared" si="41"/>
        <v>0</v>
      </c>
      <c r="AF275" s="38" t="str">
        <f t="shared" si="52"/>
        <v/>
      </c>
    </row>
    <row r="276" spans="2:32" ht="17.25" thickBot="1">
      <c r="B276" s="44" t="s">
        <v>275</v>
      </c>
      <c r="C276" s="49"/>
      <c r="D276" s="404"/>
      <c r="E276" s="46" t="s">
        <v>440</v>
      </c>
      <c r="F276" s="46"/>
      <c r="G276" s="50">
        <f>G272-G273</f>
        <v>2799471994</v>
      </c>
      <c r="H276" s="50">
        <f t="shared" si="37"/>
        <v>-12306606492</v>
      </c>
      <c r="I276" s="50">
        <v>-9507134498</v>
      </c>
      <c r="J276" s="50">
        <v>4366922738</v>
      </c>
      <c r="K276" s="50">
        <f t="shared" si="36"/>
        <v>-300780839</v>
      </c>
      <c r="L276" s="50">
        <v>4066141899</v>
      </c>
      <c r="M276" s="50">
        <f t="shared" si="34"/>
        <v>554379347</v>
      </c>
      <c r="N276" s="50">
        <v>4620521246</v>
      </c>
      <c r="O276" s="50">
        <f t="shared" si="50"/>
        <v>-3822644643</v>
      </c>
      <c r="P276" s="50">
        <v>-5077037759</v>
      </c>
      <c r="Q276" s="50">
        <v>-6713820551</v>
      </c>
      <c r="R276" s="50">
        <v>959852641</v>
      </c>
      <c r="S276" s="50">
        <v>797876603</v>
      </c>
      <c r="T276" s="52">
        <v>-29622730374</v>
      </c>
      <c r="U276" s="52">
        <v>-4092564792</v>
      </c>
      <c r="V276" s="52">
        <v>-17674150551</v>
      </c>
      <c r="W276" s="52">
        <v>-37244215733</v>
      </c>
      <c r="X276" s="52">
        <v>-66887919699</v>
      </c>
      <c r="Y276" s="52">
        <v>-26460729355</v>
      </c>
      <c r="Z276" s="52">
        <v>-77964339707</v>
      </c>
      <c r="AA276" s="52">
        <f>AA272-AA273</f>
        <v>-75590345281</v>
      </c>
      <c r="AB276" s="50"/>
      <c r="AC276" s="50"/>
      <c r="AD276" s="51">
        <f>AA276-AB276+AC276</f>
        <v>-75590345281</v>
      </c>
      <c r="AE276" s="51">
        <f t="shared" si="41"/>
        <v>-68876524730</v>
      </c>
      <c r="AF276" s="53">
        <f t="shared" si="52"/>
        <v>2.3251241145027342</v>
      </c>
    </row>
    <row r="277" spans="2:32"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</row>
    <row r="278" spans="2:32">
      <c r="AD278" s="607"/>
    </row>
    <row r="279" spans="2:32">
      <c r="AA279" s="74"/>
    </row>
    <row r="280" spans="2:32">
      <c r="AA280" s="610"/>
    </row>
    <row r="281" spans="2:32">
      <c r="AA281" s="607"/>
    </row>
  </sheetData>
  <mergeCells count="6">
    <mergeCell ref="AE2:AE3"/>
    <mergeCell ref="AF2:AF3"/>
    <mergeCell ref="D2:D3"/>
    <mergeCell ref="E2:E3"/>
    <mergeCell ref="F2:F3"/>
    <mergeCell ref="AB2:AC2"/>
  </mergeCells>
  <phoneticPr fontId="4" type="noConversion"/>
  <conditionalFormatting sqref="AE205:XFD218 AE256:XFD263 A277:XFD1048576 A204:Z218 A256:Z263 C203:Z203 C219:Z219 C254:Z255 A220:Z232 A2:S3 AE238:XFD251 AG237:XFD237 A238:Z251 A237 AG43:XFD44 A43:A44 A236:Z236 A233:A235 A252:A253 G253:Z253 AE253:XFD253 AG252:XFD252 AE221:XFD236 G233:Z235 AE2:XFD42 A1:XFD1 A4:Z42 AA28:AD40 A45:Z202 AE45:XFD202 A266:Z276 AE266:XFD276">
    <cfRule type="containsText" dxfId="361" priority="310" operator="containsText" text="false">
      <formula>NOT(ISERROR(SEARCH("false",A1)))</formula>
    </cfRule>
  </conditionalFormatting>
  <conditionalFormatting sqref="AC194 AC192 AC189:AC190 AC184:AC187 AC182 AC180 AC178 AC166:AC176 AC162:AC164 AC157:AC160 AC153:AC155 AC151 AC148:AC149 AC146 AC143:AC144 AC141 AC133:AC139 AC130:AC131 AC118:AC121 AC109:AC116 AC105:AC107 AC99:AC103 AC96:AC97 AC90:AC94 AC75:AC81 AC71:AC73 AC60:AC69 AC53:AC58 AC46:AC51 AC42 AC123:AC128 AC83:AC88">
    <cfRule type="containsText" dxfId="360" priority="60" operator="containsText" text="false">
      <formula>NOT(ISERROR(SEARCH("false",AC42)))</formula>
    </cfRule>
  </conditionalFormatting>
  <conditionalFormatting sqref="AC194 AC192 AC189:AC190 AC184:AC187 AC182 AC180 AC178 AC166:AC176 AC162:AC164 AC157:AC160 AC153:AC155 AC151 AC148:AC149 AC146 AC143:AC144 AC141 AC133:AC139 AC130:AC131 AC118:AC121 AC109:AC116 AC105:AC107 AC99:AC103 AC96:AC97 AC90:AC94 AC75:AC81 AC71:AC73 AC60:AC69 AC53:AC58 AC46:AC51 AC42 AC123:AC128 AC83:AC88">
    <cfRule type="containsText" dxfId="359" priority="59" operator="containsText" text="false">
      <formula>NOT(ISERROR(SEARCH("false",AC42)))</formula>
    </cfRule>
  </conditionalFormatting>
  <conditionalFormatting sqref="AD42 AD53:AD69 AD46:AD51 AD71:AD73 AD75:AD81 AD90:AD94 AD96:AD97 AD99:AD103 AD105:AD107 AD109:AD116 AD118:AD121 AD130:AD131 AD133:AD139 AD141 AD143:AD144 AD146 AD148:AD149 AD151 AD153:AD155 AD157:AD160 AD162:AD164 AD166:AD176 AD178 AD180 AD182 AD184:AD187 AD189:AD190 AD192 AD194 AA42:AB42 AA52:AD52 AA41:AD41 AA45:AD45 AA70:AD70 AA53:AB69 AA46:AB51 AA74:AD74 AA71:AB73 AA82:AD82 AA75:AB81 AA89:AD89 AA95:AD95 AA90:AB94 AA98:AD98 AA96:AB97 AA104:AD104 AA99:AB103 AA108:AD108 AA105:AB107 AA117:AD117 AA109:AB116 AA122:AD122 AA118:AB121 AA129:AD129 AA132:AD132 AA130:AB131 AA140:AD140 AA133:AB139 AA142:AD142 AA141:AB141 AA145:AD145 AA143:AB144 AA147:AD147 AA146:AB146 AA150:AD150 AA148:AB149 AA152:AD152 AA151:AB151 AA156:AD156 AA153:AB155 AA161:AD161 AA157:AB160 AA165:AD165 AA162:AB164 AA177:AD177 AA166:AB176 AA179:AD179 AA178:AB178 AA180:AB180 AA183:AD183 AA181:AA182 AA188:AD188 AA184:AB187 AA191:AD191 AA189:AB190 AA193:AD193 AA192:AB192 AA194:AB194 AA196:AD202 AA4:AD27 AA205:AD218 AA256:AD257 AA123:AB128 AD123:AD128 AB2:AC3 AA247:AD251 AB243:AD246 AB258:AD263 AA221:AD227 AA240:AD242 AC181:AD181 AA253:AD253 AB238:AD239 AB228:AD236 AB195:AD195 AA83:AB88 AD83:AD88 AA266:AD276">
    <cfRule type="containsText" dxfId="358" priority="68" operator="containsText" text="false">
      <formula>NOT(ISERROR(SEARCH("false",AA2)))</formula>
    </cfRule>
  </conditionalFormatting>
  <conditionalFormatting sqref="AC59">
    <cfRule type="containsText" dxfId="357" priority="65" operator="containsText" text="false">
      <formula>NOT(ISERROR(SEARCH("false",AC59)))</formula>
    </cfRule>
  </conditionalFormatting>
  <conditionalFormatting sqref="AC59">
    <cfRule type="containsText" dxfId="356" priority="64" operator="containsText" text="false">
      <formula>NOT(ISERROR(SEARCH("false",AC59)))</formula>
    </cfRule>
  </conditionalFormatting>
  <conditionalFormatting sqref="AC59">
    <cfRule type="containsText" dxfId="355" priority="63" operator="containsText" text="false">
      <formula>NOT(ISERROR(SEARCH("false",AC59)))</formula>
    </cfRule>
  </conditionalFormatting>
  <conditionalFormatting sqref="AC59">
    <cfRule type="containsText" dxfId="354" priority="62" operator="containsText" text="false">
      <formula>NOT(ISERROR(SEARCH("false",AC59)))</formula>
    </cfRule>
  </conditionalFormatting>
  <conditionalFormatting sqref="AC59">
    <cfRule type="containsText" dxfId="353" priority="61" operator="containsText" text="false">
      <formula>NOT(ISERROR(SEARCH("false",AC59)))</formula>
    </cfRule>
  </conditionalFormatting>
  <conditionalFormatting sqref="AA203:AD204">
    <cfRule type="containsText" dxfId="352" priority="57" operator="containsText" text="false">
      <formula>NOT(ISERROR(SEARCH("false",AA203)))</formula>
    </cfRule>
  </conditionalFormatting>
  <conditionalFormatting sqref="B203">
    <cfRule type="containsText" dxfId="351" priority="56" operator="containsText" text="false">
      <formula>NOT(ISERROR(SEARCH("false",B203)))</formula>
    </cfRule>
  </conditionalFormatting>
  <conditionalFormatting sqref="AE203:XFD204 A203">
    <cfRule type="containsText" dxfId="350" priority="58" operator="containsText" text="false">
      <formula>NOT(ISERROR(SEARCH("false",A203)))</formula>
    </cfRule>
  </conditionalFormatting>
  <conditionalFormatting sqref="B219">
    <cfRule type="containsText" dxfId="349" priority="53" operator="containsText" text="false">
      <formula>NOT(ISERROR(SEARCH("false",B219)))</formula>
    </cfRule>
  </conditionalFormatting>
  <conditionalFormatting sqref="AA220">
    <cfRule type="containsText" dxfId="348" priority="52" operator="containsText" text="false">
      <formula>NOT(ISERROR(SEARCH("false",AA220)))</formula>
    </cfRule>
  </conditionalFormatting>
  <conditionalFormatting sqref="AA219:AD219 AB220:AD220">
    <cfRule type="containsText" dxfId="347" priority="54" operator="containsText" text="false">
      <formula>NOT(ISERROR(SEARCH("false",AA219)))</formula>
    </cfRule>
  </conditionalFormatting>
  <conditionalFormatting sqref="AE219:XFD220 A219">
    <cfRule type="containsText" dxfId="346" priority="55" operator="containsText" text="false">
      <formula>NOT(ISERROR(SEARCH("false",A219)))</formula>
    </cfRule>
  </conditionalFormatting>
  <conditionalFormatting sqref="AA255">
    <cfRule type="containsText" dxfId="345" priority="42" operator="containsText" text="false">
      <formula>NOT(ISERROR(SEARCH("false",AA255)))</formula>
    </cfRule>
  </conditionalFormatting>
  <conditionalFormatting sqref="A254:A255 AE254:XFD255">
    <cfRule type="containsText" dxfId="344" priority="46" operator="containsText" text="false">
      <formula>NOT(ISERROR(SEARCH("false",A254)))</formula>
    </cfRule>
  </conditionalFormatting>
  <conditionalFormatting sqref="AB254:AD255">
    <cfRule type="containsText" dxfId="343" priority="45" operator="containsText" text="false">
      <formula>NOT(ISERROR(SEARCH("false",AB254)))</formula>
    </cfRule>
  </conditionalFormatting>
  <conditionalFormatting sqref="B254:B255">
    <cfRule type="containsText" dxfId="342" priority="44" operator="containsText" text="false">
      <formula>NOT(ISERROR(SEARCH("false",B254)))</formula>
    </cfRule>
  </conditionalFormatting>
  <conditionalFormatting sqref="AA254">
    <cfRule type="containsText" dxfId="341" priority="43" operator="containsText" text="false">
      <formula>NOT(ISERROR(SEARCH("false",AA254)))</formula>
    </cfRule>
  </conditionalFormatting>
  <conditionalFormatting sqref="C264:Z265">
    <cfRule type="containsText" dxfId="340" priority="41" operator="containsText" text="false">
      <formula>NOT(ISERROR(SEARCH("false",C264)))</formula>
    </cfRule>
  </conditionalFormatting>
  <conditionalFormatting sqref="B264:B265">
    <cfRule type="containsText" dxfId="339" priority="35" operator="containsText" text="false">
      <formula>NOT(ISERROR(SEARCH("false",B264)))</formula>
    </cfRule>
  </conditionalFormatting>
  <conditionalFormatting sqref="A264:A265 AE264:XFD265">
    <cfRule type="containsText" dxfId="338" priority="40" operator="containsText" text="false">
      <formula>NOT(ISERROR(SEARCH("false",A264)))</formula>
    </cfRule>
  </conditionalFormatting>
  <conditionalFormatting sqref="AB264:AD265">
    <cfRule type="containsText" dxfId="337" priority="39" operator="containsText" text="false">
      <formula>NOT(ISERROR(SEARCH("false",AB264)))</formula>
    </cfRule>
  </conditionalFormatting>
  <conditionalFormatting sqref="AA264">
    <cfRule type="containsText" dxfId="336" priority="37" operator="containsText" text="false">
      <formula>NOT(ISERROR(SEARCH("false",AA264)))</formula>
    </cfRule>
  </conditionalFormatting>
  <conditionalFormatting sqref="AA265">
    <cfRule type="containsText" dxfId="335" priority="34" operator="containsText" text="false">
      <formula>NOT(ISERROR(SEARCH("false",AA265)))</formula>
    </cfRule>
  </conditionalFormatting>
  <conditionalFormatting sqref="T2:T3">
    <cfRule type="containsText" dxfId="334" priority="33" operator="containsText" text="false">
      <formula>NOT(ISERROR(SEARCH("false",T2)))</formula>
    </cfRule>
  </conditionalFormatting>
  <conditionalFormatting sqref="Z3:AA3">
    <cfRule type="containsText" dxfId="333" priority="32" operator="containsText" text="false">
      <formula>NOT(ISERROR(SEARCH("false",Z3)))</formula>
    </cfRule>
  </conditionalFormatting>
  <conditionalFormatting sqref="AD3">
    <cfRule type="containsText" dxfId="332" priority="31" operator="containsText" text="false">
      <formula>NOT(ISERROR(SEARCH("false",AD3)))</formula>
    </cfRule>
  </conditionalFormatting>
  <conditionalFormatting sqref="AA243:AA246">
    <cfRule type="containsText" dxfId="331" priority="30" operator="containsText" text="false">
      <formula>NOT(ISERROR(SEARCH("false",AA243)))</formula>
    </cfRule>
  </conditionalFormatting>
  <conditionalFormatting sqref="AA258:AA263">
    <cfRule type="containsText" dxfId="330" priority="29" operator="containsText" text="false">
      <formula>NOT(ISERROR(SEARCH("false",AA258)))</formula>
    </cfRule>
  </conditionalFormatting>
  <conditionalFormatting sqref="B237:Z237 AE237:AF237">
    <cfRule type="containsText" dxfId="329" priority="28" operator="containsText" text="false">
      <formula>NOT(ISERROR(SEARCH("false",B237)))</formula>
    </cfRule>
  </conditionalFormatting>
  <conditionalFormatting sqref="AB237:AD237">
    <cfRule type="containsText" dxfId="328" priority="27" operator="containsText" text="false">
      <formula>NOT(ISERROR(SEARCH("false",AB237)))</formula>
    </cfRule>
  </conditionalFormatting>
  <conditionalFormatting sqref="U2:V3">
    <cfRule type="containsText" dxfId="327" priority="26" operator="containsText" text="false">
      <formula>NOT(ISERROR(SEARCH("false",U2)))</formula>
    </cfRule>
  </conditionalFormatting>
  <conditionalFormatting sqref="B43:Z44 AE43:AF44">
    <cfRule type="containsText" dxfId="326" priority="25" operator="containsText" text="false">
      <formula>NOT(ISERROR(SEARCH("false",B43)))</formula>
    </cfRule>
  </conditionalFormatting>
  <conditionalFormatting sqref="AC44">
    <cfRule type="containsText" dxfId="325" priority="23" operator="containsText" text="false">
      <formula>NOT(ISERROR(SEARCH("false",AC44)))</formula>
    </cfRule>
  </conditionalFormatting>
  <conditionalFormatting sqref="AC44">
    <cfRule type="containsText" dxfId="324" priority="22" operator="containsText" text="false">
      <formula>NOT(ISERROR(SEARCH("false",AC44)))</formula>
    </cfRule>
  </conditionalFormatting>
  <conditionalFormatting sqref="AD44 AA44:AB44 AA43:AD43">
    <cfRule type="containsText" dxfId="323" priority="24" operator="containsText" text="false">
      <formula>NOT(ISERROR(SEARCH("false",AA43)))</formula>
    </cfRule>
  </conditionalFormatting>
  <conditionalFormatting sqref="AB181:AB182">
    <cfRule type="containsText" dxfId="322" priority="21" operator="containsText" text="false">
      <formula>NOT(ISERROR(SEARCH("false",AB181)))</formula>
    </cfRule>
  </conditionalFormatting>
  <conditionalFormatting sqref="W2:X3">
    <cfRule type="containsText" dxfId="321" priority="20" operator="containsText" text="false">
      <formula>NOT(ISERROR(SEARCH("false",W2)))</formula>
    </cfRule>
  </conditionalFormatting>
  <conditionalFormatting sqref="Z2:AA2">
    <cfRule type="containsText" dxfId="320" priority="19" operator="containsText" text="false">
      <formula>NOT(ISERROR(SEARCH("false",Z2)))</formula>
    </cfRule>
  </conditionalFormatting>
  <conditionalFormatting sqref="AD2">
    <cfRule type="containsText" dxfId="319" priority="18" operator="containsText" text="false">
      <formula>NOT(ISERROR(SEARCH("false",AD2)))</formula>
    </cfRule>
  </conditionalFormatting>
  <conditionalFormatting sqref="B233:F235">
    <cfRule type="containsText" dxfId="318" priority="13" operator="containsText" text="false">
      <formula>NOT(ISERROR(SEARCH("false",B233)))</formula>
    </cfRule>
  </conditionalFormatting>
  <conditionalFormatting sqref="B252:F253">
    <cfRule type="containsText" dxfId="317" priority="12" operator="containsText" text="false">
      <formula>NOT(ISERROR(SEARCH("false",B252)))</formula>
    </cfRule>
  </conditionalFormatting>
  <conditionalFormatting sqref="G252:Z252">
    <cfRule type="containsText" dxfId="316" priority="11" operator="containsText" text="false">
      <formula>NOT(ISERROR(SEARCH("false",G252)))</formula>
    </cfRule>
  </conditionalFormatting>
  <conditionalFormatting sqref="AF252">
    <cfRule type="containsText" dxfId="315" priority="10" operator="containsText" text="false">
      <formula>NOT(ISERROR(SEARCH("false",AF252)))</formula>
    </cfRule>
  </conditionalFormatting>
  <conditionalFormatting sqref="AA252:AC252">
    <cfRule type="containsText" dxfId="314" priority="8" operator="containsText" text="false">
      <formula>NOT(ISERROR(SEARCH("false",AA252)))</formula>
    </cfRule>
  </conditionalFormatting>
  <conditionalFormatting sqref="AE252">
    <cfRule type="containsText" dxfId="313" priority="7" operator="containsText" text="false">
      <formula>NOT(ISERROR(SEARCH("false",AE252)))</formula>
    </cfRule>
  </conditionalFormatting>
  <conditionalFormatting sqref="AD252">
    <cfRule type="containsText" dxfId="312" priority="6" operator="containsText" text="false">
      <formula>NOT(ISERROR(SEARCH("false",AD252)))</formula>
    </cfRule>
  </conditionalFormatting>
  <conditionalFormatting sqref="AA238:AA239 AA228:AA236">
    <cfRule type="containsText" dxfId="311" priority="5" operator="containsText" text="false">
      <formula>NOT(ISERROR(SEARCH("false",AA228)))</formula>
    </cfRule>
  </conditionalFormatting>
  <conditionalFormatting sqref="AA237">
    <cfRule type="containsText" dxfId="310" priority="4" operator="containsText" text="false">
      <formula>NOT(ISERROR(SEARCH("false",AA237)))</formula>
    </cfRule>
  </conditionalFormatting>
  <conditionalFormatting sqref="AA195">
    <cfRule type="containsText" dxfId="309" priority="3" operator="containsText" text="false">
      <formula>NOT(ISERROR(SEARCH("false",AA195)))</formula>
    </cfRule>
  </conditionalFormatting>
  <conditionalFormatting sqref="Y2">
    <cfRule type="containsText" dxfId="308" priority="2" operator="containsText" text="false">
      <formula>NOT(ISERROR(SEARCH("false",Y2)))</formula>
    </cfRule>
  </conditionalFormatting>
  <conditionalFormatting sqref="Y3">
    <cfRule type="containsText" dxfId="307" priority="1" operator="containsText" text="false">
      <formula>NOT(ISERROR(SEARCH("false",Y3)))</formula>
    </cfRule>
  </conditionalFormatting>
  <pageMargins left="0.7" right="0.7" top="0.75" bottom="0.75" header="0.3" footer="0.3"/>
  <pageSetup paperSize="9" scale="4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79998168889431442"/>
  </sheetPr>
  <dimension ref="A1:AJ298"/>
  <sheetViews>
    <sheetView showGridLines="0" zoomScale="85" zoomScaleNormal="85" workbookViewId="0">
      <pane xSplit="6" ySplit="3" topLeftCell="Y4" activePane="bottomRight" state="frozen"/>
      <selection activeCell="E155" sqref="E155"/>
      <selection pane="topRight" activeCell="E155" sqref="E155"/>
      <selection pane="bottomLeft" activeCell="E155" sqref="E155"/>
      <selection pane="bottomRight" activeCell="AA9" sqref="AA9"/>
    </sheetView>
  </sheetViews>
  <sheetFormatPr defaultRowHeight="16.5" outlineLevelCol="1"/>
  <cols>
    <col min="1" max="1" width="3.25" style="23" customWidth="1"/>
    <col min="2" max="2" width="12.25" customWidth="1"/>
    <col min="3" max="3" width="11.625" customWidth="1"/>
    <col min="4" max="4" width="11.125" customWidth="1"/>
    <col min="5" max="5" width="24.125" customWidth="1"/>
    <col min="6" max="6" width="29.875" customWidth="1"/>
    <col min="7" max="7" width="15.375" customWidth="1" outlineLevel="1"/>
    <col min="8" max="8" width="20.875" customWidth="1" outlineLevel="1"/>
    <col min="9" max="9" width="19.75" customWidth="1"/>
    <col min="10" max="10" width="19.75" customWidth="1" outlineLevel="1"/>
    <col min="11" max="12" width="19.375" customWidth="1" outlineLevel="1"/>
    <col min="13" max="13" width="19.375" customWidth="1"/>
    <col min="14" max="14" width="19.625" hidden="1" customWidth="1" outlineLevel="1"/>
    <col min="15" max="16" width="19.375" hidden="1" customWidth="1" outlineLevel="1"/>
    <col min="17" max="17" width="16.625" hidden="1" customWidth="1" outlineLevel="1"/>
    <col min="18" max="18" width="16.75" hidden="1" customWidth="1" outlineLevel="1"/>
    <col min="19" max="19" width="19.75" hidden="1" customWidth="1" collapsed="1"/>
    <col min="20" max="20" width="19.75" customWidth="1"/>
    <col min="21" max="21" width="19.75" style="571" customWidth="1"/>
    <col min="22" max="22" width="19.75" style="601" customWidth="1"/>
    <col min="23" max="23" width="19.75" style="608" customWidth="1"/>
    <col min="24" max="24" width="19.75" style="630" customWidth="1"/>
    <col min="25" max="25" width="19.75" style="727" customWidth="1"/>
    <col min="26" max="26" width="19.75" style="743" customWidth="1"/>
    <col min="27" max="30" width="19.75" customWidth="1"/>
    <col min="31" max="31" width="17.625" customWidth="1"/>
    <col min="32" max="32" width="16.75" customWidth="1"/>
    <col min="33" max="33" width="15.375" bestFit="1" customWidth="1"/>
    <col min="34" max="34" width="17.625" bestFit="1" customWidth="1"/>
    <col min="35" max="35" width="16" bestFit="1" customWidth="1"/>
    <col min="36" max="36" width="13.625" bestFit="1" customWidth="1"/>
  </cols>
  <sheetData>
    <row r="1" spans="1:35" ht="17.25" thickBot="1">
      <c r="G1" s="25"/>
      <c r="H1" s="187"/>
      <c r="K1" s="75"/>
      <c r="L1" s="75"/>
      <c r="M1" s="75"/>
      <c r="N1" s="75"/>
      <c r="O1" s="75"/>
      <c r="P1" s="75"/>
      <c r="AE1" s="187"/>
    </row>
    <row r="2" spans="1:35" ht="16.5" customHeight="1">
      <c r="B2" s="12" t="s">
        <v>274</v>
      </c>
      <c r="C2" s="13" t="s">
        <v>277</v>
      </c>
      <c r="D2" s="768" t="s">
        <v>728</v>
      </c>
      <c r="E2" s="764" t="s">
        <v>278</v>
      </c>
      <c r="F2" s="775" t="s">
        <v>279</v>
      </c>
      <c r="G2" s="80">
        <v>43344</v>
      </c>
      <c r="H2" s="184">
        <v>43373</v>
      </c>
      <c r="I2" s="201">
        <v>43465</v>
      </c>
      <c r="J2" s="212">
        <v>43555</v>
      </c>
      <c r="K2" s="226">
        <v>43646</v>
      </c>
      <c r="L2" s="236">
        <v>43738</v>
      </c>
      <c r="M2" s="398">
        <v>43830</v>
      </c>
      <c r="N2" s="426">
        <v>43921</v>
      </c>
      <c r="O2" s="484">
        <v>44012</v>
      </c>
      <c r="P2" s="81">
        <v>44104</v>
      </c>
      <c r="Q2" s="773" t="s">
        <v>481</v>
      </c>
      <c r="R2" s="774"/>
      <c r="S2" s="484">
        <v>44104</v>
      </c>
      <c r="T2" s="561">
        <v>44196</v>
      </c>
      <c r="U2" s="573">
        <v>44286</v>
      </c>
      <c r="V2" s="604">
        <v>44377</v>
      </c>
      <c r="W2" s="612">
        <v>44469</v>
      </c>
      <c r="X2" s="720">
        <v>44561</v>
      </c>
      <c r="Y2" s="725">
        <v>44651</v>
      </c>
      <c r="Z2" s="744">
        <v>44742</v>
      </c>
      <c r="AA2" s="514">
        <v>44834</v>
      </c>
      <c r="AB2" s="773" t="s">
        <v>481</v>
      </c>
      <c r="AC2" s="774"/>
      <c r="AD2" s="514">
        <f>AA2</f>
        <v>44834</v>
      </c>
      <c r="AE2" s="770" t="s">
        <v>486</v>
      </c>
      <c r="AF2" s="771" t="s">
        <v>485</v>
      </c>
    </row>
    <row r="3" spans="1:35" ht="17.25" customHeight="1" thickBot="1">
      <c r="B3" s="14" t="s">
        <v>280</v>
      </c>
      <c r="C3" s="15" t="s">
        <v>281</v>
      </c>
      <c r="D3" s="769"/>
      <c r="E3" s="765"/>
      <c r="F3" s="772"/>
      <c r="G3" s="29" t="s">
        <v>474</v>
      </c>
      <c r="H3" s="182" t="s">
        <v>484</v>
      </c>
      <c r="I3" s="199" t="s">
        <v>666</v>
      </c>
      <c r="J3" s="210" t="s">
        <v>874</v>
      </c>
      <c r="K3" s="224" t="s">
        <v>874</v>
      </c>
      <c r="L3" s="234" t="s">
        <v>874</v>
      </c>
      <c r="M3" s="397" t="s">
        <v>484</v>
      </c>
      <c r="N3" s="424" t="s">
        <v>874</v>
      </c>
      <c r="O3" s="485" t="s">
        <v>1136</v>
      </c>
      <c r="P3" s="79" t="s">
        <v>474</v>
      </c>
      <c r="Q3" s="79" t="s">
        <v>482</v>
      </c>
      <c r="R3" s="79" t="s">
        <v>483</v>
      </c>
      <c r="S3" s="79" t="s">
        <v>770</v>
      </c>
      <c r="T3" s="562" t="s">
        <v>874</v>
      </c>
      <c r="U3" s="574" t="s">
        <v>874</v>
      </c>
      <c r="V3" s="605" t="s">
        <v>874</v>
      </c>
      <c r="W3" s="613" t="s">
        <v>874</v>
      </c>
      <c r="X3" s="639" t="s">
        <v>666</v>
      </c>
      <c r="Y3" s="726" t="s">
        <v>874</v>
      </c>
      <c r="Z3" s="745" t="s">
        <v>474</v>
      </c>
      <c r="AA3" s="515" t="s">
        <v>474</v>
      </c>
      <c r="AB3" s="515" t="s">
        <v>482</v>
      </c>
      <c r="AC3" s="515" t="s">
        <v>483</v>
      </c>
      <c r="AD3" s="515" t="s">
        <v>874</v>
      </c>
      <c r="AE3" s="765"/>
      <c r="AF3" s="772"/>
    </row>
    <row r="4" spans="1:35" ht="17.25" thickBot="1">
      <c r="B4" s="68" t="s">
        <v>275</v>
      </c>
      <c r="C4" s="69"/>
      <c r="D4" s="69"/>
      <c r="E4" s="70" t="s">
        <v>282</v>
      </c>
      <c r="F4" s="70"/>
      <c r="G4" s="71">
        <f>G5+G86</f>
        <v>494796101763</v>
      </c>
      <c r="H4" s="71">
        <f>H5+H86</f>
        <v>1043121741971</v>
      </c>
      <c r="I4" s="71">
        <v>1045946496278</v>
      </c>
      <c r="J4" s="71">
        <v>1096634294883</v>
      </c>
      <c r="K4" s="71">
        <v>986970573166</v>
      </c>
      <c r="L4" s="71">
        <v>971070269957</v>
      </c>
      <c r="M4" s="71">
        <v>923423937523</v>
      </c>
      <c r="N4" s="71">
        <v>975565846713</v>
      </c>
      <c r="O4" s="71">
        <v>944132995069</v>
      </c>
      <c r="P4" s="71">
        <v>962227867327</v>
      </c>
      <c r="Q4" s="71">
        <v>0</v>
      </c>
      <c r="R4" s="71">
        <v>0</v>
      </c>
      <c r="S4" s="72">
        <v>962227867327</v>
      </c>
      <c r="T4" s="72">
        <v>999224964339</v>
      </c>
      <c r="U4" s="71">
        <v>1015605393069</v>
      </c>
      <c r="V4" s="71">
        <v>944173650681</v>
      </c>
      <c r="W4" s="71">
        <v>943982393357</v>
      </c>
      <c r="X4" s="71">
        <v>944077517567</v>
      </c>
      <c r="Y4" s="71">
        <v>880657447783</v>
      </c>
      <c r="Z4" s="71">
        <v>812115296070</v>
      </c>
      <c r="AA4" s="71">
        <f>AA5+AA86</f>
        <v>875918784205</v>
      </c>
      <c r="AB4" s="71">
        <f>AB5+AB86</f>
        <v>0</v>
      </c>
      <c r="AC4" s="71">
        <f>AC5+AC86</f>
        <v>0</v>
      </c>
      <c r="AD4" s="72">
        <f t="shared" ref="AD4:AD14" si="0">AA4+AB4-AC4</f>
        <v>875918784205</v>
      </c>
      <c r="AE4" s="72">
        <f t="shared" ref="AE4:AE68" si="1">AD4-X4</f>
        <v>-68158733362</v>
      </c>
      <c r="AF4" s="73">
        <f t="shared" ref="AF4:AF67" si="2">IFERROR(AE4/X4,"")</f>
        <v>-7.2196119591591543E-2</v>
      </c>
      <c r="AH4">
        <v>811346615090</v>
      </c>
      <c r="AI4" s="187">
        <f>AH4-AD4</f>
        <v>-64572169115</v>
      </c>
    </row>
    <row r="5" spans="1:35" ht="17.25" thickBot="1">
      <c r="B5" s="44" t="s">
        <v>275</v>
      </c>
      <c r="C5" s="45">
        <v>100</v>
      </c>
      <c r="D5" s="45"/>
      <c r="E5" s="46" t="s">
        <v>242</v>
      </c>
      <c r="F5" s="46"/>
      <c r="G5" s="52">
        <f>SUM(G6,G11,G20,G25,G33,G38,G40,G59,G61,G63,G66,G72,G75,G77,G79,)</f>
        <v>424181675345</v>
      </c>
      <c r="H5" s="52">
        <f>SUM(H6,H11,H20,H25,H33,H38,H40,H61,H63,H66,H72,H75,H77,H79,)</f>
        <v>966851706328</v>
      </c>
      <c r="I5" s="52">
        <f>SUM(I6,I11,I20,I25,I33,I38,I40,I59,I61,I63,I66,I72,I75,I77,I79,)</f>
        <v>923153105142</v>
      </c>
      <c r="J5" s="52">
        <v>916996305718</v>
      </c>
      <c r="K5" s="52">
        <v>817656464582</v>
      </c>
      <c r="L5" s="52">
        <v>807768671590</v>
      </c>
      <c r="M5" s="52">
        <v>779568236668</v>
      </c>
      <c r="N5" s="52">
        <v>757681091291</v>
      </c>
      <c r="O5" s="52">
        <v>724112740182</v>
      </c>
      <c r="P5" s="52">
        <v>772365614831</v>
      </c>
      <c r="Q5" s="52">
        <v>0</v>
      </c>
      <c r="R5" s="52">
        <v>0</v>
      </c>
      <c r="S5" s="50">
        <v>772365614831</v>
      </c>
      <c r="T5" s="50">
        <v>898147335181</v>
      </c>
      <c r="U5" s="52">
        <v>924529632701</v>
      </c>
      <c r="V5" s="52">
        <v>821070941287</v>
      </c>
      <c r="W5" s="52">
        <v>823315775550</v>
      </c>
      <c r="X5" s="52">
        <v>815206318670</v>
      </c>
      <c r="Y5" s="52">
        <v>754143473209</v>
      </c>
      <c r="Z5" s="52">
        <v>690221121997</v>
      </c>
      <c r="AA5" s="52">
        <f>SUM(AA6,AA11,AA18,AA16,AA20,AA25,AA33,AA38,AA40,AA59,AA61,AA63,AA66,AA68,AA72,AA75,AA77,AA79,AA57)</f>
        <v>704638658745</v>
      </c>
      <c r="AB5" s="52">
        <f>SUM(AB6,AB11,AB20,AB25,AB33,AB38,AB40,AB61,AB63,AB66,AB72,AB75,AB77,AB79,)</f>
        <v>0</v>
      </c>
      <c r="AC5" s="52">
        <f>SUM(AC6,AC11,AC20,AC25,AC33,AC38,AC40,AC61,AC63,AC66,AC72,AC75,AC77,AC79,)</f>
        <v>0</v>
      </c>
      <c r="AD5" s="50">
        <f t="shared" si="0"/>
        <v>704638658745</v>
      </c>
      <c r="AE5" s="50">
        <f t="shared" si="1"/>
        <v>-110567659925</v>
      </c>
      <c r="AF5" s="53">
        <f t="shared" si="2"/>
        <v>-0.13563150504695534</v>
      </c>
      <c r="AG5" s="351"/>
      <c r="AH5" s="187"/>
    </row>
    <row r="6" spans="1:35">
      <c r="B6" s="55" t="s">
        <v>276</v>
      </c>
      <c r="C6" s="56">
        <v>10000</v>
      </c>
      <c r="D6" s="56"/>
      <c r="E6" s="57" t="s">
        <v>283</v>
      </c>
      <c r="F6" s="57"/>
      <c r="G6" s="58">
        <f>SUM(G7:G10)</f>
        <v>100000000000</v>
      </c>
      <c r="H6" s="58">
        <f>SUM(H7:H10)</f>
        <v>566090589027</v>
      </c>
      <c r="I6" s="58">
        <v>55365306963</v>
      </c>
      <c r="J6" s="58">
        <v>96450738930</v>
      </c>
      <c r="K6" s="58">
        <v>95659074678</v>
      </c>
      <c r="L6" s="58">
        <v>114636388233</v>
      </c>
      <c r="M6" s="58">
        <v>93060172087</v>
      </c>
      <c r="N6" s="58">
        <v>11344095365</v>
      </c>
      <c r="O6" s="58">
        <v>9500451900</v>
      </c>
      <c r="P6" s="58">
        <v>70895970594</v>
      </c>
      <c r="Q6" s="58">
        <v>0</v>
      </c>
      <c r="R6" s="58">
        <v>0</v>
      </c>
      <c r="S6" s="59">
        <v>70895970594</v>
      </c>
      <c r="T6" s="59">
        <v>68471528784</v>
      </c>
      <c r="U6" s="58">
        <v>80230004976</v>
      </c>
      <c r="V6" s="58">
        <v>55505835444</v>
      </c>
      <c r="W6" s="58">
        <v>29029709734</v>
      </c>
      <c r="X6" s="58">
        <v>44572518747</v>
      </c>
      <c r="Y6" s="58">
        <v>46011214071</v>
      </c>
      <c r="Z6" s="58">
        <v>28012247162</v>
      </c>
      <c r="AA6" s="58">
        <f>SUM(AA7:AA10)</f>
        <v>53003487568</v>
      </c>
      <c r="AB6" s="58"/>
      <c r="AC6" s="58">
        <f>SUM(AC7:AC10)</f>
        <v>0</v>
      </c>
      <c r="AD6" s="59">
        <f t="shared" si="0"/>
        <v>53003487568</v>
      </c>
      <c r="AE6" s="59">
        <f t="shared" si="1"/>
        <v>8430968821</v>
      </c>
      <c r="AF6" s="60">
        <f t="shared" si="2"/>
        <v>0.18915172527842516</v>
      </c>
      <c r="AG6" s="630" t="b">
        <f t="shared" ref="AG6:AG73" si="3">AD6=AA6</f>
        <v>1</v>
      </c>
    </row>
    <row r="7" spans="1:35">
      <c r="B7" s="1" t="s">
        <v>284</v>
      </c>
      <c r="C7" s="2">
        <v>100000</v>
      </c>
      <c r="D7" s="2" t="s">
        <v>597</v>
      </c>
      <c r="E7" s="3" t="s">
        <v>241</v>
      </c>
      <c r="F7" s="3" t="s">
        <v>283</v>
      </c>
      <c r="G7" s="30">
        <v>0</v>
      </c>
      <c r="H7" s="21">
        <v>503964494387</v>
      </c>
      <c r="I7" s="21">
        <v>1219941854</v>
      </c>
      <c r="J7" s="21">
        <v>3039874921</v>
      </c>
      <c r="K7" s="21">
        <v>4199536067</v>
      </c>
      <c r="L7" s="21">
        <v>2311535641</v>
      </c>
      <c r="M7" s="21">
        <v>1703268225</v>
      </c>
      <c r="N7" s="21">
        <v>6327375300</v>
      </c>
      <c r="O7" s="21">
        <v>5312486926</v>
      </c>
      <c r="P7" s="21">
        <v>4675458803</v>
      </c>
      <c r="Q7" s="21"/>
      <c r="R7" s="21"/>
      <c r="S7" s="21">
        <v>4675458803</v>
      </c>
      <c r="T7" s="517">
        <v>4296191440</v>
      </c>
      <c r="U7" s="517">
        <v>16257063473</v>
      </c>
      <c r="V7" s="517">
        <v>15363875587</v>
      </c>
      <c r="W7" s="517">
        <v>8419662455</v>
      </c>
      <c r="X7" s="517">
        <v>7281000172</v>
      </c>
      <c r="Y7" s="517">
        <v>6715990054</v>
      </c>
      <c r="Z7" s="517">
        <v>7016197134</v>
      </c>
      <c r="AA7" s="517">
        <f>IFERROR(VLOOKUP(C7,'전사시산표(3단계)_1013'!$C:$L,10,0),0)</f>
        <v>4899334587</v>
      </c>
      <c r="AB7" s="517"/>
      <c r="AC7" s="517"/>
      <c r="AD7" s="517">
        <f t="shared" si="0"/>
        <v>4899334587</v>
      </c>
      <c r="AE7" s="21">
        <f t="shared" si="1"/>
        <v>-2381665585</v>
      </c>
      <c r="AF7" s="38">
        <f t="shared" si="2"/>
        <v>-0.32710692607301317</v>
      </c>
      <c r="AG7" s="630" t="b">
        <f t="shared" si="3"/>
        <v>1</v>
      </c>
    </row>
    <row r="8" spans="1:35" s="11" customFormat="1">
      <c r="A8" s="24"/>
      <c r="B8" s="1" t="s">
        <v>285</v>
      </c>
      <c r="C8" s="2">
        <v>128000</v>
      </c>
      <c r="D8" s="2" t="s">
        <v>597</v>
      </c>
      <c r="E8" s="3" t="s">
        <v>286</v>
      </c>
      <c r="F8" s="3" t="s">
        <v>476</v>
      </c>
      <c r="G8" s="30">
        <v>100000000000</v>
      </c>
      <c r="H8" s="21">
        <v>62070033382</v>
      </c>
      <c r="I8" s="21">
        <v>53590000000</v>
      </c>
      <c r="J8" s="21">
        <v>91180000000</v>
      </c>
      <c r="K8" s="21">
        <v>89967058039</v>
      </c>
      <c r="L8" s="21">
        <v>110680000000</v>
      </c>
      <c r="M8" s="21">
        <v>90230000000</v>
      </c>
      <c r="N8" s="21">
        <v>3000000000</v>
      </c>
      <c r="O8" s="21">
        <v>1800000000</v>
      </c>
      <c r="P8" s="21">
        <v>61981776780</v>
      </c>
      <c r="Q8" s="21"/>
      <c r="R8" s="21"/>
      <c r="S8" s="21">
        <v>61981776780</v>
      </c>
      <c r="T8" s="21">
        <v>59445829213</v>
      </c>
      <c r="U8" s="21">
        <v>63376942570</v>
      </c>
      <c r="V8" s="21">
        <v>39543174830</v>
      </c>
      <c r="W8" s="629">
        <v>19887136612</v>
      </c>
      <c r="X8" s="629">
        <v>36601316133</v>
      </c>
      <c r="Y8" s="629">
        <v>38686045636</v>
      </c>
      <c r="Z8" s="629">
        <v>19252520302</v>
      </c>
      <c r="AA8" s="21">
        <f>IFERROR(VLOOKUP(C8,'전사시산표(3단계)_1013'!$C:$L,10,0),0)</f>
        <v>44723163694</v>
      </c>
      <c r="AB8" s="21"/>
      <c r="AC8" s="21"/>
      <c r="AD8" s="21">
        <f t="shared" si="0"/>
        <v>44723163694</v>
      </c>
      <c r="AE8" s="21">
        <f t="shared" si="1"/>
        <v>8121847561</v>
      </c>
      <c r="AF8" s="38">
        <f t="shared" si="2"/>
        <v>0.22190042378496019</v>
      </c>
      <c r="AG8" s="630" t="b">
        <f t="shared" si="3"/>
        <v>1</v>
      </c>
    </row>
    <row r="9" spans="1:35">
      <c r="B9" s="1" t="s">
        <v>285</v>
      </c>
      <c r="C9" s="2">
        <v>154261</v>
      </c>
      <c r="D9" s="2" t="s">
        <v>598</v>
      </c>
      <c r="E9" s="3" t="s">
        <v>287</v>
      </c>
      <c r="F9" s="3" t="s">
        <v>283</v>
      </c>
      <c r="G9" s="30">
        <v>0</v>
      </c>
      <c r="H9" s="21">
        <v>55873145</v>
      </c>
      <c r="I9" s="21">
        <v>340804602</v>
      </c>
      <c r="J9" s="21">
        <v>387797419</v>
      </c>
      <c r="K9" s="21">
        <v>316892390</v>
      </c>
      <c r="L9" s="21">
        <v>334291747</v>
      </c>
      <c r="M9" s="21">
        <v>319322759</v>
      </c>
      <c r="N9" s="21">
        <v>330631406</v>
      </c>
      <c r="O9" s="21">
        <v>338890249</v>
      </c>
      <c r="P9" s="21">
        <v>364740619</v>
      </c>
      <c r="Q9" s="21"/>
      <c r="R9" s="21"/>
      <c r="S9" s="21">
        <v>364740619</v>
      </c>
      <c r="T9" s="517">
        <v>371672055</v>
      </c>
      <c r="U9" s="517">
        <v>466203718</v>
      </c>
      <c r="V9" s="517">
        <v>499909641</v>
      </c>
      <c r="W9" s="517">
        <v>599642426</v>
      </c>
      <c r="X9" s="517">
        <v>580071565</v>
      </c>
      <c r="Y9" s="517">
        <v>558678148</v>
      </c>
      <c r="Z9" s="517">
        <v>566108271</v>
      </c>
      <c r="AA9" s="517">
        <f>IFERROR(VLOOKUP(C9,'전사시산표(3단계)_1013'!$C:$L,10,0),0)</f>
        <v>618953422</v>
      </c>
      <c r="AB9" s="517"/>
      <c r="AC9" s="517"/>
      <c r="AD9" s="517">
        <f t="shared" si="0"/>
        <v>618953422</v>
      </c>
      <c r="AE9" s="21">
        <f t="shared" si="1"/>
        <v>38881857</v>
      </c>
      <c r="AF9" s="38">
        <f t="shared" si="2"/>
        <v>6.7029413862063722E-2</v>
      </c>
      <c r="AG9" s="630" t="b">
        <f t="shared" si="3"/>
        <v>1</v>
      </c>
    </row>
    <row r="10" spans="1:35">
      <c r="B10" s="1" t="s">
        <v>285</v>
      </c>
      <c r="C10" s="2">
        <v>154282</v>
      </c>
      <c r="D10" s="2" t="s">
        <v>598</v>
      </c>
      <c r="E10" s="3" t="s">
        <v>288</v>
      </c>
      <c r="F10" s="3" t="s">
        <v>283</v>
      </c>
      <c r="G10" s="30">
        <v>0</v>
      </c>
      <c r="H10" s="21">
        <v>188113</v>
      </c>
      <c r="I10" s="21">
        <v>214560507</v>
      </c>
      <c r="J10" s="21">
        <v>1843066590</v>
      </c>
      <c r="K10" s="21">
        <v>1175588182</v>
      </c>
      <c r="L10" s="21">
        <v>1310560845</v>
      </c>
      <c r="M10" s="21">
        <v>807581103</v>
      </c>
      <c r="N10" s="21">
        <v>1686088659</v>
      </c>
      <c r="O10" s="21">
        <v>2049074725</v>
      </c>
      <c r="P10" s="21">
        <v>3873994392</v>
      </c>
      <c r="Q10" s="21"/>
      <c r="R10" s="21"/>
      <c r="S10" s="21">
        <v>3873994392</v>
      </c>
      <c r="T10" s="517">
        <v>4357836076</v>
      </c>
      <c r="U10" s="517">
        <v>129795215</v>
      </c>
      <c r="V10" s="517">
        <v>98875386</v>
      </c>
      <c r="W10" s="517">
        <v>123268241</v>
      </c>
      <c r="X10" s="517">
        <v>110130877</v>
      </c>
      <c r="Y10" s="517">
        <v>50500233</v>
      </c>
      <c r="Z10" s="517">
        <v>1177421455</v>
      </c>
      <c r="AA10" s="517">
        <f>IFERROR(VLOOKUP(C10,'전사시산표(3단계)_1013'!$C:$L,10,0),0)</f>
        <v>2762035865</v>
      </c>
      <c r="AB10" s="517"/>
      <c r="AC10" s="517"/>
      <c r="AD10" s="517">
        <f t="shared" si="0"/>
        <v>2762035865</v>
      </c>
      <c r="AE10" s="21">
        <f t="shared" si="1"/>
        <v>2651904988</v>
      </c>
      <c r="AF10" s="38">
        <f t="shared" si="2"/>
        <v>24.079577501230649</v>
      </c>
      <c r="AG10" s="630" t="b">
        <f t="shared" si="3"/>
        <v>1</v>
      </c>
    </row>
    <row r="11" spans="1:35">
      <c r="B11" s="55" t="s">
        <v>276</v>
      </c>
      <c r="C11" s="56">
        <v>14000</v>
      </c>
      <c r="D11" s="56"/>
      <c r="E11" s="57" t="s">
        <v>239</v>
      </c>
      <c r="F11" s="57"/>
      <c r="G11" s="59">
        <f>SUM(G12:G14)</f>
        <v>20000000000</v>
      </c>
      <c r="H11" s="59">
        <f>SUM(H12:H14)</f>
        <v>31300000000</v>
      </c>
      <c r="I11" s="59">
        <v>451300000000</v>
      </c>
      <c r="J11" s="59">
        <v>321300000000</v>
      </c>
      <c r="K11" s="59">
        <v>322300000000</v>
      </c>
      <c r="L11" s="59">
        <v>292300000000</v>
      </c>
      <c r="M11" s="59">
        <v>312300000000</v>
      </c>
      <c r="N11" s="59">
        <v>302009453970</v>
      </c>
      <c r="O11" s="59">
        <v>299341243477</v>
      </c>
      <c r="P11" s="59">
        <v>297752466984</v>
      </c>
      <c r="Q11" s="59">
        <v>0</v>
      </c>
      <c r="R11" s="59">
        <v>0</v>
      </c>
      <c r="S11" s="61">
        <v>297752466984</v>
      </c>
      <c r="T11" s="61">
        <v>404777637172</v>
      </c>
      <c r="U11" s="59">
        <v>374074557677</v>
      </c>
      <c r="V11" s="59">
        <v>313954791471</v>
      </c>
      <c r="W11" s="59">
        <v>325867086225</v>
      </c>
      <c r="X11" s="59">
        <v>243622409706</v>
      </c>
      <c r="Y11" s="59">
        <v>197510308529</v>
      </c>
      <c r="Z11" s="59">
        <v>170289664224</v>
      </c>
      <c r="AA11" s="59">
        <f>SUM(AA12:AA15)</f>
        <v>103520760872</v>
      </c>
      <c r="AB11" s="59"/>
      <c r="AC11" s="59">
        <f>SUM(AC12:AC14)</f>
        <v>0</v>
      </c>
      <c r="AD11" s="61">
        <f>AA11+AB11-AC11</f>
        <v>103520760872</v>
      </c>
      <c r="AE11" s="61">
        <f t="shared" si="1"/>
        <v>-140101648834</v>
      </c>
      <c r="AF11" s="62">
        <f t="shared" si="2"/>
        <v>-0.57507701776315501</v>
      </c>
      <c r="AG11" s="630" t="b">
        <f t="shared" si="3"/>
        <v>1</v>
      </c>
    </row>
    <row r="12" spans="1:35" s="11" customFormat="1">
      <c r="A12" s="24"/>
      <c r="B12" s="1" t="s">
        <v>284</v>
      </c>
      <c r="C12" s="2">
        <v>146000</v>
      </c>
      <c r="D12" s="2" t="s">
        <v>599</v>
      </c>
      <c r="E12" s="3" t="s">
        <v>237</v>
      </c>
      <c r="F12" s="3" t="s">
        <v>239</v>
      </c>
      <c r="G12" s="30">
        <v>20000000000</v>
      </c>
      <c r="H12" s="21">
        <v>31300000000</v>
      </c>
      <c r="I12" s="21">
        <v>101300000000</v>
      </c>
      <c r="J12" s="21">
        <v>111300000000</v>
      </c>
      <c r="K12" s="21">
        <v>112300000000</v>
      </c>
      <c r="L12" s="21">
        <v>82300000000</v>
      </c>
      <c r="M12" s="21">
        <v>82300000000</v>
      </c>
      <c r="N12" s="21">
        <v>82300000000</v>
      </c>
      <c r="O12" s="21">
        <v>81300000000</v>
      </c>
      <c r="P12" s="21">
        <v>75000000000</v>
      </c>
      <c r="Q12" s="21"/>
      <c r="R12" s="21"/>
      <c r="S12" s="21">
        <v>75000000000</v>
      </c>
      <c r="T12" s="21">
        <v>60000000000</v>
      </c>
      <c r="U12" s="21">
        <v>60000000000</v>
      </c>
      <c r="V12" s="21">
        <v>60000000000</v>
      </c>
      <c r="W12" s="629">
        <v>57500000000</v>
      </c>
      <c r="X12" s="629">
        <v>37500000000</v>
      </c>
      <c r="Y12" s="629">
        <v>37500000000</v>
      </c>
      <c r="Z12" s="629">
        <v>37500000000</v>
      </c>
      <c r="AA12" s="21">
        <f>IFERROR(VLOOKUP(C12,'전사시산표(3단계)_1013'!$C:$L,10,0),0)</f>
        <v>35000000000</v>
      </c>
      <c r="AB12" s="22"/>
      <c r="AC12" s="21"/>
      <c r="AD12" s="21">
        <f t="shared" si="0"/>
        <v>35000000000</v>
      </c>
      <c r="AE12" s="21">
        <f t="shared" si="1"/>
        <v>-2500000000</v>
      </c>
      <c r="AF12" s="38">
        <f t="shared" si="2"/>
        <v>-6.6666666666666666E-2</v>
      </c>
      <c r="AG12" s="630" t="b">
        <f t="shared" si="3"/>
        <v>1</v>
      </c>
    </row>
    <row r="13" spans="1:35" s="11" customFormat="1">
      <c r="A13" s="24"/>
      <c r="B13" s="1" t="s">
        <v>284</v>
      </c>
      <c r="C13" s="5">
        <v>142400</v>
      </c>
      <c r="D13" s="5" t="s">
        <v>720</v>
      </c>
      <c r="E13" s="3" t="s">
        <v>238</v>
      </c>
      <c r="F13" s="3" t="s">
        <v>239</v>
      </c>
      <c r="G13" s="31"/>
      <c r="H13" s="22"/>
      <c r="I13" s="21">
        <v>0</v>
      </c>
      <c r="J13" s="21">
        <v>20000000000</v>
      </c>
      <c r="K13" s="21">
        <v>30000000000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2"/>
      <c r="R13" s="22"/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f>IFERROR(VLOOKUP(C13,'전사시산표(3단계)_1013'!$C:$L,10,0),0)</f>
        <v>0</v>
      </c>
      <c r="AB13" s="22"/>
      <c r="AC13" s="22"/>
      <c r="AD13" s="21">
        <f t="shared" si="0"/>
        <v>0</v>
      </c>
      <c r="AE13" s="21">
        <f t="shared" si="1"/>
        <v>0</v>
      </c>
      <c r="AF13" s="38" t="str">
        <f t="shared" si="2"/>
        <v/>
      </c>
      <c r="AG13" s="630" t="b">
        <f t="shared" si="3"/>
        <v>1</v>
      </c>
    </row>
    <row r="14" spans="1:35" s="11" customFormat="1">
      <c r="A14" s="24"/>
      <c r="B14" s="1" t="s">
        <v>284</v>
      </c>
      <c r="C14" s="5">
        <v>153000</v>
      </c>
      <c r="D14" s="5" t="s">
        <v>720</v>
      </c>
      <c r="E14" s="6" t="s">
        <v>677</v>
      </c>
      <c r="F14" s="3" t="s">
        <v>239</v>
      </c>
      <c r="G14" s="31">
        <v>0</v>
      </c>
      <c r="H14" s="22">
        <v>0</v>
      </c>
      <c r="I14" s="21">
        <v>350000000000</v>
      </c>
      <c r="J14" s="21">
        <v>190000000000</v>
      </c>
      <c r="K14" s="21">
        <v>180000000000</v>
      </c>
      <c r="L14" s="21">
        <v>210000000000</v>
      </c>
      <c r="M14" s="21">
        <v>230000000000</v>
      </c>
      <c r="N14" s="21">
        <v>219709453970</v>
      </c>
      <c r="O14" s="21">
        <v>218041243477</v>
      </c>
      <c r="P14" s="21">
        <v>222752466984</v>
      </c>
      <c r="Q14" s="22"/>
      <c r="R14" s="22"/>
      <c r="S14" s="21">
        <v>222752466984</v>
      </c>
      <c r="T14" s="21">
        <v>344777637172</v>
      </c>
      <c r="U14" s="21">
        <v>314074557677</v>
      </c>
      <c r="V14" s="21">
        <v>253954791471</v>
      </c>
      <c r="W14" s="21">
        <v>268367099381</v>
      </c>
      <c r="X14" s="21">
        <v>206122422862</v>
      </c>
      <c r="Y14" s="21">
        <v>160010315119</v>
      </c>
      <c r="Z14" s="21">
        <v>132789670814</v>
      </c>
      <c r="AA14" s="21">
        <f>IFERROR(VLOOKUP(C14,'전사시산표(3단계)_1013'!$C:$L,10,0),0)</f>
        <v>68520767462</v>
      </c>
      <c r="AB14" s="22"/>
      <c r="AC14" s="22"/>
      <c r="AD14" s="21">
        <f t="shared" si="0"/>
        <v>68520767462</v>
      </c>
      <c r="AE14" s="21">
        <f t="shared" si="1"/>
        <v>-137601655400</v>
      </c>
      <c r="AF14" s="38">
        <f t="shared" si="2"/>
        <v>-0.66757247217167148</v>
      </c>
      <c r="AG14" s="630" t="b">
        <f t="shared" si="3"/>
        <v>1</v>
      </c>
    </row>
    <row r="15" spans="1:35" s="11" customFormat="1">
      <c r="A15" s="24"/>
      <c r="B15" s="7" t="s">
        <v>291</v>
      </c>
      <c r="C15" s="5">
        <v>154290</v>
      </c>
      <c r="D15" s="5"/>
      <c r="E15" s="6" t="s">
        <v>1320</v>
      </c>
      <c r="F15" s="6" t="s">
        <v>1357</v>
      </c>
      <c r="G15" s="3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1"/>
      <c r="T15" s="21"/>
      <c r="U15" s="22"/>
      <c r="V15" s="22">
        <v>0</v>
      </c>
      <c r="W15" s="22">
        <v>-13156</v>
      </c>
      <c r="X15" s="22">
        <v>-13156</v>
      </c>
      <c r="Y15" s="22">
        <v>-6590</v>
      </c>
      <c r="Z15" s="22">
        <v>-6590</v>
      </c>
      <c r="AA15" s="22">
        <f>IFERROR(VLOOKUP(C15,'전사시산표(3단계)_1013'!$C:$L,10,0),0)</f>
        <v>-6590</v>
      </c>
      <c r="AB15" s="22"/>
      <c r="AC15" s="22"/>
      <c r="AD15" s="21">
        <f t="shared" ref="AD15" si="4">AA15+AB15-AC15</f>
        <v>-6590</v>
      </c>
      <c r="AE15" s="21">
        <f t="shared" si="1"/>
        <v>6566</v>
      </c>
      <c r="AF15" s="38">
        <f t="shared" si="2"/>
        <v>-0.49908786865308602</v>
      </c>
      <c r="AG15" s="630" t="b">
        <f t="shared" si="3"/>
        <v>1</v>
      </c>
    </row>
    <row r="16" spans="1:35">
      <c r="B16" s="55" t="s">
        <v>276</v>
      </c>
      <c r="C16" s="56"/>
      <c r="D16" s="56"/>
      <c r="E16" s="57" t="s">
        <v>771</v>
      </c>
      <c r="F16" s="57"/>
      <c r="G16" s="59">
        <f>G17</f>
        <v>0</v>
      </c>
      <c r="H16" s="59">
        <f>SUM(H17:H20)</f>
        <v>8517455796</v>
      </c>
      <c r="I16" s="59">
        <f>I17</f>
        <v>0</v>
      </c>
      <c r="J16" s="59">
        <v>20116679451</v>
      </c>
      <c r="K16" s="59">
        <v>12064372603</v>
      </c>
      <c r="L16" s="59">
        <v>12059020274</v>
      </c>
      <c r="M16" s="59">
        <v>0</v>
      </c>
      <c r="N16" s="59">
        <v>10005753425</v>
      </c>
      <c r="O16" s="59">
        <v>8021567123</v>
      </c>
      <c r="P16" s="59">
        <v>0</v>
      </c>
      <c r="Q16" s="59">
        <v>0</v>
      </c>
      <c r="R16" s="59">
        <v>0</v>
      </c>
      <c r="S16" s="61">
        <v>0</v>
      </c>
      <c r="T16" s="61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f>AA17</f>
        <v>0</v>
      </c>
      <c r="AB16" s="59">
        <f>AB17</f>
        <v>0</v>
      </c>
      <c r="AC16" s="59">
        <f t="shared" ref="AC16:AD18" si="5">AC17</f>
        <v>0</v>
      </c>
      <c r="AD16" s="61">
        <f t="shared" si="5"/>
        <v>0</v>
      </c>
      <c r="AE16" s="61">
        <f t="shared" si="1"/>
        <v>0</v>
      </c>
      <c r="AF16" s="62" t="str">
        <f t="shared" si="2"/>
        <v/>
      </c>
      <c r="AG16" s="630" t="b">
        <f t="shared" si="3"/>
        <v>1</v>
      </c>
    </row>
    <row r="17" spans="1:33">
      <c r="B17" s="7" t="s">
        <v>822</v>
      </c>
      <c r="C17" s="5">
        <v>194300</v>
      </c>
      <c r="D17" s="5" t="s">
        <v>911</v>
      </c>
      <c r="E17" s="6" t="s">
        <v>772</v>
      </c>
      <c r="F17" s="6" t="s">
        <v>823</v>
      </c>
      <c r="G17" s="31">
        <v>0</v>
      </c>
      <c r="H17" s="22">
        <v>0</v>
      </c>
      <c r="I17" s="22">
        <v>0</v>
      </c>
      <c r="J17" s="22">
        <v>20116679451</v>
      </c>
      <c r="K17" s="21">
        <v>12064372603</v>
      </c>
      <c r="L17" s="21">
        <v>12059020274</v>
      </c>
      <c r="M17" s="21">
        <v>0</v>
      </c>
      <c r="N17" s="21">
        <v>10005753425</v>
      </c>
      <c r="O17" s="21">
        <v>8021567123</v>
      </c>
      <c r="P17" s="21">
        <v>0</v>
      </c>
      <c r="Q17" s="22"/>
      <c r="R17" s="22"/>
      <c r="S17" s="21">
        <v>0</v>
      </c>
      <c r="T17" s="517">
        <v>0</v>
      </c>
      <c r="U17" s="517">
        <v>0</v>
      </c>
      <c r="V17" s="517">
        <v>0</v>
      </c>
      <c r="W17" s="517">
        <v>0</v>
      </c>
      <c r="X17" s="517">
        <v>0</v>
      </c>
      <c r="Y17" s="517">
        <v>0</v>
      </c>
      <c r="Z17" s="517">
        <v>0</v>
      </c>
      <c r="AA17" s="517">
        <f>IFERROR(VLOOKUP(C17,'전사시산표(3단계)_1013'!$C:$L,10,0),0)</f>
        <v>0</v>
      </c>
      <c r="AB17" s="519"/>
      <c r="AC17" s="519"/>
      <c r="AD17" s="517">
        <f>AA17+AB17-AC17</f>
        <v>0</v>
      </c>
      <c r="AE17" s="21">
        <f t="shared" si="1"/>
        <v>0</v>
      </c>
      <c r="AF17" s="38" t="str">
        <f t="shared" si="2"/>
        <v/>
      </c>
      <c r="AG17" s="630" t="b">
        <f t="shared" si="3"/>
        <v>1</v>
      </c>
    </row>
    <row r="18" spans="1:33">
      <c r="B18" s="55" t="s">
        <v>276</v>
      </c>
      <c r="C18" s="56"/>
      <c r="D18" s="56"/>
      <c r="E18" s="57" t="s">
        <v>1171</v>
      </c>
      <c r="F18" s="57"/>
      <c r="G18" s="59">
        <f>G19</f>
        <v>0</v>
      </c>
      <c r="H18" s="59">
        <f>SUM(H19:H22)</f>
        <v>5678303864</v>
      </c>
      <c r="I18" s="59">
        <f>I19</f>
        <v>0</v>
      </c>
      <c r="J18" s="59">
        <v>20116679451</v>
      </c>
      <c r="K18" s="59">
        <v>12064372603</v>
      </c>
      <c r="L18" s="59">
        <v>12059020274</v>
      </c>
      <c r="M18" s="59">
        <v>0</v>
      </c>
      <c r="N18" s="59">
        <v>10005753425</v>
      </c>
      <c r="O18" s="59">
        <v>14695590442</v>
      </c>
      <c r="P18" s="59">
        <v>14695590442</v>
      </c>
      <c r="Q18" s="59">
        <v>0</v>
      </c>
      <c r="R18" s="59">
        <v>0</v>
      </c>
      <c r="S18" s="61">
        <v>14695590442</v>
      </c>
      <c r="T18" s="61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f>AA19</f>
        <v>0</v>
      </c>
      <c r="AB18" s="59">
        <f>AB19</f>
        <v>0</v>
      </c>
      <c r="AC18" s="59">
        <f t="shared" si="5"/>
        <v>0</v>
      </c>
      <c r="AD18" s="61">
        <f t="shared" si="5"/>
        <v>0</v>
      </c>
      <c r="AE18" s="61">
        <f t="shared" si="1"/>
        <v>0</v>
      </c>
      <c r="AF18" s="62" t="str">
        <f t="shared" si="2"/>
        <v/>
      </c>
      <c r="AG18" s="630" t="b">
        <f t="shared" si="3"/>
        <v>1</v>
      </c>
    </row>
    <row r="19" spans="1:33">
      <c r="B19" s="7"/>
      <c r="C19" s="5">
        <v>228140</v>
      </c>
      <c r="D19" s="5">
        <v>2295</v>
      </c>
      <c r="E19" s="6" t="s">
        <v>1172</v>
      </c>
      <c r="F19" s="6" t="s">
        <v>1164</v>
      </c>
      <c r="G19" s="31"/>
      <c r="H19" s="22"/>
      <c r="I19" s="22"/>
      <c r="J19" s="22"/>
      <c r="K19" s="22"/>
      <c r="L19" s="22"/>
      <c r="M19" s="22"/>
      <c r="N19" s="22"/>
      <c r="O19" s="22">
        <v>14695590442</v>
      </c>
      <c r="P19" s="21">
        <v>14695590442</v>
      </c>
      <c r="Q19" s="22"/>
      <c r="R19" s="22"/>
      <c r="S19" s="21">
        <v>14695590442</v>
      </c>
      <c r="T19" s="517">
        <v>0</v>
      </c>
      <c r="U19" s="517">
        <v>0</v>
      </c>
      <c r="V19" s="517">
        <v>0</v>
      </c>
      <c r="W19" s="517">
        <v>0</v>
      </c>
      <c r="X19" s="517">
        <v>0</v>
      </c>
      <c r="Y19" s="517">
        <v>0</v>
      </c>
      <c r="Z19" s="517">
        <v>0</v>
      </c>
      <c r="AA19" s="517">
        <f>IFERROR(VLOOKUP(C19,'전사시산표(3단계)_1013'!$C:$L,10,0),0)</f>
        <v>0</v>
      </c>
      <c r="AB19" s="519"/>
      <c r="AC19" s="519"/>
      <c r="AD19" s="517">
        <f t="shared" ref="AD19:AD56" si="6">AA19+AB19-AC19</f>
        <v>0</v>
      </c>
      <c r="AE19" s="21">
        <f t="shared" si="1"/>
        <v>0</v>
      </c>
      <c r="AF19" s="38" t="str">
        <f t="shared" si="2"/>
        <v/>
      </c>
      <c r="AG19" s="630" t="b">
        <f t="shared" si="3"/>
        <v>1</v>
      </c>
    </row>
    <row r="20" spans="1:33">
      <c r="B20" s="55" t="s">
        <v>276</v>
      </c>
      <c r="C20" s="56">
        <v>22010</v>
      </c>
      <c r="D20" s="56"/>
      <c r="E20" s="57" t="s">
        <v>218</v>
      </c>
      <c r="F20" s="57"/>
      <c r="G20" s="59">
        <f>SUM(G21:G24)</f>
        <v>3216023185</v>
      </c>
      <c r="H20" s="59">
        <f>SUM(H21:H24)</f>
        <v>2839151932</v>
      </c>
      <c r="I20" s="59">
        <v>1478945124</v>
      </c>
      <c r="J20" s="59">
        <v>1160892216</v>
      </c>
      <c r="K20" s="59">
        <v>1883473387</v>
      </c>
      <c r="L20" s="59">
        <v>2166810040</v>
      </c>
      <c r="M20" s="59">
        <v>1840209616</v>
      </c>
      <c r="N20" s="59">
        <v>2938771402</v>
      </c>
      <c r="O20" s="59">
        <v>1811847929</v>
      </c>
      <c r="P20" s="59">
        <v>3143701782</v>
      </c>
      <c r="Q20" s="59">
        <v>0</v>
      </c>
      <c r="R20" s="59">
        <v>0</v>
      </c>
      <c r="S20" s="61">
        <v>3143701782</v>
      </c>
      <c r="T20" s="61">
        <v>1528705615</v>
      </c>
      <c r="U20" s="59">
        <v>1371589376</v>
      </c>
      <c r="V20" s="59">
        <v>2023635004</v>
      </c>
      <c r="W20" s="59">
        <v>1216896679</v>
      </c>
      <c r="X20" s="59">
        <v>1252219293</v>
      </c>
      <c r="Y20" s="59">
        <v>1265511373</v>
      </c>
      <c r="Z20" s="59">
        <v>2452223421</v>
      </c>
      <c r="AA20" s="59">
        <f>SUM(AA21:AA24)</f>
        <v>44640410090</v>
      </c>
      <c r="AB20" s="59">
        <f>SUM(AB21:AB24)</f>
        <v>0</v>
      </c>
      <c r="AC20" s="59">
        <f>SUM(AC21:AC24)</f>
        <v>0</v>
      </c>
      <c r="AD20" s="61">
        <f t="shared" si="6"/>
        <v>44640410090</v>
      </c>
      <c r="AE20" s="61">
        <f t="shared" si="1"/>
        <v>43388190797</v>
      </c>
      <c r="AF20" s="62">
        <f t="shared" si="2"/>
        <v>34.649035547961326</v>
      </c>
      <c r="AG20" s="630" t="b">
        <f t="shared" si="3"/>
        <v>1</v>
      </c>
    </row>
    <row r="21" spans="1:33">
      <c r="B21" s="1" t="s">
        <v>285</v>
      </c>
      <c r="C21" s="2">
        <v>220100</v>
      </c>
      <c r="D21" s="2" t="s">
        <v>600</v>
      </c>
      <c r="E21" s="3" t="s">
        <v>217</v>
      </c>
      <c r="F21" s="3" t="s">
        <v>218</v>
      </c>
      <c r="G21" s="30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>
        <v>0</v>
      </c>
      <c r="T21" s="517">
        <v>0</v>
      </c>
      <c r="U21" s="517">
        <v>0</v>
      </c>
      <c r="V21" s="517">
        <v>0</v>
      </c>
      <c r="W21" s="517">
        <v>0</v>
      </c>
      <c r="X21" s="517">
        <v>0</v>
      </c>
      <c r="Y21" s="517">
        <v>0</v>
      </c>
      <c r="Z21" s="517">
        <v>0</v>
      </c>
      <c r="AA21" s="517">
        <f>IFERROR(VLOOKUP(C21,'전사시산표(3단계)_1013'!$C:$L,10,0),0)</f>
        <v>0</v>
      </c>
      <c r="AB21" s="517"/>
      <c r="AC21" s="517"/>
      <c r="AD21" s="517">
        <f t="shared" si="6"/>
        <v>0</v>
      </c>
      <c r="AE21" s="21">
        <f t="shared" si="1"/>
        <v>0</v>
      </c>
      <c r="AF21" s="38" t="str">
        <f t="shared" si="2"/>
        <v/>
      </c>
      <c r="AG21" s="630" t="b">
        <f t="shared" si="3"/>
        <v>1</v>
      </c>
    </row>
    <row r="22" spans="1:33">
      <c r="B22" s="1" t="s">
        <v>285</v>
      </c>
      <c r="C22" s="2">
        <v>220105</v>
      </c>
      <c r="D22" s="2" t="s">
        <v>600</v>
      </c>
      <c r="E22" s="3" t="s">
        <v>216</v>
      </c>
      <c r="F22" s="3" t="s">
        <v>218</v>
      </c>
      <c r="G22" s="30">
        <v>3216023185</v>
      </c>
      <c r="H22" s="21">
        <v>2839151932</v>
      </c>
      <c r="I22" s="21">
        <v>2357409724</v>
      </c>
      <c r="J22" s="21">
        <v>2039356816</v>
      </c>
      <c r="K22" s="21">
        <v>2761937987</v>
      </c>
      <c r="L22" s="21">
        <v>3045274640</v>
      </c>
      <c r="M22" s="21">
        <v>2742156389</v>
      </c>
      <c r="N22" s="21">
        <v>3840718175</v>
      </c>
      <c r="O22" s="21">
        <v>2713794702</v>
      </c>
      <c r="P22" s="21">
        <v>4045648555</v>
      </c>
      <c r="Q22" s="21"/>
      <c r="R22" s="21"/>
      <c r="S22" s="21">
        <v>4045648555</v>
      </c>
      <c r="T22" s="517">
        <v>2430652388</v>
      </c>
      <c r="U22" s="517">
        <v>2273536149</v>
      </c>
      <c r="V22" s="517">
        <v>2925581777</v>
      </c>
      <c r="W22" s="517">
        <v>2118843452</v>
      </c>
      <c r="X22" s="517">
        <v>2154166066</v>
      </c>
      <c r="Y22" s="517">
        <v>2167458146</v>
      </c>
      <c r="Z22" s="517">
        <v>3354170194</v>
      </c>
      <c r="AA22" s="517">
        <f>IFERROR(VLOOKUP(C22,'전사시산표(3단계)_1013'!$C:$L,10,0),0)</f>
        <v>45542356863</v>
      </c>
      <c r="AB22" s="517"/>
      <c r="AC22" s="517"/>
      <c r="AD22" s="517">
        <f t="shared" si="6"/>
        <v>45542356863</v>
      </c>
      <c r="AE22" s="21">
        <f t="shared" si="1"/>
        <v>43388190797</v>
      </c>
      <c r="AF22" s="38">
        <f t="shared" si="2"/>
        <v>20.141525522016092</v>
      </c>
      <c r="AG22" s="630" t="b">
        <f t="shared" si="3"/>
        <v>1</v>
      </c>
    </row>
    <row r="23" spans="1:33">
      <c r="B23" s="1" t="s">
        <v>285</v>
      </c>
      <c r="C23" s="2">
        <v>220190</v>
      </c>
      <c r="D23" s="2" t="s">
        <v>722</v>
      </c>
      <c r="E23" s="3" t="s">
        <v>646</v>
      </c>
      <c r="F23" s="3" t="s">
        <v>218</v>
      </c>
      <c r="G23" s="30">
        <v>0</v>
      </c>
      <c r="H23" s="21">
        <v>0</v>
      </c>
      <c r="I23" s="21">
        <v>-878464600</v>
      </c>
      <c r="J23" s="21">
        <v>-878464600</v>
      </c>
      <c r="K23" s="21">
        <v>-878464600</v>
      </c>
      <c r="L23" s="21">
        <v>-878464600</v>
      </c>
      <c r="M23" s="21">
        <v>-901946773</v>
      </c>
      <c r="N23" s="21">
        <v>-901946773</v>
      </c>
      <c r="O23" s="21">
        <v>-901946773</v>
      </c>
      <c r="P23" s="21">
        <v>-901946773</v>
      </c>
      <c r="Q23" s="21"/>
      <c r="R23" s="21"/>
      <c r="S23" s="21">
        <v>-901946773</v>
      </c>
      <c r="T23" s="517">
        <v>-901946773</v>
      </c>
      <c r="U23" s="517">
        <v>-901946773</v>
      </c>
      <c r="V23" s="517">
        <v>-901946773</v>
      </c>
      <c r="W23" s="517">
        <v>-901946773</v>
      </c>
      <c r="X23" s="517">
        <v>-901946773</v>
      </c>
      <c r="Y23" s="517">
        <v>-901946773</v>
      </c>
      <c r="Z23" s="517">
        <v>-901946773</v>
      </c>
      <c r="AA23" s="517">
        <f>IFERROR(VLOOKUP(C23,'전사시산표(3단계)_1013'!$C:$L,10,0),0)</f>
        <v>-901946773</v>
      </c>
      <c r="AB23" s="517"/>
      <c r="AC23" s="517"/>
      <c r="AD23" s="517">
        <f t="shared" si="6"/>
        <v>-901946773</v>
      </c>
      <c r="AE23" s="21">
        <f t="shared" si="1"/>
        <v>0</v>
      </c>
      <c r="AF23" s="38">
        <f t="shared" si="2"/>
        <v>0</v>
      </c>
      <c r="AG23" s="630" t="b">
        <f t="shared" si="3"/>
        <v>1</v>
      </c>
    </row>
    <row r="24" spans="1:33">
      <c r="B24" s="1" t="s">
        <v>285</v>
      </c>
      <c r="C24" s="2">
        <v>970409</v>
      </c>
      <c r="D24" s="2" t="s">
        <v>600</v>
      </c>
      <c r="E24" s="3" t="s">
        <v>661</v>
      </c>
      <c r="F24" s="3" t="s">
        <v>218</v>
      </c>
      <c r="G24" s="30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/>
      <c r="R24" s="21"/>
      <c r="S24" s="21">
        <v>0</v>
      </c>
      <c r="T24" s="517">
        <v>0</v>
      </c>
      <c r="U24" s="517">
        <v>0</v>
      </c>
      <c r="V24" s="517">
        <v>0</v>
      </c>
      <c r="W24" s="517">
        <v>0</v>
      </c>
      <c r="X24" s="517">
        <v>0</v>
      </c>
      <c r="Y24" s="517">
        <v>0</v>
      </c>
      <c r="Z24" s="517">
        <v>0</v>
      </c>
      <c r="AA24" s="517">
        <f>IFERROR(VLOOKUP(C24,'전사시산표(3단계)_1013'!$C:$L,10,0),0)</f>
        <v>0</v>
      </c>
      <c r="AB24" s="517"/>
      <c r="AC24" s="517"/>
      <c r="AD24" s="517">
        <f t="shared" si="6"/>
        <v>0</v>
      </c>
      <c r="AE24" s="21">
        <f t="shared" si="1"/>
        <v>0</v>
      </c>
      <c r="AF24" s="38" t="str">
        <f t="shared" si="2"/>
        <v/>
      </c>
      <c r="AG24" s="630" t="b">
        <f t="shared" si="3"/>
        <v>1</v>
      </c>
    </row>
    <row r="25" spans="1:33">
      <c r="B25" s="55" t="s">
        <v>276</v>
      </c>
      <c r="C25" s="56">
        <v>22100</v>
      </c>
      <c r="D25" s="56"/>
      <c r="E25" s="57" t="s">
        <v>215</v>
      </c>
      <c r="F25" s="57"/>
      <c r="G25" s="59">
        <f>SUM(G26:G32)</f>
        <v>1234136350</v>
      </c>
      <c r="H25" s="59">
        <f>SUM(H26:H32)</f>
        <v>1206900745</v>
      </c>
      <c r="I25" s="59">
        <v>940643658</v>
      </c>
      <c r="J25" s="59">
        <v>526989643</v>
      </c>
      <c r="K25" s="59">
        <v>1888197550</v>
      </c>
      <c r="L25" s="59">
        <v>1283917852</v>
      </c>
      <c r="M25" s="59">
        <v>1112596870</v>
      </c>
      <c r="N25" s="59">
        <v>3380343057</v>
      </c>
      <c r="O25" s="59">
        <v>2351762402</v>
      </c>
      <c r="P25" s="59">
        <v>1731441228</v>
      </c>
      <c r="Q25" s="59">
        <v>0</v>
      </c>
      <c r="R25" s="59">
        <v>0</v>
      </c>
      <c r="S25" s="61">
        <v>1731441228</v>
      </c>
      <c r="T25" s="61">
        <v>1386883238</v>
      </c>
      <c r="U25" s="59">
        <v>1347535686</v>
      </c>
      <c r="V25" s="59">
        <v>1613237014</v>
      </c>
      <c r="W25" s="59">
        <v>1351601048</v>
      </c>
      <c r="X25" s="59">
        <v>1829322541</v>
      </c>
      <c r="Y25" s="59">
        <v>1782658862</v>
      </c>
      <c r="Z25" s="59">
        <v>1714171230</v>
      </c>
      <c r="AA25" s="59">
        <f>SUM(AA26:AA32)</f>
        <v>5204857738</v>
      </c>
      <c r="AB25" s="59">
        <f>SUM(AB26:AB32)</f>
        <v>0</v>
      </c>
      <c r="AC25" s="59">
        <f>SUM(AC26:AC32)</f>
        <v>0</v>
      </c>
      <c r="AD25" s="61">
        <f t="shared" si="6"/>
        <v>5204857738</v>
      </c>
      <c r="AE25" s="61">
        <f t="shared" si="1"/>
        <v>3375535197</v>
      </c>
      <c r="AF25" s="62">
        <f t="shared" si="2"/>
        <v>1.8452378524537079</v>
      </c>
      <c r="AG25" s="630" t="b">
        <f t="shared" si="3"/>
        <v>1</v>
      </c>
    </row>
    <row r="26" spans="1:33">
      <c r="B26" s="1" t="s">
        <v>285</v>
      </c>
      <c r="C26" s="2">
        <v>221100</v>
      </c>
      <c r="D26" s="2" t="s">
        <v>601</v>
      </c>
      <c r="E26" s="3" t="s">
        <v>214</v>
      </c>
      <c r="F26" s="3" t="s">
        <v>215</v>
      </c>
      <c r="G26" s="30">
        <v>29573263</v>
      </c>
      <c r="H26" s="21">
        <v>55274005</v>
      </c>
      <c r="I26" s="21">
        <v>13831540</v>
      </c>
      <c r="J26" s="21">
        <v>2286359</v>
      </c>
      <c r="K26" s="21">
        <v>27598398</v>
      </c>
      <c r="L26" s="21">
        <v>7278198</v>
      </c>
      <c r="M26" s="21">
        <v>3709818</v>
      </c>
      <c r="N26" s="21">
        <v>180225</v>
      </c>
      <c r="O26" s="21">
        <v>20160707</v>
      </c>
      <c r="P26" s="21">
        <v>13485943</v>
      </c>
      <c r="Q26" s="21"/>
      <c r="R26" s="21"/>
      <c r="S26" s="21">
        <v>13485943</v>
      </c>
      <c r="T26" s="517">
        <v>6811179</v>
      </c>
      <c r="U26" s="517">
        <v>281518</v>
      </c>
      <c r="V26" s="517">
        <v>63865</v>
      </c>
      <c r="W26" s="517">
        <v>63865</v>
      </c>
      <c r="X26" s="517">
        <v>63865</v>
      </c>
      <c r="Y26" s="517">
        <v>63865</v>
      </c>
      <c r="Z26" s="517">
        <v>63865</v>
      </c>
      <c r="AA26" s="517">
        <f>IFERROR(VLOOKUP(C26,'전사시산표(3단계)_1013'!$C:$L,10,0),0)</f>
        <v>63865</v>
      </c>
      <c r="AB26" s="517"/>
      <c r="AC26" s="517"/>
      <c r="AD26" s="517">
        <f t="shared" si="6"/>
        <v>63865</v>
      </c>
      <c r="AE26" s="21">
        <f t="shared" si="1"/>
        <v>0</v>
      </c>
      <c r="AF26" s="38">
        <f t="shared" si="2"/>
        <v>0</v>
      </c>
      <c r="AG26" s="630" t="b">
        <f t="shared" si="3"/>
        <v>1</v>
      </c>
    </row>
    <row r="27" spans="1:33">
      <c r="B27" s="1" t="s">
        <v>285</v>
      </c>
      <c r="C27" s="2">
        <v>221110</v>
      </c>
      <c r="D27" s="2" t="s">
        <v>601</v>
      </c>
      <c r="E27" s="3" t="s">
        <v>213</v>
      </c>
      <c r="F27" s="3" t="s">
        <v>215</v>
      </c>
      <c r="G27" s="30">
        <v>21520825</v>
      </c>
      <c r="H27" s="21">
        <v>39683751</v>
      </c>
      <c r="I27" s="21">
        <v>7865367</v>
      </c>
      <c r="J27" s="21">
        <v>31660854</v>
      </c>
      <c r="K27" s="21">
        <v>37046960</v>
      </c>
      <c r="L27" s="21">
        <v>31347512</v>
      </c>
      <c r="M27" s="21">
        <v>14965989</v>
      </c>
      <c r="N27" s="21">
        <v>34590660</v>
      </c>
      <c r="O27" s="21">
        <v>42371514</v>
      </c>
      <c r="P27" s="21">
        <v>27739040</v>
      </c>
      <c r="Q27" s="21"/>
      <c r="R27" s="21"/>
      <c r="S27" s="21">
        <v>27739040</v>
      </c>
      <c r="T27" s="517">
        <v>22353055</v>
      </c>
      <c r="U27" s="517">
        <v>184923487</v>
      </c>
      <c r="V27" s="517">
        <v>153237477</v>
      </c>
      <c r="W27" s="517">
        <v>100583833</v>
      </c>
      <c r="X27" s="517">
        <v>42497416</v>
      </c>
      <c r="Y27" s="517">
        <v>51787794</v>
      </c>
      <c r="Z27" s="517">
        <v>214485298</v>
      </c>
      <c r="AA27" s="517">
        <f>IFERROR(VLOOKUP(C27,'전사시산표(3단계)_1013'!$C:$L,10,0),0)</f>
        <v>182042072</v>
      </c>
      <c r="AB27" s="517"/>
      <c r="AC27" s="517"/>
      <c r="AD27" s="517">
        <f t="shared" si="6"/>
        <v>182042072</v>
      </c>
      <c r="AE27" s="21">
        <f t="shared" si="1"/>
        <v>139544656</v>
      </c>
      <c r="AF27" s="38">
        <f t="shared" si="2"/>
        <v>3.2836033136697065</v>
      </c>
      <c r="AG27" s="630" t="b">
        <f t="shared" si="3"/>
        <v>1</v>
      </c>
    </row>
    <row r="28" spans="1:33">
      <c r="B28" s="1" t="s">
        <v>285</v>
      </c>
      <c r="C28" s="2">
        <v>221330</v>
      </c>
      <c r="D28" s="2" t="s">
        <v>610</v>
      </c>
      <c r="E28" s="3" t="s">
        <v>212</v>
      </c>
      <c r="F28" s="3" t="s">
        <v>215</v>
      </c>
      <c r="G28" s="30">
        <v>839752445</v>
      </c>
      <c r="H28" s="21">
        <v>686947723</v>
      </c>
      <c r="I28" s="21">
        <v>589750732</v>
      </c>
      <c r="J28" s="21">
        <v>406240311</v>
      </c>
      <c r="K28" s="21">
        <v>1704461210</v>
      </c>
      <c r="L28" s="21">
        <v>814471519</v>
      </c>
      <c r="M28" s="21">
        <v>778917180</v>
      </c>
      <c r="N28" s="21">
        <v>640448435</v>
      </c>
      <c r="O28" s="21">
        <v>413019425</v>
      </c>
      <c r="P28" s="21">
        <v>361118577</v>
      </c>
      <c r="Q28" s="21"/>
      <c r="R28" s="21"/>
      <c r="S28" s="21">
        <v>361118577</v>
      </c>
      <c r="T28" s="517">
        <v>937927099</v>
      </c>
      <c r="U28" s="517">
        <v>826882663</v>
      </c>
      <c r="V28" s="517">
        <v>549634769</v>
      </c>
      <c r="W28" s="517">
        <v>306074035</v>
      </c>
      <c r="X28" s="517">
        <v>1258575160</v>
      </c>
      <c r="Y28" s="517">
        <v>1452971060</v>
      </c>
      <c r="Z28" s="517">
        <v>1074805262</v>
      </c>
      <c r="AA28" s="517">
        <f>IFERROR(VLOOKUP(C28,'전사시산표(3단계)_1013'!$C:$L,10,0),0)</f>
        <v>821626476</v>
      </c>
      <c r="AB28" s="517"/>
      <c r="AC28" s="517"/>
      <c r="AD28" s="517">
        <f t="shared" si="6"/>
        <v>821626476</v>
      </c>
      <c r="AE28" s="21">
        <f t="shared" si="1"/>
        <v>-436948684</v>
      </c>
      <c r="AF28" s="38">
        <f t="shared" si="2"/>
        <v>-0.34717726671166782</v>
      </c>
      <c r="AG28" s="630" t="b">
        <f t="shared" si="3"/>
        <v>1</v>
      </c>
    </row>
    <row r="29" spans="1:33" s="747" customFormat="1">
      <c r="A29" s="23"/>
      <c r="B29" s="1" t="s">
        <v>285</v>
      </c>
      <c r="C29" s="2">
        <v>221350</v>
      </c>
      <c r="D29" s="2" t="s">
        <v>610</v>
      </c>
      <c r="E29" s="3" t="s">
        <v>1595</v>
      </c>
      <c r="F29" s="3" t="s">
        <v>215</v>
      </c>
      <c r="G29" s="3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517"/>
      <c r="U29" s="517"/>
      <c r="V29" s="517"/>
      <c r="W29" s="517"/>
      <c r="X29" s="517"/>
      <c r="Y29" s="517"/>
      <c r="Z29" s="517"/>
      <c r="AA29" s="517">
        <f>IFERROR(VLOOKUP(C29,'전사시산표(3단계)_1013'!$C:$L,10,0),0)</f>
        <v>2775552322</v>
      </c>
      <c r="AB29" s="517"/>
      <c r="AC29" s="517"/>
      <c r="AD29" s="517">
        <f t="shared" ref="AD29" si="7">AA29+AB29-AC29</f>
        <v>2775552322</v>
      </c>
      <c r="AE29" s="21">
        <f t="shared" ref="AE29" si="8">AD29-X29</f>
        <v>2775552322</v>
      </c>
      <c r="AF29" s="38" t="str">
        <f t="shared" si="2"/>
        <v/>
      </c>
      <c r="AG29" s="747" t="b">
        <f t="shared" si="3"/>
        <v>1</v>
      </c>
    </row>
    <row r="30" spans="1:33">
      <c r="B30" s="1" t="s">
        <v>285</v>
      </c>
      <c r="C30" s="2">
        <v>221900</v>
      </c>
      <c r="D30" s="2" t="s">
        <v>610</v>
      </c>
      <c r="E30" s="3" t="s">
        <v>211</v>
      </c>
      <c r="F30" s="3" t="s">
        <v>215</v>
      </c>
      <c r="G30" s="30">
        <v>144986302</v>
      </c>
      <c r="H30" s="21">
        <v>272712330</v>
      </c>
      <c r="I30" s="21">
        <v>219780822</v>
      </c>
      <c r="J30" s="21">
        <v>23013697</v>
      </c>
      <c r="K30" s="21">
        <v>101436302</v>
      </c>
      <c r="L30" s="21">
        <v>121696412</v>
      </c>
      <c r="M30" s="21">
        <v>100397801</v>
      </c>
      <c r="N30" s="21">
        <v>320790662</v>
      </c>
      <c r="O30" s="21">
        <v>305408543</v>
      </c>
      <c r="P30" s="21">
        <v>267497198</v>
      </c>
      <c r="Q30" s="21"/>
      <c r="R30" s="21"/>
      <c r="S30" s="21">
        <v>267497198</v>
      </c>
      <c r="T30" s="517">
        <v>189286938</v>
      </c>
      <c r="U30" s="517">
        <v>172908641</v>
      </c>
      <c r="V30" s="517">
        <v>879517111</v>
      </c>
      <c r="W30" s="517">
        <v>549853239</v>
      </c>
      <c r="X30" s="517">
        <v>277776686</v>
      </c>
      <c r="Y30" s="517">
        <v>26730496</v>
      </c>
      <c r="Z30" s="517">
        <v>331752400</v>
      </c>
      <c r="AA30" s="517">
        <f>IFERROR(VLOOKUP(C30,'전사시산표(3단계)_1013'!$C:$L,10,0),0)</f>
        <v>156965659</v>
      </c>
      <c r="AB30" s="517"/>
      <c r="AC30" s="517"/>
      <c r="AD30" s="517">
        <f t="shared" si="6"/>
        <v>156965659</v>
      </c>
      <c r="AE30" s="21">
        <f t="shared" si="1"/>
        <v>-120811027</v>
      </c>
      <c r="AF30" s="38">
        <f t="shared" si="2"/>
        <v>-0.43492140661509654</v>
      </c>
      <c r="AG30" s="630" t="b">
        <f t="shared" si="3"/>
        <v>1</v>
      </c>
    </row>
    <row r="31" spans="1:33">
      <c r="B31" s="1" t="s">
        <v>285</v>
      </c>
      <c r="C31" s="2">
        <v>221980</v>
      </c>
      <c r="D31" s="2" t="s">
        <v>610</v>
      </c>
      <c r="E31" s="3" t="s">
        <v>210</v>
      </c>
      <c r="F31" s="3" t="s">
        <v>215</v>
      </c>
      <c r="G31" s="30">
        <v>189271580</v>
      </c>
      <c r="H31" s="21">
        <v>134266107</v>
      </c>
      <c r="I31" s="21">
        <v>89018922</v>
      </c>
      <c r="J31" s="21">
        <v>44755371</v>
      </c>
      <c r="K31" s="21">
        <v>0</v>
      </c>
      <c r="L31" s="21">
        <v>292863049</v>
      </c>
      <c r="M31" s="21">
        <v>199738438</v>
      </c>
      <c r="N31" s="21">
        <v>107626050</v>
      </c>
      <c r="O31" s="21">
        <v>15513664</v>
      </c>
      <c r="P31" s="21">
        <v>0</v>
      </c>
      <c r="Q31" s="21"/>
      <c r="R31" s="21"/>
      <c r="S31" s="21">
        <v>0</v>
      </c>
      <c r="T31" s="517">
        <v>24899178</v>
      </c>
      <c r="U31" s="517">
        <v>23830521</v>
      </c>
      <c r="V31" s="517">
        <v>20946656</v>
      </c>
      <c r="W31" s="517">
        <v>357217009</v>
      </c>
      <c r="X31" s="517">
        <v>243287343</v>
      </c>
      <c r="Y31" s="517">
        <v>219271532</v>
      </c>
      <c r="Z31" s="517">
        <v>86226148</v>
      </c>
      <c r="AA31" s="517">
        <f>IFERROR(VLOOKUP(C31,'전사시산표(3단계)_1013'!$C:$L,10,0),0)</f>
        <v>1237054055</v>
      </c>
      <c r="AB31" s="517"/>
      <c r="AC31" s="517"/>
      <c r="AD31" s="517">
        <f t="shared" si="6"/>
        <v>1237054055</v>
      </c>
      <c r="AE31" s="21">
        <f t="shared" si="1"/>
        <v>993766712</v>
      </c>
      <c r="AF31" s="38">
        <f t="shared" si="2"/>
        <v>4.0847448114059928</v>
      </c>
      <c r="AG31" s="630" t="b">
        <f t="shared" si="3"/>
        <v>1</v>
      </c>
    </row>
    <row r="32" spans="1:33">
      <c r="B32" s="1" t="s">
        <v>285</v>
      </c>
      <c r="C32" s="2">
        <v>221990</v>
      </c>
      <c r="D32" s="2" t="s">
        <v>610</v>
      </c>
      <c r="E32" s="3" t="s">
        <v>209</v>
      </c>
      <c r="F32" s="3" t="s">
        <v>215</v>
      </c>
      <c r="G32" s="30">
        <v>9031935</v>
      </c>
      <c r="H32" s="21">
        <v>18016829</v>
      </c>
      <c r="I32" s="21">
        <v>20396275</v>
      </c>
      <c r="J32" s="21">
        <v>19033051</v>
      </c>
      <c r="K32" s="21">
        <v>17654680</v>
      </c>
      <c r="L32" s="21">
        <v>16261162</v>
      </c>
      <c r="M32" s="21">
        <v>14867644</v>
      </c>
      <c r="N32" s="21">
        <v>2276707025</v>
      </c>
      <c r="O32" s="21">
        <v>1555288549</v>
      </c>
      <c r="P32" s="21">
        <v>1061600470</v>
      </c>
      <c r="Q32" s="21"/>
      <c r="R32" s="21"/>
      <c r="S32" s="21">
        <v>1061600470</v>
      </c>
      <c r="T32" s="517">
        <v>205605789</v>
      </c>
      <c r="U32" s="517">
        <v>138708856</v>
      </c>
      <c r="V32" s="517">
        <v>9837136</v>
      </c>
      <c r="W32" s="517">
        <v>37809067</v>
      </c>
      <c r="X32" s="517">
        <v>7122071</v>
      </c>
      <c r="Y32" s="517">
        <v>31834115</v>
      </c>
      <c r="Z32" s="517">
        <v>6838257</v>
      </c>
      <c r="AA32" s="517">
        <f>IFERROR(VLOOKUP(C32,'전사시산표(3단계)_1013'!$C:$L,10,0),0)</f>
        <v>31553289</v>
      </c>
      <c r="AB32" s="517"/>
      <c r="AC32" s="517"/>
      <c r="AD32" s="517">
        <f t="shared" si="6"/>
        <v>31553289</v>
      </c>
      <c r="AE32" s="21">
        <f t="shared" si="1"/>
        <v>24431218</v>
      </c>
      <c r="AF32" s="38">
        <f t="shared" si="2"/>
        <v>3.4303530532060127</v>
      </c>
      <c r="AG32" s="630" t="b">
        <f t="shared" si="3"/>
        <v>1</v>
      </c>
    </row>
    <row r="33" spans="1:34">
      <c r="B33" s="55" t="s">
        <v>276</v>
      </c>
      <c r="C33" s="56">
        <v>20100</v>
      </c>
      <c r="D33" s="56"/>
      <c r="E33" s="57" t="s">
        <v>236</v>
      </c>
      <c r="F33" s="57"/>
      <c r="G33" s="59">
        <f>SUM(G34:G37)</f>
        <v>29467325319</v>
      </c>
      <c r="H33" s="59">
        <f>SUM(H34:H37)</f>
        <v>34614142942</v>
      </c>
      <c r="I33" s="59">
        <v>25046604915</v>
      </c>
      <c r="J33" s="59">
        <v>7309781560</v>
      </c>
      <c r="K33" s="59">
        <v>11337619040</v>
      </c>
      <c r="L33" s="59">
        <v>12193761235</v>
      </c>
      <c r="M33" s="59">
        <v>15791994120</v>
      </c>
      <c r="N33" s="59">
        <v>17240541948</v>
      </c>
      <c r="O33" s="59">
        <v>10868903493</v>
      </c>
      <c r="P33" s="59">
        <v>16702284107</v>
      </c>
      <c r="Q33" s="59">
        <v>0</v>
      </c>
      <c r="R33" s="59">
        <v>0</v>
      </c>
      <c r="S33" s="61">
        <v>16702284107</v>
      </c>
      <c r="T33" s="61">
        <v>22253982097</v>
      </c>
      <c r="U33" s="59">
        <v>19392742192</v>
      </c>
      <c r="V33" s="59">
        <v>23022530626</v>
      </c>
      <c r="W33" s="59">
        <v>25254782489</v>
      </c>
      <c r="X33" s="59">
        <v>27193879588</v>
      </c>
      <c r="Y33" s="59">
        <v>22630539037</v>
      </c>
      <c r="Z33" s="59">
        <v>22941171003</v>
      </c>
      <c r="AA33" s="59">
        <f>SUM(AA34:AA37)</f>
        <v>21771205657</v>
      </c>
      <c r="AB33" s="59">
        <f>SUM(AB34:AB37)</f>
        <v>0</v>
      </c>
      <c r="AC33" s="59">
        <f>SUM(AC34:AC37)</f>
        <v>0</v>
      </c>
      <c r="AD33" s="61">
        <f t="shared" si="6"/>
        <v>21771205657</v>
      </c>
      <c r="AE33" s="61">
        <f t="shared" si="1"/>
        <v>-5422673931</v>
      </c>
      <c r="AF33" s="62">
        <f t="shared" si="2"/>
        <v>-0.19940788196300224</v>
      </c>
      <c r="AG33" s="630" t="b">
        <f t="shared" si="3"/>
        <v>1</v>
      </c>
    </row>
    <row r="34" spans="1:34">
      <c r="B34" s="1" t="s">
        <v>285</v>
      </c>
      <c r="C34" s="2">
        <v>200400</v>
      </c>
      <c r="D34" s="2" t="s">
        <v>603</v>
      </c>
      <c r="E34" s="3" t="s">
        <v>235</v>
      </c>
      <c r="F34" s="3" t="s">
        <v>236</v>
      </c>
      <c r="G34" s="30">
        <v>29547366531</v>
      </c>
      <c r="H34" s="21">
        <v>34694184154</v>
      </c>
      <c r="I34" s="21">
        <v>25025306476</v>
      </c>
      <c r="J34" s="21">
        <v>7280002993</v>
      </c>
      <c r="K34" s="21">
        <v>11307684786</v>
      </c>
      <c r="L34" s="21">
        <v>11998694933</v>
      </c>
      <c r="M34" s="21">
        <v>15598656722</v>
      </c>
      <c r="N34" s="21">
        <v>17046234102</v>
      </c>
      <c r="O34" s="21">
        <v>10673837191</v>
      </c>
      <c r="P34" s="21">
        <v>16507217805</v>
      </c>
      <c r="Q34" s="21"/>
      <c r="R34" s="21"/>
      <c r="S34" s="21">
        <v>16507217805</v>
      </c>
      <c r="T34" s="517">
        <v>22065404078</v>
      </c>
      <c r="U34" s="517">
        <v>19197675890</v>
      </c>
      <c r="V34" s="517">
        <v>22829137043</v>
      </c>
      <c r="W34" s="517">
        <v>25061388906</v>
      </c>
      <c r="X34" s="517">
        <v>27163945334</v>
      </c>
      <c r="Y34" s="517">
        <v>22599809990</v>
      </c>
      <c r="Z34" s="517">
        <v>22910442228</v>
      </c>
      <c r="AA34" s="517">
        <f>IFERROR(VLOOKUP(C34,'전사시산표(3단계)_1013'!$C:$L,10,0),0)</f>
        <v>21738006602</v>
      </c>
      <c r="AB34" s="517"/>
      <c r="AC34" s="517"/>
      <c r="AD34" s="517">
        <f t="shared" si="6"/>
        <v>21738006602</v>
      </c>
      <c r="AE34" s="21">
        <f t="shared" si="1"/>
        <v>-5425938732</v>
      </c>
      <c r="AF34" s="38">
        <f t="shared" si="2"/>
        <v>-0.19974781517501342</v>
      </c>
      <c r="AG34" s="630" t="b">
        <f t="shared" si="3"/>
        <v>1</v>
      </c>
    </row>
    <row r="35" spans="1:34">
      <c r="B35" s="1" t="s">
        <v>285</v>
      </c>
      <c r="C35" s="5">
        <v>200490</v>
      </c>
      <c r="D35" s="5" t="s">
        <v>603</v>
      </c>
      <c r="E35" s="6" t="s">
        <v>671</v>
      </c>
      <c r="F35" s="3" t="s">
        <v>236</v>
      </c>
      <c r="G35" s="31">
        <v>0</v>
      </c>
      <c r="H35" s="22">
        <v>0</v>
      </c>
      <c r="I35" s="21">
        <v>-3378554</v>
      </c>
      <c r="J35" s="21">
        <v>-155687</v>
      </c>
      <c r="K35" s="21">
        <v>0</v>
      </c>
      <c r="L35" s="21">
        <v>0</v>
      </c>
      <c r="M35" s="21">
        <v>-1728904</v>
      </c>
      <c r="N35" s="21">
        <v>-758456</v>
      </c>
      <c r="O35" s="21">
        <v>0</v>
      </c>
      <c r="P35" s="21">
        <v>0</v>
      </c>
      <c r="Q35" s="22"/>
      <c r="R35" s="22"/>
      <c r="S35" s="21">
        <v>0</v>
      </c>
      <c r="T35" s="517">
        <v>-6488283</v>
      </c>
      <c r="U35" s="517">
        <v>0</v>
      </c>
      <c r="V35" s="517">
        <v>0</v>
      </c>
      <c r="W35" s="517">
        <v>0</v>
      </c>
      <c r="X35" s="517">
        <v>0</v>
      </c>
      <c r="Y35" s="517">
        <v>794793</v>
      </c>
      <c r="Z35" s="517">
        <v>794521</v>
      </c>
      <c r="AA35" s="517">
        <f>IFERROR(VLOOKUP(C35,'전사시산표(3단계)_1013'!$C:$L,10,0),0)</f>
        <v>3264801</v>
      </c>
      <c r="AB35" s="519"/>
      <c r="AC35" s="519"/>
      <c r="AD35" s="517">
        <f t="shared" si="6"/>
        <v>3264801</v>
      </c>
      <c r="AE35" s="21">
        <f t="shared" si="1"/>
        <v>3264801</v>
      </c>
      <c r="AF35" s="38" t="str">
        <f t="shared" si="2"/>
        <v/>
      </c>
      <c r="AG35" s="630" t="b">
        <f t="shared" si="3"/>
        <v>1</v>
      </c>
    </row>
    <row r="36" spans="1:34">
      <c r="B36" s="1" t="s">
        <v>285</v>
      </c>
      <c r="C36" s="5">
        <v>200800</v>
      </c>
      <c r="D36" s="5" t="s">
        <v>603</v>
      </c>
      <c r="E36" s="6" t="s">
        <v>667</v>
      </c>
      <c r="F36" s="6" t="s">
        <v>477</v>
      </c>
      <c r="G36" s="31">
        <v>0</v>
      </c>
      <c r="H36" s="22">
        <v>0</v>
      </c>
      <c r="I36" s="21">
        <v>29934254</v>
      </c>
      <c r="J36" s="22">
        <v>29934254</v>
      </c>
      <c r="K36" s="22">
        <v>29934254</v>
      </c>
      <c r="L36" s="22">
        <v>195066302</v>
      </c>
      <c r="M36" s="22">
        <v>195066302</v>
      </c>
      <c r="N36" s="22">
        <v>195066302</v>
      </c>
      <c r="O36" s="22">
        <v>195066302</v>
      </c>
      <c r="P36" s="22">
        <v>195066302</v>
      </c>
      <c r="Q36" s="22"/>
      <c r="R36" s="22"/>
      <c r="S36" s="21">
        <v>195066302</v>
      </c>
      <c r="T36" s="517">
        <v>195066302</v>
      </c>
      <c r="U36" s="519">
        <v>195066302</v>
      </c>
      <c r="V36" s="519">
        <v>193393583</v>
      </c>
      <c r="W36" s="519">
        <v>193393583</v>
      </c>
      <c r="X36" s="519">
        <v>29934254</v>
      </c>
      <c r="Y36" s="519">
        <v>29934254</v>
      </c>
      <c r="Z36" s="519">
        <v>29934254</v>
      </c>
      <c r="AA36" s="519">
        <f>IFERROR(VLOOKUP(C36,'전사시산표(3단계)_1013'!$C:$L,10,0),0)</f>
        <v>29934254</v>
      </c>
      <c r="AB36" s="519"/>
      <c r="AC36" s="519"/>
      <c r="AD36" s="517">
        <f t="shared" si="6"/>
        <v>29934254</v>
      </c>
      <c r="AE36" s="21">
        <f t="shared" si="1"/>
        <v>0</v>
      </c>
      <c r="AF36" s="38">
        <f t="shared" si="2"/>
        <v>0</v>
      </c>
      <c r="AG36" s="630" t="b">
        <f t="shared" si="3"/>
        <v>1</v>
      </c>
    </row>
    <row r="37" spans="1:34">
      <c r="B37" s="1" t="s">
        <v>285</v>
      </c>
      <c r="C37" s="5">
        <v>200900</v>
      </c>
      <c r="D37" s="5" t="s">
        <v>603</v>
      </c>
      <c r="E37" s="6" t="s">
        <v>466</v>
      </c>
      <c r="F37" s="6" t="s">
        <v>477</v>
      </c>
      <c r="G37" s="31">
        <v>-80041212</v>
      </c>
      <c r="H37" s="22">
        <v>-80041212</v>
      </c>
      <c r="I37" s="21">
        <v>-5257261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/>
      <c r="R37" s="22"/>
      <c r="S37" s="21">
        <v>0</v>
      </c>
      <c r="T37" s="517">
        <v>0</v>
      </c>
      <c r="U37" s="519">
        <v>0</v>
      </c>
      <c r="V37" s="519">
        <v>0</v>
      </c>
      <c r="W37" s="519">
        <v>0</v>
      </c>
      <c r="X37" s="519">
        <v>0</v>
      </c>
      <c r="Y37" s="519">
        <v>0</v>
      </c>
      <c r="Z37" s="519">
        <v>0</v>
      </c>
      <c r="AA37" s="519">
        <f>IFERROR(VLOOKUP(C37,'전사시산표(3단계)_1013'!$C:$L,10,0),0)</f>
        <v>0</v>
      </c>
      <c r="AB37" s="519"/>
      <c r="AC37" s="519"/>
      <c r="AD37" s="517">
        <f t="shared" si="6"/>
        <v>0</v>
      </c>
      <c r="AE37" s="21">
        <f t="shared" si="1"/>
        <v>0</v>
      </c>
      <c r="AF37" s="38" t="str">
        <f t="shared" si="2"/>
        <v/>
      </c>
      <c r="AG37" s="630" t="b">
        <f t="shared" si="3"/>
        <v>1</v>
      </c>
    </row>
    <row r="38" spans="1:34">
      <c r="B38" s="55" t="s">
        <v>276</v>
      </c>
      <c r="C38" s="56">
        <v>20110</v>
      </c>
      <c r="D38" s="56"/>
      <c r="E38" s="57" t="s">
        <v>234</v>
      </c>
      <c r="F38" s="57"/>
      <c r="G38" s="59">
        <f>SUM(G39)</f>
        <v>-82108475</v>
      </c>
      <c r="H38" s="59">
        <f>SUM(H39)</f>
        <v>-201655055</v>
      </c>
      <c r="I38" s="59">
        <v>-188356961</v>
      </c>
      <c r="J38" s="59">
        <v>-159418917</v>
      </c>
      <c r="K38" s="59">
        <v>-249356453</v>
      </c>
      <c r="L38" s="59">
        <v>-269571341</v>
      </c>
      <c r="M38" s="59">
        <v>-325183046</v>
      </c>
      <c r="N38" s="59">
        <v>-273659240</v>
      </c>
      <c r="O38" s="59">
        <v>-282502041</v>
      </c>
      <c r="P38" s="59">
        <v>-288911686</v>
      </c>
      <c r="Q38" s="59">
        <v>0</v>
      </c>
      <c r="R38" s="59">
        <v>0</v>
      </c>
      <c r="S38" s="61">
        <v>-288911686</v>
      </c>
      <c r="T38" s="61">
        <v>-288307508</v>
      </c>
      <c r="U38" s="59">
        <v>-285078759</v>
      </c>
      <c r="V38" s="59">
        <v>-293127899</v>
      </c>
      <c r="W38" s="59">
        <v>-334292930</v>
      </c>
      <c r="X38" s="59">
        <v>-200519888</v>
      </c>
      <c r="Y38" s="59">
        <v>-228299067</v>
      </c>
      <c r="Z38" s="59">
        <v>-230495459</v>
      </c>
      <c r="AA38" s="59">
        <f>SUM(AA39)</f>
        <v>-223471619</v>
      </c>
      <c r="AB38" s="59">
        <f>SUM(AB39)</f>
        <v>0</v>
      </c>
      <c r="AC38" s="59">
        <f>SUM(AC39)</f>
        <v>0</v>
      </c>
      <c r="AD38" s="61">
        <f t="shared" si="6"/>
        <v>-223471619</v>
      </c>
      <c r="AE38" s="61">
        <f t="shared" si="1"/>
        <v>-22951731</v>
      </c>
      <c r="AF38" s="62">
        <f t="shared" si="2"/>
        <v>0.11446112018574436</v>
      </c>
      <c r="AG38" s="630" t="b">
        <f t="shared" si="3"/>
        <v>1</v>
      </c>
    </row>
    <row r="39" spans="1:34">
      <c r="B39" s="1" t="s">
        <v>285</v>
      </c>
      <c r="C39" s="2">
        <v>204900</v>
      </c>
      <c r="D39" s="2" t="s">
        <v>604</v>
      </c>
      <c r="E39" s="3" t="s">
        <v>233</v>
      </c>
      <c r="F39" s="3" t="s">
        <v>736</v>
      </c>
      <c r="G39" s="30">
        <v>-82108475</v>
      </c>
      <c r="H39" s="21">
        <v>-201655055</v>
      </c>
      <c r="I39" s="21">
        <v>-188356961</v>
      </c>
      <c r="J39" s="21">
        <v>-159418917</v>
      </c>
      <c r="K39" s="21">
        <v>-249356453</v>
      </c>
      <c r="L39" s="21">
        <v>-269571341</v>
      </c>
      <c r="M39" s="21">
        <v>-325183046</v>
      </c>
      <c r="N39" s="21">
        <v>-273659240</v>
      </c>
      <c r="O39" s="21">
        <v>-282502041</v>
      </c>
      <c r="P39" s="21">
        <v>-288911686</v>
      </c>
      <c r="Q39" s="21"/>
      <c r="R39" s="21"/>
      <c r="S39" s="21">
        <v>-288911686</v>
      </c>
      <c r="T39" s="517">
        <v>-288307508</v>
      </c>
      <c r="U39" s="517">
        <v>-285078759</v>
      </c>
      <c r="V39" s="517">
        <v>-293127899</v>
      </c>
      <c r="W39" s="517">
        <v>-334292930</v>
      </c>
      <c r="X39" s="517">
        <v>-200519888</v>
      </c>
      <c r="Y39" s="517">
        <v>-228299067</v>
      </c>
      <c r="Z39" s="517">
        <v>-230495459</v>
      </c>
      <c r="AA39" s="517">
        <f>IFERROR(VLOOKUP(C39,'전사시산표(3단계)_1013'!$C:$L,10,0),0)</f>
        <v>-223471619</v>
      </c>
      <c r="AB39" s="517"/>
      <c r="AC39" s="517"/>
      <c r="AD39" s="517">
        <f t="shared" si="6"/>
        <v>-223471619</v>
      </c>
      <c r="AE39" s="21">
        <f t="shared" si="1"/>
        <v>-22951731</v>
      </c>
      <c r="AF39" s="38">
        <f t="shared" si="2"/>
        <v>0.11446112018574436</v>
      </c>
      <c r="AG39" s="630" t="b">
        <f t="shared" si="3"/>
        <v>1</v>
      </c>
    </row>
    <row r="40" spans="1:34">
      <c r="B40" s="55" t="s">
        <v>276</v>
      </c>
      <c r="C40" s="56">
        <v>20700</v>
      </c>
      <c r="D40" s="56"/>
      <c r="E40" s="57" t="s">
        <v>232</v>
      </c>
      <c r="F40" s="57"/>
      <c r="G40" s="59">
        <f>SUM(G41:G56)</f>
        <v>260031223024</v>
      </c>
      <c r="H40" s="59">
        <f>SUM(H41:H56)</f>
        <v>321532309322</v>
      </c>
      <c r="I40" s="59">
        <v>380013792167</v>
      </c>
      <c r="J40" s="59">
        <v>460330897872</v>
      </c>
      <c r="K40" s="59">
        <v>363131828549</v>
      </c>
      <c r="L40" s="59">
        <v>363485805998</v>
      </c>
      <c r="M40" s="59">
        <v>348288524834</v>
      </c>
      <c r="N40" s="59">
        <v>403553978702</v>
      </c>
      <c r="O40" s="59">
        <v>369384606666</v>
      </c>
      <c r="P40" s="59">
        <v>357959893945</v>
      </c>
      <c r="Q40" s="59">
        <v>0</v>
      </c>
      <c r="R40" s="59">
        <v>0</v>
      </c>
      <c r="S40" s="61">
        <v>357959893945</v>
      </c>
      <c r="T40" s="61">
        <v>394701633904</v>
      </c>
      <c r="U40" s="59">
        <v>443079013648</v>
      </c>
      <c r="V40" s="59">
        <v>420579568372</v>
      </c>
      <c r="W40" s="59">
        <v>436524137943</v>
      </c>
      <c r="X40" s="59">
        <v>488889010417</v>
      </c>
      <c r="Y40" s="59">
        <v>474061827318</v>
      </c>
      <c r="Z40" s="59">
        <v>424942995547</v>
      </c>
      <c r="AA40" s="59">
        <f>SUM(AA41:AA56)</f>
        <v>431092568800</v>
      </c>
      <c r="AB40" s="59">
        <f>SUM(AB41:AB56)</f>
        <v>0</v>
      </c>
      <c r="AC40" s="59">
        <f>SUM(AC41:AC56)</f>
        <v>0</v>
      </c>
      <c r="AD40" s="61">
        <f t="shared" si="6"/>
        <v>431092568800</v>
      </c>
      <c r="AE40" s="61">
        <f t="shared" si="1"/>
        <v>-57796441617</v>
      </c>
      <c r="AF40" s="62">
        <f t="shared" si="2"/>
        <v>-0.11821996482944519</v>
      </c>
      <c r="AG40" s="630" t="b">
        <f t="shared" si="3"/>
        <v>1</v>
      </c>
      <c r="AH40" s="187">
        <f>AD40+AD61</f>
        <v>429236107750</v>
      </c>
    </row>
    <row r="41" spans="1:34" s="11" customFormat="1">
      <c r="A41" s="24"/>
      <c r="B41" s="1" t="s">
        <v>285</v>
      </c>
      <c r="C41" s="2">
        <v>207401</v>
      </c>
      <c r="D41" s="2" t="s">
        <v>605</v>
      </c>
      <c r="E41" s="3" t="s">
        <v>467</v>
      </c>
      <c r="F41" s="3" t="s">
        <v>478</v>
      </c>
      <c r="G41" s="30">
        <v>49861860438</v>
      </c>
      <c r="H41" s="21">
        <v>113760760632</v>
      </c>
      <c r="I41" s="21">
        <v>71974148199</v>
      </c>
      <c r="J41" s="21">
        <v>67527683701</v>
      </c>
      <c r="K41" s="21">
        <v>51527251921</v>
      </c>
      <c r="L41" s="21">
        <v>62703660486</v>
      </c>
      <c r="M41" s="21">
        <v>59443164443</v>
      </c>
      <c r="N41" s="21">
        <v>69541180167</v>
      </c>
      <c r="O41" s="21">
        <v>54647823589</v>
      </c>
      <c r="P41" s="21">
        <v>47432303206</v>
      </c>
      <c r="Q41" s="21"/>
      <c r="R41" s="21"/>
      <c r="S41" s="21">
        <v>47432303206</v>
      </c>
      <c r="T41" s="517">
        <v>44831298313</v>
      </c>
      <c r="U41" s="517">
        <v>58626075798</v>
      </c>
      <c r="V41" s="517">
        <v>51142834650</v>
      </c>
      <c r="W41" s="517">
        <v>52606549541</v>
      </c>
      <c r="X41" s="517">
        <v>53627634953</v>
      </c>
      <c r="Y41" s="517">
        <v>52006048919</v>
      </c>
      <c r="Z41" s="517">
        <v>48470767003</v>
      </c>
      <c r="AA41" s="517">
        <f>IFERROR(VLOOKUP(C41,'전사시산표(3단계)_1013'!$C:$L,10,0),0)</f>
        <v>63528170333</v>
      </c>
      <c r="AB41" s="517"/>
      <c r="AC41" s="517"/>
      <c r="AD41" s="517">
        <f t="shared" si="6"/>
        <v>63528170333</v>
      </c>
      <c r="AE41" s="21">
        <f t="shared" si="1"/>
        <v>9900535380</v>
      </c>
      <c r="AF41" s="38">
        <f t="shared" si="2"/>
        <v>0.18461629696474524</v>
      </c>
      <c r="AG41" s="630" t="b">
        <f t="shared" si="3"/>
        <v>1</v>
      </c>
      <c r="AH41" s="11">
        <v>472205338237</v>
      </c>
    </row>
    <row r="42" spans="1:34" s="11" customFormat="1">
      <c r="A42" s="24"/>
      <c r="B42" s="1" t="s">
        <v>285</v>
      </c>
      <c r="C42" s="2">
        <v>207402</v>
      </c>
      <c r="D42" s="2" t="s">
        <v>605</v>
      </c>
      <c r="E42" s="3" t="s">
        <v>468</v>
      </c>
      <c r="F42" s="3" t="s">
        <v>478</v>
      </c>
      <c r="G42" s="30">
        <v>61445510920</v>
      </c>
      <c r="H42" s="21">
        <v>70677201749</v>
      </c>
      <c r="I42" s="21">
        <v>219929600833</v>
      </c>
      <c r="J42" s="21">
        <v>270967953566</v>
      </c>
      <c r="K42" s="21">
        <v>213120865649</v>
      </c>
      <c r="L42" s="21">
        <v>195024296381</v>
      </c>
      <c r="M42" s="21">
        <v>198342225535</v>
      </c>
      <c r="N42" s="21">
        <v>208172492422</v>
      </c>
      <c r="O42" s="21">
        <v>210148856903</v>
      </c>
      <c r="P42" s="21">
        <v>214848332284</v>
      </c>
      <c r="Q42" s="21"/>
      <c r="R42" s="21"/>
      <c r="S42" s="21">
        <v>214848332284</v>
      </c>
      <c r="T42" s="517">
        <v>228801089446</v>
      </c>
      <c r="U42" s="517">
        <v>239607169780</v>
      </c>
      <c r="V42" s="517">
        <v>242416924417</v>
      </c>
      <c r="W42" s="517">
        <v>263801564184</v>
      </c>
      <c r="X42" s="517">
        <v>301044162825</v>
      </c>
      <c r="Y42" s="517">
        <v>294058628520</v>
      </c>
      <c r="Z42" s="517">
        <v>259400139684</v>
      </c>
      <c r="AA42" s="517">
        <f>IFERROR(VLOOKUP(C42,'전사시산표(3단계)_1013'!$C:$L,10,0),0)</f>
        <v>251621780623</v>
      </c>
      <c r="AB42" s="517"/>
      <c r="AC42" s="517"/>
      <c r="AD42" s="517">
        <f t="shared" si="6"/>
        <v>251621780623</v>
      </c>
      <c r="AE42" s="21">
        <f t="shared" si="1"/>
        <v>-49422382202</v>
      </c>
      <c r="AF42" s="38">
        <f t="shared" si="2"/>
        <v>-0.16416987374284259</v>
      </c>
      <c r="AG42" s="630" t="b">
        <f t="shared" si="3"/>
        <v>1</v>
      </c>
      <c r="AH42" s="248">
        <f>AH41-AH40</f>
        <v>42969230487</v>
      </c>
    </row>
    <row r="43" spans="1:34">
      <c r="B43" s="1" t="s">
        <v>285</v>
      </c>
      <c r="C43" s="2">
        <v>207403</v>
      </c>
      <c r="D43" s="2" t="s">
        <v>605</v>
      </c>
      <c r="E43" s="3" t="s">
        <v>229</v>
      </c>
      <c r="F43" s="3" t="s">
        <v>232</v>
      </c>
      <c r="G43" s="30">
        <v>915718421</v>
      </c>
      <c r="H43" s="21">
        <v>1327439160</v>
      </c>
      <c r="I43" s="21">
        <v>1019621613</v>
      </c>
      <c r="J43" s="21">
        <v>1374582167</v>
      </c>
      <c r="K43" s="21">
        <v>1469431669</v>
      </c>
      <c r="L43" s="21">
        <v>1104723212</v>
      </c>
      <c r="M43" s="21">
        <v>1102509762</v>
      </c>
      <c r="N43" s="21">
        <v>1223210458</v>
      </c>
      <c r="O43" s="21">
        <v>1331666746</v>
      </c>
      <c r="P43" s="21">
        <v>1444567490</v>
      </c>
      <c r="Q43" s="21"/>
      <c r="R43" s="21"/>
      <c r="S43" s="21">
        <v>1444567490</v>
      </c>
      <c r="T43" s="517">
        <v>1415162196</v>
      </c>
      <c r="U43" s="517">
        <v>1493776959</v>
      </c>
      <c r="V43" s="517">
        <v>1556942183</v>
      </c>
      <c r="W43" s="517">
        <v>3615056948</v>
      </c>
      <c r="X43" s="517">
        <v>3476587282</v>
      </c>
      <c r="Y43" s="517">
        <v>3597852343</v>
      </c>
      <c r="Z43" s="517">
        <v>3631021250</v>
      </c>
      <c r="AA43" s="517">
        <f>IFERROR(VLOOKUP(C43,'전사시산표(3단계)_1013'!$C:$L,10,0),0)</f>
        <v>3660945305</v>
      </c>
      <c r="AB43" s="517"/>
      <c r="AC43" s="517"/>
      <c r="AD43" s="517">
        <f t="shared" si="6"/>
        <v>3660945305</v>
      </c>
      <c r="AE43" s="21">
        <f t="shared" si="1"/>
        <v>184358023</v>
      </c>
      <c r="AF43" s="38">
        <f t="shared" si="2"/>
        <v>5.3028446590284682E-2</v>
      </c>
      <c r="AG43" s="630" t="b">
        <f t="shared" si="3"/>
        <v>1</v>
      </c>
    </row>
    <row r="44" spans="1:34">
      <c r="B44" s="1" t="s">
        <v>285</v>
      </c>
      <c r="C44" s="2">
        <v>207404</v>
      </c>
      <c r="D44" s="2" t="s">
        <v>605</v>
      </c>
      <c r="E44" s="3" t="s">
        <v>773</v>
      </c>
      <c r="F44" s="3" t="s">
        <v>232</v>
      </c>
      <c r="G44" s="30">
        <v>0</v>
      </c>
      <c r="H44" s="21">
        <v>0</v>
      </c>
      <c r="I44" s="21">
        <v>0</v>
      </c>
      <c r="J44" s="21">
        <v>375233</v>
      </c>
      <c r="K44" s="21">
        <v>529324</v>
      </c>
      <c r="L44" s="21">
        <v>1630884</v>
      </c>
      <c r="M44" s="21">
        <v>2262820</v>
      </c>
      <c r="N44" s="21">
        <v>3238139</v>
      </c>
      <c r="O44" s="21">
        <v>1882441</v>
      </c>
      <c r="P44" s="21">
        <v>5569793</v>
      </c>
      <c r="Q44" s="21"/>
      <c r="R44" s="21"/>
      <c r="S44" s="21">
        <v>5569793</v>
      </c>
      <c r="T44" s="517">
        <v>6962583</v>
      </c>
      <c r="U44" s="517">
        <v>7186050</v>
      </c>
      <c r="V44" s="517">
        <v>7499575</v>
      </c>
      <c r="W44" s="517">
        <v>9566349</v>
      </c>
      <c r="X44" s="517">
        <v>10749549</v>
      </c>
      <c r="Y44" s="517">
        <v>11964712</v>
      </c>
      <c r="Z44" s="517">
        <v>14167190</v>
      </c>
      <c r="AA44" s="517">
        <f>IFERROR(VLOOKUP(C44,'전사시산표(3단계)_1013'!$C:$L,10,0),0)</f>
        <v>14793865</v>
      </c>
      <c r="AB44" s="517"/>
      <c r="AC44" s="517"/>
      <c r="AD44" s="517">
        <f t="shared" si="6"/>
        <v>14793865</v>
      </c>
      <c r="AE44" s="21">
        <f t="shared" si="1"/>
        <v>4044316</v>
      </c>
      <c r="AF44" s="38">
        <f t="shared" si="2"/>
        <v>0.37623122607283338</v>
      </c>
      <c r="AG44" s="630" t="b">
        <f t="shared" si="3"/>
        <v>1</v>
      </c>
    </row>
    <row r="45" spans="1:34">
      <c r="B45" s="1" t="s">
        <v>285</v>
      </c>
      <c r="C45" s="2">
        <v>207405</v>
      </c>
      <c r="D45" s="2" t="s">
        <v>605</v>
      </c>
      <c r="E45" s="3" t="s">
        <v>774</v>
      </c>
      <c r="F45" s="3" t="s">
        <v>232</v>
      </c>
      <c r="G45" s="30">
        <v>0</v>
      </c>
      <c r="H45" s="21">
        <v>0</v>
      </c>
      <c r="I45" s="21">
        <v>0</v>
      </c>
      <c r="J45" s="21">
        <v>24539344</v>
      </c>
      <c r="K45" s="21">
        <v>991692816</v>
      </c>
      <c r="L45" s="21">
        <v>759056</v>
      </c>
      <c r="M45" s="21">
        <v>21948</v>
      </c>
      <c r="N45" s="21">
        <v>29728290</v>
      </c>
      <c r="O45" s="21">
        <v>5454277120</v>
      </c>
      <c r="P45" s="21">
        <v>49801525</v>
      </c>
      <c r="Q45" s="21"/>
      <c r="R45" s="21"/>
      <c r="S45" s="21">
        <v>49801525</v>
      </c>
      <c r="T45" s="517">
        <v>14803500</v>
      </c>
      <c r="U45" s="517">
        <v>0</v>
      </c>
      <c r="V45" s="517">
        <v>0</v>
      </c>
      <c r="W45" s="517">
        <v>0</v>
      </c>
      <c r="X45" s="517">
        <v>0</v>
      </c>
      <c r="Y45" s="517">
        <v>0</v>
      </c>
      <c r="Z45" s="517">
        <v>0</v>
      </c>
      <c r="AA45" s="517">
        <f>IFERROR(VLOOKUP(C45,'전사시산표(3단계)_1013'!$C:$L,10,0),0)</f>
        <v>0</v>
      </c>
      <c r="AB45" s="517"/>
      <c r="AC45" s="517"/>
      <c r="AD45" s="517">
        <f t="shared" si="6"/>
        <v>0</v>
      </c>
      <c r="AE45" s="21">
        <f t="shared" si="1"/>
        <v>0</v>
      </c>
      <c r="AF45" s="38" t="str">
        <f t="shared" si="2"/>
        <v/>
      </c>
      <c r="AG45" s="630" t="b">
        <f t="shared" si="3"/>
        <v>1</v>
      </c>
    </row>
    <row r="46" spans="1:34">
      <c r="B46" s="1" t="s">
        <v>285</v>
      </c>
      <c r="C46" s="2">
        <v>207500</v>
      </c>
      <c r="D46" s="2" t="s">
        <v>605</v>
      </c>
      <c r="E46" s="3" t="s">
        <v>1138</v>
      </c>
      <c r="F46" s="3" t="s">
        <v>232</v>
      </c>
      <c r="G46" s="30"/>
      <c r="H46" s="21"/>
      <c r="I46" s="21"/>
      <c r="J46" s="21"/>
      <c r="K46" s="21"/>
      <c r="L46" s="21"/>
      <c r="M46" s="21"/>
      <c r="N46" s="21">
        <v>0</v>
      </c>
      <c r="O46" s="21">
        <v>1408300</v>
      </c>
      <c r="P46" s="21">
        <v>78218440</v>
      </c>
      <c r="Q46" s="21"/>
      <c r="R46" s="21"/>
      <c r="S46" s="21">
        <v>78218440</v>
      </c>
      <c r="T46" s="517">
        <v>2157480</v>
      </c>
      <c r="U46" s="517">
        <v>0</v>
      </c>
      <c r="V46" s="517">
        <v>4500</v>
      </c>
      <c r="W46" s="517">
        <v>26950</v>
      </c>
      <c r="X46" s="517">
        <v>3000</v>
      </c>
      <c r="Y46" s="517">
        <v>48120</v>
      </c>
      <c r="Z46" s="517">
        <v>28500</v>
      </c>
      <c r="AA46" s="517">
        <f>IFERROR(VLOOKUP(C46,'전사시산표(3단계)_1013'!$C:$L,10,0),0)</f>
        <v>0</v>
      </c>
      <c r="AB46" s="517"/>
      <c r="AC46" s="517"/>
      <c r="AD46" s="517">
        <f t="shared" si="6"/>
        <v>0</v>
      </c>
      <c r="AE46" s="21">
        <f t="shared" si="1"/>
        <v>-3000</v>
      </c>
      <c r="AF46" s="38">
        <f t="shared" si="2"/>
        <v>-1</v>
      </c>
      <c r="AG46" s="630" t="b">
        <f t="shared" si="3"/>
        <v>1</v>
      </c>
    </row>
    <row r="47" spans="1:34">
      <c r="B47" s="1" t="s">
        <v>285</v>
      </c>
      <c r="C47" s="2">
        <v>207600</v>
      </c>
      <c r="D47" s="2" t="s">
        <v>605</v>
      </c>
      <c r="E47" s="3" t="s">
        <v>1173</v>
      </c>
      <c r="F47" s="3" t="s">
        <v>232</v>
      </c>
      <c r="G47" s="30"/>
      <c r="H47" s="21"/>
      <c r="I47" s="21"/>
      <c r="J47" s="21"/>
      <c r="K47" s="21"/>
      <c r="L47" s="21"/>
      <c r="M47" s="21"/>
      <c r="N47" s="21">
        <v>0</v>
      </c>
      <c r="O47" s="21">
        <v>334200000</v>
      </c>
      <c r="P47" s="21">
        <v>292080000</v>
      </c>
      <c r="Q47" s="21"/>
      <c r="R47" s="21"/>
      <c r="S47" s="21">
        <v>292080000</v>
      </c>
      <c r="T47" s="517">
        <v>31066080</v>
      </c>
      <c r="U47" s="517">
        <v>0</v>
      </c>
      <c r="V47" s="517">
        <v>12312270</v>
      </c>
      <c r="W47" s="517">
        <v>4790000</v>
      </c>
      <c r="X47" s="517">
        <v>3750375</v>
      </c>
      <c r="Y47" s="517">
        <v>32064894</v>
      </c>
      <c r="Z47" s="517">
        <v>5121135</v>
      </c>
      <c r="AA47" s="517">
        <f>IFERROR(VLOOKUP(C47,'전사시산표(3단계)_1013'!$C:$L,10,0),0)</f>
        <v>9828450</v>
      </c>
      <c r="AB47" s="517"/>
      <c r="AC47" s="517"/>
      <c r="AD47" s="517">
        <f t="shared" si="6"/>
        <v>9828450</v>
      </c>
      <c r="AE47" s="21">
        <f t="shared" si="1"/>
        <v>6078075</v>
      </c>
      <c r="AF47" s="38">
        <f t="shared" si="2"/>
        <v>1.6206579342065794</v>
      </c>
      <c r="AG47" s="630" t="b">
        <f t="shared" si="3"/>
        <v>1</v>
      </c>
    </row>
    <row r="48" spans="1:34">
      <c r="B48" s="1" t="s">
        <v>285</v>
      </c>
      <c r="C48" s="2">
        <v>208900</v>
      </c>
      <c r="D48" s="2" t="s">
        <v>605</v>
      </c>
      <c r="E48" s="3" t="s">
        <v>228</v>
      </c>
      <c r="F48" s="3" t="s">
        <v>232</v>
      </c>
      <c r="G48" s="30">
        <v>145949041084</v>
      </c>
      <c r="H48" s="21">
        <v>134154948859</v>
      </c>
      <c r="I48" s="21">
        <f>85493127679+13800000000</f>
        <v>99293127679</v>
      </c>
      <c r="J48" s="21">
        <v>118405610646</v>
      </c>
      <c r="K48" s="21">
        <v>94764202674</v>
      </c>
      <c r="L48" s="21">
        <v>103241912473</v>
      </c>
      <c r="M48" s="21">
        <v>86826168704</v>
      </c>
      <c r="N48" s="21">
        <v>121854567489</v>
      </c>
      <c r="O48" s="21">
        <v>95947725689</v>
      </c>
      <c r="P48" s="21">
        <v>92273222916</v>
      </c>
      <c r="Q48" s="21"/>
      <c r="R48" s="21"/>
      <c r="S48" s="21">
        <v>92273222916</v>
      </c>
      <c r="T48" s="517">
        <v>117787088631</v>
      </c>
      <c r="U48" s="517">
        <v>141630410657</v>
      </c>
      <c r="V48" s="517">
        <v>123386937470</v>
      </c>
      <c r="W48" s="517">
        <v>114322085457</v>
      </c>
      <c r="X48" s="517">
        <v>128021310909</v>
      </c>
      <c r="Y48" s="517">
        <v>121714959887</v>
      </c>
      <c r="Z48" s="517">
        <v>112003077650</v>
      </c>
      <c r="AA48" s="517">
        <f>IFERROR(VLOOKUP(C48,'전사시산표(3단계)_1013'!$C:$L,10,0),0)</f>
        <v>110373819023</v>
      </c>
      <c r="AB48" s="517"/>
      <c r="AC48" s="517"/>
      <c r="AD48" s="517">
        <f t="shared" si="6"/>
        <v>110373819023</v>
      </c>
      <c r="AE48" s="21">
        <f t="shared" si="1"/>
        <v>-17647491886</v>
      </c>
      <c r="AF48" s="38">
        <f t="shared" si="2"/>
        <v>-0.13784807982902297</v>
      </c>
      <c r="AG48" s="630" t="b">
        <f t="shared" si="3"/>
        <v>1</v>
      </c>
    </row>
    <row r="49" spans="1:33">
      <c r="B49" s="1" t="s">
        <v>285</v>
      </c>
      <c r="C49" s="622">
        <v>208901</v>
      </c>
      <c r="D49" s="2" t="s">
        <v>605</v>
      </c>
      <c r="E49" s="3" t="s">
        <v>227</v>
      </c>
      <c r="F49" s="3" t="s">
        <v>232</v>
      </c>
      <c r="G49" s="30">
        <v>436372917</v>
      </c>
      <c r="H49" s="21">
        <v>436372917</v>
      </c>
      <c r="I49" s="21">
        <v>436372917</v>
      </c>
      <c r="J49" s="21">
        <v>436372917</v>
      </c>
      <c r="K49" s="21">
        <v>383572917</v>
      </c>
      <c r="L49" s="21">
        <v>383572917</v>
      </c>
      <c r="M49" s="21">
        <v>383572917</v>
      </c>
      <c r="N49" s="21">
        <v>383572917</v>
      </c>
      <c r="O49" s="21">
        <v>383572917</v>
      </c>
      <c r="P49" s="21">
        <v>383572917</v>
      </c>
      <c r="Q49" s="21"/>
      <c r="R49" s="21"/>
      <c r="S49" s="21">
        <v>383572917</v>
      </c>
      <c r="T49" s="517">
        <v>383572917</v>
      </c>
      <c r="U49" s="517">
        <v>383572917</v>
      </c>
      <c r="V49" s="517">
        <v>383572917</v>
      </c>
      <c r="W49" s="517">
        <v>383572917</v>
      </c>
      <c r="X49" s="517">
        <v>383572917</v>
      </c>
      <c r="Y49" s="517">
        <v>383572917</v>
      </c>
      <c r="Z49" s="517">
        <v>383572917</v>
      </c>
      <c r="AA49" s="517">
        <f>IFERROR(VLOOKUP(C49,'전사시산표(3단계)_1013'!$C:$L,10,0),0)</f>
        <v>383572917</v>
      </c>
      <c r="AB49" s="517"/>
      <c r="AC49" s="517"/>
      <c r="AD49" s="517">
        <f t="shared" si="6"/>
        <v>383572917</v>
      </c>
      <c r="AE49" s="21">
        <f t="shared" si="1"/>
        <v>0</v>
      </c>
      <c r="AF49" s="38">
        <f t="shared" si="2"/>
        <v>0</v>
      </c>
      <c r="AG49" s="630" t="b">
        <f t="shared" si="3"/>
        <v>1</v>
      </c>
    </row>
    <row r="50" spans="1:33">
      <c r="B50" s="1" t="s">
        <v>285</v>
      </c>
      <c r="C50" s="622">
        <v>209000</v>
      </c>
      <c r="D50" s="2" t="s">
        <v>605</v>
      </c>
      <c r="E50" s="3" t="s">
        <v>469</v>
      </c>
      <c r="F50" s="3" t="s">
        <v>478</v>
      </c>
      <c r="G50" s="30">
        <v>1048472664</v>
      </c>
      <c r="H50" s="21">
        <v>786097145</v>
      </c>
      <c r="I50" s="21">
        <v>976466372</v>
      </c>
      <c r="J50" s="21">
        <v>1375165024</v>
      </c>
      <c r="K50" s="21">
        <v>816401439</v>
      </c>
      <c r="L50" s="21">
        <v>1022395389</v>
      </c>
      <c r="M50" s="21">
        <v>1243626521</v>
      </c>
      <c r="N50" s="21">
        <v>1360122869</v>
      </c>
      <c r="O50" s="21">
        <v>997644261</v>
      </c>
      <c r="P50" s="21">
        <v>1171871444</v>
      </c>
      <c r="Q50" s="21"/>
      <c r="R50" s="21"/>
      <c r="S50" s="21">
        <v>1171871444</v>
      </c>
      <c r="T50" s="517">
        <v>1232350523</v>
      </c>
      <c r="U50" s="517">
        <v>909455072</v>
      </c>
      <c r="V50" s="517">
        <v>854724550</v>
      </c>
      <c r="W50" s="517">
        <v>816017728</v>
      </c>
      <c r="X50" s="517">
        <v>951683948</v>
      </c>
      <c r="Y50" s="517">
        <v>849246547</v>
      </c>
      <c r="Z50" s="517">
        <v>909558868</v>
      </c>
      <c r="AA50" s="517">
        <f>IFERROR(VLOOKUP(C50,'전사시산표(3단계)_1013'!$C:$L,10,0),0)</f>
        <v>786017594</v>
      </c>
      <c r="AB50" s="517"/>
      <c r="AC50" s="517"/>
      <c r="AD50" s="517">
        <f t="shared" si="6"/>
        <v>786017594</v>
      </c>
      <c r="AE50" s="21">
        <f t="shared" si="1"/>
        <v>-165666354</v>
      </c>
      <c r="AF50" s="38">
        <f t="shared" si="2"/>
        <v>-0.17407707080502319</v>
      </c>
      <c r="AG50" s="630" t="b">
        <f t="shared" si="3"/>
        <v>1</v>
      </c>
    </row>
    <row r="51" spans="1:33">
      <c r="B51" s="1" t="s">
        <v>285</v>
      </c>
      <c r="C51" s="622">
        <v>209190</v>
      </c>
      <c r="D51" s="2" t="s">
        <v>605</v>
      </c>
      <c r="E51" s="3" t="s">
        <v>672</v>
      </c>
      <c r="F51" s="3" t="s">
        <v>478</v>
      </c>
      <c r="G51" s="30">
        <v>0</v>
      </c>
      <c r="H51" s="21">
        <v>0</v>
      </c>
      <c r="I51" s="21">
        <v>-2016</v>
      </c>
      <c r="J51" s="21">
        <v>0</v>
      </c>
      <c r="K51" s="21">
        <v>0</v>
      </c>
      <c r="L51" s="21">
        <v>0</v>
      </c>
      <c r="M51" s="21">
        <v>143847</v>
      </c>
      <c r="N51" s="21">
        <v>143847</v>
      </c>
      <c r="O51" s="21">
        <v>0</v>
      </c>
      <c r="P51" s="21">
        <v>0</v>
      </c>
      <c r="Q51" s="21"/>
      <c r="R51" s="21"/>
      <c r="S51" s="21">
        <v>0</v>
      </c>
      <c r="T51" s="517">
        <v>0</v>
      </c>
      <c r="U51" s="517">
        <v>0</v>
      </c>
      <c r="V51" s="517">
        <v>0</v>
      </c>
      <c r="W51" s="517">
        <v>0</v>
      </c>
      <c r="X51" s="517">
        <v>0</v>
      </c>
      <c r="Y51" s="517">
        <v>0</v>
      </c>
      <c r="Z51" s="517">
        <v>0</v>
      </c>
      <c r="AA51" s="517">
        <f>IFERROR(VLOOKUP(C51,'전사시산표(3단계)_1013'!$C:$L,10,0),0)</f>
        <v>0</v>
      </c>
      <c r="AB51" s="517"/>
      <c r="AC51" s="517"/>
      <c r="AD51" s="517">
        <f t="shared" si="6"/>
        <v>0</v>
      </c>
      <c r="AE51" s="21">
        <f t="shared" si="1"/>
        <v>0</v>
      </c>
      <c r="AF51" s="38" t="str">
        <f t="shared" si="2"/>
        <v/>
      </c>
      <c r="AG51" s="630" t="b">
        <f t="shared" si="3"/>
        <v>1</v>
      </c>
    </row>
    <row r="52" spans="1:33">
      <c r="B52" s="1" t="s">
        <v>285</v>
      </c>
      <c r="C52" s="622">
        <v>209300</v>
      </c>
      <c r="D52" s="2" t="s">
        <v>721</v>
      </c>
      <c r="E52" s="3" t="s">
        <v>673</v>
      </c>
      <c r="F52" s="3" t="s">
        <v>1300</v>
      </c>
      <c r="G52" s="30">
        <v>0</v>
      </c>
      <c r="H52" s="21">
        <v>0</v>
      </c>
      <c r="I52" s="21">
        <v>160155870</v>
      </c>
      <c r="J52" s="21">
        <v>160155870</v>
      </c>
      <c r="K52" s="21">
        <v>14556090</v>
      </c>
      <c r="L52" s="21">
        <v>0</v>
      </c>
      <c r="M52" s="21">
        <v>941834977</v>
      </c>
      <c r="N52" s="21">
        <v>941834977</v>
      </c>
      <c r="O52" s="21">
        <v>0</v>
      </c>
      <c r="P52" s="21">
        <v>0</v>
      </c>
      <c r="Q52" s="21"/>
      <c r="R52" s="21"/>
      <c r="S52" s="21">
        <v>0</v>
      </c>
      <c r="T52" s="517">
        <v>180759125</v>
      </c>
      <c r="U52" s="517">
        <v>358194115</v>
      </c>
      <c r="V52" s="517">
        <v>610886580</v>
      </c>
      <c r="W52" s="517">
        <v>951237869</v>
      </c>
      <c r="X52" s="517">
        <v>1358376999</v>
      </c>
      <c r="Y52" s="517">
        <v>1358376999</v>
      </c>
      <c r="Z52" s="517">
        <v>0</v>
      </c>
      <c r="AA52" s="517">
        <f>IFERROR(VLOOKUP(C52,'전사시산표(3단계)_1013'!$C:$L,10,0),0)</f>
        <v>711453400</v>
      </c>
      <c r="AB52" s="517"/>
      <c r="AC52" s="517"/>
      <c r="AD52" s="517">
        <f t="shared" si="6"/>
        <v>711453400</v>
      </c>
      <c r="AE52" s="21">
        <f t="shared" si="1"/>
        <v>-646923599</v>
      </c>
      <c r="AF52" s="38">
        <f t="shared" si="2"/>
        <v>-0.47624746257942197</v>
      </c>
      <c r="AG52" s="630" t="b">
        <f t="shared" si="3"/>
        <v>1</v>
      </c>
    </row>
    <row r="53" spans="1:33">
      <c r="B53" s="1" t="s">
        <v>285</v>
      </c>
      <c r="C53" s="622">
        <v>209010</v>
      </c>
      <c r="D53" s="2"/>
      <c r="E53" s="3" t="s">
        <v>225</v>
      </c>
      <c r="F53" s="3" t="s">
        <v>837</v>
      </c>
      <c r="G53" s="30"/>
      <c r="H53" s="21"/>
      <c r="I53" s="21">
        <v>0</v>
      </c>
      <c r="J53" s="21">
        <v>421200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/>
      <c r="R53" s="21"/>
      <c r="S53" s="21">
        <v>0</v>
      </c>
      <c r="T53" s="517">
        <v>0</v>
      </c>
      <c r="U53" s="517">
        <v>0</v>
      </c>
      <c r="V53" s="517">
        <v>0</v>
      </c>
      <c r="W53" s="517">
        <v>0</v>
      </c>
      <c r="X53" s="517">
        <v>471600</v>
      </c>
      <c r="Y53" s="517">
        <v>0</v>
      </c>
      <c r="Z53" s="517">
        <v>0</v>
      </c>
      <c r="AA53" s="517">
        <f>IFERROR(VLOOKUP(C53,'전사시산표(3단계)_1013'!$C:$L,10,0),0)</f>
        <v>0</v>
      </c>
      <c r="AB53" s="517"/>
      <c r="AC53" s="517"/>
      <c r="AD53" s="517">
        <f t="shared" si="6"/>
        <v>0</v>
      </c>
      <c r="AE53" s="21">
        <f t="shared" si="1"/>
        <v>-471600</v>
      </c>
      <c r="AF53" s="38">
        <f t="shared" si="2"/>
        <v>-1</v>
      </c>
      <c r="AG53" s="630" t="b">
        <f t="shared" si="3"/>
        <v>1</v>
      </c>
    </row>
    <row r="54" spans="1:33">
      <c r="B54" s="1" t="s">
        <v>285</v>
      </c>
      <c r="C54" s="622">
        <v>209020</v>
      </c>
      <c r="D54" s="2" t="s">
        <v>605</v>
      </c>
      <c r="E54" s="3" t="s">
        <v>224</v>
      </c>
      <c r="F54" s="3" t="s">
        <v>478</v>
      </c>
      <c r="G54" s="30">
        <v>0</v>
      </c>
      <c r="H54" s="21">
        <v>0</v>
      </c>
      <c r="I54" s="21">
        <v>1148800</v>
      </c>
      <c r="J54" s="21">
        <v>124320</v>
      </c>
      <c r="K54" s="21">
        <v>2758050</v>
      </c>
      <c r="L54" s="21">
        <v>713460</v>
      </c>
      <c r="M54" s="21">
        <v>945360</v>
      </c>
      <c r="N54" s="21">
        <v>654640</v>
      </c>
      <c r="O54" s="21">
        <v>48986080</v>
      </c>
      <c r="P54" s="21">
        <v>0</v>
      </c>
      <c r="Q54" s="21"/>
      <c r="R54" s="21"/>
      <c r="S54" s="21">
        <v>0</v>
      </c>
      <c r="T54" s="517">
        <v>0</v>
      </c>
      <c r="U54" s="517">
        <v>0</v>
      </c>
      <c r="V54" s="517">
        <v>166393640</v>
      </c>
      <c r="W54" s="517">
        <v>2191820</v>
      </c>
      <c r="X54" s="517">
        <v>3798580</v>
      </c>
      <c r="Y54" s="517">
        <v>0</v>
      </c>
      <c r="Z54" s="517">
        <v>123578700</v>
      </c>
      <c r="AA54" s="517">
        <f>IFERROR(VLOOKUP(C54,'전사시산표(3단계)_1013'!$C:$L,10,0),0)</f>
        <v>0</v>
      </c>
      <c r="AB54" s="517"/>
      <c r="AC54" s="517"/>
      <c r="AD54" s="517">
        <f t="shared" si="6"/>
        <v>0</v>
      </c>
      <c r="AE54" s="21">
        <f t="shared" si="1"/>
        <v>-3798580</v>
      </c>
      <c r="AF54" s="38">
        <f t="shared" si="2"/>
        <v>-1</v>
      </c>
      <c r="AG54" s="630" t="b">
        <f t="shared" si="3"/>
        <v>1</v>
      </c>
    </row>
    <row r="55" spans="1:33">
      <c r="B55" s="1" t="s">
        <v>285</v>
      </c>
      <c r="C55" s="622">
        <v>209030</v>
      </c>
      <c r="D55" s="2" t="s">
        <v>605</v>
      </c>
      <c r="E55" s="3" t="s">
        <v>223</v>
      </c>
      <c r="F55" s="3" t="s">
        <v>232</v>
      </c>
      <c r="G55" s="30">
        <v>374246580</v>
      </c>
      <c r="H55" s="21">
        <v>389488860</v>
      </c>
      <c r="I55" s="21">
        <v>23151900</v>
      </c>
      <c r="J55" s="21">
        <v>57913884</v>
      </c>
      <c r="K55" s="21">
        <v>40566000</v>
      </c>
      <c r="L55" s="21">
        <v>891920</v>
      </c>
      <c r="M55" s="21">
        <v>2048000</v>
      </c>
      <c r="N55" s="21">
        <v>43232487</v>
      </c>
      <c r="O55" s="21">
        <v>79945060</v>
      </c>
      <c r="P55" s="21">
        <v>-19646070</v>
      </c>
      <c r="Q55" s="21"/>
      <c r="R55" s="21"/>
      <c r="S55" s="21">
        <v>-19646070</v>
      </c>
      <c r="T55" s="517">
        <v>15156600</v>
      </c>
      <c r="U55" s="517">
        <v>63172300</v>
      </c>
      <c r="V55" s="517">
        <v>40535620</v>
      </c>
      <c r="W55" s="517">
        <v>10952820</v>
      </c>
      <c r="X55" s="517">
        <v>4446460</v>
      </c>
      <c r="Y55" s="517">
        <v>48623390</v>
      </c>
      <c r="Z55" s="517">
        <v>1962650</v>
      </c>
      <c r="AA55" s="517">
        <f>IFERROR(VLOOKUP(C55,'전사시산표(3단계)_1013'!$C:$L,10,0),0)</f>
        <v>2187290</v>
      </c>
      <c r="AB55" s="517"/>
      <c r="AC55" s="517"/>
      <c r="AD55" s="517">
        <f t="shared" si="6"/>
        <v>2187290</v>
      </c>
      <c r="AE55" s="21">
        <f t="shared" si="1"/>
        <v>-2259170</v>
      </c>
      <c r="AF55" s="38">
        <f t="shared" si="2"/>
        <v>-0.50808283443458391</v>
      </c>
      <c r="AG55" s="630" t="b">
        <f t="shared" si="3"/>
        <v>1</v>
      </c>
    </row>
    <row r="56" spans="1:33">
      <c r="B56" s="1" t="s">
        <v>285</v>
      </c>
      <c r="C56" s="622">
        <v>209040</v>
      </c>
      <c r="D56" s="2" t="s">
        <v>605</v>
      </c>
      <c r="E56" s="3" t="s">
        <v>662</v>
      </c>
      <c r="F56" s="3" t="s">
        <v>232</v>
      </c>
      <c r="G56" s="30">
        <v>0</v>
      </c>
      <c r="H56" s="21">
        <v>0</v>
      </c>
      <c r="I56" s="21">
        <v>0</v>
      </c>
      <c r="J56" s="21">
        <v>0</v>
      </c>
      <c r="K56" s="21"/>
      <c r="L56" s="21">
        <v>1249820</v>
      </c>
      <c r="M56" s="21">
        <v>0</v>
      </c>
      <c r="N56" s="21">
        <v>0</v>
      </c>
      <c r="O56" s="21">
        <v>6617560</v>
      </c>
      <c r="P56" s="21">
        <v>0</v>
      </c>
      <c r="Q56" s="21"/>
      <c r="R56" s="21"/>
      <c r="S56" s="21">
        <v>0</v>
      </c>
      <c r="T56" s="517">
        <v>166510</v>
      </c>
      <c r="U56" s="517">
        <v>0</v>
      </c>
      <c r="V56" s="517">
        <v>0</v>
      </c>
      <c r="W56" s="517">
        <v>525360</v>
      </c>
      <c r="X56" s="517">
        <v>2461020</v>
      </c>
      <c r="Y56" s="517">
        <v>440070</v>
      </c>
      <c r="Z56" s="517">
        <v>0</v>
      </c>
      <c r="AA56" s="517">
        <f>IFERROR(VLOOKUP(C56,'전사시산표(3단계)_1013'!$C:$L,10,0),0)</f>
        <v>0</v>
      </c>
      <c r="AB56" s="517"/>
      <c r="AC56" s="517"/>
      <c r="AD56" s="517">
        <f t="shared" si="6"/>
        <v>0</v>
      </c>
      <c r="AE56" s="21">
        <f t="shared" si="1"/>
        <v>-2461020</v>
      </c>
      <c r="AF56" s="38">
        <f t="shared" si="2"/>
        <v>-1</v>
      </c>
      <c r="AG56" s="630" t="b">
        <f t="shared" si="3"/>
        <v>1</v>
      </c>
    </row>
    <row r="57" spans="1:33" s="630" customFormat="1">
      <c r="A57" s="23"/>
      <c r="B57" s="55" t="s">
        <v>276</v>
      </c>
      <c r="C57" s="56"/>
      <c r="D57" s="56"/>
      <c r="E57" s="57" t="s">
        <v>1378</v>
      </c>
      <c r="F57" s="57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61"/>
      <c r="T57" s="61"/>
      <c r="U57" s="59"/>
      <c r="V57" s="59"/>
      <c r="W57" s="59"/>
      <c r="X57" s="59">
        <v>200000000</v>
      </c>
      <c r="Y57" s="59">
        <v>200000000</v>
      </c>
      <c r="Z57" s="59">
        <v>200000000</v>
      </c>
      <c r="AA57" s="59">
        <f>AA58</f>
        <v>200000000</v>
      </c>
      <c r="AB57" s="59"/>
      <c r="AC57" s="59"/>
      <c r="AD57" s="61">
        <f t="shared" ref="AC57:AD59" si="9">AD58</f>
        <v>200000000</v>
      </c>
      <c r="AE57" s="61">
        <f t="shared" si="1"/>
        <v>0</v>
      </c>
      <c r="AF57" s="62">
        <f t="shared" si="2"/>
        <v>0</v>
      </c>
      <c r="AG57" s="630" t="b">
        <f t="shared" ref="AG57:AG58" si="10">AD57=AA57</f>
        <v>1</v>
      </c>
    </row>
    <row r="58" spans="1:33" s="630" customFormat="1">
      <c r="A58" s="23"/>
      <c r="B58" s="7" t="s">
        <v>284</v>
      </c>
      <c r="C58" s="5">
        <v>206190</v>
      </c>
      <c r="D58" s="5">
        <v>2139</v>
      </c>
      <c r="E58" s="6" t="s">
        <v>1377</v>
      </c>
      <c r="F58" s="6" t="s">
        <v>1378</v>
      </c>
      <c r="G58" s="31"/>
      <c r="H58" s="22"/>
      <c r="I58" s="22"/>
      <c r="J58" s="22"/>
      <c r="K58" s="21"/>
      <c r="L58" s="21"/>
      <c r="M58" s="21"/>
      <c r="N58" s="21"/>
      <c r="O58" s="21"/>
      <c r="P58" s="21"/>
      <c r="Q58" s="22"/>
      <c r="R58" s="22"/>
      <c r="S58" s="21"/>
      <c r="T58" s="21"/>
      <c r="U58" s="21"/>
      <c r="V58" s="21"/>
      <c r="W58" s="21"/>
      <c r="X58" s="21">
        <v>200000000</v>
      </c>
      <c r="Y58" s="21">
        <v>200000000</v>
      </c>
      <c r="Z58" s="21">
        <v>200000000</v>
      </c>
      <c r="AA58" s="21">
        <f>IFERROR(VLOOKUP(C58,'전사시산표(3단계)_1013'!$C:$L,10,0),0)</f>
        <v>200000000</v>
      </c>
      <c r="AB58" s="22"/>
      <c r="AC58" s="22"/>
      <c r="AD58" s="21">
        <f t="shared" ref="AD58" si="11">AA58+AB58-AC58</f>
        <v>200000000</v>
      </c>
      <c r="AE58" s="21">
        <f t="shared" si="1"/>
        <v>0</v>
      </c>
      <c r="AF58" s="38">
        <f t="shared" si="2"/>
        <v>0</v>
      </c>
      <c r="AG58" s="630" t="b">
        <f t="shared" si="10"/>
        <v>1</v>
      </c>
    </row>
    <row r="59" spans="1:33">
      <c r="B59" s="55" t="s">
        <v>824</v>
      </c>
      <c r="C59" s="56">
        <v>28000</v>
      </c>
      <c r="D59" s="56"/>
      <c r="E59" s="57" t="s">
        <v>775</v>
      </c>
      <c r="F59" s="57"/>
      <c r="G59" s="59">
        <v>0</v>
      </c>
      <c r="H59" s="59">
        <v>0</v>
      </c>
      <c r="I59" s="59">
        <v>0</v>
      </c>
      <c r="J59" s="59">
        <v>2216274010</v>
      </c>
      <c r="K59" s="59">
        <v>2234051524</v>
      </c>
      <c r="L59" s="59">
        <v>2141753917</v>
      </c>
      <c r="M59" s="59">
        <v>1900113840</v>
      </c>
      <c r="N59" s="59">
        <v>1644935484</v>
      </c>
      <c r="O59" s="59">
        <v>1387710250</v>
      </c>
      <c r="P59" s="59">
        <v>2316813615</v>
      </c>
      <c r="Q59" s="59">
        <v>0</v>
      </c>
      <c r="R59" s="59">
        <v>0</v>
      </c>
      <c r="S59" s="61">
        <v>2316813615</v>
      </c>
      <c r="T59" s="61">
        <v>1920346684</v>
      </c>
      <c r="U59" s="59">
        <v>1502296637</v>
      </c>
      <c r="V59" s="59">
        <v>1397034809</v>
      </c>
      <c r="W59" s="59">
        <v>1755468431</v>
      </c>
      <c r="X59" s="59">
        <v>1412021642</v>
      </c>
      <c r="Y59" s="59">
        <v>945638085</v>
      </c>
      <c r="Z59" s="59">
        <v>267209989</v>
      </c>
      <c r="AA59" s="59">
        <f>AA60</f>
        <v>67077931</v>
      </c>
      <c r="AB59" s="59">
        <f>AB60</f>
        <v>0</v>
      </c>
      <c r="AC59" s="59">
        <f t="shared" si="9"/>
        <v>0</v>
      </c>
      <c r="AD59" s="61">
        <f t="shared" si="9"/>
        <v>67077931</v>
      </c>
      <c r="AE59" s="61">
        <f t="shared" si="1"/>
        <v>-1344943711</v>
      </c>
      <c r="AF59" s="62">
        <f t="shared" si="2"/>
        <v>-0.95249511126119124</v>
      </c>
      <c r="AG59" s="630" t="b">
        <f t="shared" si="3"/>
        <v>1</v>
      </c>
    </row>
    <row r="60" spans="1:33" s="11" customFormat="1">
      <c r="A60" s="24"/>
      <c r="B60" s="7" t="s">
        <v>825</v>
      </c>
      <c r="C60" s="5">
        <v>286100</v>
      </c>
      <c r="D60" s="5" t="s">
        <v>912</v>
      </c>
      <c r="E60" s="6" t="s">
        <v>926</v>
      </c>
      <c r="F60" s="6" t="s">
        <v>1130</v>
      </c>
      <c r="G60" s="31">
        <v>0</v>
      </c>
      <c r="H60" s="22">
        <v>0</v>
      </c>
      <c r="I60" s="22">
        <v>0</v>
      </c>
      <c r="J60" s="22">
        <v>2216274010</v>
      </c>
      <c r="K60" s="21">
        <v>2234051524</v>
      </c>
      <c r="L60" s="21">
        <v>2141753917</v>
      </c>
      <c r="M60" s="21">
        <v>1900113840</v>
      </c>
      <c r="N60" s="21">
        <v>1644935484</v>
      </c>
      <c r="O60" s="21">
        <v>1387710250</v>
      </c>
      <c r="P60" s="21">
        <v>2316813615</v>
      </c>
      <c r="Q60" s="22"/>
      <c r="R60" s="22"/>
      <c r="S60" s="21">
        <v>2316813615</v>
      </c>
      <c r="T60" s="21">
        <v>1920346684</v>
      </c>
      <c r="U60" s="21">
        <v>1502296637</v>
      </c>
      <c r="V60" s="21">
        <v>1397034809</v>
      </c>
      <c r="W60" s="21">
        <v>1755468431</v>
      </c>
      <c r="X60" s="21">
        <v>1412021642</v>
      </c>
      <c r="Y60" s="21">
        <v>945638085</v>
      </c>
      <c r="Z60" s="21">
        <v>267209989</v>
      </c>
      <c r="AA60" s="21">
        <f>IFERROR(VLOOKUP(C60,'전사시산표(3단계)_1013'!$C:$L,10,0),0)</f>
        <v>67077931</v>
      </c>
      <c r="AB60" s="22"/>
      <c r="AC60" s="22"/>
      <c r="AD60" s="21">
        <f t="shared" ref="AD60:AD90" si="12">AA60+AB60-AC60</f>
        <v>67077931</v>
      </c>
      <c r="AE60" s="21">
        <f t="shared" si="1"/>
        <v>-1344943711</v>
      </c>
      <c r="AF60" s="38">
        <f t="shared" si="2"/>
        <v>-0.95249511126119124</v>
      </c>
      <c r="AG60" s="630" t="b">
        <f t="shared" si="3"/>
        <v>1</v>
      </c>
    </row>
    <row r="61" spans="1:33">
      <c r="B61" s="55" t="s">
        <v>276</v>
      </c>
      <c r="C61" s="56">
        <v>20710</v>
      </c>
      <c r="D61" s="56"/>
      <c r="E61" s="57" t="s">
        <v>222</v>
      </c>
      <c r="F61" s="57"/>
      <c r="G61" s="59">
        <f>SUM(G62)</f>
        <v>-447733822</v>
      </c>
      <c r="H61" s="59">
        <f>SUM(H62)</f>
        <v>-447733822</v>
      </c>
      <c r="I61" s="59">
        <v>-469733822</v>
      </c>
      <c r="J61" s="59">
        <v>-469741645</v>
      </c>
      <c r="K61" s="59">
        <v>-476744721</v>
      </c>
      <c r="L61" s="59">
        <v>-509266464</v>
      </c>
      <c r="M61" s="59">
        <v>-416978467</v>
      </c>
      <c r="N61" s="59">
        <v>-425458203</v>
      </c>
      <c r="O61" s="59">
        <v>-416986791</v>
      </c>
      <c r="P61" s="59">
        <v>-416982002</v>
      </c>
      <c r="Q61" s="59">
        <v>0</v>
      </c>
      <c r="R61" s="59">
        <v>0</v>
      </c>
      <c r="S61" s="61">
        <v>-416982002</v>
      </c>
      <c r="T61" s="61">
        <v>-420478155</v>
      </c>
      <c r="U61" s="59">
        <v>-418510299</v>
      </c>
      <c r="V61" s="59">
        <v>-417002215</v>
      </c>
      <c r="W61" s="59">
        <v>-1836585394</v>
      </c>
      <c r="X61" s="59">
        <v>-1856467196</v>
      </c>
      <c r="Y61" s="59">
        <v>-1856489081</v>
      </c>
      <c r="Z61" s="59">
        <v>-1856490792</v>
      </c>
      <c r="AA61" s="59">
        <f>SUM(AA62)</f>
        <v>-1856461050</v>
      </c>
      <c r="AB61" s="59">
        <f>SUM(AB62)</f>
        <v>0</v>
      </c>
      <c r="AC61" s="59">
        <f>SUM(AC62)</f>
        <v>0</v>
      </c>
      <c r="AD61" s="61">
        <f t="shared" si="12"/>
        <v>-1856461050</v>
      </c>
      <c r="AE61" s="61">
        <f t="shared" si="1"/>
        <v>6146</v>
      </c>
      <c r="AF61" s="62">
        <f t="shared" si="2"/>
        <v>-3.310589065749374E-6</v>
      </c>
      <c r="AG61" s="630" t="b">
        <f t="shared" si="3"/>
        <v>1</v>
      </c>
    </row>
    <row r="62" spans="1:33">
      <c r="B62" s="1" t="s">
        <v>285</v>
      </c>
      <c r="C62" s="2">
        <v>209900</v>
      </c>
      <c r="D62" s="2" t="s">
        <v>606</v>
      </c>
      <c r="E62" s="3" t="s">
        <v>222</v>
      </c>
      <c r="F62" s="3" t="s">
        <v>478</v>
      </c>
      <c r="G62" s="30">
        <v>-447733822</v>
      </c>
      <c r="H62" s="21">
        <v>-447733822</v>
      </c>
      <c r="I62" s="21">
        <v>-469733822</v>
      </c>
      <c r="J62" s="21">
        <v>-469741645</v>
      </c>
      <c r="K62" s="21">
        <v>-476744721</v>
      </c>
      <c r="L62" s="21">
        <v>-509266464</v>
      </c>
      <c r="M62" s="21">
        <v>-416978467</v>
      </c>
      <c r="N62" s="21">
        <v>-425458203</v>
      </c>
      <c r="O62" s="21">
        <v>-416986791</v>
      </c>
      <c r="P62" s="21">
        <v>-416982002</v>
      </c>
      <c r="Q62" s="21"/>
      <c r="R62" s="21"/>
      <c r="S62" s="21">
        <v>-416982002</v>
      </c>
      <c r="T62" s="517">
        <v>-420478155</v>
      </c>
      <c r="U62" s="517">
        <v>-418510299</v>
      </c>
      <c r="V62" s="517">
        <v>-417002215</v>
      </c>
      <c r="W62" s="517">
        <v>-1836585394</v>
      </c>
      <c r="X62" s="517">
        <v>-1856467196</v>
      </c>
      <c r="Y62" s="517">
        <v>-1856489081</v>
      </c>
      <c r="Z62" s="517">
        <v>-1856490792</v>
      </c>
      <c r="AA62" s="517">
        <f>IFERROR(VLOOKUP(C62,'전사시산표(3단계)_1013'!$C:$L,10,0),0)</f>
        <v>-1856461050</v>
      </c>
      <c r="AB62" s="517"/>
      <c r="AC62" s="517"/>
      <c r="AD62" s="517">
        <f t="shared" si="12"/>
        <v>-1856461050</v>
      </c>
      <c r="AE62" s="21">
        <f t="shared" si="1"/>
        <v>6146</v>
      </c>
      <c r="AF62" s="38">
        <f t="shared" si="2"/>
        <v>-3.310589065749374E-6</v>
      </c>
      <c r="AG62" s="630" t="b">
        <f t="shared" si="3"/>
        <v>1</v>
      </c>
    </row>
    <row r="63" spans="1:33">
      <c r="B63" s="55" t="s">
        <v>290</v>
      </c>
      <c r="C63" s="56">
        <v>21000</v>
      </c>
      <c r="D63" s="56"/>
      <c r="E63" s="57" t="s">
        <v>221</v>
      </c>
      <c r="F63" s="57"/>
      <c r="G63" s="59">
        <f>SUM(G64:G65)</f>
        <v>914761212</v>
      </c>
      <c r="H63" s="59">
        <f>SUM(H64:H65)</f>
        <v>884349631</v>
      </c>
      <c r="I63" s="59">
        <v>3287940390</v>
      </c>
      <c r="J63" s="59">
        <v>3665448894</v>
      </c>
      <c r="K63" s="59">
        <v>4137099041</v>
      </c>
      <c r="L63" s="59">
        <v>4243739949</v>
      </c>
      <c r="M63" s="59">
        <v>2108037541</v>
      </c>
      <c r="N63" s="59">
        <v>2746451514</v>
      </c>
      <c r="O63" s="59">
        <v>2827967025</v>
      </c>
      <c r="P63" s="59">
        <v>3736742259</v>
      </c>
      <c r="Q63" s="59">
        <v>0</v>
      </c>
      <c r="R63" s="59">
        <v>0</v>
      </c>
      <c r="S63" s="61">
        <v>3736742259</v>
      </c>
      <c r="T63" s="61">
        <v>378340509</v>
      </c>
      <c r="U63" s="59">
        <v>712278622</v>
      </c>
      <c r="V63" s="59">
        <v>937720474</v>
      </c>
      <c r="W63" s="59">
        <v>1037178559</v>
      </c>
      <c r="X63" s="59">
        <v>182042767</v>
      </c>
      <c r="Y63" s="59">
        <v>361084246</v>
      </c>
      <c r="Z63" s="59">
        <v>542273973</v>
      </c>
      <c r="AA63" s="59">
        <f>SUM(AA64:AA65)</f>
        <v>692328766</v>
      </c>
      <c r="AB63" s="59">
        <f>SUM(AB64:AB65)</f>
        <v>0</v>
      </c>
      <c r="AC63" s="59">
        <f>SUM(AC64:AC65)</f>
        <v>0</v>
      </c>
      <c r="AD63" s="61">
        <f t="shared" si="12"/>
        <v>692328766</v>
      </c>
      <c r="AE63" s="61">
        <f t="shared" si="1"/>
        <v>510285999</v>
      </c>
      <c r="AF63" s="62">
        <f t="shared" si="2"/>
        <v>2.8031105405028258</v>
      </c>
      <c r="AG63" s="630" t="b">
        <f t="shared" si="3"/>
        <v>1</v>
      </c>
    </row>
    <row r="64" spans="1:33" s="11" customFormat="1">
      <c r="A64" s="24"/>
      <c r="B64" s="1" t="s">
        <v>285</v>
      </c>
      <c r="C64" s="2">
        <v>210100</v>
      </c>
      <c r="D64" s="2" t="s">
        <v>607</v>
      </c>
      <c r="E64" s="3" t="s">
        <v>220</v>
      </c>
      <c r="F64" s="3" t="s">
        <v>221</v>
      </c>
      <c r="G64" s="30">
        <v>0</v>
      </c>
      <c r="H64" s="21">
        <v>79389497</v>
      </c>
      <c r="I64" s="21">
        <v>2493997525</v>
      </c>
      <c r="J64" s="21">
        <v>2925248356</v>
      </c>
      <c r="K64" s="21">
        <v>3449207204</v>
      </c>
      <c r="L64" s="21">
        <v>3607440000</v>
      </c>
      <c r="M64" s="21">
        <v>1523329480</v>
      </c>
      <c r="N64" s="21">
        <v>2213335341</v>
      </c>
      <c r="O64" s="21">
        <v>2346442740</v>
      </c>
      <c r="P64" s="21">
        <v>3306809862</v>
      </c>
      <c r="Q64" s="21"/>
      <c r="R64" s="21"/>
      <c r="S64" s="21">
        <v>3306809862</v>
      </c>
      <c r="T64" s="21">
        <v>0</v>
      </c>
      <c r="U64" s="21">
        <v>385530001</v>
      </c>
      <c r="V64" s="21">
        <v>662563741</v>
      </c>
      <c r="W64" s="21">
        <v>813613714</v>
      </c>
      <c r="X64" s="21">
        <v>182042767</v>
      </c>
      <c r="Y64" s="21">
        <v>361084246</v>
      </c>
      <c r="Z64" s="21">
        <v>542273973</v>
      </c>
      <c r="AA64" s="21">
        <f>IFERROR(VLOOKUP(C64,'전사시산표(3단계)_1013'!$C:$L,10,0),0)</f>
        <v>692328766</v>
      </c>
      <c r="AB64" s="21"/>
      <c r="AC64" s="21"/>
      <c r="AD64" s="21">
        <f t="shared" si="12"/>
        <v>692328766</v>
      </c>
      <c r="AE64" s="21">
        <f t="shared" si="1"/>
        <v>510285999</v>
      </c>
      <c r="AF64" s="38">
        <f t="shared" si="2"/>
        <v>2.8031105405028258</v>
      </c>
      <c r="AG64" s="630" t="b">
        <f t="shared" si="3"/>
        <v>1</v>
      </c>
    </row>
    <row r="65" spans="1:33" s="11" customFormat="1">
      <c r="A65" s="24"/>
      <c r="B65" s="7" t="s">
        <v>291</v>
      </c>
      <c r="C65" s="5">
        <v>210900</v>
      </c>
      <c r="D65" s="5" t="s">
        <v>608</v>
      </c>
      <c r="E65" s="6" t="s">
        <v>219</v>
      </c>
      <c r="F65" s="6" t="s">
        <v>475</v>
      </c>
      <c r="G65" s="31">
        <v>914761212</v>
      </c>
      <c r="H65" s="22">
        <v>804960134</v>
      </c>
      <c r="I65" s="21">
        <v>793942865</v>
      </c>
      <c r="J65" s="22">
        <v>740200538</v>
      </c>
      <c r="K65" s="22">
        <v>687891837</v>
      </c>
      <c r="L65" s="22">
        <v>636299949</v>
      </c>
      <c r="M65" s="22">
        <v>584708061</v>
      </c>
      <c r="N65" s="22">
        <v>533116173</v>
      </c>
      <c r="O65" s="22">
        <v>481524285</v>
      </c>
      <c r="P65" s="22">
        <v>429932397</v>
      </c>
      <c r="Q65" s="22"/>
      <c r="R65" s="22"/>
      <c r="S65" s="21">
        <v>429932397</v>
      </c>
      <c r="T65" s="517">
        <v>378340509</v>
      </c>
      <c r="U65" s="519">
        <v>326748621</v>
      </c>
      <c r="V65" s="519">
        <v>275156733</v>
      </c>
      <c r="W65" s="519">
        <v>223564845</v>
      </c>
      <c r="X65" s="519">
        <v>0</v>
      </c>
      <c r="Y65" s="519">
        <v>0</v>
      </c>
      <c r="Z65" s="519">
        <v>0</v>
      </c>
      <c r="AA65" s="519">
        <f>IFERROR(VLOOKUP(C65,'전사시산표(3단계)_1013'!$C:$L,10,0),0)</f>
        <v>0</v>
      </c>
      <c r="AB65" s="519"/>
      <c r="AC65" s="519"/>
      <c r="AD65" s="517">
        <f t="shared" si="12"/>
        <v>0</v>
      </c>
      <c r="AE65" s="21">
        <f t="shared" si="1"/>
        <v>0</v>
      </c>
      <c r="AF65" s="38" t="str">
        <f t="shared" si="2"/>
        <v/>
      </c>
      <c r="AG65" s="630" t="b">
        <f t="shared" si="3"/>
        <v>1</v>
      </c>
    </row>
    <row r="66" spans="1:33">
      <c r="B66" s="55" t="s">
        <v>276</v>
      </c>
      <c r="C66" s="56">
        <v>22610</v>
      </c>
      <c r="D66" s="56"/>
      <c r="E66" s="57" t="s">
        <v>208</v>
      </c>
      <c r="F66" s="57"/>
      <c r="G66" s="59">
        <f>SUM(G67)</f>
        <v>0</v>
      </c>
      <c r="H66" s="59">
        <f>SUM(H67)</f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61">
        <v>0</v>
      </c>
      <c r="T66" s="61">
        <v>0</v>
      </c>
      <c r="U66" s="59">
        <v>0</v>
      </c>
      <c r="V66" s="59">
        <v>0</v>
      </c>
      <c r="W66" s="59">
        <v>0</v>
      </c>
      <c r="X66" s="59">
        <v>0</v>
      </c>
      <c r="Y66" s="59">
        <v>0</v>
      </c>
      <c r="Z66" s="59">
        <v>0</v>
      </c>
      <c r="AA66" s="59">
        <f>SUM(AA67)</f>
        <v>0</v>
      </c>
      <c r="AB66" s="59">
        <f>SUM(AB67)</f>
        <v>0</v>
      </c>
      <c r="AC66" s="59">
        <f>SUM(AC67)</f>
        <v>0</v>
      </c>
      <c r="AD66" s="61">
        <f t="shared" si="12"/>
        <v>0</v>
      </c>
      <c r="AE66" s="61">
        <f t="shared" si="1"/>
        <v>0</v>
      </c>
      <c r="AF66" s="62" t="str">
        <f t="shared" si="2"/>
        <v/>
      </c>
      <c r="AG66" s="630" t="b">
        <f t="shared" si="3"/>
        <v>1</v>
      </c>
    </row>
    <row r="67" spans="1:33" s="11" customFormat="1">
      <c r="A67" s="24"/>
      <c r="B67" s="1" t="s">
        <v>285</v>
      </c>
      <c r="C67" s="2">
        <v>226100</v>
      </c>
      <c r="D67" s="2"/>
      <c r="E67" s="3" t="s">
        <v>207</v>
      </c>
      <c r="F67" s="3" t="s">
        <v>1354</v>
      </c>
      <c r="G67" s="30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/>
      <c r="R67" s="21"/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f>IFERROR(VLOOKUP(C67,'전사시산표(3단계)_1013'!$C:$L,10,0),0)</f>
        <v>0</v>
      </c>
      <c r="AB67" s="21"/>
      <c r="AC67" s="21"/>
      <c r="AD67" s="21">
        <f t="shared" si="12"/>
        <v>0</v>
      </c>
      <c r="AE67" s="21">
        <f t="shared" si="1"/>
        <v>0</v>
      </c>
      <c r="AF67" s="38" t="str">
        <f t="shared" si="2"/>
        <v/>
      </c>
      <c r="AG67" s="630" t="b">
        <f t="shared" si="3"/>
        <v>1</v>
      </c>
    </row>
    <row r="68" spans="1:33">
      <c r="B68" s="55" t="s">
        <v>276</v>
      </c>
      <c r="C68" s="56"/>
      <c r="D68" s="56"/>
      <c r="E68" s="57" t="s">
        <v>1176</v>
      </c>
      <c r="F68" s="57"/>
      <c r="G68" s="59">
        <f>SUM(G69:G72)</f>
        <v>0</v>
      </c>
      <c r="H68" s="59">
        <f>SUM(H69:H72)</f>
        <v>6655290</v>
      </c>
      <c r="I68" s="59">
        <v>0</v>
      </c>
      <c r="J68" s="59">
        <v>227176180</v>
      </c>
      <c r="K68" s="59">
        <v>492593660</v>
      </c>
      <c r="L68" s="59">
        <v>657166064</v>
      </c>
      <c r="M68" s="59">
        <v>0</v>
      </c>
      <c r="N68" s="59"/>
      <c r="O68" s="59">
        <v>634050000</v>
      </c>
      <c r="P68" s="59">
        <v>634050000</v>
      </c>
      <c r="Q68" s="59">
        <v>0</v>
      </c>
      <c r="R68" s="59">
        <v>0</v>
      </c>
      <c r="S68" s="61">
        <v>634050000</v>
      </c>
      <c r="T68" s="61">
        <v>634050000</v>
      </c>
      <c r="U68" s="59">
        <v>634050000</v>
      </c>
      <c r="V68" s="59">
        <v>0</v>
      </c>
      <c r="W68" s="59">
        <v>0</v>
      </c>
      <c r="X68" s="59">
        <v>1145879900</v>
      </c>
      <c r="Y68" s="59">
        <v>1145879900</v>
      </c>
      <c r="Z68" s="59">
        <v>1145879900</v>
      </c>
      <c r="AA68" s="59">
        <f>SUM(AA69:AA71)</f>
        <v>2532050000</v>
      </c>
      <c r="AB68" s="59">
        <f>SUM(AB69:AB72)</f>
        <v>0</v>
      </c>
      <c r="AC68" s="59">
        <f>SUM(AC69:AC72)</f>
        <v>0</v>
      </c>
      <c r="AD68" s="61">
        <f t="shared" si="12"/>
        <v>2532050000</v>
      </c>
      <c r="AE68" s="61">
        <f t="shared" si="1"/>
        <v>1386170100</v>
      </c>
      <c r="AF68" s="62">
        <f t="shared" ref="AF68:AF131" si="13">IFERROR(AE68/X68,"")</f>
        <v>1.2096992887299969</v>
      </c>
      <c r="AG68" s="630" t="b">
        <f t="shared" si="3"/>
        <v>1</v>
      </c>
    </row>
    <row r="69" spans="1:33">
      <c r="B69" s="7" t="s">
        <v>285</v>
      </c>
      <c r="C69" s="5">
        <v>223201</v>
      </c>
      <c r="D69" s="5" t="s">
        <v>1174</v>
      </c>
      <c r="E69" s="6" t="s">
        <v>1175</v>
      </c>
      <c r="F69" s="6" t="s">
        <v>1227</v>
      </c>
      <c r="G69" s="31"/>
      <c r="H69" s="22"/>
      <c r="I69" s="22"/>
      <c r="J69" s="22"/>
      <c r="K69" s="22"/>
      <c r="L69" s="22"/>
      <c r="M69" s="22"/>
      <c r="N69" s="22"/>
      <c r="O69" s="22">
        <v>634050000</v>
      </c>
      <c r="P69" s="21">
        <v>0</v>
      </c>
      <c r="Q69" s="22"/>
      <c r="R69" s="22"/>
      <c r="S69" s="21">
        <v>0</v>
      </c>
      <c r="T69" s="517">
        <v>0</v>
      </c>
      <c r="U69" s="517">
        <v>0</v>
      </c>
      <c r="V69" s="517">
        <v>0</v>
      </c>
      <c r="W69" s="517">
        <v>0</v>
      </c>
      <c r="X69" s="517">
        <v>1145879900</v>
      </c>
      <c r="Y69" s="517">
        <v>1145879900</v>
      </c>
      <c r="Z69" s="517">
        <v>1145879900</v>
      </c>
      <c r="AA69" s="517">
        <f>IFERROR(VLOOKUP(C69,'전사시산표(3단계)_1013'!$C:$L,10,0),0)</f>
        <v>0</v>
      </c>
      <c r="AB69" s="519"/>
      <c r="AC69" s="519"/>
      <c r="AD69" s="517">
        <f t="shared" si="12"/>
        <v>0</v>
      </c>
      <c r="AE69" s="21">
        <f t="shared" ref="AE69:AE133" si="14">AD69-X69</f>
        <v>-1145879900</v>
      </c>
      <c r="AF69" s="38">
        <f t="shared" si="13"/>
        <v>-1</v>
      </c>
      <c r="AG69" s="630" t="b">
        <f t="shared" si="3"/>
        <v>1</v>
      </c>
    </row>
    <row r="70" spans="1:33" s="748" customFormat="1">
      <c r="A70" s="23"/>
      <c r="B70" s="7" t="s">
        <v>285</v>
      </c>
      <c r="C70" s="5">
        <v>223100</v>
      </c>
      <c r="D70" s="5" t="s">
        <v>1174</v>
      </c>
      <c r="E70" s="6" t="s">
        <v>1166</v>
      </c>
      <c r="F70" s="6" t="s">
        <v>1227</v>
      </c>
      <c r="G70" s="31"/>
      <c r="H70" s="22"/>
      <c r="I70" s="22"/>
      <c r="J70" s="22"/>
      <c r="K70" s="22"/>
      <c r="L70" s="22"/>
      <c r="M70" s="22"/>
      <c r="N70" s="22"/>
      <c r="O70" s="22"/>
      <c r="P70" s="21"/>
      <c r="Q70" s="22"/>
      <c r="R70" s="22"/>
      <c r="S70" s="21"/>
      <c r="T70" s="517"/>
      <c r="U70" s="517"/>
      <c r="V70" s="517"/>
      <c r="W70" s="517"/>
      <c r="X70" s="517"/>
      <c r="Y70" s="517"/>
      <c r="Z70" s="517"/>
      <c r="AA70" s="517">
        <f>IFERROR(VLOOKUP(C70,'전사시산표(3단계)_1013'!$C:$L,10,0),0)</f>
        <v>2532050000</v>
      </c>
      <c r="AB70" s="519"/>
      <c r="AC70" s="519"/>
      <c r="AD70" s="517">
        <f t="shared" ref="AD70" si="15">AA70+AB70-AC70</f>
        <v>2532050000</v>
      </c>
      <c r="AE70" s="21">
        <f t="shared" ref="AE70" si="16">AD70-X70</f>
        <v>2532050000</v>
      </c>
      <c r="AF70" s="38" t="str">
        <f t="shared" si="13"/>
        <v/>
      </c>
    </row>
    <row r="71" spans="1:33" s="11" customFormat="1">
      <c r="A71" s="24"/>
      <c r="B71" s="7" t="s">
        <v>285</v>
      </c>
      <c r="C71" s="5">
        <v>223200</v>
      </c>
      <c r="D71" s="5" t="s">
        <v>1174</v>
      </c>
      <c r="E71" s="6" t="s">
        <v>1201</v>
      </c>
      <c r="F71" s="6" t="s">
        <v>1226</v>
      </c>
      <c r="G71" s="31"/>
      <c r="H71" s="22"/>
      <c r="I71" s="22"/>
      <c r="J71" s="22"/>
      <c r="K71" s="22"/>
      <c r="L71" s="22"/>
      <c r="M71" s="22"/>
      <c r="N71" s="22"/>
      <c r="O71" s="22"/>
      <c r="P71" s="21">
        <v>634050000</v>
      </c>
      <c r="Q71" s="22"/>
      <c r="R71" s="22"/>
      <c r="S71" s="21">
        <v>634050000</v>
      </c>
      <c r="T71" s="21">
        <v>634050000</v>
      </c>
      <c r="U71" s="21">
        <v>634050000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f>IFERROR(VLOOKUP(C71,'전사시산표(3단계)_1013'!$C:$L,10,0),0)</f>
        <v>0</v>
      </c>
      <c r="AB71" s="22"/>
      <c r="AC71" s="22"/>
      <c r="AD71" s="21">
        <f t="shared" si="12"/>
        <v>0</v>
      </c>
      <c r="AE71" s="21">
        <f t="shared" si="14"/>
        <v>0</v>
      </c>
      <c r="AF71" s="38" t="str">
        <f t="shared" si="13"/>
        <v/>
      </c>
      <c r="AG71" s="630" t="b">
        <f t="shared" si="3"/>
        <v>1</v>
      </c>
    </row>
    <row r="72" spans="1:33">
      <c r="B72" s="55" t="s">
        <v>276</v>
      </c>
      <c r="C72" s="56">
        <v>22710</v>
      </c>
      <c r="D72" s="56"/>
      <c r="E72" s="57" t="s">
        <v>206</v>
      </c>
      <c r="F72" s="57"/>
      <c r="G72" s="59">
        <f>SUM(G73:G74)</f>
        <v>0</v>
      </c>
      <c r="H72" s="59">
        <f>SUM(H73:H74)</f>
        <v>6655290</v>
      </c>
      <c r="I72" s="59">
        <v>0</v>
      </c>
      <c r="J72" s="59">
        <v>227176180</v>
      </c>
      <c r="K72" s="59">
        <v>492593660</v>
      </c>
      <c r="L72" s="59">
        <v>657166064</v>
      </c>
      <c r="M72" s="59">
        <v>0</v>
      </c>
      <c r="N72" s="59">
        <v>170794190</v>
      </c>
      <c r="O72" s="59">
        <v>445437050</v>
      </c>
      <c r="P72" s="59">
        <v>85654467</v>
      </c>
      <c r="Q72" s="59">
        <v>0</v>
      </c>
      <c r="R72" s="59">
        <v>0</v>
      </c>
      <c r="S72" s="61">
        <v>85654467</v>
      </c>
      <c r="T72" s="61">
        <v>0</v>
      </c>
      <c r="U72" s="59">
        <v>0</v>
      </c>
      <c r="V72" s="59">
        <v>0</v>
      </c>
      <c r="W72" s="59">
        <v>0</v>
      </c>
      <c r="X72" s="59">
        <v>0</v>
      </c>
      <c r="Y72" s="59">
        <v>255458840</v>
      </c>
      <c r="Z72" s="59">
        <v>548779730</v>
      </c>
      <c r="AA72" s="59">
        <f>SUM(AA73:AA74)</f>
        <v>0</v>
      </c>
      <c r="AB72" s="59">
        <f>SUM(AB73:AB74)</f>
        <v>0</v>
      </c>
      <c r="AC72" s="59">
        <f>SUM(AC73:AC74)</f>
        <v>0</v>
      </c>
      <c r="AD72" s="61">
        <f t="shared" si="12"/>
        <v>0</v>
      </c>
      <c r="AE72" s="61">
        <f t="shared" si="14"/>
        <v>0</v>
      </c>
      <c r="AF72" s="62" t="str">
        <f t="shared" si="13"/>
        <v/>
      </c>
      <c r="AG72" s="630" t="b">
        <f t="shared" si="3"/>
        <v>1</v>
      </c>
    </row>
    <row r="73" spans="1:33" s="11" customFormat="1">
      <c r="A73" s="24"/>
      <c r="B73" s="1" t="s">
        <v>285</v>
      </c>
      <c r="C73" s="2">
        <v>227100</v>
      </c>
      <c r="D73" s="2" t="s">
        <v>602</v>
      </c>
      <c r="E73" s="3" t="s">
        <v>206</v>
      </c>
      <c r="F73" s="3" t="s">
        <v>731</v>
      </c>
      <c r="G73" s="30">
        <v>0</v>
      </c>
      <c r="H73" s="21">
        <v>6050340</v>
      </c>
      <c r="I73" s="21">
        <v>0</v>
      </c>
      <c r="J73" s="21">
        <v>206526570</v>
      </c>
      <c r="K73" s="21">
        <v>447817920</v>
      </c>
      <c r="L73" s="21">
        <v>597428451</v>
      </c>
      <c r="M73" s="21">
        <v>0</v>
      </c>
      <c r="N73" s="21">
        <v>155271640</v>
      </c>
      <c r="O73" s="21">
        <v>404951020</v>
      </c>
      <c r="P73" s="21">
        <v>77878343</v>
      </c>
      <c r="Q73" s="21"/>
      <c r="R73" s="21"/>
      <c r="S73" s="21">
        <v>77878343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232262480</v>
      </c>
      <c r="Z73" s="21">
        <v>498924920</v>
      </c>
      <c r="AA73" s="21">
        <f>IFERROR(VLOOKUP(C73,'전사시산표(3단계)_1013'!$C:$L,10,0),0)</f>
        <v>0</v>
      </c>
      <c r="AB73" s="21"/>
      <c r="AC73" s="21"/>
      <c r="AD73" s="21">
        <f t="shared" si="12"/>
        <v>0</v>
      </c>
      <c r="AE73" s="21">
        <f t="shared" si="14"/>
        <v>0</v>
      </c>
      <c r="AF73" s="38" t="str">
        <f t="shared" si="13"/>
        <v/>
      </c>
      <c r="AG73" s="630" t="b">
        <f t="shared" si="3"/>
        <v>1</v>
      </c>
    </row>
    <row r="74" spans="1:33" s="11" customFormat="1">
      <c r="A74" s="24"/>
      <c r="B74" s="1" t="s">
        <v>285</v>
      </c>
      <c r="C74" s="2">
        <v>227200</v>
      </c>
      <c r="D74" s="5" t="s">
        <v>602</v>
      </c>
      <c r="E74" s="6" t="s">
        <v>261</v>
      </c>
      <c r="F74" s="3" t="s">
        <v>731</v>
      </c>
      <c r="G74" s="31">
        <v>0</v>
      </c>
      <c r="H74" s="22">
        <v>604950</v>
      </c>
      <c r="I74" s="21">
        <v>0</v>
      </c>
      <c r="J74" s="22">
        <v>20649610</v>
      </c>
      <c r="K74" s="22">
        <v>44775740</v>
      </c>
      <c r="L74" s="22">
        <v>59737613</v>
      </c>
      <c r="M74" s="22">
        <v>0</v>
      </c>
      <c r="N74" s="22">
        <v>15522550</v>
      </c>
      <c r="O74" s="22">
        <v>40486030</v>
      </c>
      <c r="P74" s="22">
        <v>7776124</v>
      </c>
      <c r="Q74" s="22"/>
      <c r="R74" s="22"/>
      <c r="S74" s="21">
        <v>7776124</v>
      </c>
      <c r="T74" s="21">
        <v>0</v>
      </c>
      <c r="U74" s="22">
        <v>0</v>
      </c>
      <c r="V74" s="22">
        <v>0</v>
      </c>
      <c r="W74" s="22">
        <v>0</v>
      </c>
      <c r="X74" s="22">
        <v>0</v>
      </c>
      <c r="Y74" s="22">
        <v>23196360</v>
      </c>
      <c r="Z74" s="22">
        <v>49854810</v>
      </c>
      <c r="AA74" s="22">
        <f>IFERROR(VLOOKUP(C74,'전사시산표(3단계)_1013'!$C:$L,10,0),0)</f>
        <v>0</v>
      </c>
      <c r="AB74" s="22"/>
      <c r="AC74" s="22"/>
      <c r="AD74" s="21">
        <f t="shared" si="12"/>
        <v>0</v>
      </c>
      <c r="AE74" s="21">
        <f t="shared" si="14"/>
        <v>0</v>
      </c>
      <c r="AF74" s="38" t="str">
        <f t="shared" si="13"/>
        <v/>
      </c>
      <c r="AG74" s="630" t="b">
        <f t="shared" ref="AG74:AG137" si="17">AD74=AA74</f>
        <v>1</v>
      </c>
    </row>
    <row r="75" spans="1:33">
      <c r="B75" s="55" t="s">
        <v>276</v>
      </c>
      <c r="C75" s="56">
        <v>22910</v>
      </c>
      <c r="D75" s="56"/>
      <c r="E75" s="57" t="s">
        <v>293</v>
      </c>
      <c r="F75" s="57"/>
      <c r="G75" s="59">
        <f>SUM(G76)</f>
        <v>0</v>
      </c>
      <c r="H75" s="59">
        <f>SUM(H76)</f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  <c r="S75" s="61">
        <v>0</v>
      </c>
      <c r="T75" s="61">
        <v>0</v>
      </c>
      <c r="U75" s="59">
        <v>0</v>
      </c>
      <c r="V75" s="59">
        <v>0</v>
      </c>
      <c r="W75" s="59">
        <v>0</v>
      </c>
      <c r="X75" s="59">
        <v>0</v>
      </c>
      <c r="Y75" s="59">
        <v>0</v>
      </c>
      <c r="Z75" s="59">
        <v>0</v>
      </c>
      <c r="AA75" s="59">
        <f>SUM(AA76)</f>
        <v>0</v>
      </c>
      <c r="AB75" s="59">
        <f>SUM(AB76)</f>
        <v>0</v>
      </c>
      <c r="AC75" s="59">
        <f>SUM(AC76)</f>
        <v>0</v>
      </c>
      <c r="AD75" s="61">
        <f t="shared" si="12"/>
        <v>0</v>
      </c>
      <c r="AE75" s="61">
        <f t="shared" si="14"/>
        <v>0</v>
      </c>
      <c r="AF75" s="62" t="str">
        <f t="shared" si="13"/>
        <v/>
      </c>
      <c r="AG75" s="630" t="b">
        <f t="shared" si="17"/>
        <v>1</v>
      </c>
    </row>
    <row r="76" spans="1:33">
      <c r="B76" s="1" t="s">
        <v>285</v>
      </c>
      <c r="C76" s="2">
        <v>229100</v>
      </c>
      <c r="D76" s="2"/>
      <c r="E76" s="3" t="s">
        <v>294</v>
      </c>
      <c r="F76" s="3" t="s">
        <v>295</v>
      </c>
      <c r="G76" s="30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/>
      <c r="R76" s="21"/>
      <c r="S76" s="21">
        <v>0</v>
      </c>
      <c r="T76" s="517">
        <v>0</v>
      </c>
      <c r="U76" s="517">
        <v>0</v>
      </c>
      <c r="V76" s="517">
        <v>0</v>
      </c>
      <c r="W76" s="517">
        <v>0</v>
      </c>
      <c r="X76" s="517">
        <v>0</v>
      </c>
      <c r="Y76" s="517">
        <v>0</v>
      </c>
      <c r="Z76" s="517">
        <v>0</v>
      </c>
      <c r="AA76" s="517">
        <f>IFERROR(VLOOKUP(C76,'전사시산표(3단계)_1013'!$C:$L,10,0),0)</f>
        <v>0</v>
      </c>
      <c r="AB76" s="517"/>
      <c r="AC76" s="517"/>
      <c r="AD76" s="517">
        <f t="shared" si="12"/>
        <v>0</v>
      </c>
      <c r="AE76" s="21">
        <f t="shared" si="14"/>
        <v>0</v>
      </c>
      <c r="AF76" s="38" t="str">
        <f t="shared" si="13"/>
        <v/>
      </c>
      <c r="AG76" s="630" t="b">
        <f t="shared" si="17"/>
        <v>1</v>
      </c>
    </row>
    <row r="77" spans="1:33">
      <c r="B77" s="55" t="s">
        <v>276</v>
      </c>
      <c r="C77" s="56">
        <v>24300</v>
      </c>
      <c r="D77" s="56"/>
      <c r="E77" s="57" t="s">
        <v>205</v>
      </c>
      <c r="F77" s="57"/>
      <c r="G77" s="59">
        <f>SUM(G78)</f>
        <v>9010</v>
      </c>
      <c r="H77" s="59">
        <f>SUM(H78)</f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61">
        <v>0</v>
      </c>
      <c r="T77" s="61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f>SUM(AA78)</f>
        <v>0</v>
      </c>
      <c r="AB77" s="59">
        <f>SUM(AB78)</f>
        <v>0</v>
      </c>
      <c r="AC77" s="59">
        <f>SUM(AC78)</f>
        <v>0</v>
      </c>
      <c r="AD77" s="61">
        <f t="shared" si="12"/>
        <v>0</v>
      </c>
      <c r="AE77" s="61">
        <f t="shared" si="14"/>
        <v>0</v>
      </c>
      <c r="AF77" s="62" t="str">
        <f t="shared" si="13"/>
        <v/>
      </c>
      <c r="AG77" s="630" t="b">
        <f t="shared" si="17"/>
        <v>1</v>
      </c>
    </row>
    <row r="78" spans="1:33">
      <c r="B78" s="1" t="s">
        <v>285</v>
      </c>
      <c r="C78" s="2">
        <v>230100</v>
      </c>
      <c r="D78" s="2"/>
      <c r="E78" s="3" t="s">
        <v>204</v>
      </c>
      <c r="F78" s="3" t="s">
        <v>232</v>
      </c>
      <c r="G78" s="30">
        <v>9010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/>
      <c r="R78" s="21"/>
      <c r="S78" s="21">
        <v>0</v>
      </c>
      <c r="T78" s="517">
        <v>0</v>
      </c>
      <c r="U78" s="517">
        <v>0</v>
      </c>
      <c r="V78" s="517">
        <v>0</v>
      </c>
      <c r="W78" s="517">
        <v>0</v>
      </c>
      <c r="X78" s="517">
        <v>0</v>
      </c>
      <c r="Y78" s="517">
        <v>0</v>
      </c>
      <c r="Z78" s="517">
        <v>0</v>
      </c>
      <c r="AA78" s="517">
        <f>IFERROR(VLOOKUP(C78,'전사시산표(3단계)_1013'!$C:$L,10,0),0)</f>
        <v>0</v>
      </c>
      <c r="AB78" s="517"/>
      <c r="AC78" s="517"/>
      <c r="AD78" s="517">
        <f t="shared" si="12"/>
        <v>0</v>
      </c>
      <c r="AE78" s="21">
        <f t="shared" si="14"/>
        <v>0</v>
      </c>
      <c r="AF78" s="38" t="str">
        <f t="shared" si="13"/>
        <v/>
      </c>
      <c r="AG78" s="630" t="b">
        <f t="shared" si="17"/>
        <v>1</v>
      </c>
    </row>
    <row r="79" spans="1:33">
      <c r="B79" s="55" t="s">
        <v>276</v>
      </c>
      <c r="C79" s="56">
        <v>25100</v>
      </c>
      <c r="D79" s="56"/>
      <c r="E79" s="57" t="s">
        <v>203</v>
      </c>
      <c r="F79" s="57"/>
      <c r="G79" s="59">
        <f>SUM(G80:G85)</f>
        <v>9848039542</v>
      </c>
      <c r="H79" s="59">
        <f>SUM(H80:H85)</f>
        <v>9026996316</v>
      </c>
      <c r="I79" s="59">
        <v>6377962708</v>
      </c>
      <c r="J79" s="59">
        <v>4320587524</v>
      </c>
      <c r="K79" s="59">
        <v>3254255724</v>
      </c>
      <c r="L79" s="59">
        <v>3379145833</v>
      </c>
      <c r="M79" s="59">
        <v>3908749273</v>
      </c>
      <c r="N79" s="59">
        <v>3345089677</v>
      </c>
      <c r="O79" s="59">
        <v>3541091257</v>
      </c>
      <c r="P79" s="59">
        <v>3416899096</v>
      </c>
      <c r="Q79" s="59">
        <v>0</v>
      </c>
      <c r="R79" s="59">
        <v>0</v>
      </c>
      <c r="S79" s="61">
        <v>3416899096</v>
      </c>
      <c r="T79" s="61">
        <v>2803012841</v>
      </c>
      <c r="U79" s="59">
        <v>2889152945</v>
      </c>
      <c r="V79" s="59">
        <v>2746718187</v>
      </c>
      <c r="W79" s="59">
        <v>3449792766</v>
      </c>
      <c r="X79" s="59">
        <v>6964001153</v>
      </c>
      <c r="Y79" s="59">
        <v>10058141096</v>
      </c>
      <c r="Z79" s="59">
        <v>39251492069</v>
      </c>
      <c r="AA79" s="59">
        <f>SUM(AA80:AA85)</f>
        <v>43993843992</v>
      </c>
      <c r="AB79" s="59">
        <f>SUM(AB80:AB85)</f>
        <v>0</v>
      </c>
      <c r="AC79" s="59">
        <f>SUM(AC80:AC85)</f>
        <v>0</v>
      </c>
      <c r="AD79" s="61">
        <f t="shared" si="12"/>
        <v>43993843992</v>
      </c>
      <c r="AE79" s="61">
        <f t="shared" si="14"/>
        <v>37029842839</v>
      </c>
      <c r="AF79" s="62">
        <f t="shared" si="13"/>
        <v>5.3173229046706911</v>
      </c>
      <c r="AG79" s="630" t="b">
        <f t="shared" si="17"/>
        <v>1</v>
      </c>
    </row>
    <row r="80" spans="1:33">
      <c r="B80" s="1" t="s">
        <v>285</v>
      </c>
      <c r="C80" s="2">
        <v>240200</v>
      </c>
      <c r="D80" s="2" t="s">
        <v>609</v>
      </c>
      <c r="E80" s="3" t="s">
        <v>202</v>
      </c>
      <c r="F80" s="3" t="s">
        <v>296</v>
      </c>
      <c r="G80" s="30">
        <v>7213609638</v>
      </c>
      <c r="H80" s="21">
        <v>6657049092</v>
      </c>
      <c r="I80" s="21">
        <v>3841214767</v>
      </c>
      <c r="J80" s="21">
        <v>1567990495</v>
      </c>
      <c r="K80" s="21">
        <v>499917087</v>
      </c>
      <c r="L80" s="21">
        <v>1203143370</v>
      </c>
      <c r="M80" s="21">
        <v>1158339411</v>
      </c>
      <c r="N80" s="21">
        <v>571887671</v>
      </c>
      <c r="O80" s="21">
        <v>574093039</v>
      </c>
      <c r="P80" s="21">
        <v>445037366</v>
      </c>
      <c r="Q80" s="21"/>
      <c r="R80" s="21"/>
      <c r="S80" s="21">
        <v>445037366</v>
      </c>
      <c r="T80" s="517">
        <v>351978098</v>
      </c>
      <c r="U80" s="517">
        <v>477260726</v>
      </c>
      <c r="V80" s="517">
        <v>463388025</v>
      </c>
      <c r="W80" s="517">
        <v>1348200730</v>
      </c>
      <c r="X80" s="517">
        <v>5179954811</v>
      </c>
      <c r="Y80" s="517">
        <v>8233537205</v>
      </c>
      <c r="Z80" s="517">
        <v>36852416872</v>
      </c>
      <c r="AA80" s="517">
        <f>IFERROR(VLOOKUP(C80,'전사시산표(3단계)_1013'!$C:$L,10,0),0)</f>
        <v>42727919644</v>
      </c>
      <c r="AB80" s="517"/>
      <c r="AC80" s="517"/>
      <c r="AD80" s="517">
        <f t="shared" si="12"/>
        <v>42727919644</v>
      </c>
      <c r="AE80" s="21">
        <f t="shared" si="14"/>
        <v>37547964833</v>
      </c>
      <c r="AF80" s="38">
        <f t="shared" si="13"/>
        <v>7.2487050955086021</v>
      </c>
      <c r="AG80" s="630" t="b">
        <f t="shared" si="17"/>
        <v>1</v>
      </c>
    </row>
    <row r="81" spans="1:33">
      <c r="B81" s="1" t="s">
        <v>285</v>
      </c>
      <c r="C81" s="2">
        <v>240400</v>
      </c>
      <c r="D81" s="2" t="s">
        <v>609</v>
      </c>
      <c r="E81" s="3" t="s">
        <v>201</v>
      </c>
      <c r="F81" s="3" t="s">
        <v>296</v>
      </c>
      <c r="G81" s="30">
        <v>2</v>
      </c>
      <c r="H81" s="21">
        <v>2</v>
      </c>
      <c r="I81" s="21">
        <v>2882595025</v>
      </c>
      <c r="J81" s="21">
        <v>2</v>
      </c>
      <c r="K81" s="21">
        <v>2</v>
      </c>
      <c r="L81" s="21">
        <v>2</v>
      </c>
      <c r="M81" s="21">
        <v>2</v>
      </c>
      <c r="N81" s="21">
        <v>2</v>
      </c>
      <c r="O81" s="21">
        <v>2</v>
      </c>
      <c r="P81" s="21">
        <v>2</v>
      </c>
      <c r="Q81" s="21"/>
      <c r="R81" s="21"/>
      <c r="S81" s="21">
        <v>2</v>
      </c>
      <c r="T81" s="517">
        <v>2</v>
      </c>
      <c r="U81" s="517">
        <v>2</v>
      </c>
      <c r="V81" s="517">
        <v>2</v>
      </c>
      <c r="W81" s="517">
        <v>2</v>
      </c>
      <c r="X81" s="517">
        <v>0</v>
      </c>
      <c r="Y81" s="517">
        <v>0</v>
      </c>
      <c r="Z81" s="517">
        <v>0</v>
      </c>
      <c r="AA81" s="517">
        <f>IFERROR(VLOOKUP(C81,'전사시산표(3단계)_1013'!$C:$L,10,0),0)</f>
        <v>0</v>
      </c>
      <c r="AB81" s="517"/>
      <c r="AC81" s="517"/>
      <c r="AD81" s="517">
        <f t="shared" si="12"/>
        <v>0</v>
      </c>
      <c r="AE81" s="21">
        <f t="shared" si="14"/>
        <v>0</v>
      </c>
      <c r="AF81" s="38" t="str">
        <f t="shared" si="13"/>
        <v/>
      </c>
      <c r="AG81" s="630" t="b">
        <f t="shared" si="17"/>
        <v>1</v>
      </c>
    </row>
    <row r="82" spans="1:33">
      <c r="B82" s="1" t="s">
        <v>285</v>
      </c>
      <c r="C82" s="8">
        <v>262001</v>
      </c>
      <c r="D82" s="8" t="s">
        <v>609</v>
      </c>
      <c r="E82" s="3" t="s">
        <v>260</v>
      </c>
      <c r="F82" s="3" t="s">
        <v>296</v>
      </c>
      <c r="G82" s="30">
        <v>9506656675</v>
      </c>
      <c r="H82" s="21">
        <v>9297509939</v>
      </c>
      <c r="I82" s="21">
        <v>0</v>
      </c>
      <c r="J82" s="21">
        <v>10275417490</v>
      </c>
      <c r="K82" s="21">
        <v>10549991091</v>
      </c>
      <c r="L82" s="21">
        <v>10344054448</v>
      </c>
      <c r="M82" s="21">
        <v>11133461314</v>
      </c>
      <c r="N82" s="21">
        <v>11305339181</v>
      </c>
      <c r="O82" s="21">
        <v>11690365839</v>
      </c>
      <c r="P82" s="21">
        <v>11786642133</v>
      </c>
      <c r="Q82" s="21"/>
      <c r="R82" s="21"/>
      <c r="S82" s="21">
        <v>11786642133</v>
      </c>
      <c r="T82" s="517">
        <v>11456888453</v>
      </c>
      <c r="U82" s="517">
        <v>11616210256</v>
      </c>
      <c r="V82" s="517">
        <v>11808834534</v>
      </c>
      <c r="W82" s="517">
        <v>11996496821</v>
      </c>
      <c r="X82" s="517">
        <v>11975314583</v>
      </c>
      <c r="Y82" s="517">
        <v>12163633599</v>
      </c>
      <c r="Z82" s="517">
        <v>13048807058</v>
      </c>
      <c r="AA82" s="517">
        <f>IFERROR(VLOOKUP(C82,'전사시산표(3단계)_1013'!$C:$L,10,0),0)</f>
        <v>12758079272</v>
      </c>
      <c r="AB82" s="517"/>
      <c r="AC82" s="517"/>
      <c r="AD82" s="517">
        <f t="shared" si="12"/>
        <v>12758079272</v>
      </c>
      <c r="AE82" s="21">
        <f t="shared" si="14"/>
        <v>782764689</v>
      </c>
      <c r="AF82" s="38">
        <f t="shared" si="13"/>
        <v>6.5364853973122555E-2</v>
      </c>
      <c r="AG82" s="630" t="b">
        <f t="shared" si="17"/>
        <v>1</v>
      </c>
    </row>
    <row r="83" spans="1:33">
      <c r="B83" s="1" t="s">
        <v>285</v>
      </c>
      <c r="C83" s="8">
        <v>262003</v>
      </c>
      <c r="D83" s="8" t="s">
        <v>609</v>
      </c>
      <c r="E83" s="3" t="s">
        <v>259</v>
      </c>
      <c r="F83" s="3" t="s">
        <v>296</v>
      </c>
      <c r="G83" s="30">
        <v>-6517156343</v>
      </c>
      <c r="H83" s="21">
        <v>-6590046285</v>
      </c>
      <c r="I83" s="21">
        <v>0</v>
      </c>
      <c r="J83" s="21">
        <v>-7254226978</v>
      </c>
      <c r="K83" s="21">
        <v>-7669217198</v>
      </c>
      <c r="L83" s="21">
        <v>-8014644217</v>
      </c>
      <c r="M83" s="21">
        <v>-8222637587</v>
      </c>
      <c r="N83" s="21">
        <v>-8401484341</v>
      </c>
      <c r="O83" s="21">
        <v>-8575555627</v>
      </c>
      <c r="P83" s="21">
        <v>-8692727202</v>
      </c>
      <c r="Q83" s="21"/>
      <c r="R83" s="21"/>
      <c r="S83" s="21">
        <v>-8692727202</v>
      </c>
      <c r="T83" s="517">
        <v>-8863054930</v>
      </c>
      <c r="U83" s="517">
        <v>-9027338898</v>
      </c>
      <c r="V83" s="517">
        <v>-9238164243</v>
      </c>
      <c r="W83" s="517">
        <v>-9411345140</v>
      </c>
      <c r="X83" s="517">
        <v>-9637189783</v>
      </c>
      <c r="Y83" s="517">
        <v>-9867849908</v>
      </c>
      <c r="Z83" s="517">
        <v>-10110502132</v>
      </c>
      <c r="AA83" s="517">
        <f>IFERROR(VLOOKUP(C83,'전사시산표(3단계)_1013'!$C:$L,10,0),0)</f>
        <v>-10253850074</v>
      </c>
      <c r="AB83" s="517"/>
      <c r="AC83" s="517"/>
      <c r="AD83" s="517">
        <f t="shared" si="12"/>
        <v>-10253850074</v>
      </c>
      <c r="AE83" s="21">
        <f t="shared" si="14"/>
        <v>-616660291</v>
      </c>
      <c r="AF83" s="38">
        <f t="shared" si="13"/>
        <v>6.3987563271586556E-2</v>
      </c>
      <c r="AG83" s="630" t="b">
        <f t="shared" si="17"/>
        <v>1</v>
      </c>
    </row>
    <row r="84" spans="1:33">
      <c r="B84" s="1" t="s">
        <v>285</v>
      </c>
      <c r="C84" s="8">
        <v>262400</v>
      </c>
      <c r="D84" s="8" t="s">
        <v>609</v>
      </c>
      <c r="E84" s="3" t="s">
        <v>258</v>
      </c>
      <c r="F84" s="3" t="s">
        <v>296</v>
      </c>
      <c r="G84" s="30">
        <v>-98561632</v>
      </c>
      <c r="H84" s="21">
        <v>-87504252</v>
      </c>
      <c r="I84" s="21">
        <v>-208330881</v>
      </c>
      <c r="J84" s="21">
        <v>-191190992</v>
      </c>
      <c r="K84" s="21">
        <v>-94784267</v>
      </c>
      <c r="L84" s="21">
        <v>-133639946</v>
      </c>
      <c r="M84" s="21">
        <v>-118744096</v>
      </c>
      <c r="N84" s="21">
        <v>-115707132</v>
      </c>
      <c r="O84" s="21">
        <v>-133319323</v>
      </c>
      <c r="P84" s="21">
        <v>-109991880</v>
      </c>
      <c r="Q84" s="21"/>
      <c r="R84" s="21"/>
      <c r="S84" s="21">
        <v>-109991880</v>
      </c>
      <c r="T84" s="517">
        <v>-127383514</v>
      </c>
      <c r="U84" s="517">
        <v>-157155337</v>
      </c>
      <c r="V84" s="517">
        <v>-268124487</v>
      </c>
      <c r="W84" s="517">
        <v>-416587004</v>
      </c>
      <c r="X84" s="517">
        <v>-363129047</v>
      </c>
      <c r="Y84" s="517">
        <v>-228302678</v>
      </c>
      <c r="Z84" s="517">
        <v>-188421330</v>
      </c>
      <c r="AA84" s="517">
        <f>IFERROR(VLOOKUP(C84,'전사시산표(3단계)_1013'!$C:$L,10,0),0)</f>
        <v>-118867404</v>
      </c>
      <c r="AB84" s="517"/>
      <c r="AC84" s="517"/>
      <c r="AD84" s="517">
        <f t="shared" si="12"/>
        <v>-118867404</v>
      </c>
      <c r="AE84" s="21">
        <f t="shared" si="14"/>
        <v>244261643</v>
      </c>
      <c r="AF84" s="38">
        <f t="shared" si="13"/>
        <v>-0.6726579573239152</v>
      </c>
      <c r="AG84" s="630" t="b">
        <f t="shared" si="17"/>
        <v>1</v>
      </c>
    </row>
    <row r="85" spans="1:33" ht="17.25" thickBot="1">
      <c r="B85" s="9" t="s">
        <v>285</v>
      </c>
      <c r="C85" s="43">
        <v>262500</v>
      </c>
      <c r="D85" s="43" t="s">
        <v>609</v>
      </c>
      <c r="E85" s="33" t="s">
        <v>257</v>
      </c>
      <c r="F85" s="33" t="s">
        <v>296</v>
      </c>
      <c r="G85" s="39">
        <v>-256508798</v>
      </c>
      <c r="H85" s="36">
        <v>-250012180</v>
      </c>
      <c r="I85" s="36">
        <v>-137516203</v>
      </c>
      <c r="J85" s="36">
        <v>-77402493</v>
      </c>
      <c r="K85" s="36">
        <v>-31650991</v>
      </c>
      <c r="L85" s="36">
        <v>-19767824</v>
      </c>
      <c r="M85" s="36">
        <v>-41669771</v>
      </c>
      <c r="N85" s="36">
        <v>-14945704</v>
      </c>
      <c r="O85" s="36">
        <v>-14492673</v>
      </c>
      <c r="P85" s="36">
        <v>-12061323</v>
      </c>
      <c r="Q85" s="36"/>
      <c r="R85" s="36"/>
      <c r="S85" s="36">
        <v>-12061323</v>
      </c>
      <c r="T85" s="518">
        <v>-15415268</v>
      </c>
      <c r="U85" s="518">
        <v>-19823804</v>
      </c>
      <c r="V85" s="518">
        <v>-19215644</v>
      </c>
      <c r="W85" s="518">
        <v>-66972643</v>
      </c>
      <c r="X85" s="518">
        <v>-190949411</v>
      </c>
      <c r="Y85" s="518">
        <v>-242877122</v>
      </c>
      <c r="Z85" s="518">
        <v>-350808399</v>
      </c>
      <c r="AA85" s="518">
        <f>IFERROR(VLOOKUP(C85,'전사시산표(3단계)_1013'!$C:$L,10,0),0)</f>
        <v>-1119437446</v>
      </c>
      <c r="AB85" s="518"/>
      <c r="AC85" s="518"/>
      <c r="AD85" s="518">
        <f t="shared" si="12"/>
        <v>-1119437446</v>
      </c>
      <c r="AE85" s="36">
        <f t="shared" si="14"/>
        <v>-928488035</v>
      </c>
      <c r="AF85" s="40">
        <f t="shared" si="13"/>
        <v>4.8624817962910605</v>
      </c>
      <c r="AG85" s="630" t="b">
        <f t="shared" si="17"/>
        <v>1</v>
      </c>
    </row>
    <row r="86" spans="1:33" ht="17.25" thickBot="1">
      <c r="B86" s="44" t="s">
        <v>275</v>
      </c>
      <c r="C86" s="54">
        <v>260</v>
      </c>
      <c r="D86" s="54"/>
      <c r="E86" s="46" t="s">
        <v>200</v>
      </c>
      <c r="F86" s="46"/>
      <c r="G86" s="52">
        <f>SUM(G87,G89,G96,G99,G102,G104,G106,G108,G110,G112,G114,G116,G118,G120,G125,G128,G131,G134,G138,G141,G157,G147,G151,G155)</f>
        <v>70614426418</v>
      </c>
      <c r="H86" s="52">
        <f>SUM(H87,H89,H96,H99,H102,H104,H106,H108,H110,H112,H114,H116,H118,H120,H125,H128,H131,H134,H138,H141,H157)</f>
        <v>76270035643</v>
      </c>
      <c r="I86" s="52">
        <f>SUM(I87,I89,I96,I99,I102,I104,I106,I108,I110,I112,I114,I116,I118,I120,I125,I128,I131,I134,I138,I141,I157,I147,I151,I155)</f>
        <v>122793391136</v>
      </c>
      <c r="J86" s="52">
        <v>179637989165</v>
      </c>
      <c r="K86" s="52">
        <v>169314108584</v>
      </c>
      <c r="L86" s="52">
        <v>163301598367</v>
      </c>
      <c r="M86" s="52">
        <v>143855700855</v>
      </c>
      <c r="N86" s="52">
        <v>217884755422</v>
      </c>
      <c r="O86" s="52">
        <v>220020254887</v>
      </c>
      <c r="P86" s="52">
        <v>189862252496</v>
      </c>
      <c r="Q86" s="52">
        <v>0</v>
      </c>
      <c r="R86" s="52">
        <v>0</v>
      </c>
      <c r="S86" s="52">
        <v>189862252496</v>
      </c>
      <c r="T86" s="52">
        <v>101077629158</v>
      </c>
      <c r="U86" s="52">
        <v>91075760368</v>
      </c>
      <c r="V86" s="52">
        <v>123102709394</v>
      </c>
      <c r="W86" s="52">
        <v>120666617807</v>
      </c>
      <c r="X86" s="52">
        <v>128871198897</v>
      </c>
      <c r="Y86" s="52">
        <v>126513974574</v>
      </c>
      <c r="Z86" s="52">
        <v>121894174073</v>
      </c>
      <c r="AA86" s="52">
        <f>SUM(AA87,AA89,AA91,AA96,AA99,AA102,AA104,AA106,AA108,AA110,AA112,AA114,AA116,AA118,AA120,AA125,AA128,AA131,AA134,AA138,AA141,AA157,AA147,AA151,AA155,AA94)</f>
        <v>171280125460</v>
      </c>
      <c r="AB86" s="52">
        <f>SUM(AB87,AB89,AB96,AB99,AB102,AB104,AB106,AB108,AB110,AB112,AB114,AB116,AB118,AB120,AB125,AB128,AB131,AB134,AB138,AB141,AB157)</f>
        <v>0</v>
      </c>
      <c r="AC86" s="52">
        <f>SUM(AC87,AC89,AC96,AC99,AC102,AC104,AC106,AC108,AC110,AC112,AC114,AC116,AC118,AC120,AC125,AC128,AC131,AC134,AC138,AC141,AC157)</f>
        <v>0</v>
      </c>
      <c r="AD86" s="52">
        <f>AA86+AB86-AC86</f>
        <v>171280125460</v>
      </c>
      <c r="AE86" s="50">
        <f t="shared" si="14"/>
        <v>42408926563</v>
      </c>
      <c r="AF86" s="53">
        <f t="shared" si="13"/>
        <v>0.3290799412589871</v>
      </c>
      <c r="AG86" s="630" t="b">
        <f t="shared" si="17"/>
        <v>1</v>
      </c>
    </row>
    <row r="87" spans="1:33">
      <c r="B87" s="55" t="s">
        <v>289</v>
      </c>
      <c r="C87" s="56">
        <v>2150</v>
      </c>
      <c r="D87" s="56"/>
      <c r="E87" s="57" t="s">
        <v>674</v>
      </c>
      <c r="F87" s="57"/>
      <c r="G87" s="59">
        <f>SUM(G88:G88)</f>
        <v>0</v>
      </c>
      <c r="H87" s="59">
        <f>SUM(H88:H88)</f>
        <v>0</v>
      </c>
      <c r="I87" s="59">
        <v>2000000</v>
      </c>
      <c r="J87" s="59">
        <v>2000000</v>
      </c>
      <c r="K87" s="59">
        <v>2000000</v>
      </c>
      <c r="L87" s="59">
        <v>2000000</v>
      </c>
      <c r="M87" s="59">
        <v>2000000</v>
      </c>
      <c r="N87" s="59">
        <v>90292546030</v>
      </c>
      <c r="O87" s="59">
        <v>90960756523</v>
      </c>
      <c r="P87" s="59">
        <v>61627756236</v>
      </c>
      <c r="Q87" s="59">
        <v>0</v>
      </c>
      <c r="R87" s="59">
        <v>0</v>
      </c>
      <c r="S87" s="59">
        <v>61627756236</v>
      </c>
      <c r="T87" s="59">
        <v>1999999</v>
      </c>
      <c r="U87" s="59">
        <v>2000000</v>
      </c>
      <c r="V87" s="59">
        <v>2000000</v>
      </c>
      <c r="W87" s="59">
        <v>2000000</v>
      </c>
      <c r="X87" s="59">
        <v>2000000</v>
      </c>
      <c r="Y87" s="59">
        <v>2000000</v>
      </c>
      <c r="Z87" s="59">
        <v>2000000</v>
      </c>
      <c r="AA87" s="59">
        <f>SUM(AA88:AA88)</f>
        <v>2000000</v>
      </c>
      <c r="AB87" s="59">
        <f>SUM(AB88:AB88)</f>
        <v>0</v>
      </c>
      <c r="AC87" s="59">
        <f>SUM(AC88:AC88)</f>
        <v>0</v>
      </c>
      <c r="AD87" s="59">
        <f t="shared" si="12"/>
        <v>2000000</v>
      </c>
      <c r="AE87" s="59">
        <f t="shared" si="14"/>
        <v>0</v>
      </c>
      <c r="AF87" s="60">
        <f t="shared" si="13"/>
        <v>0</v>
      </c>
      <c r="AG87" s="630" t="b">
        <f t="shared" si="17"/>
        <v>1</v>
      </c>
    </row>
    <row r="88" spans="1:33">
      <c r="B88" s="1" t="s">
        <v>285</v>
      </c>
      <c r="C88" s="2">
        <v>261100</v>
      </c>
      <c r="D88" s="2" t="s">
        <v>723</v>
      </c>
      <c r="E88" s="3" t="s">
        <v>675</v>
      </c>
      <c r="F88" s="3" t="s">
        <v>678</v>
      </c>
      <c r="G88" s="30">
        <v>0</v>
      </c>
      <c r="H88" s="21">
        <v>0</v>
      </c>
      <c r="I88" s="21">
        <v>2000000</v>
      </c>
      <c r="J88" s="21">
        <v>2000000</v>
      </c>
      <c r="K88" s="21">
        <v>2000000</v>
      </c>
      <c r="L88" s="21">
        <v>2000000</v>
      </c>
      <c r="M88" s="21">
        <v>2000000</v>
      </c>
      <c r="N88" s="21">
        <v>90292546030</v>
      </c>
      <c r="O88" s="21">
        <v>90960756523</v>
      </c>
      <c r="P88" s="21">
        <v>61627756236</v>
      </c>
      <c r="Q88" s="21"/>
      <c r="R88" s="21"/>
      <c r="S88" s="21">
        <v>61627756236</v>
      </c>
      <c r="T88" s="517">
        <v>1999999</v>
      </c>
      <c r="U88" s="517">
        <v>2000000</v>
      </c>
      <c r="V88" s="517">
        <v>2000000</v>
      </c>
      <c r="W88" s="629">
        <v>2000000</v>
      </c>
      <c r="X88" s="629">
        <v>2000000</v>
      </c>
      <c r="Y88" s="629">
        <v>2000000</v>
      </c>
      <c r="Z88" s="629">
        <v>2000000</v>
      </c>
      <c r="AA88" s="629">
        <f>IFERROR(VLOOKUP(C88,'전사시산표(3단계)_1013'!$C:$L,10,0),0)</f>
        <v>2000000</v>
      </c>
      <c r="AB88" s="517"/>
      <c r="AC88" s="517"/>
      <c r="AD88" s="517">
        <f t="shared" si="12"/>
        <v>2000000</v>
      </c>
      <c r="AE88" s="21">
        <f t="shared" si="14"/>
        <v>0</v>
      </c>
      <c r="AF88" s="38">
        <f t="shared" si="13"/>
        <v>0</v>
      </c>
      <c r="AG88" s="630" t="b">
        <f t="shared" si="17"/>
        <v>1</v>
      </c>
    </row>
    <row r="89" spans="1:33">
      <c r="B89" s="55" t="s">
        <v>289</v>
      </c>
      <c r="C89" s="56">
        <v>2300</v>
      </c>
      <c r="D89" s="56"/>
      <c r="E89" s="57" t="s">
        <v>487</v>
      </c>
      <c r="F89" s="57"/>
      <c r="G89" s="59">
        <f>SUM(G90:G90)</f>
        <v>0</v>
      </c>
      <c r="H89" s="59">
        <f>SUM(H90:H90)</f>
        <v>0</v>
      </c>
      <c r="I89" s="59">
        <v>28549346263</v>
      </c>
      <c r="J89" s="59">
        <v>27392717167</v>
      </c>
      <c r="K89" s="59">
        <v>25591585721</v>
      </c>
      <c r="L89" s="59">
        <v>24039887496</v>
      </c>
      <c r="M89" s="59">
        <v>13619842548</v>
      </c>
      <c r="N89" s="59">
        <v>8210338957</v>
      </c>
      <c r="O89" s="59">
        <v>16595151919</v>
      </c>
      <c r="P89" s="59">
        <v>14230470874</v>
      </c>
      <c r="Q89" s="59">
        <v>0</v>
      </c>
      <c r="R89" s="59">
        <v>0</v>
      </c>
      <c r="S89" s="59">
        <v>14230470874</v>
      </c>
      <c r="T89" s="59">
        <v>10649412955</v>
      </c>
      <c r="U89" s="59">
        <v>7574363943</v>
      </c>
      <c r="V89" s="59">
        <v>14071344797</v>
      </c>
      <c r="W89" s="59">
        <v>10370928307</v>
      </c>
      <c r="X89" s="59">
        <v>6302129755</v>
      </c>
      <c r="Y89" s="59">
        <v>2078238308</v>
      </c>
      <c r="Z89" s="59">
        <v>0</v>
      </c>
      <c r="AA89" s="59">
        <f>SUM(AA90:AA90)</f>
        <v>0</v>
      </c>
      <c r="AB89" s="59">
        <f>SUM(AB90:AB90)</f>
        <v>0</v>
      </c>
      <c r="AC89" s="59">
        <f>SUM(AC90:AC90)</f>
        <v>0</v>
      </c>
      <c r="AD89" s="59">
        <f t="shared" si="12"/>
        <v>0</v>
      </c>
      <c r="AE89" s="59">
        <f t="shared" si="14"/>
        <v>-6302129755</v>
      </c>
      <c r="AF89" s="60">
        <f t="shared" si="13"/>
        <v>-1</v>
      </c>
      <c r="AG89" s="630" t="b">
        <f t="shared" si="17"/>
        <v>1</v>
      </c>
    </row>
    <row r="90" spans="1:33">
      <c r="B90" s="1" t="s">
        <v>285</v>
      </c>
      <c r="C90" s="2">
        <v>271100</v>
      </c>
      <c r="D90" s="2" t="s">
        <v>724</v>
      </c>
      <c r="E90" s="3" t="s">
        <v>199</v>
      </c>
      <c r="F90" s="6" t="s">
        <v>930</v>
      </c>
      <c r="G90" s="30">
        <v>0</v>
      </c>
      <c r="H90" s="21">
        <v>0</v>
      </c>
      <c r="I90" s="21">
        <v>28549346263</v>
      </c>
      <c r="J90" s="21">
        <v>27392717167</v>
      </c>
      <c r="K90" s="21">
        <v>25591585721</v>
      </c>
      <c r="L90" s="21">
        <v>24039887496</v>
      </c>
      <c r="M90" s="21">
        <v>13619842548</v>
      </c>
      <c r="N90" s="21">
        <v>8210338957</v>
      </c>
      <c r="O90" s="21">
        <v>16595151919</v>
      </c>
      <c r="P90" s="21">
        <v>14230470874</v>
      </c>
      <c r="Q90" s="21"/>
      <c r="R90" s="21"/>
      <c r="S90" s="21">
        <v>14230470874</v>
      </c>
      <c r="T90" s="517">
        <v>10649412955</v>
      </c>
      <c r="U90" s="517">
        <v>7574363943</v>
      </c>
      <c r="V90" s="517">
        <v>14071344797</v>
      </c>
      <c r="W90" s="517">
        <v>10370928307</v>
      </c>
      <c r="X90" s="517">
        <v>6302129755</v>
      </c>
      <c r="Y90" s="517">
        <v>2078238308</v>
      </c>
      <c r="Z90" s="517">
        <v>0</v>
      </c>
      <c r="AA90" s="517">
        <f>IFERROR(VLOOKUP(C90,'전사시산표(3단계)_1013'!$C:$L,10,0),0)</f>
        <v>0</v>
      </c>
      <c r="AB90" s="517"/>
      <c r="AC90" s="517"/>
      <c r="AD90" s="517">
        <f t="shared" si="12"/>
        <v>0</v>
      </c>
      <c r="AE90" s="21">
        <f t="shared" si="14"/>
        <v>-6302129755</v>
      </c>
      <c r="AF90" s="38">
        <f t="shared" si="13"/>
        <v>-1</v>
      </c>
      <c r="AG90" s="630" t="b">
        <f t="shared" si="17"/>
        <v>1</v>
      </c>
    </row>
    <row r="91" spans="1:33">
      <c r="B91" s="55" t="s">
        <v>824</v>
      </c>
      <c r="C91" s="56"/>
      <c r="D91" s="56"/>
      <c r="E91" s="57" t="s">
        <v>777</v>
      </c>
      <c r="F91" s="57"/>
      <c r="G91" s="59"/>
      <c r="H91" s="59"/>
      <c r="I91" s="59"/>
      <c r="J91" s="59">
        <v>27499417214</v>
      </c>
      <c r="K91" s="59">
        <v>27499417214</v>
      </c>
      <c r="L91" s="59">
        <v>27499417214</v>
      </c>
      <c r="M91" s="59">
        <v>19611861900</v>
      </c>
      <c r="N91" s="59">
        <v>11558849580</v>
      </c>
      <c r="O91" s="59">
        <v>15272954400</v>
      </c>
      <c r="P91" s="59">
        <v>23140840000</v>
      </c>
      <c r="Q91" s="59">
        <v>0</v>
      </c>
      <c r="R91" s="59">
        <v>0</v>
      </c>
      <c r="S91" s="59">
        <v>23140840000</v>
      </c>
      <c r="T91" s="59">
        <v>0</v>
      </c>
      <c r="U91" s="59">
        <v>0</v>
      </c>
      <c r="V91" s="59">
        <v>25100178508</v>
      </c>
      <c r="W91" s="59">
        <v>25090178508</v>
      </c>
      <c r="X91" s="59">
        <v>28149401906</v>
      </c>
      <c r="Y91" s="59">
        <v>28149401906</v>
      </c>
      <c r="Z91" s="59">
        <v>28149401906</v>
      </c>
      <c r="AA91" s="59">
        <f>SUM(AA92:AA93)</f>
        <v>31165111996</v>
      </c>
      <c r="AB91" s="59">
        <f>SUM(AB92:AB92)</f>
        <v>0</v>
      </c>
      <c r="AC91" s="59">
        <f>SUM(AC92:AC92)</f>
        <v>0</v>
      </c>
      <c r="AD91" s="59">
        <f>SUM(AD92:AD93)</f>
        <v>31165111996</v>
      </c>
      <c r="AE91" s="59">
        <f t="shared" si="14"/>
        <v>3015710090</v>
      </c>
      <c r="AF91" s="60">
        <f t="shared" si="13"/>
        <v>0.10713229716462311</v>
      </c>
      <c r="AG91" s="630" t="b">
        <f t="shared" si="17"/>
        <v>1</v>
      </c>
    </row>
    <row r="92" spans="1:33">
      <c r="B92" s="7" t="s">
        <v>828</v>
      </c>
      <c r="C92" s="5">
        <v>273500</v>
      </c>
      <c r="D92" s="5" t="s">
        <v>915</v>
      </c>
      <c r="E92" s="6" t="s">
        <v>778</v>
      </c>
      <c r="F92" s="6" t="s">
        <v>836</v>
      </c>
      <c r="G92" s="31"/>
      <c r="H92" s="22"/>
      <c r="I92" s="22"/>
      <c r="J92" s="22">
        <v>27499417214</v>
      </c>
      <c r="K92" s="21">
        <v>27499417214</v>
      </c>
      <c r="L92" s="21">
        <v>27499417214</v>
      </c>
      <c r="M92" s="21">
        <v>19611861900</v>
      </c>
      <c r="N92" s="21">
        <v>11558849580</v>
      </c>
      <c r="O92" s="21">
        <v>15272954400</v>
      </c>
      <c r="P92" s="21">
        <v>23140840000</v>
      </c>
      <c r="Q92" s="21"/>
      <c r="R92" s="21"/>
      <c r="S92" s="21">
        <v>23140840000</v>
      </c>
      <c r="T92" s="517">
        <v>0</v>
      </c>
      <c r="U92" s="517">
        <v>0</v>
      </c>
      <c r="V92" s="517">
        <v>0</v>
      </c>
      <c r="W92" s="517">
        <v>0</v>
      </c>
      <c r="X92" s="517">
        <v>0</v>
      </c>
      <c r="Y92" s="517">
        <v>0</v>
      </c>
      <c r="Z92" s="517">
        <v>0</v>
      </c>
      <c r="AA92" s="517">
        <f>IFERROR(VLOOKUP(C92,'전사시산표(3단계)_1013'!$C:$L,10,0),0)</f>
        <v>0</v>
      </c>
      <c r="AB92" s="517"/>
      <c r="AC92" s="517"/>
      <c r="AD92" s="517">
        <f t="shared" ref="AD92:AD129" si="18">AA92+AB92-AC92</f>
        <v>0</v>
      </c>
      <c r="AE92" s="21">
        <f t="shared" si="14"/>
        <v>0</v>
      </c>
      <c r="AF92" s="181" t="str">
        <f t="shared" si="13"/>
        <v/>
      </c>
      <c r="AG92" s="630" t="b">
        <f t="shared" si="17"/>
        <v>1</v>
      </c>
    </row>
    <row r="93" spans="1:33" s="11" customFormat="1">
      <c r="A93" s="24"/>
      <c r="B93" s="7" t="s">
        <v>291</v>
      </c>
      <c r="C93" s="5">
        <v>272400</v>
      </c>
      <c r="D93" s="5" t="s">
        <v>915</v>
      </c>
      <c r="E93" s="6" t="s">
        <v>1318</v>
      </c>
      <c r="F93" s="6" t="s">
        <v>823</v>
      </c>
      <c r="G93" s="3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>
        <v>25100178508</v>
      </c>
      <c r="W93" s="22">
        <v>25090178508</v>
      </c>
      <c r="X93" s="22">
        <v>28149401906</v>
      </c>
      <c r="Y93" s="22">
        <v>28149401906</v>
      </c>
      <c r="Z93" s="22">
        <v>28149401906</v>
      </c>
      <c r="AA93" s="21">
        <f>IFERROR(VLOOKUP(C93,'전사시산표(3단계)_1013'!$C:$L,10,0),0)</f>
        <v>31165111996</v>
      </c>
      <c r="AB93" s="22"/>
      <c r="AC93" s="22"/>
      <c r="AD93" s="21">
        <f t="shared" ref="AD93:AD95" si="19">AA93+AB93-AC93</f>
        <v>31165111996</v>
      </c>
      <c r="AE93" s="21">
        <f t="shared" si="14"/>
        <v>3015710090</v>
      </c>
      <c r="AF93" s="181">
        <f t="shared" si="13"/>
        <v>0.10713229716462311</v>
      </c>
      <c r="AG93" s="630" t="b">
        <f t="shared" si="17"/>
        <v>1</v>
      </c>
    </row>
    <row r="94" spans="1:33" s="606" customFormat="1">
      <c r="A94" s="23"/>
      <c r="B94" s="55" t="s">
        <v>276</v>
      </c>
      <c r="C94" s="56">
        <v>28100</v>
      </c>
      <c r="D94" s="56"/>
      <c r="E94" s="57" t="s">
        <v>1339</v>
      </c>
      <c r="F94" s="57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>
        <v>0</v>
      </c>
      <c r="U94" s="59">
        <v>0</v>
      </c>
      <c r="V94" s="59">
        <v>0</v>
      </c>
      <c r="W94" s="59">
        <v>200000000</v>
      </c>
      <c r="X94" s="59">
        <v>0</v>
      </c>
      <c r="Y94" s="59">
        <v>0</v>
      </c>
      <c r="Z94" s="59">
        <v>0</v>
      </c>
      <c r="AA94" s="59">
        <f>SUM(AA95)</f>
        <v>0</v>
      </c>
      <c r="AB94" s="59">
        <f>SUM(AB95:AB96)</f>
        <v>0</v>
      </c>
      <c r="AC94" s="59">
        <f>SUM(AC95:AC96)</f>
        <v>0</v>
      </c>
      <c r="AD94" s="59">
        <f>AA94+AB94-AC94</f>
        <v>0</v>
      </c>
      <c r="AE94" s="59">
        <f t="shared" si="14"/>
        <v>0</v>
      </c>
      <c r="AF94" s="60" t="str">
        <f t="shared" si="13"/>
        <v/>
      </c>
      <c r="AG94" s="630" t="b">
        <f t="shared" si="17"/>
        <v>1</v>
      </c>
    </row>
    <row r="95" spans="1:33" s="11" customFormat="1">
      <c r="A95" s="24"/>
      <c r="B95" s="1" t="s">
        <v>285</v>
      </c>
      <c r="C95" s="2">
        <v>281190</v>
      </c>
      <c r="D95" s="2"/>
      <c r="E95" s="3" t="s">
        <v>1340</v>
      </c>
      <c r="F95" s="3" t="s">
        <v>1341</v>
      </c>
      <c r="G95" s="3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>
        <v>0</v>
      </c>
      <c r="U95" s="21">
        <v>0</v>
      </c>
      <c r="V95" s="21">
        <v>0</v>
      </c>
      <c r="W95" s="21">
        <v>200000000</v>
      </c>
      <c r="X95" s="21">
        <v>0</v>
      </c>
      <c r="Y95" s="21">
        <v>0</v>
      </c>
      <c r="Z95" s="21">
        <v>0</v>
      </c>
      <c r="AA95" s="21">
        <f>IFERROR(VLOOKUP(C95,'전사시산표(3단계)_1013'!$C:$L,10,0),0)</f>
        <v>0</v>
      </c>
      <c r="AB95" s="21"/>
      <c r="AC95" s="21"/>
      <c r="AD95" s="21">
        <f t="shared" si="19"/>
        <v>0</v>
      </c>
      <c r="AE95" s="21">
        <f t="shared" si="14"/>
        <v>0</v>
      </c>
      <c r="AF95" s="38" t="str">
        <f t="shared" si="13"/>
        <v/>
      </c>
      <c r="AG95" s="630" t="b">
        <f t="shared" si="17"/>
        <v>1</v>
      </c>
    </row>
    <row r="96" spans="1:33">
      <c r="B96" s="55" t="s">
        <v>289</v>
      </c>
      <c r="C96" s="56">
        <v>28200</v>
      </c>
      <c r="D96" s="56"/>
      <c r="E96" s="57" t="s">
        <v>124</v>
      </c>
      <c r="F96" s="57"/>
      <c r="G96" s="59">
        <f>SUM(G97:G98)</f>
        <v>7022730600</v>
      </c>
      <c r="H96" s="59">
        <f>SUM(H97:H98)</f>
        <v>7875750600</v>
      </c>
      <c r="I96" s="59">
        <v>8188030600</v>
      </c>
      <c r="J96" s="59">
        <v>6222730600</v>
      </c>
      <c r="K96" s="59">
        <v>5556037600</v>
      </c>
      <c r="L96" s="59">
        <v>5652007005</v>
      </c>
      <c r="M96" s="59">
        <v>5653578945</v>
      </c>
      <c r="N96" s="59">
        <v>5655163494</v>
      </c>
      <c r="O96" s="59">
        <v>5022710752</v>
      </c>
      <c r="P96" s="59">
        <v>5414320823</v>
      </c>
      <c r="Q96" s="59">
        <v>0</v>
      </c>
      <c r="R96" s="59">
        <v>0</v>
      </c>
      <c r="S96" s="59">
        <v>5414320823</v>
      </c>
      <c r="T96" s="59">
        <v>5415943809</v>
      </c>
      <c r="U96" s="59">
        <v>5417579814</v>
      </c>
      <c r="V96" s="59">
        <v>5549040942</v>
      </c>
      <c r="W96" s="59">
        <v>5600623298</v>
      </c>
      <c r="X96" s="59">
        <v>5128223089</v>
      </c>
      <c r="Y96" s="59">
        <v>5129912220</v>
      </c>
      <c r="Z96" s="59">
        <v>5131614900</v>
      </c>
      <c r="AA96" s="59">
        <f>SUM(AA97:AA98)</f>
        <v>7522356638</v>
      </c>
      <c r="AB96" s="59">
        <f>SUM(AB97:AB98)</f>
        <v>0</v>
      </c>
      <c r="AC96" s="59">
        <f>SUM(AC97:AC98)</f>
        <v>0</v>
      </c>
      <c r="AD96" s="59">
        <f t="shared" si="18"/>
        <v>7522356638</v>
      </c>
      <c r="AE96" s="59">
        <f t="shared" si="14"/>
        <v>2394133549</v>
      </c>
      <c r="AF96" s="60">
        <f t="shared" si="13"/>
        <v>0.46685440696513347</v>
      </c>
      <c r="AG96" s="630" t="b">
        <f t="shared" si="17"/>
        <v>1</v>
      </c>
    </row>
    <row r="97" spans="2:33">
      <c r="B97" s="1" t="s">
        <v>285</v>
      </c>
      <c r="C97" s="2">
        <v>282100</v>
      </c>
      <c r="D97" s="2" t="s">
        <v>623</v>
      </c>
      <c r="E97" s="3" t="s">
        <v>198</v>
      </c>
      <c r="F97" s="3" t="s">
        <v>124</v>
      </c>
      <c r="G97" s="30">
        <v>7022730600</v>
      </c>
      <c r="H97" s="21">
        <v>7875750600</v>
      </c>
      <c r="I97" s="21">
        <v>8188030600</v>
      </c>
      <c r="J97" s="21">
        <v>6222730600</v>
      </c>
      <c r="K97" s="21">
        <v>5556037600</v>
      </c>
      <c r="L97" s="21">
        <v>5676957200</v>
      </c>
      <c r="M97" s="21">
        <v>5676957200</v>
      </c>
      <c r="N97" s="21">
        <v>5676957200</v>
      </c>
      <c r="O97" s="21">
        <v>5042907200</v>
      </c>
      <c r="P97" s="21">
        <v>5432907200</v>
      </c>
      <c r="Q97" s="21"/>
      <c r="R97" s="21"/>
      <c r="S97" s="21">
        <v>5432907200</v>
      </c>
      <c r="T97" s="517">
        <v>5432907200</v>
      </c>
      <c r="U97" s="517">
        <v>5432907200</v>
      </c>
      <c r="V97" s="517">
        <v>5562719200</v>
      </c>
      <c r="W97" s="517">
        <v>5612639200</v>
      </c>
      <c r="X97" s="517">
        <v>5138563300</v>
      </c>
      <c r="Y97" s="517">
        <v>5138563300</v>
      </c>
      <c r="Z97" s="517">
        <v>5138563300</v>
      </c>
      <c r="AA97" s="517">
        <f>IFERROR(VLOOKUP(C97,'전사시산표(3단계)_1013'!$C:$L,10,0),0)</f>
        <v>7527588700</v>
      </c>
      <c r="AB97" s="517"/>
      <c r="AC97" s="517"/>
      <c r="AD97" s="517">
        <f t="shared" si="18"/>
        <v>7527588700</v>
      </c>
      <c r="AE97" s="21">
        <f t="shared" si="14"/>
        <v>2389025400</v>
      </c>
      <c r="AF97" s="38">
        <f t="shared" si="13"/>
        <v>0.46492088557126465</v>
      </c>
      <c r="AG97" s="630" t="b">
        <f t="shared" si="17"/>
        <v>1</v>
      </c>
    </row>
    <row r="98" spans="2:33">
      <c r="B98" s="1" t="s">
        <v>285</v>
      </c>
      <c r="C98" s="2">
        <v>282110</v>
      </c>
      <c r="D98" s="2" t="s">
        <v>623</v>
      </c>
      <c r="E98" s="3" t="s">
        <v>298</v>
      </c>
      <c r="F98" s="3" t="s">
        <v>124</v>
      </c>
      <c r="G98" s="30">
        <v>0</v>
      </c>
      <c r="H98" s="21">
        <v>0</v>
      </c>
      <c r="I98" s="21">
        <v>0</v>
      </c>
      <c r="J98" s="21">
        <v>0</v>
      </c>
      <c r="K98" s="21">
        <v>0</v>
      </c>
      <c r="L98" s="21">
        <v>-24950195</v>
      </c>
      <c r="M98" s="21">
        <v>-23378255</v>
      </c>
      <c r="N98" s="21">
        <v>-21793706</v>
      </c>
      <c r="O98" s="21">
        <v>-20196448</v>
      </c>
      <c r="P98" s="21">
        <v>-18586377</v>
      </c>
      <c r="Q98" s="21"/>
      <c r="R98" s="21"/>
      <c r="S98" s="21">
        <v>-18586377</v>
      </c>
      <c r="T98" s="517">
        <v>-16963391</v>
      </c>
      <c r="U98" s="517">
        <v>-15327386</v>
      </c>
      <c r="V98" s="517">
        <v>-13678258</v>
      </c>
      <c r="W98" s="517">
        <v>-12015902</v>
      </c>
      <c r="X98" s="517">
        <v>-10340211</v>
      </c>
      <c r="Y98" s="517">
        <v>-8651080</v>
      </c>
      <c r="Z98" s="517">
        <v>-6948400</v>
      </c>
      <c r="AA98" s="517">
        <f>IFERROR(VLOOKUP(C98,'전사시산표(3단계)_1013'!$C:$L,10,0),0)</f>
        <v>-5232062</v>
      </c>
      <c r="AB98" s="517"/>
      <c r="AC98" s="517"/>
      <c r="AD98" s="517">
        <f t="shared" si="18"/>
        <v>-5232062</v>
      </c>
      <c r="AE98" s="21">
        <f t="shared" si="14"/>
        <v>5108149</v>
      </c>
      <c r="AF98" s="38">
        <f t="shared" si="13"/>
        <v>-0.4940081977050565</v>
      </c>
      <c r="AG98" s="630" t="b">
        <f t="shared" si="17"/>
        <v>1</v>
      </c>
    </row>
    <row r="99" spans="2:33">
      <c r="B99" s="55" t="s">
        <v>276</v>
      </c>
      <c r="C99" s="56">
        <v>28400</v>
      </c>
      <c r="D99" s="56"/>
      <c r="E99" s="57" t="s">
        <v>197</v>
      </c>
      <c r="F99" s="57"/>
      <c r="G99" s="59">
        <f>SUM(G100:G101)</f>
        <v>2078336070</v>
      </c>
      <c r="H99" s="59">
        <f>SUM(H100:H101)</f>
        <v>2078336070</v>
      </c>
      <c r="I99" s="59">
        <v>2078336070</v>
      </c>
      <c r="J99" s="59">
        <v>2095341570</v>
      </c>
      <c r="K99" s="59">
        <v>2103913570</v>
      </c>
      <c r="L99" s="59">
        <v>2222105320</v>
      </c>
      <c r="M99" s="59">
        <v>2240237800</v>
      </c>
      <c r="N99" s="59">
        <v>2240237800</v>
      </c>
      <c r="O99" s="59">
        <v>2347261800</v>
      </c>
      <c r="P99" s="59">
        <v>2349261800</v>
      </c>
      <c r="Q99" s="59">
        <v>0</v>
      </c>
      <c r="R99" s="59">
        <v>0</v>
      </c>
      <c r="S99" s="61">
        <v>2349261800</v>
      </c>
      <c r="T99" s="61">
        <v>2347561800</v>
      </c>
      <c r="U99" s="59">
        <v>2347561800</v>
      </c>
      <c r="V99" s="59">
        <v>2527561800</v>
      </c>
      <c r="W99" s="59">
        <v>3059611800</v>
      </c>
      <c r="X99" s="59">
        <v>3059611800</v>
      </c>
      <c r="Y99" s="59">
        <v>3059611800</v>
      </c>
      <c r="Z99" s="59">
        <v>3059611800</v>
      </c>
      <c r="AA99" s="59">
        <f>SUM(AA100:AA101)</f>
        <v>527561800</v>
      </c>
      <c r="AB99" s="59">
        <f>SUM(AB100:AB101)</f>
        <v>0</v>
      </c>
      <c r="AC99" s="59">
        <f>SUM(AC100:AC101)</f>
        <v>0</v>
      </c>
      <c r="AD99" s="61">
        <f t="shared" si="18"/>
        <v>527561800</v>
      </c>
      <c r="AE99" s="61">
        <f t="shared" si="14"/>
        <v>-2532050000</v>
      </c>
      <c r="AF99" s="62">
        <f t="shared" si="13"/>
        <v>-0.82757230835624307</v>
      </c>
      <c r="AG99" s="630" t="b">
        <f t="shared" si="17"/>
        <v>1</v>
      </c>
    </row>
    <row r="100" spans="2:33">
      <c r="B100" s="1" t="s">
        <v>285</v>
      </c>
      <c r="C100" s="2">
        <v>284200</v>
      </c>
      <c r="D100" s="2" t="s">
        <v>624</v>
      </c>
      <c r="E100" s="3" t="s">
        <v>196</v>
      </c>
      <c r="F100" s="3" t="s">
        <v>124</v>
      </c>
      <c r="G100" s="30">
        <v>56548000</v>
      </c>
      <c r="H100" s="21">
        <v>56548000</v>
      </c>
      <c r="I100" s="21">
        <v>56548000</v>
      </c>
      <c r="J100" s="21">
        <v>56548000</v>
      </c>
      <c r="K100" s="21">
        <v>56548000</v>
      </c>
      <c r="L100" s="21">
        <v>56548000</v>
      </c>
      <c r="M100" s="21">
        <v>56548000</v>
      </c>
      <c r="N100" s="21">
        <v>56548000</v>
      </c>
      <c r="O100" s="21">
        <v>56548000</v>
      </c>
      <c r="P100" s="21">
        <v>56548000</v>
      </c>
      <c r="Q100" s="21"/>
      <c r="R100" s="21"/>
      <c r="S100" s="21">
        <v>56548000</v>
      </c>
      <c r="T100" s="517">
        <v>56548000</v>
      </c>
      <c r="U100" s="517">
        <v>56548000</v>
      </c>
      <c r="V100" s="517">
        <v>56548000</v>
      </c>
      <c r="W100" s="517">
        <v>56548000</v>
      </c>
      <c r="X100" s="517">
        <v>56548000</v>
      </c>
      <c r="Y100" s="517">
        <v>56548000</v>
      </c>
      <c r="Z100" s="517">
        <v>56548000</v>
      </c>
      <c r="AA100" s="517">
        <f>IFERROR(VLOOKUP(C100,'전사시산표(3단계)_1013'!$C:$L,10,0),0)</f>
        <v>56548000</v>
      </c>
      <c r="AB100" s="517"/>
      <c r="AC100" s="517"/>
      <c r="AD100" s="517">
        <f t="shared" si="18"/>
        <v>56548000</v>
      </c>
      <c r="AE100" s="21">
        <f t="shared" si="14"/>
        <v>0</v>
      </c>
      <c r="AF100" s="38">
        <f t="shared" si="13"/>
        <v>0</v>
      </c>
      <c r="AG100" s="630" t="b">
        <f t="shared" si="17"/>
        <v>1</v>
      </c>
    </row>
    <row r="101" spans="2:33">
      <c r="B101" s="1" t="s">
        <v>285</v>
      </c>
      <c r="C101" s="2">
        <v>284290</v>
      </c>
      <c r="D101" s="2" t="s">
        <v>624</v>
      </c>
      <c r="E101" s="3" t="s">
        <v>195</v>
      </c>
      <c r="F101" s="3" t="s">
        <v>124</v>
      </c>
      <c r="G101" s="30">
        <v>2021788070</v>
      </c>
      <c r="H101" s="21">
        <v>2021788070</v>
      </c>
      <c r="I101" s="21">
        <v>2021788070</v>
      </c>
      <c r="J101" s="21">
        <v>2038793570</v>
      </c>
      <c r="K101" s="21">
        <v>2047365570</v>
      </c>
      <c r="L101" s="21">
        <v>2165557320</v>
      </c>
      <c r="M101" s="21">
        <v>2183689800</v>
      </c>
      <c r="N101" s="21">
        <v>2183689800</v>
      </c>
      <c r="O101" s="21">
        <v>2290713800</v>
      </c>
      <c r="P101" s="21">
        <v>2292713800</v>
      </c>
      <c r="Q101" s="21"/>
      <c r="R101" s="21"/>
      <c r="S101" s="21">
        <v>2292713800</v>
      </c>
      <c r="T101" s="517">
        <v>2291013800</v>
      </c>
      <c r="U101" s="517">
        <v>2291013800</v>
      </c>
      <c r="V101" s="517">
        <v>2471013800</v>
      </c>
      <c r="W101" s="517">
        <v>3003063800</v>
      </c>
      <c r="X101" s="517">
        <v>3003063800</v>
      </c>
      <c r="Y101" s="517">
        <v>3003063800</v>
      </c>
      <c r="Z101" s="517">
        <v>3003063800</v>
      </c>
      <c r="AA101" s="517">
        <f>IFERROR(VLOOKUP(C101,'전사시산표(3단계)_1013'!$C:$L,10,0),0)</f>
        <v>471013800</v>
      </c>
      <c r="AB101" s="517"/>
      <c r="AC101" s="517"/>
      <c r="AD101" s="517">
        <f t="shared" si="18"/>
        <v>471013800</v>
      </c>
      <c r="AE101" s="21">
        <f t="shared" si="14"/>
        <v>-2532050000</v>
      </c>
      <c r="AF101" s="38">
        <f t="shared" si="13"/>
        <v>-0.84315557997802115</v>
      </c>
      <c r="AG101" s="630" t="b">
        <f t="shared" si="17"/>
        <v>1</v>
      </c>
    </row>
    <row r="102" spans="2:33">
      <c r="B102" s="55" t="s">
        <v>276</v>
      </c>
      <c r="C102" s="56">
        <v>30000</v>
      </c>
      <c r="D102" s="56"/>
      <c r="E102" s="57" t="s">
        <v>194</v>
      </c>
      <c r="F102" s="57"/>
      <c r="G102" s="59">
        <f>SUM(G103)</f>
        <v>102320194</v>
      </c>
      <c r="H102" s="59">
        <f>SUM(H103)</f>
        <v>102320194</v>
      </c>
      <c r="I102" s="59">
        <v>109341994</v>
      </c>
      <c r="J102" s="59">
        <v>109341994</v>
      </c>
      <c r="K102" s="59">
        <v>109341994</v>
      </c>
      <c r="L102" s="59">
        <v>109341994</v>
      </c>
      <c r="M102" s="59">
        <v>109341994</v>
      </c>
      <c r="N102" s="59">
        <v>109341994</v>
      </c>
      <c r="O102" s="59">
        <v>109341994</v>
      </c>
      <c r="P102" s="59">
        <v>109341994</v>
      </c>
      <c r="Q102" s="59">
        <v>0</v>
      </c>
      <c r="R102" s="59">
        <v>0</v>
      </c>
      <c r="S102" s="61">
        <v>109341994</v>
      </c>
      <c r="T102" s="61">
        <v>109341994</v>
      </c>
      <c r="U102" s="59">
        <v>109341994</v>
      </c>
      <c r="V102" s="59">
        <v>109341994</v>
      </c>
      <c r="W102" s="59">
        <v>109341994</v>
      </c>
      <c r="X102" s="59">
        <v>109341994</v>
      </c>
      <c r="Y102" s="59">
        <v>109341994</v>
      </c>
      <c r="Z102" s="59">
        <v>109341994</v>
      </c>
      <c r="AA102" s="59">
        <f>SUM(AA103)</f>
        <v>109341994</v>
      </c>
      <c r="AB102" s="59">
        <f>SUM(AB103)</f>
        <v>0</v>
      </c>
      <c r="AC102" s="59">
        <f>SUM(AC103)</f>
        <v>0</v>
      </c>
      <c r="AD102" s="61">
        <f t="shared" si="18"/>
        <v>109341994</v>
      </c>
      <c r="AE102" s="61">
        <f t="shared" si="14"/>
        <v>0</v>
      </c>
      <c r="AF102" s="62">
        <f t="shared" si="13"/>
        <v>0</v>
      </c>
      <c r="AG102" s="630" t="b">
        <f t="shared" si="17"/>
        <v>1</v>
      </c>
    </row>
    <row r="103" spans="2:33">
      <c r="B103" s="1" t="s">
        <v>285</v>
      </c>
      <c r="C103" s="2">
        <v>300100</v>
      </c>
      <c r="D103" s="2" t="s">
        <v>611</v>
      </c>
      <c r="E103" s="3" t="s">
        <v>194</v>
      </c>
      <c r="F103" s="3" t="s">
        <v>732</v>
      </c>
      <c r="G103" s="30">
        <v>102320194</v>
      </c>
      <c r="H103" s="21">
        <v>102320194</v>
      </c>
      <c r="I103" s="21">
        <v>109341994</v>
      </c>
      <c r="J103" s="21">
        <v>109341994</v>
      </c>
      <c r="K103" s="21">
        <v>109341994</v>
      </c>
      <c r="L103" s="21">
        <v>109341994</v>
      </c>
      <c r="M103" s="21">
        <v>109341994</v>
      </c>
      <c r="N103" s="21">
        <v>109341994</v>
      </c>
      <c r="O103" s="21">
        <v>109341994</v>
      </c>
      <c r="P103" s="21">
        <v>109341994</v>
      </c>
      <c r="Q103" s="21"/>
      <c r="R103" s="21"/>
      <c r="S103" s="21">
        <v>109341994</v>
      </c>
      <c r="T103" s="517">
        <v>109341994</v>
      </c>
      <c r="U103" s="517">
        <v>109341994</v>
      </c>
      <c r="V103" s="517">
        <v>109341994</v>
      </c>
      <c r="W103" s="517">
        <v>109341994</v>
      </c>
      <c r="X103" s="517">
        <v>109341994</v>
      </c>
      <c r="Y103" s="517">
        <v>109341994</v>
      </c>
      <c r="Z103" s="517">
        <v>109341994</v>
      </c>
      <c r="AA103" s="517">
        <f>IFERROR(VLOOKUP(C103,'전사시산표(3단계)_1013'!$C:$L,10,0),0)</f>
        <v>109341994</v>
      </c>
      <c r="AB103" s="517"/>
      <c r="AC103" s="517"/>
      <c r="AD103" s="517">
        <f t="shared" si="18"/>
        <v>109341994</v>
      </c>
      <c r="AE103" s="21">
        <f t="shared" si="14"/>
        <v>0</v>
      </c>
      <c r="AF103" s="38">
        <f t="shared" si="13"/>
        <v>0</v>
      </c>
      <c r="AG103" s="630" t="b">
        <f t="shared" si="17"/>
        <v>1</v>
      </c>
    </row>
    <row r="104" spans="2:33">
      <c r="B104" s="55" t="s">
        <v>290</v>
      </c>
      <c r="C104" s="56">
        <v>30100</v>
      </c>
      <c r="D104" s="56"/>
      <c r="E104" s="57" t="s">
        <v>193</v>
      </c>
      <c r="F104" s="57"/>
      <c r="G104" s="59">
        <f>SUM(G105)</f>
        <v>982606659</v>
      </c>
      <c r="H104" s="59">
        <f>SUM(H105)</f>
        <v>982606659</v>
      </c>
      <c r="I104" s="59">
        <v>1034099859</v>
      </c>
      <c r="J104" s="59">
        <v>1034099859</v>
      </c>
      <c r="K104" s="59">
        <v>1034099859</v>
      </c>
      <c r="L104" s="59">
        <v>1034099859</v>
      </c>
      <c r="M104" s="59">
        <v>1034099859</v>
      </c>
      <c r="N104" s="59">
        <v>1034099859</v>
      </c>
      <c r="O104" s="59">
        <v>1034099859</v>
      </c>
      <c r="P104" s="59">
        <v>1034099859</v>
      </c>
      <c r="Q104" s="59">
        <v>0</v>
      </c>
      <c r="R104" s="59">
        <v>0</v>
      </c>
      <c r="S104" s="61">
        <v>1034099859</v>
      </c>
      <c r="T104" s="61">
        <v>1034099859</v>
      </c>
      <c r="U104" s="59">
        <v>1034099859</v>
      </c>
      <c r="V104" s="59">
        <v>1034099859</v>
      </c>
      <c r="W104" s="59">
        <v>1034099859</v>
      </c>
      <c r="X104" s="59">
        <v>1034099859</v>
      </c>
      <c r="Y104" s="59">
        <v>1034099859</v>
      </c>
      <c r="Z104" s="59">
        <v>1034099859</v>
      </c>
      <c r="AA104" s="59">
        <f>SUM(AA105)</f>
        <v>1034099859</v>
      </c>
      <c r="AB104" s="59">
        <f>SUM(AB105)</f>
        <v>0</v>
      </c>
      <c r="AC104" s="59">
        <f>SUM(AC105)</f>
        <v>0</v>
      </c>
      <c r="AD104" s="61">
        <f t="shared" si="18"/>
        <v>1034099859</v>
      </c>
      <c r="AE104" s="61">
        <f t="shared" si="14"/>
        <v>0</v>
      </c>
      <c r="AF104" s="62">
        <f t="shared" si="13"/>
        <v>0</v>
      </c>
      <c r="AG104" s="630" t="b">
        <f t="shared" si="17"/>
        <v>1</v>
      </c>
    </row>
    <row r="105" spans="2:33">
      <c r="B105" s="1" t="s">
        <v>285</v>
      </c>
      <c r="C105" s="2">
        <v>301100</v>
      </c>
      <c r="D105" s="2" t="s">
        <v>612</v>
      </c>
      <c r="E105" s="3" t="s">
        <v>193</v>
      </c>
      <c r="F105" s="3" t="s">
        <v>732</v>
      </c>
      <c r="G105" s="30">
        <v>982606659</v>
      </c>
      <c r="H105" s="21">
        <v>982606659</v>
      </c>
      <c r="I105" s="21">
        <v>1034099859</v>
      </c>
      <c r="J105" s="21">
        <v>1034099859</v>
      </c>
      <c r="K105" s="21">
        <v>1034099859</v>
      </c>
      <c r="L105" s="21">
        <v>1034099859</v>
      </c>
      <c r="M105" s="21">
        <v>1034099859</v>
      </c>
      <c r="N105" s="21">
        <v>1034099859</v>
      </c>
      <c r="O105" s="21">
        <v>1034099859</v>
      </c>
      <c r="P105" s="21">
        <v>1034099859</v>
      </c>
      <c r="Q105" s="21"/>
      <c r="R105" s="21"/>
      <c r="S105" s="21">
        <v>1034099859</v>
      </c>
      <c r="T105" s="517">
        <v>1034099859</v>
      </c>
      <c r="U105" s="517">
        <v>1034099859</v>
      </c>
      <c r="V105" s="517">
        <v>1034099859</v>
      </c>
      <c r="W105" s="517">
        <v>1034099859</v>
      </c>
      <c r="X105" s="517">
        <v>1034099859</v>
      </c>
      <c r="Y105" s="517">
        <v>1034099859</v>
      </c>
      <c r="Z105" s="517">
        <v>1034099859</v>
      </c>
      <c r="AA105" s="517">
        <f>IFERROR(VLOOKUP(C105,'전사시산표(3단계)_1013'!$C:$L,10,0),0)</f>
        <v>1034099859</v>
      </c>
      <c r="AB105" s="517"/>
      <c r="AC105" s="517"/>
      <c r="AD105" s="517">
        <f t="shared" si="18"/>
        <v>1034099859</v>
      </c>
      <c r="AE105" s="21">
        <f t="shared" si="14"/>
        <v>0</v>
      </c>
      <c r="AF105" s="38">
        <f t="shared" si="13"/>
        <v>0</v>
      </c>
      <c r="AG105" s="630" t="b">
        <f t="shared" si="17"/>
        <v>1</v>
      </c>
    </row>
    <row r="106" spans="2:33">
      <c r="B106" s="55" t="s">
        <v>276</v>
      </c>
      <c r="C106" s="56">
        <v>30110</v>
      </c>
      <c r="D106" s="56"/>
      <c r="E106" s="57" t="s">
        <v>192</v>
      </c>
      <c r="F106" s="57"/>
      <c r="G106" s="59">
        <f>SUM(G107)</f>
        <v>-259281537</v>
      </c>
      <c r="H106" s="59">
        <f>SUM(H107)</f>
        <v>-262011066</v>
      </c>
      <c r="I106" s="59">
        <v>-270976908</v>
      </c>
      <c r="J106" s="59">
        <v>-279748436</v>
      </c>
      <c r="K106" s="59">
        <v>-288519964</v>
      </c>
      <c r="L106" s="59">
        <v>-297291493</v>
      </c>
      <c r="M106" s="59">
        <v>-306063021</v>
      </c>
      <c r="N106" s="59">
        <v>-314834549</v>
      </c>
      <c r="O106" s="59">
        <v>-323606077</v>
      </c>
      <c r="P106" s="59">
        <v>-332377606</v>
      </c>
      <c r="Q106" s="59">
        <v>0</v>
      </c>
      <c r="R106" s="59">
        <v>0</v>
      </c>
      <c r="S106" s="61">
        <v>-332377606</v>
      </c>
      <c r="T106" s="61">
        <v>-341149134</v>
      </c>
      <c r="U106" s="59">
        <v>-349920662</v>
      </c>
      <c r="V106" s="59">
        <v>-358692190</v>
      </c>
      <c r="W106" s="59">
        <v>-367463718</v>
      </c>
      <c r="X106" s="59">
        <v>-376235247</v>
      </c>
      <c r="Y106" s="59">
        <v>-385006775</v>
      </c>
      <c r="Z106" s="59">
        <v>-393778303</v>
      </c>
      <c r="AA106" s="59">
        <f>SUM(AA107)</f>
        <v>-402549831</v>
      </c>
      <c r="AB106" s="59">
        <f>SUM(AB107)</f>
        <v>0</v>
      </c>
      <c r="AC106" s="59">
        <f>SUM(AC107)</f>
        <v>0</v>
      </c>
      <c r="AD106" s="61">
        <f t="shared" si="18"/>
        <v>-402549831</v>
      </c>
      <c r="AE106" s="61">
        <f t="shared" si="14"/>
        <v>-26314584</v>
      </c>
      <c r="AF106" s="62">
        <f t="shared" si="13"/>
        <v>6.9941836151252462E-2</v>
      </c>
      <c r="AG106" s="630" t="b">
        <f t="shared" si="17"/>
        <v>1</v>
      </c>
    </row>
    <row r="107" spans="2:33">
      <c r="B107" s="1" t="s">
        <v>285</v>
      </c>
      <c r="C107" s="2">
        <v>302100</v>
      </c>
      <c r="D107" s="2" t="s">
        <v>613</v>
      </c>
      <c r="E107" s="3" t="s">
        <v>191</v>
      </c>
      <c r="F107" s="3" t="s">
        <v>732</v>
      </c>
      <c r="G107" s="30">
        <v>-259281537</v>
      </c>
      <c r="H107" s="21">
        <v>-262011066</v>
      </c>
      <c r="I107" s="21">
        <v>-270976908</v>
      </c>
      <c r="J107" s="21">
        <v>-279748436</v>
      </c>
      <c r="K107" s="21">
        <v>-288519964</v>
      </c>
      <c r="L107" s="21">
        <v>-297291493</v>
      </c>
      <c r="M107" s="21">
        <v>-306063021</v>
      </c>
      <c r="N107" s="21">
        <v>-314834549</v>
      </c>
      <c r="O107" s="21">
        <v>-323606077</v>
      </c>
      <c r="P107" s="21">
        <v>-332377606</v>
      </c>
      <c r="Q107" s="21"/>
      <c r="R107" s="21"/>
      <c r="S107" s="21">
        <v>-332377606</v>
      </c>
      <c r="T107" s="517">
        <v>-341149134</v>
      </c>
      <c r="U107" s="517">
        <v>-349920662</v>
      </c>
      <c r="V107" s="517">
        <v>-358692190</v>
      </c>
      <c r="W107" s="517">
        <v>-367463718</v>
      </c>
      <c r="X107" s="517">
        <v>-376235247</v>
      </c>
      <c r="Y107" s="517">
        <v>-385006775</v>
      </c>
      <c r="Z107" s="517">
        <v>-393778303</v>
      </c>
      <c r="AA107" s="517">
        <f>IFERROR(VLOOKUP(C107,'전사시산표(3단계)_1013'!$C:$L,10,0),0)</f>
        <v>-402549831</v>
      </c>
      <c r="AB107" s="517"/>
      <c r="AC107" s="517"/>
      <c r="AD107" s="517">
        <f t="shared" si="18"/>
        <v>-402549831</v>
      </c>
      <c r="AE107" s="21">
        <f t="shared" si="14"/>
        <v>-26314584</v>
      </c>
      <c r="AF107" s="38">
        <f t="shared" si="13"/>
        <v>6.9941836151252462E-2</v>
      </c>
      <c r="AG107" s="630" t="b">
        <f t="shared" si="17"/>
        <v>1</v>
      </c>
    </row>
    <row r="108" spans="2:33">
      <c r="B108" s="55" t="s">
        <v>290</v>
      </c>
      <c r="C108" s="56">
        <v>30300</v>
      </c>
      <c r="D108" s="56"/>
      <c r="E108" s="57" t="s">
        <v>464</v>
      </c>
      <c r="F108" s="57"/>
      <c r="G108" s="59">
        <f>SUM(G109)</f>
        <v>0</v>
      </c>
      <c r="H108" s="59">
        <f>SUM(H109)</f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61">
        <v>0</v>
      </c>
      <c r="T108" s="61">
        <v>0</v>
      </c>
      <c r="U108" s="59">
        <v>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f>SUM(AA109)</f>
        <v>0</v>
      </c>
      <c r="AB108" s="59">
        <f>SUM(AB109)</f>
        <v>0</v>
      </c>
      <c r="AC108" s="59">
        <f>SUM(AC109)</f>
        <v>0</v>
      </c>
      <c r="AD108" s="61">
        <f t="shared" si="18"/>
        <v>0</v>
      </c>
      <c r="AE108" s="61">
        <f t="shared" si="14"/>
        <v>0</v>
      </c>
      <c r="AF108" s="62" t="str">
        <f t="shared" si="13"/>
        <v/>
      </c>
      <c r="AG108" s="630" t="b">
        <f t="shared" si="17"/>
        <v>1</v>
      </c>
    </row>
    <row r="109" spans="2:33">
      <c r="B109" s="1" t="s">
        <v>285</v>
      </c>
      <c r="C109" s="2">
        <v>303100</v>
      </c>
      <c r="D109" s="2" t="s">
        <v>617</v>
      </c>
      <c r="E109" s="3" t="s">
        <v>464</v>
      </c>
      <c r="F109" s="3" t="s">
        <v>732</v>
      </c>
      <c r="G109" s="30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/>
      <c r="R109" s="21"/>
      <c r="S109" s="21">
        <v>0</v>
      </c>
      <c r="T109" s="517">
        <v>0</v>
      </c>
      <c r="U109" s="517">
        <v>0</v>
      </c>
      <c r="V109" s="517">
        <v>0</v>
      </c>
      <c r="W109" s="517">
        <v>0</v>
      </c>
      <c r="X109" s="517">
        <v>0</v>
      </c>
      <c r="Y109" s="517">
        <v>0</v>
      </c>
      <c r="Z109" s="517">
        <v>0</v>
      </c>
      <c r="AA109" s="517">
        <f>IFERROR(VLOOKUP(C109,'전사시산표(3단계)_1013'!$C:$L,10,0),0)</f>
        <v>0</v>
      </c>
      <c r="AB109" s="517"/>
      <c r="AC109" s="517"/>
      <c r="AD109" s="517">
        <f t="shared" si="18"/>
        <v>0</v>
      </c>
      <c r="AE109" s="21">
        <f t="shared" si="14"/>
        <v>0</v>
      </c>
      <c r="AF109" s="38" t="str">
        <f t="shared" si="13"/>
        <v/>
      </c>
      <c r="AG109" s="630" t="b">
        <f t="shared" si="17"/>
        <v>1</v>
      </c>
    </row>
    <row r="110" spans="2:33">
      <c r="B110" s="55" t="s">
        <v>276</v>
      </c>
      <c r="C110" s="56">
        <v>30310</v>
      </c>
      <c r="D110" s="56"/>
      <c r="E110" s="57" t="s">
        <v>502</v>
      </c>
      <c r="F110" s="57"/>
      <c r="G110" s="59">
        <f>SUM(G111)</f>
        <v>0</v>
      </c>
      <c r="H110" s="59">
        <f>SUM(H111)</f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  <c r="S110" s="61">
        <v>0</v>
      </c>
      <c r="T110" s="61">
        <v>0</v>
      </c>
      <c r="U110" s="59">
        <v>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f>SUM(AA111)</f>
        <v>0</v>
      </c>
      <c r="AB110" s="59">
        <f>SUM(AB111)</f>
        <v>0</v>
      </c>
      <c r="AC110" s="59">
        <f>SUM(AC111)</f>
        <v>0</v>
      </c>
      <c r="AD110" s="61">
        <f t="shared" si="18"/>
        <v>0</v>
      </c>
      <c r="AE110" s="61">
        <f t="shared" si="14"/>
        <v>0</v>
      </c>
      <c r="AF110" s="62" t="str">
        <f t="shared" si="13"/>
        <v/>
      </c>
      <c r="AG110" s="630" t="b">
        <f t="shared" si="17"/>
        <v>1</v>
      </c>
    </row>
    <row r="111" spans="2:33">
      <c r="B111" s="1" t="s">
        <v>285</v>
      </c>
      <c r="C111" s="2">
        <v>304100</v>
      </c>
      <c r="D111" s="2" t="s">
        <v>618</v>
      </c>
      <c r="E111" s="3" t="s">
        <v>465</v>
      </c>
      <c r="F111" s="3" t="s">
        <v>732</v>
      </c>
      <c r="G111" s="30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/>
      <c r="R111" s="21"/>
      <c r="S111" s="21">
        <v>0</v>
      </c>
      <c r="T111" s="517">
        <v>0</v>
      </c>
      <c r="U111" s="517">
        <v>0</v>
      </c>
      <c r="V111" s="517">
        <v>0</v>
      </c>
      <c r="W111" s="517">
        <v>0</v>
      </c>
      <c r="X111" s="517">
        <v>0</v>
      </c>
      <c r="Y111" s="517">
        <v>0</v>
      </c>
      <c r="Z111" s="517">
        <v>0</v>
      </c>
      <c r="AA111" s="517">
        <f>IFERROR(VLOOKUP(C111,'전사시산표(3단계)_1013'!$C:$L,10,0),0)</f>
        <v>0</v>
      </c>
      <c r="AB111" s="517"/>
      <c r="AC111" s="517"/>
      <c r="AD111" s="517">
        <f t="shared" si="18"/>
        <v>0</v>
      </c>
      <c r="AE111" s="21">
        <f t="shared" si="14"/>
        <v>0</v>
      </c>
      <c r="AF111" s="38" t="str">
        <f t="shared" si="13"/>
        <v/>
      </c>
      <c r="AG111" s="630" t="b">
        <f t="shared" si="17"/>
        <v>1</v>
      </c>
    </row>
    <row r="112" spans="2:33">
      <c r="B112" s="55" t="s">
        <v>276</v>
      </c>
      <c r="C112" s="56">
        <v>30500</v>
      </c>
      <c r="D112" s="56"/>
      <c r="E112" s="57" t="s">
        <v>187</v>
      </c>
      <c r="F112" s="57"/>
      <c r="G112" s="59">
        <f>SUM(G113)</f>
        <v>75398019510</v>
      </c>
      <c r="H112" s="59">
        <f>SUM(H113)</f>
        <v>76167555110</v>
      </c>
      <c r="I112" s="59">
        <v>86346179079</v>
      </c>
      <c r="J112" s="59">
        <v>86317179079</v>
      </c>
      <c r="K112" s="59">
        <v>82373385903</v>
      </c>
      <c r="L112" s="59">
        <v>83980341496</v>
      </c>
      <c r="M112" s="59">
        <v>83021767775</v>
      </c>
      <c r="N112" s="59">
        <v>83021767775</v>
      </c>
      <c r="O112" s="59">
        <v>83342455775</v>
      </c>
      <c r="P112" s="59">
        <v>83299449813</v>
      </c>
      <c r="Q112" s="59">
        <v>0</v>
      </c>
      <c r="R112" s="59">
        <v>0</v>
      </c>
      <c r="S112" s="61">
        <v>83299449813</v>
      </c>
      <c r="T112" s="61">
        <v>84966664413</v>
      </c>
      <c r="U112" s="59">
        <v>84966664413</v>
      </c>
      <c r="V112" s="59">
        <v>86824214413</v>
      </c>
      <c r="W112" s="59">
        <v>87655049413</v>
      </c>
      <c r="X112" s="59">
        <v>92390281213</v>
      </c>
      <c r="Y112" s="59">
        <v>92573681213</v>
      </c>
      <c r="Z112" s="59">
        <v>95019169213</v>
      </c>
      <c r="AA112" s="59">
        <f>SUM(AA113)</f>
        <v>97953587213</v>
      </c>
      <c r="AB112" s="59">
        <f>SUM(AB113)</f>
        <v>0</v>
      </c>
      <c r="AC112" s="59">
        <f>SUM(AC113)</f>
        <v>0</v>
      </c>
      <c r="AD112" s="61">
        <f t="shared" si="18"/>
        <v>97953587213</v>
      </c>
      <c r="AE112" s="61">
        <f t="shared" si="14"/>
        <v>5563306000</v>
      </c>
      <c r="AF112" s="62">
        <f t="shared" si="13"/>
        <v>6.0215272937357414E-2</v>
      </c>
      <c r="AG112" s="630" t="b">
        <f t="shared" si="17"/>
        <v>1</v>
      </c>
    </row>
    <row r="113" spans="1:33">
      <c r="B113" s="1" t="s">
        <v>285</v>
      </c>
      <c r="C113" s="2">
        <v>305100</v>
      </c>
      <c r="D113" s="2" t="s">
        <v>614</v>
      </c>
      <c r="E113" s="3" t="s">
        <v>187</v>
      </c>
      <c r="F113" s="3" t="s">
        <v>732</v>
      </c>
      <c r="G113" s="30">
        <v>75398019510</v>
      </c>
      <c r="H113" s="21">
        <v>76167555110</v>
      </c>
      <c r="I113" s="21">
        <v>86346179079</v>
      </c>
      <c r="J113" s="21">
        <v>86317179079</v>
      </c>
      <c r="K113" s="21">
        <v>82373385903</v>
      </c>
      <c r="L113" s="21">
        <v>83980341496</v>
      </c>
      <c r="M113" s="21">
        <v>83021767775</v>
      </c>
      <c r="N113" s="21">
        <v>83021767775</v>
      </c>
      <c r="O113" s="21">
        <v>83342455775</v>
      </c>
      <c r="P113" s="21">
        <v>83299449813</v>
      </c>
      <c r="Q113" s="21"/>
      <c r="R113" s="21"/>
      <c r="S113" s="21">
        <v>83299449813</v>
      </c>
      <c r="T113" s="517">
        <v>84966664413</v>
      </c>
      <c r="U113" s="517">
        <v>84966664413</v>
      </c>
      <c r="V113" s="517">
        <v>86824214413</v>
      </c>
      <c r="W113" s="517">
        <v>87655049413</v>
      </c>
      <c r="X113" s="517">
        <v>92390281213</v>
      </c>
      <c r="Y113" s="517">
        <v>92573681213</v>
      </c>
      <c r="Z113" s="517">
        <v>95019169213</v>
      </c>
      <c r="AA113" s="517">
        <f>IFERROR(VLOOKUP(C113,'전사시산표(3단계)_1013'!$C:$L,10,0),0)</f>
        <v>97953587213</v>
      </c>
      <c r="AB113" s="517"/>
      <c r="AC113" s="517"/>
      <c r="AD113" s="517">
        <f t="shared" si="18"/>
        <v>97953587213</v>
      </c>
      <c r="AE113" s="21">
        <f t="shared" si="14"/>
        <v>5563306000</v>
      </c>
      <c r="AF113" s="38">
        <f t="shared" si="13"/>
        <v>6.0215272937357414E-2</v>
      </c>
      <c r="AG113" s="630" t="b">
        <f t="shared" si="17"/>
        <v>1</v>
      </c>
    </row>
    <row r="114" spans="1:33">
      <c r="B114" s="55" t="s">
        <v>276</v>
      </c>
      <c r="C114" s="56">
        <v>30510</v>
      </c>
      <c r="D114" s="56"/>
      <c r="E114" s="57" t="s">
        <v>186</v>
      </c>
      <c r="F114" s="57"/>
      <c r="G114" s="59">
        <f>SUM(G115)</f>
        <v>-50034348298</v>
      </c>
      <c r="H114" s="59">
        <f>SUM(H115)</f>
        <v>-50907818684</v>
      </c>
      <c r="I114" s="59">
        <v>-53604408233</v>
      </c>
      <c r="J114" s="59">
        <v>-56361461960</v>
      </c>
      <c r="K114" s="59">
        <v>-55616889113</v>
      </c>
      <c r="L114" s="59">
        <v>-58190357262</v>
      </c>
      <c r="M114" s="59">
        <v>-58325952804</v>
      </c>
      <c r="N114" s="59">
        <v>-60676982446</v>
      </c>
      <c r="O114" s="59">
        <v>-62975825225</v>
      </c>
      <c r="P114" s="59">
        <v>-63005872264</v>
      </c>
      <c r="Q114" s="59">
        <v>0</v>
      </c>
      <c r="R114" s="59">
        <v>0</v>
      </c>
      <c r="S114" s="61">
        <v>-63005872264</v>
      </c>
      <c r="T114" s="61">
        <v>-65178161588</v>
      </c>
      <c r="U114" s="59">
        <v>-67347597299</v>
      </c>
      <c r="V114" s="59">
        <v>-69060621720</v>
      </c>
      <c r="W114" s="59">
        <v>-71048570922</v>
      </c>
      <c r="X114" s="59">
        <v>-73073164120</v>
      </c>
      <c r="Y114" s="59">
        <v>-75051886659</v>
      </c>
      <c r="Z114" s="59">
        <v>-77046006388</v>
      </c>
      <c r="AA114" s="59">
        <f>SUM(AA115)</f>
        <v>-79091915645</v>
      </c>
      <c r="AB114" s="59">
        <f>SUM(AB115)</f>
        <v>0</v>
      </c>
      <c r="AC114" s="59">
        <f>SUM(AC115)</f>
        <v>0</v>
      </c>
      <c r="AD114" s="61">
        <f t="shared" si="18"/>
        <v>-79091915645</v>
      </c>
      <c r="AE114" s="61">
        <f t="shared" si="14"/>
        <v>-6018751525</v>
      </c>
      <c r="AF114" s="62">
        <f t="shared" si="13"/>
        <v>8.2366099750601579E-2</v>
      </c>
      <c r="AG114" s="630" t="b">
        <f t="shared" si="17"/>
        <v>1</v>
      </c>
    </row>
    <row r="115" spans="1:33">
      <c r="B115" s="1" t="s">
        <v>285</v>
      </c>
      <c r="C115" s="2">
        <v>306100</v>
      </c>
      <c r="D115" s="2" t="s">
        <v>615</v>
      </c>
      <c r="E115" s="3" t="s">
        <v>470</v>
      </c>
      <c r="F115" s="3" t="s">
        <v>732</v>
      </c>
      <c r="G115" s="30">
        <v>-50034348298</v>
      </c>
      <c r="H115" s="21">
        <v>-50907818684</v>
      </c>
      <c r="I115" s="21">
        <v>-53604408233</v>
      </c>
      <c r="J115" s="21">
        <v>-56361461960</v>
      </c>
      <c r="K115" s="21">
        <v>-55616889113</v>
      </c>
      <c r="L115" s="21">
        <v>-58190357262</v>
      </c>
      <c r="M115" s="21">
        <v>-58325952804</v>
      </c>
      <c r="N115" s="21">
        <v>-60676982446</v>
      </c>
      <c r="O115" s="21">
        <v>-62975825225</v>
      </c>
      <c r="P115" s="21">
        <v>-63005872264</v>
      </c>
      <c r="Q115" s="21"/>
      <c r="R115" s="21"/>
      <c r="S115" s="21">
        <v>-63005872264</v>
      </c>
      <c r="T115" s="517">
        <v>-65178161588</v>
      </c>
      <c r="U115" s="517">
        <v>-67347597299</v>
      </c>
      <c r="V115" s="517">
        <v>-69060621720</v>
      </c>
      <c r="W115" s="517">
        <v>-71048570922</v>
      </c>
      <c r="X115" s="517">
        <v>-73073164120</v>
      </c>
      <c r="Y115" s="517">
        <v>-75051886659</v>
      </c>
      <c r="Z115" s="517">
        <v>-77046006388</v>
      </c>
      <c r="AA115" s="517">
        <f>IFERROR(VLOOKUP(C115,'전사시산표(3단계)_1013'!$C:$L,10,0),0)</f>
        <v>-79091915645</v>
      </c>
      <c r="AB115" s="517"/>
      <c r="AC115" s="517"/>
      <c r="AD115" s="517">
        <f t="shared" si="18"/>
        <v>-79091915645</v>
      </c>
      <c r="AE115" s="21">
        <f t="shared" si="14"/>
        <v>-6018751525</v>
      </c>
      <c r="AF115" s="38">
        <f t="shared" si="13"/>
        <v>8.2366099750601579E-2</v>
      </c>
      <c r="AG115" s="630" t="b">
        <f t="shared" si="17"/>
        <v>1</v>
      </c>
    </row>
    <row r="116" spans="1:33">
      <c r="B116" s="55" t="s">
        <v>289</v>
      </c>
      <c r="C116" s="56">
        <v>30800</v>
      </c>
      <c r="D116" s="56"/>
      <c r="E116" s="57" t="s">
        <v>445</v>
      </c>
      <c r="F116" s="57"/>
      <c r="G116" s="59">
        <f>SUM(G117)</f>
        <v>1305783310</v>
      </c>
      <c r="H116" s="59">
        <f>SUM(H117)</f>
        <v>1305783310</v>
      </c>
      <c r="I116" s="59">
        <v>1305783310</v>
      </c>
      <c r="J116" s="59">
        <v>1305783310</v>
      </c>
      <c r="K116" s="59">
        <v>1305783310</v>
      </c>
      <c r="L116" s="59">
        <v>1305783310</v>
      </c>
      <c r="M116" s="59">
        <v>1305783310</v>
      </c>
      <c r="N116" s="59">
        <v>1305783310</v>
      </c>
      <c r="O116" s="59">
        <v>1305783310</v>
      </c>
      <c r="P116" s="59">
        <v>1305783310</v>
      </c>
      <c r="Q116" s="59">
        <v>0</v>
      </c>
      <c r="R116" s="59">
        <v>0</v>
      </c>
      <c r="S116" s="61">
        <v>1305783310</v>
      </c>
      <c r="T116" s="61">
        <v>1503842955</v>
      </c>
      <c r="U116" s="59">
        <v>1503842955</v>
      </c>
      <c r="V116" s="59">
        <v>1503842955</v>
      </c>
      <c r="W116" s="59">
        <v>1503842955</v>
      </c>
      <c r="X116" s="59">
        <v>1503842955</v>
      </c>
      <c r="Y116" s="59">
        <v>1503842955</v>
      </c>
      <c r="Z116" s="59">
        <v>1503842955</v>
      </c>
      <c r="AA116" s="59">
        <f>SUM(AA117)</f>
        <v>1503842955</v>
      </c>
      <c r="AB116" s="59">
        <f>SUM(AB117)</f>
        <v>0</v>
      </c>
      <c r="AC116" s="59">
        <f>SUM(AC117)</f>
        <v>0</v>
      </c>
      <c r="AD116" s="61">
        <f t="shared" si="18"/>
        <v>1503842955</v>
      </c>
      <c r="AE116" s="61">
        <f t="shared" si="14"/>
        <v>0</v>
      </c>
      <c r="AF116" s="62">
        <f t="shared" si="13"/>
        <v>0</v>
      </c>
      <c r="AG116" s="630" t="b">
        <f t="shared" si="17"/>
        <v>1</v>
      </c>
    </row>
    <row r="117" spans="1:33">
      <c r="B117" s="1" t="s">
        <v>285</v>
      </c>
      <c r="C117" s="2">
        <v>308200</v>
      </c>
      <c r="D117" s="2" t="s">
        <v>616</v>
      </c>
      <c r="E117" s="3" t="s">
        <v>183</v>
      </c>
      <c r="F117" s="3" t="s">
        <v>732</v>
      </c>
      <c r="G117" s="30">
        <v>1305783310</v>
      </c>
      <c r="H117" s="21">
        <v>1305783310</v>
      </c>
      <c r="I117" s="21">
        <v>1305783310</v>
      </c>
      <c r="J117" s="21">
        <v>1305783310</v>
      </c>
      <c r="K117" s="21">
        <v>1305783310</v>
      </c>
      <c r="L117" s="21">
        <v>1305783310</v>
      </c>
      <c r="M117" s="21">
        <v>1305783310</v>
      </c>
      <c r="N117" s="21">
        <v>1305783310</v>
      </c>
      <c r="O117" s="21">
        <v>1305783310</v>
      </c>
      <c r="P117" s="21">
        <v>1305783310</v>
      </c>
      <c r="Q117" s="21"/>
      <c r="R117" s="21"/>
      <c r="S117" s="21">
        <v>1305783310</v>
      </c>
      <c r="T117" s="517">
        <v>1503842955</v>
      </c>
      <c r="U117" s="517">
        <v>1503842955</v>
      </c>
      <c r="V117" s="517">
        <v>1503842955</v>
      </c>
      <c r="W117" s="517">
        <v>1503842955</v>
      </c>
      <c r="X117" s="517">
        <v>1503842955</v>
      </c>
      <c r="Y117" s="517">
        <v>1503842955</v>
      </c>
      <c r="Z117" s="517">
        <v>1503842955</v>
      </c>
      <c r="AA117" s="517">
        <f>IFERROR(VLOOKUP(C117,'전사시산표(3단계)_1013'!$C:$L,10,0),0)</f>
        <v>1503842955</v>
      </c>
      <c r="AB117" s="517"/>
      <c r="AC117" s="517"/>
      <c r="AD117" s="517">
        <f t="shared" si="18"/>
        <v>1503842955</v>
      </c>
      <c r="AE117" s="21">
        <f t="shared" si="14"/>
        <v>0</v>
      </c>
      <c r="AF117" s="38">
        <f t="shared" si="13"/>
        <v>0</v>
      </c>
      <c r="AG117" s="630" t="b">
        <f t="shared" si="17"/>
        <v>1</v>
      </c>
    </row>
    <row r="118" spans="1:33">
      <c r="B118" s="55" t="s">
        <v>276</v>
      </c>
      <c r="C118" s="56">
        <v>30810</v>
      </c>
      <c r="D118" s="56"/>
      <c r="E118" s="57" t="s">
        <v>444</v>
      </c>
      <c r="F118" s="57"/>
      <c r="G118" s="59">
        <f>SUM(G119)</f>
        <v>-95860201</v>
      </c>
      <c r="H118" s="59">
        <f>SUM(H119)</f>
        <v>-114864966</v>
      </c>
      <c r="I118" s="59">
        <v>-133869731</v>
      </c>
      <c r="J118" s="59">
        <v>-197058427</v>
      </c>
      <c r="K118" s="59">
        <v>-259196113</v>
      </c>
      <c r="L118" s="59">
        <v>-321333799</v>
      </c>
      <c r="M118" s="59">
        <v>-383471485</v>
      </c>
      <c r="N118" s="59">
        <v>-445609171</v>
      </c>
      <c r="O118" s="59">
        <v>-507746857</v>
      </c>
      <c r="P118" s="59">
        <v>-569884543</v>
      </c>
      <c r="Q118" s="59">
        <v>0</v>
      </c>
      <c r="R118" s="59">
        <v>0</v>
      </c>
      <c r="S118" s="61">
        <v>-569884543</v>
      </c>
      <c r="T118" s="61">
        <v>-770663977</v>
      </c>
      <c r="U118" s="59">
        <v>-842704645</v>
      </c>
      <c r="V118" s="59">
        <v>-914745313</v>
      </c>
      <c r="W118" s="59">
        <v>-986785981</v>
      </c>
      <c r="X118" s="59">
        <v>-1058826649</v>
      </c>
      <c r="Y118" s="59">
        <v>-1130867317</v>
      </c>
      <c r="Z118" s="59">
        <v>-1202907985</v>
      </c>
      <c r="AA118" s="59">
        <f>SUM(AA119)</f>
        <v>-1265045671</v>
      </c>
      <c r="AB118" s="59">
        <f>SUM(AB119)</f>
        <v>0</v>
      </c>
      <c r="AC118" s="59">
        <f>SUM(AC119)</f>
        <v>0</v>
      </c>
      <c r="AD118" s="61">
        <f t="shared" si="18"/>
        <v>-1265045671</v>
      </c>
      <c r="AE118" s="61">
        <f t="shared" si="14"/>
        <v>-206219022</v>
      </c>
      <c r="AF118" s="62">
        <f t="shared" si="13"/>
        <v>0.19476183584419776</v>
      </c>
      <c r="AG118" s="630" t="b">
        <f t="shared" si="17"/>
        <v>1</v>
      </c>
    </row>
    <row r="119" spans="1:33">
      <c r="B119" s="1" t="s">
        <v>285</v>
      </c>
      <c r="C119" s="2">
        <v>308210</v>
      </c>
      <c r="D119" s="2">
        <v>2692</v>
      </c>
      <c r="E119" s="3" t="s">
        <v>181</v>
      </c>
      <c r="F119" s="3" t="s">
        <v>732</v>
      </c>
      <c r="G119" s="30">
        <v>-95860201</v>
      </c>
      <c r="H119" s="21">
        <v>-114864966</v>
      </c>
      <c r="I119" s="21">
        <v>-133869731</v>
      </c>
      <c r="J119" s="21">
        <v>-197058427</v>
      </c>
      <c r="K119" s="21">
        <v>-259196113</v>
      </c>
      <c r="L119" s="21">
        <v>-321333799</v>
      </c>
      <c r="M119" s="21">
        <v>-383471485</v>
      </c>
      <c r="N119" s="21">
        <v>-445609171</v>
      </c>
      <c r="O119" s="21">
        <v>-507746857</v>
      </c>
      <c r="P119" s="21">
        <v>-569884543</v>
      </c>
      <c r="Q119" s="21"/>
      <c r="R119" s="21"/>
      <c r="S119" s="21">
        <v>-569884543</v>
      </c>
      <c r="T119" s="517">
        <v>-770663977</v>
      </c>
      <c r="U119" s="517">
        <v>-842704645</v>
      </c>
      <c r="V119" s="517">
        <v>-914745313</v>
      </c>
      <c r="W119" s="517">
        <v>-986785981</v>
      </c>
      <c r="X119" s="517">
        <v>-1058826649</v>
      </c>
      <c r="Y119" s="517">
        <v>-1130867317</v>
      </c>
      <c r="Z119" s="517">
        <v>-1202907985</v>
      </c>
      <c r="AA119" s="517">
        <f>IFERROR(VLOOKUP(C119,'전사시산표(3단계)_1013'!$C:$L,10,0),0)</f>
        <v>-1265045671</v>
      </c>
      <c r="AB119" s="517"/>
      <c r="AC119" s="517"/>
      <c r="AD119" s="517">
        <f t="shared" si="18"/>
        <v>-1265045671</v>
      </c>
      <c r="AE119" s="21">
        <f t="shared" si="14"/>
        <v>-206219022</v>
      </c>
      <c r="AF119" s="38">
        <f t="shared" si="13"/>
        <v>0.19476183584419776</v>
      </c>
      <c r="AG119" s="630" t="b">
        <f t="shared" si="17"/>
        <v>1</v>
      </c>
    </row>
    <row r="120" spans="1:33">
      <c r="B120" s="55" t="s">
        <v>276</v>
      </c>
      <c r="C120" s="56">
        <v>30900</v>
      </c>
      <c r="D120" s="56"/>
      <c r="E120" s="57" t="s">
        <v>180</v>
      </c>
      <c r="F120" s="57"/>
      <c r="G120" s="59">
        <f>SUM(G121:G122)</f>
        <v>11236140850</v>
      </c>
      <c r="H120" s="59">
        <f>SUM(H121:H122)</f>
        <v>11238920850</v>
      </c>
      <c r="I120" s="59">
        <f t="shared" ref="I120:M120" si="20">SUM(I121:I124)</f>
        <v>12534095495</v>
      </c>
      <c r="J120" s="59">
        <f t="shared" si="20"/>
        <v>12385993282</v>
      </c>
      <c r="K120" s="59">
        <f t="shared" si="20"/>
        <v>12892283460</v>
      </c>
      <c r="L120" s="59">
        <f t="shared" si="20"/>
        <v>13042357885</v>
      </c>
      <c r="M120" s="59">
        <f t="shared" si="20"/>
        <v>13109367275</v>
      </c>
      <c r="N120" s="59">
        <v>13406783896</v>
      </c>
      <c r="O120" s="59">
        <v>13186511255</v>
      </c>
      <c r="P120" s="59">
        <v>13215588011</v>
      </c>
      <c r="Q120" s="59">
        <v>0</v>
      </c>
      <c r="R120" s="59">
        <v>0</v>
      </c>
      <c r="S120" s="61">
        <v>13215588011</v>
      </c>
      <c r="T120" s="61">
        <v>13458331395</v>
      </c>
      <c r="U120" s="59">
        <v>13057725873</v>
      </c>
      <c r="V120" s="59">
        <v>12820401733</v>
      </c>
      <c r="W120" s="59">
        <v>13411176983</v>
      </c>
      <c r="X120" s="59">
        <v>14562289313</v>
      </c>
      <c r="Y120" s="59">
        <v>16174108063</v>
      </c>
      <c r="Z120" s="59">
        <v>16424103806</v>
      </c>
      <c r="AA120" s="59">
        <f>SUM(AA121:AA124)</f>
        <v>16929760551</v>
      </c>
      <c r="AB120" s="59">
        <f>SUM(AB121:AB122)</f>
        <v>0</v>
      </c>
      <c r="AC120" s="59">
        <f>SUM(AC121:AC122)</f>
        <v>0</v>
      </c>
      <c r="AD120" s="61">
        <f t="shared" si="18"/>
        <v>16929760551</v>
      </c>
      <c r="AE120" s="61">
        <f t="shared" si="14"/>
        <v>2367471238</v>
      </c>
      <c r="AF120" s="62">
        <f t="shared" si="13"/>
        <v>0.16257548432900029</v>
      </c>
      <c r="AG120" s="630" t="b">
        <f t="shared" si="17"/>
        <v>1</v>
      </c>
    </row>
    <row r="121" spans="1:33">
      <c r="B121" s="1" t="s">
        <v>285</v>
      </c>
      <c r="C121" s="2">
        <v>311100</v>
      </c>
      <c r="D121" s="2" t="s">
        <v>616</v>
      </c>
      <c r="E121" s="3" t="s">
        <v>179</v>
      </c>
      <c r="F121" s="3" t="s">
        <v>732</v>
      </c>
      <c r="G121" s="30">
        <v>11164952850</v>
      </c>
      <c r="H121" s="21">
        <v>11167732850</v>
      </c>
      <c r="I121" s="21">
        <v>12462907495</v>
      </c>
      <c r="J121" s="21">
        <v>12314805282</v>
      </c>
      <c r="K121" s="21">
        <v>12821095460</v>
      </c>
      <c r="L121" s="21">
        <v>12971169885</v>
      </c>
      <c r="M121" s="21">
        <v>13038179275</v>
      </c>
      <c r="N121" s="21">
        <v>13599970896</v>
      </c>
      <c r="O121" s="21">
        <v>13390323255</v>
      </c>
      <c r="P121" s="21">
        <v>13400650011</v>
      </c>
      <c r="Q121" s="21"/>
      <c r="R121" s="21"/>
      <c r="S121" s="21">
        <v>13400650011</v>
      </c>
      <c r="T121" s="517">
        <v>13624643395</v>
      </c>
      <c r="U121" s="517">
        <v>13205287873</v>
      </c>
      <c r="V121" s="517">
        <v>12949213733</v>
      </c>
      <c r="W121" s="517">
        <v>13533738983</v>
      </c>
      <c r="X121" s="517">
        <v>14653601313</v>
      </c>
      <c r="Y121" s="517">
        <v>16246670063</v>
      </c>
      <c r="Z121" s="517">
        <v>16477915806</v>
      </c>
      <c r="AA121" s="517">
        <f>IFERROR(VLOOKUP(C121,'전사시산표(3단계)_1013'!$C:$L,10,0),0)</f>
        <v>16964822551</v>
      </c>
      <c r="AB121" s="517"/>
      <c r="AC121" s="517"/>
      <c r="AD121" s="517">
        <f t="shared" si="18"/>
        <v>16964822551</v>
      </c>
      <c r="AE121" s="21">
        <f t="shared" si="14"/>
        <v>2311221238</v>
      </c>
      <c r="AF121" s="38">
        <f t="shared" si="13"/>
        <v>0.15772376964764226</v>
      </c>
      <c r="AG121" s="630" t="b">
        <f t="shared" si="17"/>
        <v>1</v>
      </c>
    </row>
    <row r="122" spans="1:33">
      <c r="B122" s="1" t="s">
        <v>285</v>
      </c>
      <c r="C122" s="2">
        <v>313100</v>
      </c>
      <c r="D122" s="2" t="s">
        <v>643</v>
      </c>
      <c r="E122" s="3" t="s">
        <v>178</v>
      </c>
      <c r="F122" s="3" t="s">
        <v>732</v>
      </c>
      <c r="G122" s="30">
        <v>71188000</v>
      </c>
      <c r="H122" s="21">
        <v>71188000</v>
      </c>
      <c r="I122" s="21">
        <v>71188000</v>
      </c>
      <c r="J122" s="21">
        <v>71188000</v>
      </c>
      <c r="K122" s="21">
        <v>71188000</v>
      </c>
      <c r="L122" s="21">
        <v>71188000</v>
      </c>
      <c r="M122" s="21">
        <v>71188000</v>
      </c>
      <c r="N122" s="21">
        <v>71188000</v>
      </c>
      <c r="O122" s="21">
        <v>71188000</v>
      </c>
      <c r="P122" s="21">
        <v>71188000</v>
      </c>
      <c r="Q122" s="21"/>
      <c r="R122" s="21"/>
      <c r="S122" s="21">
        <v>71188000</v>
      </c>
      <c r="T122" s="517">
        <v>71188000</v>
      </c>
      <c r="U122" s="517">
        <v>71188000</v>
      </c>
      <c r="V122" s="517">
        <v>71188000</v>
      </c>
      <c r="W122" s="517">
        <v>71188000</v>
      </c>
      <c r="X122" s="517">
        <v>71188000</v>
      </c>
      <c r="Y122" s="517">
        <v>71188000</v>
      </c>
      <c r="Z122" s="517">
        <v>71188000</v>
      </c>
      <c r="AA122" s="517">
        <f>IFERROR(VLOOKUP(C122,'전사시산표(3단계)_1013'!$C:$L,10,0),0)</f>
        <v>71188000</v>
      </c>
      <c r="AB122" s="517"/>
      <c r="AC122" s="517"/>
      <c r="AD122" s="517">
        <f t="shared" si="18"/>
        <v>71188000</v>
      </c>
      <c r="AE122" s="21">
        <f t="shared" si="14"/>
        <v>0</v>
      </c>
      <c r="AF122" s="38">
        <f t="shared" si="13"/>
        <v>0</v>
      </c>
      <c r="AG122" s="630" t="b">
        <f t="shared" si="17"/>
        <v>1</v>
      </c>
    </row>
    <row r="123" spans="1:33" s="11" customFormat="1">
      <c r="A123" s="24"/>
      <c r="B123" s="1" t="s">
        <v>285</v>
      </c>
      <c r="C123" s="5">
        <v>311102</v>
      </c>
      <c r="D123" s="5"/>
      <c r="E123" s="6" t="s">
        <v>1139</v>
      </c>
      <c r="F123" s="3" t="s">
        <v>511</v>
      </c>
      <c r="G123" s="31"/>
      <c r="H123" s="22"/>
      <c r="I123" s="22"/>
      <c r="J123" s="22"/>
      <c r="K123" s="22"/>
      <c r="L123" s="22"/>
      <c r="M123" s="22"/>
      <c r="N123" s="22">
        <v>-270000000</v>
      </c>
      <c r="O123" s="22">
        <v>-300000000</v>
      </c>
      <c r="P123" s="21">
        <v>-300000000</v>
      </c>
      <c r="Q123" s="22"/>
      <c r="R123" s="22"/>
      <c r="S123" s="21">
        <v>-300000000</v>
      </c>
      <c r="T123" s="21">
        <v>-300000000</v>
      </c>
      <c r="U123" s="21">
        <v>-300000000</v>
      </c>
      <c r="V123" s="21">
        <v>-300000000</v>
      </c>
      <c r="W123" s="21">
        <v>-300000000</v>
      </c>
      <c r="X123" s="21">
        <v>-300000000</v>
      </c>
      <c r="Y123" s="21">
        <v>-300000000</v>
      </c>
      <c r="Z123" s="21">
        <v>-300000000</v>
      </c>
      <c r="AA123" s="21">
        <f>IFERROR(VLOOKUP(C123,'전사시산표(3단계)_1013'!$C:$L,10,0),0)</f>
        <v>-300000000</v>
      </c>
      <c r="AB123" s="22"/>
      <c r="AC123" s="22"/>
      <c r="AD123" s="21">
        <f t="shared" si="18"/>
        <v>-300000000</v>
      </c>
      <c r="AE123" s="21">
        <f t="shared" si="14"/>
        <v>0</v>
      </c>
      <c r="AF123" s="38">
        <f t="shared" si="13"/>
        <v>0</v>
      </c>
      <c r="AG123" s="630" t="b">
        <f t="shared" si="17"/>
        <v>1</v>
      </c>
    </row>
    <row r="124" spans="1:33" s="11" customFormat="1">
      <c r="A124" s="24"/>
      <c r="B124" s="1" t="s">
        <v>285</v>
      </c>
      <c r="C124" s="5">
        <v>312101</v>
      </c>
      <c r="D124" s="5"/>
      <c r="E124" s="6" t="s">
        <v>1140</v>
      </c>
      <c r="F124" s="3" t="s">
        <v>511</v>
      </c>
      <c r="G124" s="31"/>
      <c r="H124" s="22"/>
      <c r="I124" s="22"/>
      <c r="J124" s="22"/>
      <c r="K124" s="22"/>
      <c r="L124" s="22"/>
      <c r="M124" s="22"/>
      <c r="N124" s="22">
        <v>5625000</v>
      </c>
      <c r="O124" s="22">
        <v>25000000</v>
      </c>
      <c r="P124" s="21">
        <v>43750000</v>
      </c>
      <c r="Q124" s="22"/>
      <c r="R124" s="22"/>
      <c r="S124" s="21">
        <v>43750000</v>
      </c>
      <c r="T124" s="21">
        <v>62500000</v>
      </c>
      <c r="U124" s="21">
        <v>81250000</v>
      </c>
      <c r="V124" s="21">
        <v>100000000</v>
      </c>
      <c r="W124" s="21">
        <v>106250000</v>
      </c>
      <c r="X124" s="21">
        <v>137500000</v>
      </c>
      <c r="Y124" s="21">
        <v>156250000</v>
      </c>
      <c r="Z124" s="21">
        <v>175000000</v>
      </c>
      <c r="AA124" s="21">
        <f>IFERROR(VLOOKUP(C124,'전사시산표(3단계)_1013'!$C:$L,10,0),0)</f>
        <v>193750000</v>
      </c>
      <c r="AB124" s="22"/>
      <c r="AC124" s="22"/>
      <c r="AD124" s="21">
        <f t="shared" si="18"/>
        <v>193750000</v>
      </c>
      <c r="AE124" s="21">
        <f t="shared" si="14"/>
        <v>56250000</v>
      </c>
      <c r="AF124" s="38">
        <f t="shared" si="13"/>
        <v>0.40909090909090912</v>
      </c>
      <c r="AG124" s="630" t="b">
        <f t="shared" si="17"/>
        <v>1</v>
      </c>
    </row>
    <row r="125" spans="1:33">
      <c r="B125" s="55" t="s">
        <v>276</v>
      </c>
      <c r="C125" s="56">
        <v>30910</v>
      </c>
      <c r="D125" s="56"/>
      <c r="E125" s="57" t="s">
        <v>177</v>
      </c>
      <c r="F125" s="57"/>
      <c r="G125" s="59">
        <f>SUM(G126:G127)</f>
        <v>-5694673200</v>
      </c>
      <c r="H125" s="59">
        <f>SUM(H126:H127)</f>
        <v>-5886698886</v>
      </c>
      <c r="I125" s="59">
        <v>-6475560766</v>
      </c>
      <c r="J125" s="59">
        <v>-6797291917</v>
      </c>
      <c r="K125" s="59">
        <v>-7464140292</v>
      </c>
      <c r="L125" s="59">
        <v>-8139879875</v>
      </c>
      <c r="M125" s="59">
        <v>-8179813681</v>
      </c>
      <c r="N125" s="59">
        <v>-8894256349</v>
      </c>
      <c r="O125" s="59">
        <v>-9225553686</v>
      </c>
      <c r="P125" s="59">
        <v>-9422330434</v>
      </c>
      <c r="Q125" s="59">
        <v>0</v>
      </c>
      <c r="R125" s="59">
        <v>0</v>
      </c>
      <c r="S125" s="61">
        <v>-9422330434</v>
      </c>
      <c r="T125" s="61">
        <v>-10020939613</v>
      </c>
      <c r="U125" s="59">
        <v>-10151188346</v>
      </c>
      <c r="V125" s="59">
        <v>-10385657966</v>
      </c>
      <c r="W125" s="59">
        <v>-10801291366</v>
      </c>
      <c r="X125" s="59">
        <v>-11191623880</v>
      </c>
      <c r="Y125" s="59">
        <v>-11644998068</v>
      </c>
      <c r="Z125" s="59">
        <v>-12157667856</v>
      </c>
      <c r="AA125" s="59">
        <f>SUM(AA126:AA127)</f>
        <v>-12673528738</v>
      </c>
      <c r="AB125" s="59">
        <f>SUM(AB126:AB127)</f>
        <v>0</v>
      </c>
      <c r="AC125" s="59">
        <f>SUM(AC126:AC127)</f>
        <v>0</v>
      </c>
      <c r="AD125" s="61">
        <f t="shared" si="18"/>
        <v>-12673528738</v>
      </c>
      <c r="AE125" s="61">
        <f t="shared" si="14"/>
        <v>-1481904858</v>
      </c>
      <c r="AF125" s="62">
        <f t="shared" si="13"/>
        <v>0.13241196039908376</v>
      </c>
      <c r="AG125" s="630" t="b">
        <f t="shared" si="17"/>
        <v>1</v>
      </c>
    </row>
    <row r="126" spans="1:33">
      <c r="B126" s="1" t="s">
        <v>285</v>
      </c>
      <c r="C126" s="2">
        <v>312100</v>
      </c>
      <c r="D126" s="2">
        <v>2692</v>
      </c>
      <c r="E126" s="3" t="s">
        <v>176</v>
      </c>
      <c r="F126" s="3" t="s">
        <v>732</v>
      </c>
      <c r="G126" s="30">
        <v>-5623497200</v>
      </c>
      <c r="H126" s="21">
        <v>-5815522886</v>
      </c>
      <c r="I126" s="21">
        <v>-6404384766</v>
      </c>
      <c r="J126" s="21">
        <v>-6726115917</v>
      </c>
      <c r="K126" s="21">
        <v>-7392964292</v>
      </c>
      <c r="L126" s="21">
        <v>-8068703875</v>
      </c>
      <c r="M126" s="21">
        <v>-8108637681</v>
      </c>
      <c r="N126" s="21">
        <v>-8823080349</v>
      </c>
      <c r="O126" s="21">
        <v>-9154377686</v>
      </c>
      <c r="P126" s="21">
        <v>-9351154434</v>
      </c>
      <c r="Q126" s="21"/>
      <c r="R126" s="21"/>
      <c r="S126" s="21">
        <v>-9351154434</v>
      </c>
      <c r="T126" s="517">
        <v>-9949763613</v>
      </c>
      <c r="U126" s="517">
        <v>-10080012346</v>
      </c>
      <c r="V126" s="517">
        <v>-10314481966</v>
      </c>
      <c r="W126" s="517">
        <v>-10730115366</v>
      </c>
      <c r="X126" s="517">
        <v>-11120447880</v>
      </c>
      <c r="Y126" s="517">
        <v>-11573822068</v>
      </c>
      <c r="Z126" s="517">
        <v>-12086491856</v>
      </c>
      <c r="AA126" s="517">
        <f>IFERROR(VLOOKUP(C126,'전사시산표(3단계)_1013'!$C:$L,10,0),0)</f>
        <v>-12602352738</v>
      </c>
      <c r="AB126" s="517"/>
      <c r="AC126" s="517"/>
      <c r="AD126" s="517">
        <f t="shared" si="18"/>
        <v>-12602352738</v>
      </c>
      <c r="AE126" s="21">
        <f t="shared" si="14"/>
        <v>-1481904858</v>
      </c>
      <c r="AF126" s="38">
        <f t="shared" si="13"/>
        <v>0.13325945807139558</v>
      </c>
      <c r="AG126" s="630" t="b">
        <f t="shared" si="17"/>
        <v>1</v>
      </c>
    </row>
    <row r="127" spans="1:33">
      <c r="B127" s="1" t="s">
        <v>285</v>
      </c>
      <c r="C127" s="2">
        <v>314100</v>
      </c>
      <c r="D127" s="2" t="s">
        <v>644</v>
      </c>
      <c r="E127" s="3" t="s">
        <v>175</v>
      </c>
      <c r="F127" s="3" t="s">
        <v>732</v>
      </c>
      <c r="G127" s="30">
        <v>-71176000</v>
      </c>
      <c r="H127" s="21">
        <v>-71176000</v>
      </c>
      <c r="I127" s="21">
        <v>-71176000</v>
      </c>
      <c r="J127" s="21">
        <v>-71176000</v>
      </c>
      <c r="K127" s="21">
        <v>-71176000</v>
      </c>
      <c r="L127" s="21">
        <v>-71176000</v>
      </c>
      <c r="M127" s="21">
        <v>-71176000</v>
      </c>
      <c r="N127" s="21">
        <v>-71176000</v>
      </c>
      <c r="O127" s="21">
        <v>-71176000</v>
      </c>
      <c r="P127" s="21">
        <v>-71176000</v>
      </c>
      <c r="Q127" s="21"/>
      <c r="R127" s="21"/>
      <c r="S127" s="21">
        <v>-71176000</v>
      </c>
      <c r="T127" s="517">
        <v>-71176000</v>
      </c>
      <c r="U127" s="517">
        <v>-71176000</v>
      </c>
      <c r="V127" s="517">
        <v>-71176000</v>
      </c>
      <c r="W127" s="517">
        <v>-71176000</v>
      </c>
      <c r="X127" s="517">
        <v>-71176000</v>
      </c>
      <c r="Y127" s="517">
        <v>-71176000</v>
      </c>
      <c r="Z127" s="517">
        <v>-71176000</v>
      </c>
      <c r="AA127" s="517">
        <f>IFERROR(VLOOKUP(C127,'전사시산표(3단계)_1013'!$C:$L,10,0),0)</f>
        <v>-71176000</v>
      </c>
      <c r="AB127" s="517"/>
      <c r="AC127" s="517"/>
      <c r="AD127" s="517">
        <f t="shared" si="18"/>
        <v>-71176000</v>
      </c>
      <c r="AE127" s="21">
        <f t="shared" si="14"/>
        <v>0</v>
      </c>
      <c r="AF127" s="38">
        <f t="shared" si="13"/>
        <v>0</v>
      </c>
      <c r="AG127" s="630" t="b">
        <f t="shared" si="17"/>
        <v>1</v>
      </c>
    </row>
    <row r="128" spans="1:33">
      <c r="B128" s="55" t="s">
        <v>276</v>
      </c>
      <c r="C128" s="56">
        <v>32020</v>
      </c>
      <c r="D128" s="56"/>
      <c r="E128" s="57" t="s">
        <v>174</v>
      </c>
      <c r="F128" s="57"/>
      <c r="G128" s="59">
        <f>SUM(G129:G130)</f>
        <v>601590088</v>
      </c>
      <c r="H128" s="59">
        <f>SUM(H129:H130)</f>
        <v>588668049</v>
      </c>
      <c r="I128" s="59">
        <v>545271000</v>
      </c>
      <c r="J128" s="59">
        <v>506916029</v>
      </c>
      <c r="K128" s="59">
        <v>559182387</v>
      </c>
      <c r="L128" s="59">
        <v>588790268</v>
      </c>
      <c r="M128" s="59">
        <v>541614840</v>
      </c>
      <c r="N128" s="59">
        <v>577502502</v>
      </c>
      <c r="O128" s="59">
        <v>706720630</v>
      </c>
      <c r="P128" s="59">
        <v>653199653</v>
      </c>
      <c r="Q128" s="59">
        <v>0</v>
      </c>
      <c r="R128" s="59">
        <v>0</v>
      </c>
      <c r="S128" s="61">
        <v>653199653</v>
      </c>
      <c r="T128" s="61">
        <v>597847706</v>
      </c>
      <c r="U128" s="59">
        <v>559106127</v>
      </c>
      <c r="V128" s="59">
        <v>632984453</v>
      </c>
      <c r="W128" s="59">
        <v>777905238</v>
      </c>
      <c r="X128" s="59">
        <v>734464376</v>
      </c>
      <c r="Y128" s="59">
        <v>690265595</v>
      </c>
      <c r="Z128" s="59">
        <v>649602990</v>
      </c>
      <c r="AA128" s="59">
        <f>SUM(AA129:AA130)</f>
        <v>612249569</v>
      </c>
      <c r="AB128" s="59">
        <f>SUM(AB129:AB130)</f>
        <v>0</v>
      </c>
      <c r="AC128" s="59">
        <f>SUM(AC129:AC130)</f>
        <v>0</v>
      </c>
      <c r="AD128" s="61">
        <f t="shared" si="18"/>
        <v>612249569</v>
      </c>
      <c r="AE128" s="61">
        <f t="shared" si="14"/>
        <v>-122214807</v>
      </c>
      <c r="AF128" s="62">
        <f t="shared" si="13"/>
        <v>-0.16639991127357279</v>
      </c>
      <c r="AG128" s="630" t="b">
        <f t="shared" si="17"/>
        <v>1</v>
      </c>
    </row>
    <row r="129" spans="2:33">
      <c r="B129" s="1" t="s">
        <v>285</v>
      </c>
      <c r="C129" s="2">
        <v>320200</v>
      </c>
      <c r="D129" s="2" t="s">
        <v>620</v>
      </c>
      <c r="E129" s="3" t="s">
        <v>174</v>
      </c>
      <c r="F129" s="3" t="s">
        <v>733</v>
      </c>
      <c r="G129" s="30">
        <v>2747766558</v>
      </c>
      <c r="H129" s="21">
        <v>588668049</v>
      </c>
      <c r="I129" s="21">
        <v>545271000</v>
      </c>
      <c r="J129" s="21">
        <v>506916029</v>
      </c>
      <c r="K129" s="21">
        <v>559182387</v>
      </c>
      <c r="L129" s="21">
        <v>588790268</v>
      </c>
      <c r="M129" s="21">
        <v>541614840</v>
      </c>
      <c r="N129" s="21">
        <v>577502502</v>
      </c>
      <c r="O129" s="21">
        <v>706720630</v>
      </c>
      <c r="P129" s="21">
        <v>653199653</v>
      </c>
      <c r="Q129" s="21"/>
      <c r="R129" s="21"/>
      <c r="S129" s="21">
        <v>653199653</v>
      </c>
      <c r="T129" s="517">
        <v>597847706</v>
      </c>
      <c r="U129" s="517">
        <v>559106127</v>
      </c>
      <c r="V129" s="517">
        <v>632984453</v>
      </c>
      <c r="W129" s="517">
        <v>777905238</v>
      </c>
      <c r="X129" s="517">
        <v>734464376</v>
      </c>
      <c r="Y129" s="517">
        <v>690265595</v>
      </c>
      <c r="Z129" s="517">
        <v>649602990</v>
      </c>
      <c r="AA129" s="517">
        <f>IFERROR(VLOOKUP(C129,'전사시산표(3단계)_1013'!$C:$L,10,0),0)</f>
        <v>612249569</v>
      </c>
      <c r="AB129" s="517"/>
      <c r="AC129" s="517"/>
      <c r="AD129" s="517">
        <f t="shared" si="18"/>
        <v>612249569</v>
      </c>
      <c r="AE129" s="21">
        <f t="shared" si="14"/>
        <v>-122214807</v>
      </c>
      <c r="AF129" s="38">
        <f t="shared" si="13"/>
        <v>-0.16639991127357279</v>
      </c>
      <c r="AG129" s="630" t="b">
        <f t="shared" si="17"/>
        <v>1</v>
      </c>
    </row>
    <row r="130" spans="2:33">
      <c r="B130" s="1" t="s">
        <v>285</v>
      </c>
      <c r="C130" s="2">
        <v>320210</v>
      </c>
      <c r="D130" s="2" t="s">
        <v>620</v>
      </c>
      <c r="E130" s="3" t="s">
        <v>441</v>
      </c>
      <c r="F130" s="3" t="s">
        <v>733</v>
      </c>
      <c r="G130" s="30">
        <v>-2146176470</v>
      </c>
      <c r="H130" s="21">
        <v>0</v>
      </c>
      <c r="I130" s="21">
        <v>0</v>
      </c>
      <c r="J130" s="21"/>
      <c r="K130" s="21"/>
      <c r="L130" s="21"/>
      <c r="M130" s="21">
        <v>0</v>
      </c>
      <c r="N130" s="21"/>
      <c r="O130" s="21">
        <v>0</v>
      </c>
      <c r="P130" s="21">
        <v>0</v>
      </c>
      <c r="Q130" s="21"/>
      <c r="R130" s="21"/>
      <c r="S130" s="21"/>
      <c r="T130" s="517"/>
      <c r="U130" s="517"/>
      <c r="V130" s="517"/>
      <c r="W130" s="517"/>
      <c r="X130" s="517"/>
      <c r="Y130" s="517"/>
      <c r="Z130" s="517">
        <v>0</v>
      </c>
      <c r="AA130" s="517">
        <f>IFERROR(VLOOKUP(C130,'전사시산표(3단계)_1013'!$C:$L,10,0),0)</f>
        <v>0</v>
      </c>
      <c r="AB130" s="517"/>
      <c r="AC130" s="517"/>
      <c r="AD130" s="517"/>
      <c r="AE130" s="21">
        <f t="shared" si="14"/>
        <v>0</v>
      </c>
      <c r="AF130" s="38" t="str">
        <f t="shared" si="13"/>
        <v/>
      </c>
      <c r="AG130" s="630" t="b">
        <f t="shared" si="17"/>
        <v>1</v>
      </c>
    </row>
    <row r="131" spans="2:33">
      <c r="B131" s="55" t="s">
        <v>297</v>
      </c>
      <c r="C131" s="56">
        <v>32040</v>
      </c>
      <c r="D131" s="56"/>
      <c r="E131" s="57" t="s">
        <v>173</v>
      </c>
      <c r="F131" s="57"/>
      <c r="G131" s="59">
        <f>SUM(G132:G133)</f>
        <v>673954519</v>
      </c>
      <c r="H131" s="59">
        <f>SUM(H132:H133)</f>
        <v>655739532</v>
      </c>
      <c r="I131" s="59">
        <v>601094571</v>
      </c>
      <c r="J131" s="59">
        <v>546449610</v>
      </c>
      <c r="K131" s="59">
        <v>491804649</v>
      </c>
      <c r="L131" s="59">
        <v>437159688</v>
      </c>
      <c r="M131" s="59">
        <v>382514727</v>
      </c>
      <c r="N131" s="59">
        <v>327869766</v>
      </c>
      <c r="O131" s="59">
        <v>273224805</v>
      </c>
      <c r="P131" s="59">
        <v>218579844</v>
      </c>
      <c r="Q131" s="59">
        <v>0</v>
      </c>
      <c r="R131" s="59">
        <v>0</v>
      </c>
      <c r="S131" s="61">
        <v>218579844</v>
      </c>
      <c r="T131" s="61">
        <v>163934883</v>
      </c>
      <c r="U131" s="59">
        <v>109289922</v>
      </c>
      <c r="V131" s="59">
        <v>54644961</v>
      </c>
      <c r="W131" s="59">
        <v>1000</v>
      </c>
      <c r="X131" s="59">
        <v>1000</v>
      </c>
      <c r="Y131" s="59">
        <v>1000</v>
      </c>
      <c r="Z131" s="59">
        <v>1000</v>
      </c>
      <c r="AA131" s="59">
        <f>SUM(AA132:AA133)</f>
        <v>1000</v>
      </c>
      <c r="AB131" s="59">
        <f>SUM(AB132:AB133)</f>
        <v>0</v>
      </c>
      <c r="AC131" s="59">
        <f>SUM(AC132:AC133)</f>
        <v>0</v>
      </c>
      <c r="AD131" s="61">
        <f t="shared" ref="AD131:AD146" si="21">AA131+AB131-AC131</f>
        <v>1000</v>
      </c>
      <c r="AE131" s="61">
        <f t="shared" si="14"/>
        <v>0</v>
      </c>
      <c r="AF131" s="62">
        <f t="shared" si="13"/>
        <v>0</v>
      </c>
      <c r="AG131" s="630" t="b">
        <f t="shared" si="17"/>
        <v>1</v>
      </c>
    </row>
    <row r="132" spans="2:33">
      <c r="B132" s="1" t="s">
        <v>285</v>
      </c>
      <c r="C132" s="2">
        <v>320300</v>
      </c>
      <c r="D132" s="2" t="s">
        <v>621</v>
      </c>
      <c r="E132" s="3" t="s">
        <v>173</v>
      </c>
      <c r="F132" s="3" t="s">
        <v>733</v>
      </c>
      <c r="G132" s="30">
        <v>4098372075</v>
      </c>
      <c r="H132" s="21">
        <v>655739532</v>
      </c>
      <c r="I132" s="21">
        <v>601094571</v>
      </c>
      <c r="J132" s="21">
        <v>546449610</v>
      </c>
      <c r="K132" s="21">
        <v>491804649</v>
      </c>
      <c r="L132" s="21">
        <v>437159688</v>
      </c>
      <c r="M132" s="21">
        <v>382514727</v>
      </c>
      <c r="N132" s="21">
        <v>327869766</v>
      </c>
      <c r="O132" s="21">
        <v>273224805</v>
      </c>
      <c r="P132" s="21">
        <v>218579844</v>
      </c>
      <c r="Q132" s="21"/>
      <c r="R132" s="21"/>
      <c r="S132" s="21">
        <v>218579844</v>
      </c>
      <c r="T132" s="517">
        <v>163934883</v>
      </c>
      <c r="U132" s="517">
        <v>109289922</v>
      </c>
      <c r="V132" s="517">
        <v>54644961</v>
      </c>
      <c r="W132" s="517">
        <v>1000</v>
      </c>
      <c r="X132" s="517">
        <v>1000</v>
      </c>
      <c r="Y132" s="517">
        <v>1000</v>
      </c>
      <c r="Z132" s="517">
        <v>1000</v>
      </c>
      <c r="AA132" s="517">
        <f>IFERROR(VLOOKUP(C132,'전사시산표(3단계)_1013'!$C:$L,10,0),0)</f>
        <v>1000</v>
      </c>
      <c r="AB132" s="517"/>
      <c r="AC132" s="517"/>
      <c r="AD132" s="517">
        <f t="shared" si="21"/>
        <v>1000</v>
      </c>
      <c r="AE132" s="21">
        <f t="shared" si="14"/>
        <v>0</v>
      </c>
      <c r="AF132" s="38">
        <f t="shared" ref="AF132:AF195" si="22">IFERROR(AE132/X132,"")</f>
        <v>0</v>
      </c>
      <c r="AG132" s="630" t="b">
        <f t="shared" si="17"/>
        <v>1</v>
      </c>
    </row>
    <row r="133" spans="2:33">
      <c r="B133" s="7" t="s">
        <v>291</v>
      </c>
      <c r="C133" s="5">
        <v>320310</v>
      </c>
      <c r="D133" s="5" t="s">
        <v>621</v>
      </c>
      <c r="E133" s="6" t="s">
        <v>442</v>
      </c>
      <c r="F133" s="3" t="s">
        <v>733</v>
      </c>
      <c r="G133" s="31">
        <v>-3424417556</v>
      </c>
      <c r="H133" s="22">
        <v>0</v>
      </c>
      <c r="I133" s="21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/>
      <c r="R133" s="22"/>
      <c r="S133" s="21">
        <v>0</v>
      </c>
      <c r="T133" s="517">
        <v>0</v>
      </c>
      <c r="U133" s="519">
        <v>0</v>
      </c>
      <c r="V133" s="519">
        <v>0</v>
      </c>
      <c r="W133" s="519">
        <v>0</v>
      </c>
      <c r="X133" s="519">
        <v>0</v>
      </c>
      <c r="Y133" s="519">
        <v>0</v>
      </c>
      <c r="Z133" s="519">
        <v>0</v>
      </c>
      <c r="AA133" s="519">
        <f>IFERROR(VLOOKUP(C133,'전사시산표(3단계)_1013'!$C:$L,10,0),0)</f>
        <v>0</v>
      </c>
      <c r="AB133" s="519"/>
      <c r="AC133" s="519"/>
      <c r="AD133" s="517">
        <f t="shared" si="21"/>
        <v>0</v>
      </c>
      <c r="AE133" s="21">
        <f t="shared" si="14"/>
        <v>0</v>
      </c>
      <c r="AF133" s="38" t="str">
        <f t="shared" si="22"/>
        <v/>
      </c>
      <c r="AG133" s="630" t="b">
        <f t="shared" si="17"/>
        <v>1</v>
      </c>
    </row>
    <row r="134" spans="2:33">
      <c r="B134" s="55" t="s">
        <v>276</v>
      </c>
      <c r="C134" s="56">
        <v>32050</v>
      </c>
      <c r="D134" s="56"/>
      <c r="E134" s="57" t="s">
        <v>172</v>
      </c>
      <c r="F134" s="57"/>
      <c r="G134" s="59">
        <f>SUM(G135:G137)</f>
        <v>1810107024</v>
      </c>
      <c r="H134" s="59">
        <f>SUM(H135:H137)</f>
        <v>1809907024</v>
      </c>
      <c r="I134" s="59">
        <v>1814108524</v>
      </c>
      <c r="J134" s="59">
        <v>1813508524</v>
      </c>
      <c r="K134" s="59">
        <v>1812908524</v>
      </c>
      <c r="L134" s="59">
        <v>1812308524</v>
      </c>
      <c r="M134" s="59">
        <v>1811708524</v>
      </c>
      <c r="N134" s="59">
        <v>1811108524</v>
      </c>
      <c r="O134" s="59">
        <v>1773184324</v>
      </c>
      <c r="P134" s="59">
        <v>1772584324</v>
      </c>
      <c r="Q134" s="59">
        <v>0</v>
      </c>
      <c r="R134" s="59">
        <v>0</v>
      </c>
      <c r="S134" s="61">
        <v>1772584324</v>
      </c>
      <c r="T134" s="61">
        <v>1772160324</v>
      </c>
      <c r="U134" s="59">
        <v>1772136324</v>
      </c>
      <c r="V134" s="59">
        <v>1772136324</v>
      </c>
      <c r="W134" s="59">
        <v>1772136324</v>
      </c>
      <c r="X134" s="59">
        <v>1772136324</v>
      </c>
      <c r="Y134" s="59">
        <v>1772136324</v>
      </c>
      <c r="Z134" s="59">
        <v>3461341324</v>
      </c>
      <c r="AA134" s="59">
        <f>SUM(AA135:AA137)</f>
        <v>3461341324</v>
      </c>
      <c r="AB134" s="59">
        <f>SUM(AB135:AB137)</f>
        <v>0</v>
      </c>
      <c r="AC134" s="59">
        <f>SUM(AC135:AC137)</f>
        <v>0</v>
      </c>
      <c r="AD134" s="61">
        <f t="shared" si="21"/>
        <v>3461341324</v>
      </c>
      <c r="AE134" s="61">
        <f t="shared" ref="AE134:AE197" si="23">AD134-X134</f>
        <v>1689205000</v>
      </c>
      <c r="AF134" s="62">
        <f t="shared" si="22"/>
        <v>0.95320262731661043</v>
      </c>
      <c r="AG134" s="630" t="b">
        <f t="shared" si="17"/>
        <v>1</v>
      </c>
    </row>
    <row r="135" spans="2:33">
      <c r="B135" s="1" t="s">
        <v>285</v>
      </c>
      <c r="C135" s="2">
        <v>320810</v>
      </c>
      <c r="D135" s="2" t="s">
        <v>622</v>
      </c>
      <c r="E135" s="3" t="s">
        <v>446</v>
      </c>
      <c r="F135" s="3" t="s">
        <v>733</v>
      </c>
      <c r="G135" s="30">
        <v>1804640024</v>
      </c>
      <c r="H135" s="21">
        <v>1804640024</v>
      </c>
      <c r="I135" s="21">
        <v>1809441524</v>
      </c>
      <c r="J135" s="21">
        <v>1809441524</v>
      </c>
      <c r="K135" s="21">
        <v>1809441524</v>
      </c>
      <c r="L135" s="21">
        <v>1809441524</v>
      </c>
      <c r="M135" s="21">
        <v>1809441524</v>
      </c>
      <c r="N135" s="21">
        <v>1809441524</v>
      </c>
      <c r="O135" s="21">
        <v>1772117324</v>
      </c>
      <c r="P135" s="21">
        <v>1772117324</v>
      </c>
      <c r="Q135" s="21"/>
      <c r="R135" s="21"/>
      <c r="S135" s="21">
        <v>1772117324</v>
      </c>
      <c r="T135" s="517">
        <v>1772117324</v>
      </c>
      <c r="U135" s="517">
        <v>1772117324</v>
      </c>
      <c r="V135" s="517">
        <v>1772117324</v>
      </c>
      <c r="W135" s="517">
        <v>1772117324</v>
      </c>
      <c r="X135" s="517">
        <v>1772117324</v>
      </c>
      <c r="Y135" s="517">
        <v>1772117324</v>
      </c>
      <c r="Z135" s="517">
        <v>3461322324</v>
      </c>
      <c r="AA135" s="517">
        <f>IFERROR(VLOOKUP(C135,'전사시산표(3단계)_1013'!$C:$L,10,0),0)</f>
        <v>3461322324</v>
      </c>
      <c r="AB135" s="517"/>
      <c r="AC135" s="517"/>
      <c r="AD135" s="517">
        <f t="shared" si="21"/>
        <v>3461322324</v>
      </c>
      <c r="AE135" s="21">
        <f t="shared" si="23"/>
        <v>1689205000</v>
      </c>
      <c r="AF135" s="38">
        <f t="shared" si="22"/>
        <v>0.95321284720988375</v>
      </c>
      <c r="AG135" s="630" t="b">
        <f t="shared" si="17"/>
        <v>1</v>
      </c>
    </row>
    <row r="136" spans="2:33">
      <c r="B136" s="1" t="s">
        <v>285</v>
      </c>
      <c r="C136" s="2">
        <v>321100</v>
      </c>
      <c r="D136" s="2" t="s">
        <v>621</v>
      </c>
      <c r="E136" s="3" t="s">
        <v>170</v>
      </c>
      <c r="F136" s="3" t="s">
        <v>733</v>
      </c>
      <c r="G136" s="30">
        <v>402109942</v>
      </c>
      <c r="H136" s="21">
        <v>5267000</v>
      </c>
      <c r="I136" s="21">
        <v>4667000</v>
      </c>
      <c r="J136" s="21">
        <v>4067000</v>
      </c>
      <c r="K136" s="21">
        <v>3467000</v>
      </c>
      <c r="L136" s="21">
        <v>2867000</v>
      </c>
      <c r="M136" s="21">
        <v>2267000</v>
      </c>
      <c r="N136" s="21">
        <v>1667000</v>
      </c>
      <c r="O136" s="21">
        <v>1067000</v>
      </c>
      <c r="P136" s="21">
        <v>467000</v>
      </c>
      <c r="Q136" s="21"/>
      <c r="R136" s="21"/>
      <c r="S136" s="21">
        <v>467000</v>
      </c>
      <c r="T136" s="517">
        <v>43000</v>
      </c>
      <c r="U136" s="517">
        <v>19000</v>
      </c>
      <c r="V136" s="517">
        <v>19000</v>
      </c>
      <c r="W136" s="517">
        <v>19000</v>
      </c>
      <c r="X136" s="517">
        <v>19000</v>
      </c>
      <c r="Y136" s="517">
        <v>19000</v>
      </c>
      <c r="Z136" s="517">
        <v>19000</v>
      </c>
      <c r="AA136" s="517">
        <f>IFERROR(VLOOKUP(C136,'전사시산표(3단계)_1013'!$C:$L,10,0),0)</f>
        <v>19000</v>
      </c>
      <c r="AB136" s="517"/>
      <c r="AC136" s="517"/>
      <c r="AD136" s="517">
        <f t="shared" si="21"/>
        <v>19000</v>
      </c>
      <c r="AE136" s="21">
        <f t="shared" si="23"/>
        <v>0</v>
      </c>
      <c r="AF136" s="38">
        <f t="shared" si="22"/>
        <v>0</v>
      </c>
      <c r="AG136" s="630" t="b">
        <f t="shared" si="17"/>
        <v>1</v>
      </c>
    </row>
    <row r="137" spans="2:33">
      <c r="B137" s="1" t="s">
        <v>285</v>
      </c>
      <c r="C137" s="2">
        <v>321110</v>
      </c>
      <c r="D137" s="2" t="s">
        <v>621</v>
      </c>
      <c r="E137" s="3" t="s">
        <v>447</v>
      </c>
      <c r="F137" s="3" t="s">
        <v>733</v>
      </c>
      <c r="G137" s="30">
        <v>-396642942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/>
      <c r="R137" s="21"/>
      <c r="S137" s="21">
        <v>0</v>
      </c>
      <c r="T137" s="517">
        <v>0</v>
      </c>
      <c r="U137" s="517">
        <v>0</v>
      </c>
      <c r="V137" s="517">
        <v>0</v>
      </c>
      <c r="W137" s="517">
        <v>0</v>
      </c>
      <c r="X137" s="517">
        <v>0</v>
      </c>
      <c r="Y137" s="517">
        <v>0</v>
      </c>
      <c r="Z137" s="517">
        <v>0</v>
      </c>
      <c r="AA137" s="517">
        <f>IFERROR(VLOOKUP(C137,'전사시산표(3단계)_1013'!$C:$L,10,0),0)</f>
        <v>0</v>
      </c>
      <c r="AB137" s="517"/>
      <c r="AC137" s="517"/>
      <c r="AD137" s="517">
        <f t="shared" si="21"/>
        <v>0</v>
      </c>
      <c r="AE137" s="21">
        <f t="shared" si="23"/>
        <v>0</v>
      </c>
      <c r="AF137" s="38" t="str">
        <f t="shared" si="22"/>
        <v/>
      </c>
      <c r="AG137" s="630" t="b">
        <f t="shared" si="17"/>
        <v>1</v>
      </c>
    </row>
    <row r="138" spans="2:33">
      <c r="B138" s="55" t="s">
        <v>276</v>
      </c>
      <c r="C138" s="56">
        <v>32060</v>
      </c>
      <c r="D138" s="56"/>
      <c r="E138" s="57" t="s">
        <v>169</v>
      </c>
      <c r="F138" s="57"/>
      <c r="G138" s="59">
        <f>SUM(G139:G140)</f>
        <v>23905708883</v>
      </c>
      <c r="H138" s="59">
        <f>SUM(H139:H140)</f>
        <v>23329239228</v>
      </c>
      <c r="I138" s="59">
        <v>26640259889</v>
      </c>
      <c r="J138" s="59">
        <v>24725686043</v>
      </c>
      <c r="K138" s="59">
        <v>23350667829</v>
      </c>
      <c r="L138" s="59">
        <v>23929512754</v>
      </c>
      <c r="M138" s="59">
        <v>24488185977</v>
      </c>
      <c r="N138" s="59">
        <v>25525048450</v>
      </c>
      <c r="O138" s="59">
        <v>24799485431</v>
      </c>
      <c r="P138" s="59">
        <v>23124699109</v>
      </c>
      <c r="Q138" s="59">
        <v>0</v>
      </c>
      <c r="R138" s="59">
        <v>0</v>
      </c>
      <c r="S138" s="61">
        <v>23124699109</v>
      </c>
      <c r="T138" s="61">
        <v>22255676773</v>
      </c>
      <c r="U138" s="59">
        <v>20796945007</v>
      </c>
      <c r="V138" s="59">
        <v>18712177066</v>
      </c>
      <c r="W138" s="59">
        <v>17588408295</v>
      </c>
      <c r="X138" s="59">
        <v>17817543049</v>
      </c>
      <c r="Y138" s="59">
        <v>15972586927</v>
      </c>
      <c r="Z138" s="59">
        <v>14512951217</v>
      </c>
      <c r="AA138" s="59">
        <f>SUM(AA139:AA140)</f>
        <v>14038602193</v>
      </c>
      <c r="AB138" s="59">
        <f>SUM(AB139:AB140)</f>
        <v>0</v>
      </c>
      <c r="AC138" s="59">
        <f>SUM(AC139:AC140)</f>
        <v>0</v>
      </c>
      <c r="AD138" s="61">
        <f t="shared" si="21"/>
        <v>14038602193</v>
      </c>
      <c r="AE138" s="61">
        <f t="shared" si="23"/>
        <v>-3778940856</v>
      </c>
      <c r="AF138" s="62">
        <f t="shared" si="22"/>
        <v>-0.21209101870036401</v>
      </c>
      <c r="AG138" s="630" t="b">
        <f t="shared" ref="AG138:AG180" si="24">AD138=AA138</f>
        <v>1</v>
      </c>
    </row>
    <row r="139" spans="2:33">
      <c r="B139" s="1" t="s">
        <v>285</v>
      </c>
      <c r="C139" s="2">
        <v>321900</v>
      </c>
      <c r="D139" s="2" t="s">
        <v>621</v>
      </c>
      <c r="E139" s="3" t="s">
        <v>169</v>
      </c>
      <c r="F139" s="3" t="s">
        <v>733</v>
      </c>
      <c r="G139" s="30">
        <v>81895314719</v>
      </c>
      <c r="H139" s="21">
        <v>23329239228</v>
      </c>
      <c r="I139" s="21">
        <v>26640259889</v>
      </c>
      <c r="J139" s="21">
        <v>24725686043</v>
      </c>
      <c r="K139" s="21">
        <v>23350667829</v>
      </c>
      <c r="L139" s="21">
        <v>23929512754</v>
      </c>
      <c r="M139" s="21">
        <v>24488185977</v>
      </c>
      <c r="N139" s="21">
        <v>25525048450</v>
      </c>
      <c r="O139" s="21">
        <v>24799485431</v>
      </c>
      <c r="P139" s="21">
        <v>23124699109</v>
      </c>
      <c r="Q139" s="21"/>
      <c r="R139" s="21"/>
      <c r="S139" s="21">
        <v>23124699109</v>
      </c>
      <c r="T139" s="517">
        <v>22255676773</v>
      </c>
      <c r="U139" s="517">
        <v>20796945007</v>
      </c>
      <c r="V139" s="517">
        <v>18712177066</v>
      </c>
      <c r="W139" s="517">
        <v>17588408295</v>
      </c>
      <c r="X139" s="517">
        <v>17817543049</v>
      </c>
      <c r="Y139" s="517">
        <v>15972586927</v>
      </c>
      <c r="Z139" s="517">
        <v>14512951217</v>
      </c>
      <c r="AA139" s="517">
        <f>IFERROR(VLOOKUP(C139,'전사시산표(3단계)_1013'!$C:$L,10,0),0)</f>
        <v>14038602193</v>
      </c>
      <c r="AB139" s="517"/>
      <c r="AC139" s="517"/>
      <c r="AD139" s="517">
        <f t="shared" si="21"/>
        <v>14038602193</v>
      </c>
      <c r="AE139" s="21">
        <f t="shared" si="23"/>
        <v>-3778940856</v>
      </c>
      <c r="AF139" s="38">
        <f t="shared" si="22"/>
        <v>-0.21209101870036401</v>
      </c>
      <c r="AG139" s="630" t="b">
        <f t="shared" si="24"/>
        <v>1</v>
      </c>
    </row>
    <row r="140" spans="2:33">
      <c r="B140" s="1" t="s">
        <v>285</v>
      </c>
      <c r="C140" s="2">
        <v>321910</v>
      </c>
      <c r="D140" s="2" t="s">
        <v>621</v>
      </c>
      <c r="E140" s="3" t="s">
        <v>443</v>
      </c>
      <c r="F140" s="3" t="s">
        <v>733</v>
      </c>
      <c r="G140" s="30">
        <v>-57989605836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/>
      <c r="R140" s="21"/>
      <c r="S140" s="21">
        <v>0</v>
      </c>
      <c r="T140" s="517">
        <v>0</v>
      </c>
      <c r="U140" s="517">
        <v>0</v>
      </c>
      <c r="V140" s="517">
        <v>0</v>
      </c>
      <c r="W140" s="517">
        <v>0</v>
      </c>
      <c r="X140" s="517">
        <v>0</v>
      </c>
      <c r="Y140" s="517">
        <v>0</v>
      </c>
      <c r="Z140" s="517">
        <v>0</v>
      </c>
      <c r="AA140" s="517">
        <f>IFERROR(VLOOKUP(C140,'전사시산표(3단계)_1013'!$C:$L,10,0),0)</f>
        <v>0</v>
      </c>
      <c r="AB140" s="517"/>
      <c r="AC140" s="517"/>
      <c r="AD140" s="517">
        <f t="shared" si="21"/>
        <v>0</v>
      </c>
      <c r="AE140" s="21">
        <f t="shared" si="23"/>
        <v>0</v>
      </c>
      <c r="AF140" s="38" t="str">
        <f t="shared" si="22"/>
        <v/>
      </c>
      <c r="AG140" s="630" t="b">
        <f t="shared" si="24"/>
        <v>1</v>
      </c>
    </row>
    <row r="141" spans="2:33">
      <c r="B141" s="55" t="s">
        <v>276</v>
      </c>
      <c r="C141" s="56">
        <v>33010</v>
      </c>
      <c r="D141" s="56"/>
      <c r="E141" s="57" t="s">
        <v>168</v>
      </c>
      <c r="F141" s="57"/>
      <c r="G141" s="59">
        <f>SUM(G142:G146)</f>
        <v>1581291947</v>
      </c>
      <c r="H141" s="59">
        <f t="shared" ref="H141:L141" si="25">SUM(H142:H146)</f>
        <v>2325926947</v>
      </c>
      <c r="I141" s="59">
        <f t="shared" si="25"/>
        <v>3300612899</v>
      </c>
      <c r="J141" s="59">
        <f t="shared" si="25"/>
        <v>6011654956</v>
      </c>
      <c r="K141" s="59">
        <f t="shared" si="25"/>
        <v>6469936059</v>
      </c>
      <c r="L141" s="59">
        <f t="shared" si="25"/>
        <v>4972630268</v>
      </c>
      <c r="M141" s="59">
        <v>4825888235</v>
      </c>
      <c r="N141" s="59">
        <v>2271120723</v>
      </c>
      <c r="O141" s="59">
        <v>1395725480</v>
      </c>
      <c r="P141" s="59">
        <v>1918632939</v>
      </c>
      <c r="Q141" s="59">
        <v>0</v>
      </c>
      <c r="R141" s="59">
        <v>0</v>
      </c>
      <c r="S141" s="61">
        <v>1918632939</v>
      </c>
      <c r="T141" s="61">
        <v>1977158972</v>
      </c>
      <c r="U141" s="59">
        <v>1817404979</v>
      </c>
      <c r="V141" s="59">
        <v>2689297211</v>
      </c>
      <c r="W141" s="59">
        <v>2824586559</v>
      </c>
      <c r="X141" s="59">
        <v>738466416</v>
      </c>
      <c r="Y141" s="59">
        <v>1702429503</v>
      </c>
      <c r="Z141" s="59">
        <v>2566860267</v>
      </c>
      <c r="AA141" s="59">
        <f t="shared" ref="AA141" si="26">SUM(AA142:AA146)</f>
        <v>2122064455</v>
      </c>
      <c r="AB141" s="59">
        <f>SUM(AB142:AB145)</f>
        <v>0</v>
      </c>
      <c r="AC141" s="59">
        <f>SUM(AC142:AC145)</f>
        <v>0</v>
      </c>
      <c r="AD141" s="61">
        <f t="shared" si="21"/>
        <v>2122064455</v>
      </c>
      <c r="AE141" s="61">
        <f t="shared" si="23"/>
        <v>1383598039</v>
      </c>
      <c r="AF141" s="62">
        <f t="shared" si="22"/>
        <v>1.8736099692853196</v>
      </c>
      <c r="AG141" s="630" t="b">
        <f t="shared" si="24"/>
        <v>1</v>
      </c>
    </row>
    <row r="142" spans="2:33">
      <c r="B142" s="1" t="s">
        <v>285</v>
      </c>
      <c r="C142" s="2">
        <v>330100</v>
      </c>
      <c r="D142" s="2" t="s">
        <v>619</v>
      </c>
      <c r="E142" s="3" t="s">
        <v>299</v>
      </c>
      <c r="F142" s="3" t="s">
        <v>734</v>
      </c>
      <c r="G142" s="30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/>
      <c r="R142" s="21"/>
      <c r="S142" s="21">
        <v>0</v>
      </c>
      <c r="T142" s="517">
        <v>0</v>
      </c>
      <c r="U142" s="517">
        <v>0</v>
      </c>
      <c r="V142" s="517">
        <v>0</v>
      </c>
      <c r="W142" s="517">
        <v>0</v>
      </c>
      <c r="X142" s="517">
        <v>0</v>
      </c>
      <c r="Y142" s="517">
        <v>0</v>
      </c>
      <c r="Z142" s="517">
        <v>0</v>
      </c>
      <c r="AA142" s="517">
        <f>IFERROR(VLOOKUP(C142,'전사시산표(3단계)_1013'!$C:$L,10,0),0)</f>
        <v>0</v>
      </c>
      <c r="AB142" s="517"/>
      <c r="AC142" s="517"/>
      <c r="AD142" s="517">
        <f t="shared" si="21"/>
        <v>0</v>
      </c>
      <c r="AE142" s="21">
        <f t="shared" si="23"/>
        <v>0</v>
      </c>
      <c r="AF142" s="38" t="str">
        <f t="shared" si="22"/>
        <v/>
      </c>
      <c r="AG142" s="630" t="b">
        <f t="shared" si="24"/>
        <v>1</v>
      </c>
    </row>
    <row r="143" spans="2:33">
      <c r="B143" s="1" t="s">
        <v>285</v>
      </c>
      <c r="C143" s="2">
        <v>331100</v>
      </c>
      <c r="D143" s="2" t="s">
        <v>619</v>
      </c>
      <c r="E143" s="3" t="s">
        <v>300</v>
      </c>
      <c r="F143" s="3" t="s">
        <v>734</v>
      </c>
      <c r="G143" s="30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/>
      <c r="R143" s="21"/>
      <c r="S143" s="21">
        <v>0</v>
      </c>
      <c r="T143" s="517">
        <v>0</v>
      </c>
      <c r="U143" s="517">
        <v>0</v>
      </c>
      <c r="V143" s="517">
        <v>0</v>
      </c>
      <c r="W143" s="517">
        <v>0</v>
      </c>
      <c r="X143" s="517">
        <v>0</v>
      </c>
      <c r="Y143" s="517">
        <v>0</v>
      </c>
      <c r="Z143" s="517">
        <v>0</v>
      </c>
      <c r="AA143" s="517">
        <f>IFERROR(VLOOKUP(C143,'전사시산표(3단계)_1013'!$C:$L,10,0),0)</f>
        <v>0</v>
      </c>
      <c r="AB143" s="517"/>
      <c r="AC143" s="517"/>
      <c r="AD143" s="517">
        <f t="shared" si="21"/>
        <v>0</v>
      </c>
      <c r="AE143" s="21">
        <f t="shared" si="23"/>
        <v>0</v>
      </c>
      <c r="AF143" s="38" t="str">
        <f t="shared" si="22"/>
        <v/>
      </c>
      <c r="AG143" s="630" t="b">
        <f t="shared" si="24"/>
        <v>1</v>
      </c>
    </row>
    <row r="144" spans="2:33">
      <c r="B144" s="1" t="s">
        <v>285</v>
      </c>
      <c r="C144" s="2">
        <v>333100</v>
      </c>
      <c r="D144" s="2" t="s">
        <v>619</v>
      </c>
      <c r="E144" s="3" t="s">
        <v>301</v>
      </c>
      <c r="F144" s="3" t="s">
        <v>734</v>
      </c>
      <c r="G144" s="30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/>
      <c r="R144" s="21"/>
      <c r="S144" s="21">
        <v>0</v>
      </c>
      <c r="T144" s="517">
        <v>0</v>
      </c>
      <c r="U144" s="517">
        <v>0</v>
      </c>
      <c r="V144" s="517">
        <v>0</v>
      </c>
      <c r="W144" s="517">
        <v>0</v>
      </c>
      <c r="X144" s="517">
        <v>0</v>
      </c>
      <c r="Y144" s="517">
        <v>0</v>
      </c>
      <c r="Z144" s="517">
        <v>0</v>
      </c>
      <c r="AA144" s="517">
        <f>IFERROR(VLOOKUP(C144,'전사시산표(3단계)_1013'!$C:$L,10,0),0)</f>
        <v>0</v>
      </c>
      <c r="AB144" s="517"/>
      <c r="AC144" s="517"/>
      <c r="AD144" s="517">
        <f t="shared" si="21"/>
        <v>0</v>
      </c>
      <c r="AE144" s="21">
        <f t="shared" si="23"/>
        <v>0</v>
      </c>
      <c r="AF144" s="38" t="str">
        <f t="shared" si="22"/>
        <v/>
      </c>
      <c r="AG144" s="630" t="b">
        <f t="shared" si="24"/>
        <v>1</v>
      </c>
    </row>
    <row r="145" spans="1:35">
      <c r="B145" s="1" t="s">
        <v>285</v>
      </c>
      <c r="C145" s="2">
        <v>336100</v>
      </c>
      <c r="D145" s="2" t="s">
        <v>619</v>
      </c>
      <c r="E145" s="3" t="s">
        <v>934</v>
      </c>
      <c r="F145" s="3" t="s">
        <v>935</v>
      </c>
      <c r="G145" s="30">
        <v>1581291947</v>
      </c>
      <c r="H145" s="21">
        <v>2325926947</v>
      </c>
      <c r="I145" s="21">
        <v>3300612899</v>
      </c>
      <c r="J145" s="21">
        <v>6011654956</v>
      </c>
      <c r="K145" s="21">
        <v>6469936059</v>
      </c>
      <c r="L145" s="21">
        <v>4972630268</v>
      </c>
      <c r="M145" s="21">
        <v>5095888235</v>
      </c>
      <c r="N145" s="21">
        <v>2271120723</v>
      </c>
      <c r="O145" s="21">
        <v>1395725480</v>
      </c>
      <c r="P145" s="21">
        <v>1918632939</v>
      </c>
      <c r="Q145" s="21"/>
      <c r="R145" s="21"/>
      <c r="S145" s="21">
        <v>1918632939</v>
      </c>
      <c r="T145" s="517">
        <v>1977158972</v>
      </c>
      <c r="U145" s="517">
        <v>1817404979</v>
      </c>
      <c r="V145" s="517">
        <v>2689297211</v>
      </c>
      <c r="W145" s="517">
        <v>2824586559</v>
      </c>
      <c r="X145" s="517">
        <v>738466416</v>
      </c>
      <c r="Y145" s="517">
        <v>1702429503</v>
      </c>
      <c r="Z145" s="517">
        <v>2566860267</v>
      </c>
      <c r="AA145" s="517">
        <f>IFERROR(VLOOKUP(C145,'전사시산표(3단계)_1013'!$C:$L,10,0),0)</f>
        <v>2122064455</v>
      </c>
      <c r="AB145" s="517"/>
      <c r="AC145" s="517"/>
      <c r="AD145" s="517">
        <f t="shared" si="21"/>
        <v>2122064455</v>
      </c>
      <c r="AE145" s="21">
        <f t="shared" si="23"/>
        <v>1383598039</v>
      </c>
      <c r="AF145" s="38">
        <f t="shared" si="22"/>
        <v>1.8736099692853196</v>
      </c>
      <c r="AG145" s="630" t="b">
        <f t="shared" si="24"/>
        <v>1</v>
      </c>
    </row>
    <row r="146" spans="1:35">
      <c r="B146" s="1" t="s">
        <v>285</v>
      </c>
      <c r="C146" s="2">
        <v>336110</v>
      </c>
      <c r="D146" s="2" t="s">
        <v>619</v>
      </c>
      <c r="E146" s="3" t="s">
        <v>1092</v>
      </c>
      <c r="F146" s="3" t="s">
        <v>511</v>
      </c>
      <c r="G146" s="30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-270000000</v>
      </c>
      <c r="N146" s="21">
        <v>0</v>
      </c>
      <c r="O146" s="21">
        <v>0</v>
      </c>
      <c r="P146" s="21">
        <v>0</v>
      </c>
      <c r="Q146" s="21"/>
      <c r="R146" s="21"/>
      <c r="S146" s="21">
        <v>0</v>
      </c>
      <c r="T146" s="517">
        <v>0</v>
      </c>
      <c r="U146" s="517">
        <v>0</v>
      </c>
      <c r="V146" s="517">
        <v>0</v>
      </c>
      <c r="W146" s="517">
        <v>0</v>
      </c>
      <c r="X146" s="517">
        <v>0</v>
      </c>
      <c r="Y146" s="517">
        <v>0</v>
      </c>
      <c r="Z146" s="517">
        <v>0</v>
      </c>
      <c r="AA146" s="517">
        <f>IFERROR(VLOOKUP(C146,'전사시산표(3단계)_1013'!$C:$L,10,0),0)</f>
        <v>0</v>
      </c>
      <c r="AB146" s="517"/>
      <c r="AC146" s="517"/>
      <c r="AD146" s="517">
        <f t="shared" si="21"/>
        <v>0</v>
      </c>
      <c r="AE146" s="21">
        <f t="shared" si="23"/>
        <v>0</v>
      </c>
      <c r="AF146" s="38" t="str">
        <f t="shared" si="22"/>
        <v/>
      </c>
      <c r="AG146" s="630" t="b">
        <f t="shared" si="24"/>
        <v>1</v>
      </c>
    </row>
    <row r="147" spans="1:35">
      <c r="B147" s="55" t="s">
        <v>929</v>
      </c>
      <c r="C147" s="56">
        <v>30830</v>
      </c>
      <c r="D147" s="56"/>
      <c r="E147" s="57" t="s">
        <v>783</v>
      </c>
      <c r="F147" s="57"/>
      <c r="G147" s="59">
        <v>0</v>
      </c>
      <c r="H147" s="59">
        <v>0</v>
      </c>
      <c r="I147" s="59">
        <v>0</v>
      </c>
      <c r="J147" s="59">
        <v>34563529354</v>
      </c>
      <c r="K147" s="59">
        <v>34618505979</v>
      </c>
      <c r="L147" s="59">
        <v>35201502037</v>
      </c>
      <c r="M147" s="59">
        <v>31931079517</v>
      </c>
      <c r="N147" s="59">
        <v>32144783974</v>
      </c>
      <c r="O147" s="59">
        <v>33519268125</v>
      </c>
      <c r="P147" s="59">
        <v>33204598997</v>
      </c>
      <c r="Q147" s="59">
        <v>0</v>
      </c>
      <c r="R147" s="59">
        <v>0</v>
      </c>
      <c r="S147" s="61">
        <v>33204598997</v>
      </c>
      <c r="T147" s="61">
        <v>37372451142</v>
      </c>
      <c r="U147" s="59">
        <v>38539580560</v>
      </c>
      <c r="V147" s="59">
        <v>35181090277</v>
      </c>
      <c r="W147" s="59">
        <v>35224042393</v>
      </c>
      <c r="X147" s="59">
        <v>38047997657</v>
      </c>
      <c r="Y147" s="59">
        <v>44214241046</v>
      </c>
      <c r="Z147" s="59">
        <v>43037212021</v>
      </c>
      <c r="AA147" s="59">
        <f>SUM(AA148:AA150)</f>
        <v>53888917869</v>
      </c>
      <c r="AB147" s="59">
        <f t="shared" ref="AB147:AD147" si="27">SUM(AB148:AB150)</f>
        <v>0</v>
      </c>
      <c r="AC147" s="59">
        <f t="shared" si="27"/>
        <v>0</v>
      </c>
      <c r="AD147" s="61">
        <f t="shared" si="27"/>
        <v>53888917869</v>
      </c>
      <c r="AE147" s="61">
        <f t="shared" si="23"/>
        <v>15840920212</v>
      </c>
      <c r="AF147" s="62">
        <f t="shared" si="22"/>
        <v>0.41634044332121684</v>
      </c>
      <c r="AG147" s="630" t="b">
        <f t="shared" si="24"/>
        <v>1</v>
      </c>
    </row>
    <row r="148" spans="1:35">
      <c r="B148" s="1" t="s">
        <v>822</v>
      </c>
      <c r="C148" s="2">
        <v>308300</v>
      </c>
      <c r="D148" s="2" t="s">
        <v>913</v>
      </c>
      <c r="E148" s="3" t="s">
        <v>784</v>
      </c>
      <c r="F148" s="3" t="s">
        <v>1096</v>
      </c>
      <c r="G148" s="21">
        <v>0</v>
      </c>
      <c r="H148" s="21">
        <v>0</v>
      </c>
      <c r="I148" s="21">
        <v>0</v>
      </c>
      <c r="J148" s="21">
        <v>34320451047</v>
      </c>
      <c r="K148" s="21">
        <v>34320451047</v>
      </c>
      <c r="L148" s="21">
        <v>34887002817</v>
      </c>
      <c r="M148" s="21">
        <v>31616580297</v>
      </c>
      <c r="N148" s="21">
        <v>31616580297</v>
      </c>
      <c r="O148" s="21">
        <v>32916266322</v>
      </c>
      <c r="P148" s="21">
        <v>32601597194</v>
      </c>
      <c r="Q148" s="21"/>
      <c r="R148" s="21"/>
      <c r="S148" s="36">
        <v>32601597194</v>
      </c>
      <c r="T148" s="518">
        <v>36916786056</v>
      </c>
      <c r="U148" s="518">
        <v>37916988104</v>
      </c>
      <c r="V148" s="518">
        <v>34381429182</v>
      </c>
      <c r="W148" s="518">
        <v>34402730921</v>
      </c>
      <c r="X148" s="518">
        <v>37196334598</v>
      </c>
      <c r="Y148" s="518">
        <v>43217831796</v>
      </c>
      <c r="Z148" s="518">
        <v>42045829782</v>
      </c>
      <c r="AA148" s="517">
        <f>IFERROR(VLOOKUP(C148,'전사시산표(3단계)_1013'!$C:$L,10,0),0)</f>
        <v>52892270023</v>
      </c>
      <c r="AB148" s="517"/>
      <c r="AC148" s="517"/>
      <c r="AD148" s="518">
        <f>AA148+AB148-AC148</f>
        <v>52892270023</v>
      </c>
      <c r="AE148" s="36">
        <f t="shared" si="23"/>
        <v>15695935425</v>
      </c>
      <c r="AF148" s="40">
        <f t="shared" si="22"/>
        <v>0.42197532618829464</v>
      </c>
      <c r="AG148" s="630" t="b">
        <f t="shared" si="24"/>
        <v>1</v>
      </c>
    </row>
    <row r="149" spans="1:35">
      <c r="B149" s="1" t="s">
        <v>828</v>
      </c>
      <c r="C149" s="2">
        <v>308400</v>
      </c>
      <c r="D149" s="2" t="s">
        <v>917</v>
      </c>
      <c r="E149" s="3" t="s">
        <v>785</v>
      </c>
      <c r="F149" s="3" t="s">
        <v>1096</v>
      </c>
      <c r="G149" s="21">
        <v>0</v>
      </c>
      <c r="H149" s="21">
        <v>0</v>
      </c>
      <c r="I149" s="21">
        <v>0</v>
      </c>
      <c r="J149" s="21">
        <v>155058259</v>
      </c>
      <c r="K149" s="21">
        <v>210034884</v>
      </c>
      <c r="L149" s="21">
        <v>226479172</v>
      </c>
      <c r="M149" s="21">
        <v>226479172</v>
      </c>
      <c r="N149" s="21">
        <v>440183629</v>
      </c>
      <c r="O149" s="21">
        <v>514981755</v>
      </c>
      <c r="P149" s="21">
        <v>514981755</v>
      </c>
      <c r="Q149" s="21"/>
      <c r="R149" s="21"/>
      <c r="S149" s="36">
        <v>514981755</v>
      </c>
      <c r="T149" s="518">
        <v>455665086</v>
      </c>
      <c r="U149" s="518">
        <v>491678812</v>
      </c>
      <c r="V149" s="518">
        <v>668747451</v>
      </c>
      <c r="W149" s="518">
        <v>690397828</v>
      </c>
      <c r="X149" s="518">
        <v>690397828</v>
      </c>
      <c r="Y149" s="518">
        <v>793552751</v>
      </c>
      <c r="Z149" s="518">
        <v>788525740</v>
      </c>
      <c r="AA149" s="517">
        <f>IFERROR(VLOOKUP(C149,'전사시산표(3단계)_1013'!$C:$L,10,0),0)</f>
        <v>793791347</v>
      </c>
      <c r="AB149" s="517"/>
      <c r="AC149" s="517"/>
      <c r="AD149" s="518">
        <f>AA149+AB149-AC149</f>
        <v>793791347</v>
      </c>
      <c r="AE149" s="36">
        <f t="shared" si="23"/>
        <v>103393519</v>
      </c>
      <c r="AF149" s="40">
        <f t="shared" si="22"/>
        <v>0.14975933412119599</v>
      </c>
      <c r="AG149" s="630" t="b">
        <f t="shared" si="24"/>
        <v>1</v>
      </c>
    </row>
    <row r="150" spans="1:35">
      <c r="B150" s="1" t="s">
        <v>822</v>
      </c>
      <c r="C150" s="2">
        <v>308600</v>
      </c>
      <c r="D150" s="2" t="s">
        <v>919</v>
      </c>
      <c r="E150" s="3" t="s">
        <v>786</v>
      </c>
      <c r="F150" s="3" t="s">
        <v>1096</v>
      </c>
      <c r="G150" s="21">
        <v>0</v>
      </c>
      <c r="H150" s="21">
        <v>0</v>
      </c>
      <c r="I150" s="21">
        <v>0</v>
      </c>
      <c r="J150" s="21">
        <v>88020048</v>
      </c>
      <c r="K150" s="21">
        <v>88020048</v>
      </c>
      <c r="L150" s="21">
        <v>88020048</v>
      </c>
      <c r="M150" s="21">
        <v>88020048</v>
      </c>
      <c r="N150" s="21">
        <v>88020048</v>
      </c>
      <c r="O150" s="21">
        <v>88020048</v>
      </c>
      <c r="P150" s="21">
        <v>88020048</v>
      </c>
      <c r="Q150" s="21"/>
      <c r="R150" s="21"/>
      <c r="S150" s="36">
        <v>88020048</v>
      </c>
      <c r="T150" s="518">
        <v>0</v>
      </c>
      <c r="U150" s="518">
        <v>130913644</v>
      </c>
      <c r="V150" s="518">
        <v>130913644</v>
      </c>
      <c r="W150" s="518">
        <v>130913644</v>
      </c>
      <c r="X150" s="518">
        <v>161265231</v>
      </c>
      <c r="Y150" s="518">
        <v>202856499</v>
      </c>
      <c r="Z150" s="518">
        <v>202856499</v>
      </c>
      <c r="AA150" s="517">
        <f>IFERROR(VLOOKUP(C150,'전사시산표(3단계)_1013'!$C:$L,10,0),0)</f>
        <v>202856499</v>
      </c>
      <c r="AB150" s="517"/>
      <c r="AC150" s="517"/>
      <c r="AD150" s="518">
        <f>AA150+AB150-AC150</f>
        <v>202856499</v>
      </c>
      <c r="AE150" s="36">
        <f t="shared" si="23"/>
        <v>41591268</v>
      </c>
      <c r="AF150" s="40">
        <f t="shared" si="22"/>
        <v>0.25790598346645471</v>
      </c>
      <c r="AG150" s="630" t="b">
        <f t="shared" si="24"/>
        <v>1</v>
      </c>
    </row>
    <row r="151" spans="1:35">
      <c r="B151" s="55" t="s">
        <v>824</v>
      </c>
      <c r="C151" s="56">
        <v>30831</v>
      </c>
      <c r="D151" s="56"/>
      <c r="E151" s="57" t="s">
        <v>787</v>
      </c>
      <c r="F151" s="57"/>
      <c r="G151" s="59"/>
      <c r="H151" s="59"/>
      <c r="I151" s="59"/>
      <c r="J151" s="59">
        <v>-2397765595</v>
      </c>
      <c r="K151" s="59">
        <v>-4812715760</v>
      </c>
      <c r="L151" s="59">
        <v>-7227814931</v>
      </c>
      <c r="M151" s="59">
        <v>-8931832178</v>
      </c>
      <c r="N151" s="59">
        <v>-11194398202</v>
      </c>
      <c r="O151" s="59">
        <v>-14765136031</v>
      </c>
      <c r="P151" s="59">
        <v>-17035426145</v>
      </c>
      <c r="Q151" s="59">
        <v>0</v>
      </c>
      <c r="R151" s="59">
        <v>0</v>
      </c>
      <c r="S151" s="61">
        <v>-17035426145</v>
      </c>
      <c r="T151" s="61">
        <v>-17650470744</v>
      </c>
      <c r="U151" s="59">
        <v>-21057077950</v>
      </c>
      <c r="V151" s="59">
        <v>-18806451994</v>
      </c>
      <c r="W151" s="59">
        <v>-20901298129</v>
      </c>
      <c r="X151" s="59">
        <v>-23443839026</v>
      </c>
      <c r="Y151" s="59">
        <v>-26102222433</v>
      </c>
      <c r="Z151" s="59">
        <v>-28629677760</v>
      </c>
      <c r="AA151" s="59">
        <f>SUM(AA152:AA154)</f>
        <v>-30018000078</v>
      </c>
      <c r="AB151" s="59">
        <f t="shared" ref="AB151:AD151" si="28">SUM(AB152:AB154)</f>
        <v>0</v>
      </c>
      <c r="AC151" s="59">
        <f t="shared" si="28"/>
        <v>0</v>
      </c>
      <c r="AD151" s="61">
        <f t="shared" si="28"/>
        <v>-30018000078</v>
      </c>
      <c r="AE151" s="61">
        <f t="shared" si="23"/>
        <v>-6574161052</v>
      </c>
      <c r="AF151" s="62">
        <f t="shared" si="22"/>
        <v>0.28042169393455724</v>
      </c>
      <c r="AG151" s="630" t="b">
        <f t="shared" si="24"/>
        <v>1</v>
      </c>
    </row>
    <row r="152" spans="1:35">
      <c r="B152" s="1" t="s">
        <v>822</v>
      </c>
      <c r="C152" s="2">
        <v>308310</v>
      </c>
      <c r="D152" s="2" t="s">
        <v>914</v>
      </c>
      <c r="E152" s="3" t="s">
        <v>788</v>
      </c>
      <c r="F152" s="3" t="s">
        <v>1096</v>
      </c>
      <c r="G152" s="21"/>
      <c r="H152" s="21"/>
      <c r="I152" s="21"/>
      <c r="J152" s="21">
        <v>-2368871752</v>
      </c>
      <c r="K152" s="21">
        <v>-4751873818</v>
      </c>
      <c r="L152" s="21">
        <v>-7132164442</v>
      </c>
      <c r="M152" s="21">
        <v>-8801373142</v>
      </c>
      <c r="N152" s="21">
        <v>-11015652244</v>
      </c>
      <c r="O152" s="21">
        <v>-14529617369</v>
      </c>
      <c r="P152" s="21">
        <v>-16741057053</v>
      </c>
      <c r="Q152" s="21"/>
      <c r="R152" s="21"/>
      <c r="S152" s="36">
        <v>-16741057053</v>
      </c>
      <c r="T152" s="518">
        <v>-17542381586</v>
      </c>
      <c r="U152" s="518">
        <v>-20903507672</v>
      </c>
      <c r="V152" s="518">
        <v>-18595975293</v>
      </c>
      <c r="W152" s="518">
        <v>-20629367799</v>
      </c>
      <c r="X152" s="518">
        <v>-23106337825</v>
      </c>
      <c r="Y152" s="518">
        <v>-25675491295</v>
      </c>
      <c r="Z152" s="518">
        <v>-28231752036</v>
      </c>
      <c r="AA152" s="517">
        <f>IFERROR(VLOOKUP(C152,'전사시산표(3단계)_1013'!$C:$L,10,0),0)</f>
        <v>-29550334047</v>
      </c>
      <c r="AB152" s="517"/>
      <c r="AC152" s="517"/>
      <c r="AD152" s="518">
        <f>AA152+AB152-AC152</f>
        <v>-29550334047</v>
      </c>
      <c r="AE152" s="36">
        <f t="shared" si="23"/>
        <v>-6443996222</v>
      </c>
      <c r="AF152" s="40">
        <f t="shared" si="22"/>
        <v>0.27888435938246742</v>
      </c>
      <c r="AG152" s="630" t="b">
        <f t="shared" si="24"/>
        <v>1</v>
      </c>
    </row>
    <row r="153" spans="1:35">
      <c r="B153" s="1" t="s">
        <v>822</v>
      </c>
      <c r="C153" s="2">
        <v>308410</v>
      </c>
      <c r="D153" s="2" t="s">
        <v>918</v>
      </c>
      <c r="E153" s="3" t="s">
        <v>789</v>
      </c>
      <c r="F153" s="3" t="s">
        <v>1096</v>
      </c>
      <c r="G153" s="21"/>
      <c r="H153" s="21"/>
      <c r="I153" s="21"/>
      <c r="J153" s="21">
        <v>-17891337</v>
      </c>
      <c r="K153" s="21">
        <v>-38836930</v>
      </c>
      <c r="L153" s="21">
        <v>-62642971</v>
      </c>
      <c r="M153" s="21">
        <v>-86449012</v>
      </c>
      <c r="N153" s="21">
        <v>-123733428</v>
      </c>
      <c r="O153" s="21">
        <v>-169503626</v>
      </c>
      <c r="P153" s="21">
        <v>-217351550</v>
      </c>
      <c r="Q153" s="21"/>
      <c r="R153" s="21"/>
      <c r="S153" s="36">
        <v>-217351550</v>
      </c>
      <c r="T153" s="518">
        <v>-108089158</v>
      </c>
      <c r="U153" s="518">
        <v>-147024596</v>
      </c>
      <c r="V153" s="518">
        <v>-197385337</v>
      </c>
      <c r="W153" s="518">
        <v>-252293284</v>
      </c>
      <c r="X153" s="518">
        <v>-309800893</v>
      </c>
      <c r="Y153" s="518">
        <v>-389862075</v>
      </c>
      <c r="Z153" s="518">
        <v>-350893558</v>
      </c>
      <c r="AA153" s="517">
        <f>IFERROR(VLOOKUP(C153,'전사시산표(3단계)_1013'!$C:$L,10,0),0)</f>
        <v>-410470762</v>
      </c>
      <c r="AB153" s="517"/>
      <c r="AC153" s="517"/>
      <c r="AD153" s="518">
        <f>AA153+AB153-AC153</f>
        <v>-410470762</v>
      </c>
      <c r="AE153" s="36">
        <f t="shared" si="23"/>
        <v>-100669869</v>
      </c>
      <c r="AF153" s="40">
        <f t="shared" si="22"/>
        <v>0.32495022214154817</v>
      </c>
      <c r="AG153" s="630" t="b">
        <f t="shared" si="24"/>
        <v>1</v>
      </c>
    </row>
    <row r="154" spans="1:35">
      <c r="B154" s="1" t="s">
        <v>822</v>
      </c>
      <c r="C154" s="2">
        <v>308610</v>
      </c>
      <c r="D154" s="2" t="s">
        <v>920</v>
      </c>
      <c r="E154" s="3" t="s">
        <v>790</v>
      </c>
      <c r="F154" s="3" t="s">
        <v>1096</v>
      </c>
      <c r="G154" s="21"/>
      <c r="H154" s="21"/>
      <c r="I154" s="21"/>
      <c r="J154" s="21">
        <v>-11002506</v>
      </c>
      <c r="K154" s="21">
        <v>-22005012</v>
      </c>
      <c r="L154" s="21">
        <v>-33007518</v>
      </c>
      <c r="M154" s="21">
        <v>-44010024</v>
      </c>
      <c r="N154" s="21">
        <v>-55012530</v>
      </c>
      <c r="O154" s="21">
        <v>-66015036</v>
      </c>
      <c r="P154" s="21">
        <v>-77017542</v>
      </c>
      <c r="Q154" s="21"/>
      <c r="R154" s="21"/>
      <c r="S154" s="36">
        <v>-77017542</v>
      </c>
      <c r="T154" s="518">
        <v>0</v>
      </c>
      <c r="U154" s="518">
        <v>-6545682</v>
      </c>
      <c r="V154" s="518">
        <v>-13091364</v>
      </c>
      <c r="W154" s="518">
        <v>-19637046</v>
      </c>
      <c r="X154" s="518">
        <v>-27700308</v>
      </c>
      <c r="Y154" s="518">
        <v>-36869063</v>
      </c>
      <c r="Z154" s="518">
        <v>-47032166</v>
      </c>
      <c r="AA154" s="517">
        <f>IFERROR(VLOOKUP(C154,'전사시산표(3단계)_1013'!$C:$L,10,0),0)</f>
        <v>-57195269</v>
      </c>
      <c r="AB154" s="517"/>
      <c r="AC154" s="517"/>
      <c r="AD154" s="518">
        <f>AA154+AB154-AC154</f>
        <v>-57195269</v>
      </c>
      <c r="AE154" s="36">
        <f t="shared" si="23"/>
        <v>-29494961</v>
      </c>
      <c r="AF154" s="40">
        <f t="shared" si="22"/>
        <v>1.0647881965788972</v>
      </c>
      <c r="AG154" s="630" t="b">
        <f t="shared" si="24"/>
        <v>1</v>
      </c>
    </row>
    <row r="155" spans="1:35">
      <c r="B155" s="55" t="s">
        <v>826</v>
      </c>
      <c r="C155" s="56">
        <v>27400</v>
      </c>
      <c r="D155" s="56"/>
      <c r="E155" s="57" t="s">
        <v>827</v>
      </c>
      <c r="F155" s="57"/>
      <c r="G155" s="59">
        <v>0</v>
      </c>
      <c r="H155" s="59">
        <v>0</v>
      </c>
      <c r="I155" s="59">
        <v>0</v>
      </c>
      <c r="J155" s="59">
        <v>3791041635</v>
      </c>
      <c r="K155" s="59">
        <v>3225817802</v>
      </c>
      <c r="L155" s="59">
        <v>2903094758</v>
      </c>
      <c r="M155" s="59">
        <v>2554675346</v>
      </c>
      <c r="N155" s="59">
        <v>2215061139</v>
      </c>
      <c r="O155" s="59">
        <v>1872722767</v>
      </c>
      <c r="P155" s="59">
        <v>1527638377</v>
      </c>
      <c r="Q155" s="59">
        <v>0</v>
      </c>
      <c r="R155" s="59">
        <v>0</v>
      </c>
      <c r="S155" s="61">
        <v>1527638377</v>
      </c>
      <c r="T155" s="61">
        <v>1179785938</v>
      </c>
      <c r="U155" s="59">
        <v>829143259</v>
      </c>
      <c r="V155" s="59">
        <v>475687952</v>
      </c>
      <c r="W155" s="59">
        <v>119397455</v>
      </c>
      <c r="X155" s="59">
        <v>0</v>
      </c>
      <c r="Y155" s="59">
        <v>0</v>
      </c>
      <c r="Z155" s="59">
        <v>0</v>
      </c>
      <c r="AA155" s="59">
        <f>AA156</f>
        <v>0</v>
      </c>
      <c r="AB155" s="59">
        <f t="shared" ref="AB155:AD155" si="29">AB156</f>
        <v>0</v>
      </c>
      <c r="AC155" s="59">
        <f t="shared" si="29"/>
        <v>0</v>
      </c>
      <c r="AD155" s="61">
        <f t="shared" si="29"/>
        <v>0</v>
      </c>
      <c r="AE155" s="61">
        <f t="shared" si="23"/>
        <v>0</v>
      </c>
      <c r="AF155" s="62" t="str">
        <f t="shared" si="22"/>
        <v/>
      </c>
      <c r="AG155" s="630" t="b">
        <f t="shared" si="24"/>
        <v>1</v>
      </c>
    </row>
    <row r="156" spans="1:35" s="11" customFormat="1">
      <c r="A156" s="24"/>
      <c r="B156" s="1" t="s">
        <v>822</v>
      </c>
      <c r="C156" s="2">
        <v>286200</v>
      </c>
      <c r="D156" s="2" t="s">
        <v>916</v>
      </c>
      <c r="E156" s="3" t="s">
        <v>780</v>
      </c>
      <c r="F156" s="3" t="s">
        <v>1132</v>
      </c>
      <c r="G156" s="41">
        <v>0</v>
      </c>
      <c r="H156" s="42">
        <v>0</v>
      </c>
      <c r="I156" s="21">
        <v>0</v>
      </c>
      <c r="J156" s="36">
        <v>3791041635</v>
      </c>
      <c r="K156" s="36">
        <v>3225817802</v>
      </c>
      <c r="L156" s="36">
        <v>2903094758</v>
      </c>
      <c r="M156" s="36">
        <v>2554675346</v>
      </c>
      <c r="N156" s="36">
        <v>2215061139</v>
      </c>
      <c r="O156" s="36">
        <v>1872722767</v>
      </c>
      <c r="P156" s="36">
        <v>1527638377</v>
      </c>
      <c r="Q156" s="42"/>
      <c r="R156" s="42"/>
      <c r="S156" s="36">
        <v>1527638377</v>
      </c>
      <c r="T156" s="36">
        <v>1179785938</v>
      </c>
      <c r="U156" s="36">
        <v>829143259</v>
      </c>
      <c r="V156" s="36">
        <v>475687952</v>
      </c>
      <c r="W156" s="36">
        <v>119397455</v>
      </c>
      <c r="X156" s="36">
        <v>0</v>
      </c>
      <c r="Y156" s="36">
        <v>0</v>
      </c>
      <c r="Z156" s="36">
        <v>0</v>
      </c>
      <c r="AA156" s="36">
        <f>IFERROR(VLOOKUP(C156,'전사시산표(3단계)_1013'!$C:$L,10,0),0)</f>
        <v>0</v>
      </c>
      <c r="AB156" s="42"/>
      <c r="AC156" s="42"/>
      <c r="AD156" s="36">
        <f>AA156+AB156-AC156</f>
        <v>0</v>
      </c>
      <c r="AE156" s="36">
        <f t="shared" si="23"/>
        <v>0</v>
      </c>
      <c r="AF156" s="40" t="str">
        <f t="shared" si="22"/>
        <v/>
      </c>
      <c r="AG156" s="630" t="b">
        <f t="shared" si="24"/>
        <v>1</v>
      </c>
    </row>
    <row r="157" spans="1:35">
      <c r="B157" s="55" t="s">
        <v>824</v>
      </c>
      <c r="C157" s="56">
        <v>2350</v>
      </c>
      <c r="D157" s="56"/>
      <c r="E157" s="57" t="s">
        <v>838</v>
      </c>
      <c r="F157" s="57"/>
      <c r="G157" s="59">
        <f>SUM(G158)</f>
        <v>0</v>
      </c>
      <c r="H157" s="59">
        <f>SUM(H158)</f>
        <v>4980675672</v>
      </c>
      <c r="I157" s="59">
        <v>10229647221</v>
      </c>
      <c r="J157" s="59">
        <v>9347925274</v>
      </c>
      <c r="K157" s="59">
        <v>8758897966</v>
      </c>
      <c r="L157" s="59">
        <v>8745935851</v>
      </c>
      <c r="M157" s="59">
        <v>13739285452</v>
      </c>
      <c r="N157" s="59">
        <v>17703428366</v>
      </c>
      <c r="O157" s="59">
        <v>14300763614</v>
      </c>
      <c r="P157" s="59">
        <v>12081297525</v>
      </c>
      <c r="Q157" s="59">
        <v>0</v>
      </c>
      <c r="R157" s="59">
        <v>0</v>
      </c>
      <c r="S157" s="61">
        <v>12081297525</v>
      </c>
      <c r="T157" s="61">
        <v>10232799297</v>
      </c>
      <c r="U157" s="59">
        <v>10387462441</v>
      </c>
      <c r="V157" s="59">
        <v>13568833332</v>
      </c>
      <c r="W157" s="59">
        <v>18428697542</v>
      </c>
      <c r="X157" s="59">
        <v>26663057113</v>
      </c>
      <c r="Y157" s="59">
        <v>26663057113</v>
      </c>
      <c r="Z157" s="59">
        <v>26663057113</v>
      </c>
      <c r="AA157" s="59">
        <f>SUM(AA158)</f>
        <v>63860326007</v>
      </c>
      <c r="AB157" s="59">
        <f>SUM(AB158)</f>
        <v>0</v>
      </c>
      <c r="AC157" s="59">
        <f>SUM(AC158)</f>
        <v>0</v>
      </c>
      <c r="AD157" s="61">
        <f>AA157+AB157-AC157</f>
        <v>63860326007</v>
      </c>
      <c r="AE157" s="61">
        <f t="shared" si="23"/>
        <v>37197268894</v>
      </c>
      <c r="AF157" s="62">
        <f t="shared" si="22"/>
        <v>1.3950864199988484</v>
      </c>
      <c r="AG157" s="630" t="b">
        <f t="shared" si="24"/>
        <v>1</v>
      </c>
    </row>
    <row r="158" spans="1:35" ht="17.25" thickBot="1">
      <c r="B158" s="1" t="s">
        <v>285</v>
      </c>
      <c r="C158" s="2">
        <v>292100</v>
      </c>
      <c r="D158" s="2" t="s">
        <v>625</v>
      </c>
      <c r="E158" s="3" t="s">
        <v>516</v>
      </c>
      <c r="F158" s="3" t="s">
        <v>543</v>
      </c>
      <c r="G158" s="30">
        <v>0</v>
      </c>
      <c r="H158" s="21">
        <v>4980675672</v>
      </c>
      <c r="I158" s="21">
        <v>10229647221</v>
      </c>
      <c r="J158" s="21">
        <v>9347925274</v>
      </c>
      <c r="K158" s="21">
        <v>8758897966</v>
      </c>
      <c r="L158" s="21">
        <v>8745935851</v>
      </c>
      <c r="M158" s="21">
        <v>13739285452</v>
      </c>
      <c r="N158" s="21">
        <v>17703428366</v>
      </c>
      <c r="O158" s="21">
        <v>14300763614</v>
      </c>
      <c r="P158" s="21">
        <v>12081297525</v>
      </c>
      <c r="Q158" s="21"/>
      <c r="R158" s="21"/>
      <c r="S158" s="21">
        <v>12081297525</v>
      </c>
      <c r="T158" s="517">
        <v>10232799297</v>
      </c>
      <c r="U158" s="517">
        <v>10387462441</v>
      </c>
      <c r="V158" s="517">
        <v>13568833332</v>
      </c>
      <c r="W158" s="517">
        <v>18428697542</v>
      </c>
      <c r="X158" s="517">
        <v>26663057113</v>
      </c>
      <c r="Y158" s="517">
        <v>26663057113</v>
      </c>
      <c r="Z158" s="517">
        <v>26663057113</v>
      </c>
      <c r="AA158" s="517">
        <f>IFERROR(VLOOKUP(C158,'전사시산표(3단계)_1013'!$C:$L,10,0),0)</f>
        <v>63860326007</v>
      </c>
      <c r="AB158" s="517"/>
      <c r="AC158" s="517"/>
      <c r="AD158" s="517">
        <f>AA158+AB158-AC158</f>
        <v>63860326007</v>
      </c>
      <c r="AE158" s="21">
        <f t="shared" si="23"/>
        <v>37197268894</v>
      </c>
      <c r="AF158" s="38">
        <f t="shared" si="22"/>
        <v>1.3950864199988484</v>
      </c>
      <c r="AG158" s="630" t="b">
        <f t="shared" si="24"/>
        <v>1</v>
      </c>
    </row>
    <row r="159" spans="1:35" ht="17.25" thickBot="1">
      <c r="B159" s="44" t="s">
        <v>302</v>
      </c>
      <c r="C159" s="54">
        <v>400</v>
      </c>
      <c r="D159" s="54"/>
      <c r="E159" s="46" t="s">
        <v>303</v>
      </c>
      <c r="F159" s="46"/>
      <c r="G159" s="52">
        <f>G160+G246</f>
        <v>430936101763</v>
      </c>
      <c r="H159" s="52">
        <f>H160+H246</f>
        <v>481539555869</v>
      </c>
      <c r="I159" s="52">
        <v>495907157608</v>
      </c>
      <c r="J159" s="52">
        <v>559740179665</v>
      </c>
      <c r="K159" s="52">
        <v>450377238787</v>
      </c>
      <c r="L159" s="52">
        <v>476494784703</v>
      </c>
      <c r="M159" s="52">
        <v>446432363437</v>
      </c>
      <c r="N159" s="52">
        <v>516437867282</v>
      </c>
      <c r="O159" s="52">
        <v>474516809169</v>
      </c>
      <c r="P159" s="52">
        <v>486809800180</v>
      </c>
      <c r="Q159" s="52">
        <v>0</v>
      </c>
      <c r="R159" s="52">
        <v>0</v>
      </c>
      <c r="S159" s="50">
        <v>486809800180</v>
      </c>
      <c r="T159" s="50">
        <v>542534472712</v>
      </c>
      <c r="U159" s="52">
        <v>563007466234</v>
      </c>
      <c r="V159" s="52">
        <v>530158337860</v>
      </c>
      <c r="W159" s="52">
        <v>549059293893</v>
      </c>
      <c r="X159" s="52">
        <v>579249086926</v>
      </c>
      <c r="Y159" s="52">
        <v>546684763760</v>
      </c>
      <c r="Z159" s="52">
        <v>529155940036</v>
      </c>
      <c r="AA159" s="52">
        <f>AA160+AA246</f>
        <v>588242153690</v>
      </c>
      <c r="AB159" s="52">
        <f>AB160+AB246</f>
        <v>0</v>
      </c>
      <c r="AC159" s="52">
        <f>AC160+AC246</f>
        <v>0</v>
      </c>
      <c r="AD159" s="50">
        <f>AA159-AB159+AC159</f>
        <v>588242153690</v>
      </c>
      <c r="AE159" s="50">
        <f t="shared" si="23"/>
        <v>8993066764</v>
      </c>
      <c r="AF159" s="53">
        <f t="shared" si="22"/>
        <v>1.5525387897847267E-2</v>
      </c>
      <c r="AG159" s="630" t="b">
        <f t="shared" si="24"/>
        <v>1</v>
      </c>
    </row>
    <row r="160" spans="1:35" ht="17.25" thickBot="1">
      <c r="B160" s="44" t="s">
        <v>302</v>
      </c>
      <c r="C160" s="54"/>
      <c r="D160" s="54"/>
      <c r="E160" s="46" t="s">
        <v>304</v>
      </c>
      <c r="F160" s="46"/>
      <c r="G160" s="52">
        <f>SUM(G161,G173,G175,G181,G217,G220,G231,G235,G244)</f>
        <v>420134023644</v>
      </c>
      <c r="H160" s="52">
        <f>SUM(H161,H173,H175,H181,H217,H220,H231,H235,H244)</f>
        <v>470243239593</v>
      </c>
      <c r="I160" s="52">
        <v>486391358573</v>
      </c>
      <c r="J160" s="52">
        <v>522184297573</v>
      </c>
      <c r="K160" s="52">
        <v>417130275774</v>
      </c>
      <c r="L160" s="52">
        <v>443932431765</v>
      </c>
      <c r="M160" s="52">
        <v>420022340363</v>
      </c>
      <c r="N160" s="52">
        <v>490549921727</v>
      </c>
      <c r="O160" s="52">
        <v>449120522922</v>
      </c>
      <c r="P160" s="52">
        <v>461079711090</v>
      </c>
      <c r="Q160" s="52">
        <v>0</v>
      </c>
      <c r="R160" s="52">
        <v>0</v>
      </c>
      <c r="S160" s="52">
        <v>460810011090</v>
      </c>
      <c r="T160" s="52">
        <v>508126093489</v>
      </c>
      <c r="U160" s="52">
        <v>529078343183</v>
      </c>
      <c r="V160" s="52">
        <v>495949945327</v>
      </c>
      <c r="W160" s="52">
        <v>515742661196</v>
      </c>
      <c r="X160" s="52">
        <v>554679579696</v>
      </c>
      <c r="Y160" s="52">
        <v>519901483501</v>
      </c>
      <c r="Z160" s="52">
        <v>503567989186</v>
      </c>
      <c r="AA160" s="52">
        <f>SUM(AA161,AA173,AA175,AA181,AA217,AA220,AA231,AA235,AA240,AA244,AA229,AA242)</f>
        <v>556527525899</v>
      </c>
      <c r="AB160" s="52">
        <f>SUM(AB161,AB173,AB175,AB181,AB217,AB220,AB231,AB235,AB244)</f>
        <v>0</v>
      </c>
      <c r="AC160" s="52">
        <f>SUM(AC161,AC173,AC175,AC181,AC217,AC220,AC231,AC235,AC244)</f>
        <v>0</v>
      </c>
      <c r="AD160" s="52">
        <f>SUM(AD161,AD173,AD175,AD181,AD217,AD220,AD231,AD235,AD240,AD244,AD242,AD229)</f>
        <v>556527525899</v>
      </c>
      <c r="AE160" s="50">
        <f t="shared" si="23"/>
        <v>1847946203</v>
      </c>
      <c r="AF160" s="53">
        <f t="shared" si="22"/>
        <v>3.331556218479853E-3</v>
      </c>
      <c r="AG160" s="630" t="b">
        <f t="shared" si="24"/>
        <v>1</v>
      </c>
      <c r="AH160">
        <v>503959713888</v>
      </c>
      <c r="AI160" s="187">
        <f>AH160-AD160</f>
        <v>-52567812011</v>
      </c>
    </row>
    <row r="161" spans="1:33">
      <c r="B161" s="55" t="s">
        <v>297</v>
      </c>
      <c r="C161" s="56">
        <v>40400</v>
      </c>
      <c r="D161" s="56"/>
      <c r="E161" s="57" t="s">
        <v>165</v>
      </c>
      <c r="F161" s="57"/>
      <c r="G161" s="59">
        <f>SUM(G162:G172)</f>
        <v>83354954974</v>
      </c>
      <c r="H161" s="59">
        <f>SUM(H162:H172)</f>
        <v>141319946914</v>
      </c>
      <c r="I161" s="59">
        <v>129557775429</v>
      </c>
      <c r="J161" s="59">
        <v>180026777796</v>
      </c>
      <c r="K161" s="59">
        <v>103547830097</v>
      </c>
      <c r="L161" s="59">
        <v>98213387923</v>
      </c>
      <c r="M161" s="59">
        <v>69833691044</v>
      </c>
      <c r="N161" s="59">
        <v>73266742595</v>
      </c>
      <c r="O161" s="59">
        <v>68257823911</v>
      </c>
      <c r="P161" s="59">
        <v>88176965382</v>
      </c>
      <c r="Q161" s="59">
        <v>0</v>
      </c>
      <c r="R161" s="59">
        <v>0</v>
      </c>
      <c r="S161" s="59">
        <v>88176965382</v>
      </c>
      <c r="T161" s="59">
        <v>101646599593</v>
      </c>
      <c r="U161" s="59">
        <v>73822576270</v>
      </c>
      <c r="V161" s="59">
        <v>98571483951</v>
      </c>
      <c r="W161" s="59">
        <v>76990930550</v>
      </c>
      <c r="X161" s="59">
        <v>104977868839</v>
      </c>
      <c r="Y161" s="59">
        <v>108262286606</v>
      </c>
      <c r="Z161" s="59">
        <v>88039783912</v>
      </c>
      <c r="AA161" s="59">
        <f>SUM(AA162:AA172)</f>
        <v>100978997065</v>
      </c>
      <c r="AB161" s="59">
        <f>SUM(AB162:AB172)</f>
        <v>0</v>
      </c>
      <c r="AC161" s="59">
        <f>SUM(AC162:AC172)</f>
        <v>0</v>
      </c>
      <c r="AD161" s="59">
        <f t="shared" ref="AD161:AD180" si="30">AA161-AB161+AC161</f>
        <v>100978997065</v>
      </c>
      <c r="AE161" s="59">
        <f t="shared" si="23"/>
        <v>-3998871774</v>
      </c>
      <c r="AF161" s="60">
        <f t="shared" si="22"/>
        <v>-3.8092521959394089E-2</v>
      </c>
      <c r="AG161" s="630" t="b">
        <f t="shared" si="24"/>
        <v>1</v>
      </c>
    </row>
    <row r="162" spans="1:33" s="11" customFormat="1">
      <c r="A162" s="24"/>
      <c r="B162" s="1" t="s">
        <v>285</v>
      </c>
      <c r="C162" s="2">
        <v>404100</v>
      </c>
      <c r="D162" s="2" t="s">
        <v>631</v>
      </c>
      <c r="E162" s="3" t="s">
        <v>165</v>
      </c>
      <c r="F162" s="3" t="s">
        <v>165</v>
      </c>
      <c r="G162" s="30">
        <v>49876137910</v>
      </c>
      <c r="H162" s="21">
        <v>75328521671</v>
      </c>
      <c r="I162" s="21">
        <v>70094142494</v>
      </c>
      <c r="J162" s="21">
        <v>72318718689</v>
      </c>
      <c r="K162" s="21">
        <v>65777014070</v>
      </c>
      <c r="L162" s="21">
        <v>48818344612</v>
      </c>
      <c r="M162" s="21">
        <v>35716551487</v>
      </c>
      <c r="N162" s="21">
        <v>31398598190</v>
      </c>
      <c r="O162" s="21">
        <v>28333039366</v>
      </c>
      <c r="P162" s="21">
        <v>42425279586</v>
      </c>
      <c r="Q162" s="21"/>
      <c r="R162" s="21"/>
      <c r="S162" s="21">
        <v>42425279586</v>
      </c>
      <c r="T162" s="517">
        <v>51469605018</v>
      </c>
      <c r="U162" s="517">
        <v>35728104818</v>
      </c>
      <c r="V162" s="517">
        <v>36648940829</v>
      </c>
      <c r="W162" s="517">
        <v>39009718377</v>
      </c>
      <c r="X162" s="517">
        <v>71964303345</v>
      </c>
      <c r="Y162" s="517">
        <v>52815250491</v>
      </c>
      <c r="Z162" s="517">
        <v>47895693406</v>
      </c>
      <c r="AA162" s="517">
        <f>-IFERROR(VLOOKUP(C162,'전사시산표(3단계)_1013'!$C:$L,10,0),0)</f>
        <v>56607858118</v>
      </c>
      <c r="AB162" s="517"/>
      <c r="AC162" s="517"/>
      <c r="AD162" s="517">
        <f t="shared" si="30"/>
        <v>56607858118</v>
      </c>
      <c r="AE162" s="21">
        <f t="shared" si="23"/>
        <v>-15356445227</v>
      </c>
      <c r="AF162" s="38">
        <f t="shared" si="22"/>
        <v>-0.21338975732705329</v>
      </c>
      <c r="AG162" s="630" t="b">
        <f t="shared" si="24"/>
        <v>1</v>
      </c>
    </row>
    <row r="163" spans="1:33" s="11" customFormat="1">
      <c r="A163" s="24"/>
      <c r="B163" s="1" t="s">
        <v>285</v>
      </c>
      <c r="C163" s="2">
        <v>404101</v>
      </c>
      <c r="D163" s="2" t="s">
        <v>631</v>
      </c>
      <c r="E163" s="3" t="s">
        <v>448</v>
      </c>
      <c r="F163" s="3" t="s">
        <v>479</v>
      </c>
      <c r="G163" s="30">
        <v>0</v>
      </c>
      <c r="H163" s="21">
        <v>130456845</v>
      </c>
      <c r="I163" s="21">
        <v>31502725</v>
      </c>
      <c r="J163" s="21">
        <v>8243314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/>
      <c r="R163" s="21"/>
      <c r="S163" s="21">
        <v>0</v>
      </c>
      <c r="T163" s="517">
        <v>0</v>
      </c>
      <c r="U163" s="517">
        <v>0</v>
      </c>
      <c r="V163" s="517">
        <v>0</v>
      </c>
      <c r="W163" s="517">
        <v>0</v>
      </c>
      <c r="X163" s="517">
        <v>0</v>
      </c>
      <c r="Y163" s="517">
        <v>0</v>
      </c>
      <c r="Z163" s="517">
        <v>0</v>
      </c>
      <c r="AA163" s="517">
        <f>-IFERROR(VLOOKUP(C163,'전사시산표(3단계)_1013'!$C:$L,10,0),0)</f>
        <v>0</v>
      </c>
      <c r="AB163" s="517"/>
      <c r="AC163" s="517"/>
      <c r="AD163" s="517">
        <f t="shared" si="30"/>
        <v>0</v>
      </c>
      <c r="AE163" s="21">
        <f t="shared" si="23"/>
        <v>0</v>
      </c>
      <c r="AF163" s="38" t="str">
        <f t="shared" si="22"/>
        <v/>
      </c>
      <c r="AG163" s="630" t="b">
        <f t="shared" si="24"/>
        <v>1</v>
      </c>
    </row>
    <row r="164" spans="1:33" s="11" customFormat="1">
      <c r="A164" s="24"/>
      <c r="B164" s="1" t="s">
        <v>285</v>
      </c>
      <c r="C164" s="2">
        <v>404103</v>
      </c>
      <c r="D164" s="2" t="s">
        <v>631</v>
      </c>
      <c r="E164" s="3" t="s">
        <v>164</v>
      </c>
      <c r="F164" s="3" t="s">
        <v>165</v>
      </c>
      <c r="G164" s="30">
        <v>27951713234</v>
      </c>
      <c r="H164" s="21">
        <v>60024934951</v>
      </c>
      <c r="I164" s="21">
        <v>49843447512</v>
      </c>
      <c r="J164" s="21">
        <v>76558856861</v>
      </c>
      <c r="K164" s="21">
        <v>22211479251</v>
      </c>
      <c r="L164" s="21">
        <v>32874235751</v>
      </c>
      <c r="M164" s="21">
        <v>16706216727</v>
      </c>
      <c r="N164" s="21">
        <v>18947073939</v>
      </c>
      <c r="O164" s="21">
        <v>19958714329</v>
      </c>
      <c r="P164" s="21">
        <v>26289192072</v>
      </c>
      <c r="Q164" s="21"/>
      <c r="R164" s="21"/>
      <c r="S164" s="21">
        <v>26289192072</v>
      </c>
      <c r="T164" s="517">
        <v>29849896399</v>
      </c>
      <c r="U164" s="517">
        <v>18219690558</v>
      </c>
      <c r="V164" s="517">
        <v>41085011301</v>
      </c>
      <c r="W164" s="517">
        <v>23780912202</v>
      </c>
      <c r="X164" s="517">
        <v>17718111112</v>
      </c>
      <c r="Y164" s="517">
        <v>35619063672</v>
      </c>
      <c r="Z164" s="517">
        <v>24535797216</v>
      </c>
      <c r="AA164" s="517">
        <f>-IFERROR(VLOOKUP(C164,'전사시산표(3단계)_1013'!$C:$L,10,0),0)</f>
        <v>29243748039</v>
      </c>
      <c r="AB164" s="517"/>
      <c r="AC164" s="517"/>
      <c r="AD164" s="517">
        <f t="shared" si="30"/>
        <v>29243748039</v>
      </c>
      <c r="AE164" s="21">
        <f t="shared" si="23"/>
        <v>11525636927</v>
      </c>
      <c r="AF164" s="38">
        <f t="shared" si="22"/>
        <v>0.65050031880621839</v>
      </c>
      <c r="AG164" s="630" t="b">
        <f t="shared" si="24"/>
        <v>1</v>
      </c>
    </row>
    <row r="165" spans="1:33">
      <c r="B165" s="1" t="s">
        <v>285</v>
      </c>
      <c r="C165" s="2">
        <v>404104</v>
      </c>
      <c r="D165" s="2" t="s">
        <v>631</v>
      </c>
      <c r="E165" s="3" t="s">
        <v>471</v>
      </c>
      <c r="F165" s="3" t="s">
        <v>479</v>
      </c>
      <c r="G165" s="30">
        <v>5487147921</v>
      </c>
      <c r="H165" s="21">
        <v>2887239576</v>
      </c>
      <c r="I165" s="21">
        <v>3314303224</v>
      </c>
      <c r="J165" s="21">
        <v>5769958206</v>
      </c>
      <c r="K165" s="21">
        <v>7455045951</v>
      </c>
      <c r="L165" s="21">
        <v>8113686637</v>
      </c>
      <c r="M165" s="21">
        <v>8495939103</v>
      </c>
      <c r="N165" s="21">
        <v>9600906808</v>
      </c>
      <c r="O165" s="21">
        <v>10310801058</v>
      </c>
      <c r="P165" s="21">
        <v>10054251612</v>
      </c>
      <c r="Q165" s="21"/>
      <c r="R165" s="21"/>
      <c r="S165" s="21">
        <v>10054251612</v>
      </c>
      <c r="T165" s="517">
        <v>10206790825</v>
      </c>
      <c r="U165" s="517">
        <v>10797867733</v>
      </c>
      <c r="V165" s="517">
        <v>12025171891</v>
      </c>
      <c r="W165" s="517">
        <v>13071175941</v>
      </c>
      <c r="X165" s="517">
        <v>13842271989</v>
      </c>
      <c r="Y165" s="517">
        <v>13708168021</v>
      </c>
      <c r="Z165" s="517">
        <v>14362183099</v>
      </c>
      <c r="AA165" s="517">
        <f>-IFERROR(VLOOKUP(C165,'전사시산표(3단계)_1013'!$C:$L,10,0),0)</f>
        <v>13907350634</v>
      </c>
      <c r="AB165" s="517"/>
      <c r="AC165" s="517"/>
      <c r="AD165" s="517">
        <f t="shared" si="30"/>
        <v>13907350634</v>
      </c>
      <c r="AE165" s="21">
        <f t="shared" si="23"/>
        <v>65078645</v>
      </c>
      <c r="AF165" s="38">
        <f t="shared" si="22"/>
        <v>4.701442440353424E-3</v>
      </c>
      <c r="AG165" s="630" t="b">
        <f t="shared" si="24"/>
        <v>1</v>
      </c>
    </row>
    <row r="166" spans="1:33">
      <c r="B166" s="1" t="s">
        <v>285</v>
      </c>
      <c r="C166" s="2">
        <v>404200</v>
      </c>
      <c r="D166" s="2" t="s">
        <v>631</v>
      </c>
      <c r="E166" s="3" t="s">
        <v>163</v>
      </c>
      <c r="F166" s="3" t="s">
        <v>165</v>
      </c>
      <c r="G166" s="30">
        <v>39955909</v>
      </c>
      <c r="H166" s="21">
        <v>115224612</v>
      </c>
      <c r="I166" s="21">
        <v>254821669</v>
      </c>
      <c r="J166" s="21">
        <v>80942733</v>
      </c>
      <c r="K166" s="21">
        <v>51059955</v>
      </c>
      <c r="L166" s="21">
        <v>57561421</v>
      </c>
      <c r="M166" s="21">
        <v>52696030</v>
      </c>
      <c r="N166" s="21">
        <v>39805733</v>
      </c>
      <c r="O166" s="21">
        <v>39805733</v>
      </c>
      <c r="P166" s="21">
        <v>41155730</v>
      </c>
      <c r="Q166" s="21"/>
      <c r="R166" s="21"/>
      <c r="S166" s="21">
        <v>41155730</v>
      </c>
      <c r="T166" s="517">
        <v>254500650</v>
      </c>
      <c r="U166" s="517">
        <v>39805733</v>
      </c>
      <c r="V166" s="517">
        <v>42143725</v>
      </c>
      <c r="W166" s="517">
        <v>54670754</v>
      </c>
      <c r="X166" s="517">
        <v>128295141</v>
      </c>
      <c r="Y166" s="517">
        <v>73561472</v>
      </c>
      <c r="Z166" s="517">
        <v>41440733</v>
      </c>
      <c r="AA166" s="517">
        <f>-IFERROR(VLOOKUP(C166,'전사시산표(3단계)_1013'!$C:$L,10,0),0)</f>
        <v>55037096</v>
      </c>
      <c r="AB166" s="517"/>
      <c r="AC166" s="517"/>
      <c r="AD166" s="517">
        <f t="shared" si="30"/>
        <v>55037096</v>
      </c>
      <c r="AE166" s="21">
        <f t="shared" si="23"/>
        <v>-73258045</v>
      </c>
      <c r="AF166" s="38">
        <f t="shared" si="22"/>
        <v>-0.57101184369874147</v>
      </c>
      <c r="AG166" s="630" t="b">
        <f t="shared" si="24"/>
        <v>1</v>
      </c>
    </row>
    <row r="167" spans="1:33">
      <c r="B167" s="1" t="s">
        <v>285</v>
      </c>
      <c r="C167" s="2">
        <v>404290</v>
      </c>
      <c r="D167" s="2" t="s">
        <v>631</v>
      </c>
      <c r="E167" s="3" t="s">
        <v>676</v>
      </c>
      <c r="F167" s="3" t="s">
        <v>165</v>
      </c>
      <c r="G167" s="30">
        <v>0</v>
      </c>
      <c r="H167" s="21">
        <v>0</v>
      </c>
      <c r="I167" s="21">
        <v>-595034</v>
      </c>
      <c r="J167" s="21">
        <v>336159</v>
      </c>
      <c r="K167" s="21">
        <v>336159</v>
      </c>
      <c r="L167" s="21">
        <v>336159</v>
      </c>
      <c r="M167" s="21">
        <v>1761464</v>
      </c>
      <c r="N167" s="21">
        <v>1761464</v>
      </c>
      <c r="O167" s="21">
        <v>1761464</v>
      </c>
      <c r="P167" s="21">
        <v>1761464</v>
      </c>
      <c r="Q167" s="21"/>
      <c r="R167" s="21"/>
      <c r="S167" s="21">
        <v>1761464</v>
      </c>
      <c r="T167" s="517">
        <v>-1461633</v>
      </c>
      <c r="U167" s="517">
        <v>-1166562</v>
      </c>
      <c r="V167" s="517">
        <v>-1166562</v>
      </c>
      <c r="W167" s="517">
        <v>-1166562</v>
      </c>
      <c r="X167" s="517">
        <v>-1166562</v>
      </c>
      <c r="Y167" s="517">
        <v>4476988</v>
      </c>
      <c r="Z167" s="517">
        <v>4476988</v>
      </c>
      <c r="AA167" s="517">
        <f>-IFERROR(VLOOKUP(C167,'전사시산표(3단계)_1013'!$C:$L,10,0),0)</f>
        <v>9619083</v>
      </c>
      <c r="AB167" s="517"/>
      <c r="AC167" s="517"/>
      <c r="AD167" s="517">
        <f t="shared" si="30"/>
        <v>9619083</v>
      </c>
      <c r="AE167" s="21">
        <f t="shared" si="23"/>
        <v>10785645</v>
      </c>
      <c r="AF167" s="38">
        <f t="shared" si="22"/>
        <v>-9.2456680399327258</v>
      </c>
      <c r="AG167" s="630" t="b">
        <f t="shared" si="24"/>
        <v>1</v>
      </c>
    </row>
    <row r="168" spans="1:33">
      <c r="B168" s="1" t="s">
        <v>285</v>
      </c>
      <c r="C168" s="2">
        <v>404300</v>
      </c>
      <c r="D168" s="2" t="s">
        <v>631</v>
      </c>
      <c r="E168" s="3" t="s">
        <v>515</v>
      </c>
      <c r="F168" s="3" t="s">
        <v>165</v>
      </c>
      <c r="G168" s="30">
        <v>0</v>
      </c>
      <c r="H168" s="21">
        <v>0</v>
      </c>
      <c r="I168" s="21">
        <v>445830088</v>
      </c>
      <c r="J168" s="21">
        <v>232944954</v>
      </c>
      <c r="K168" s="21">
        <v>278638694</v>
      </c>
      <c r="L168" s="21">
        <v>269491952</v>
      </c>
      <c r="M168" s="21">
        <v>730299262</v>
      </c>
      <c r="N168" s="21">
        <v>131671736</v>
      </c>
      <c r="O168" s="21">
        <v>383541997</v>
      </c>
      <c r="P168" s="21">
        <v>466467127</v>
      </c>
      <c r="Q168" s="21"/>
      <c r="R168" s="21"/>
      <c r="S168" s="21">
        <v>466467127</v>
      </c>
      <c r="T168" s="517">
        <v>809441189</v>
      </c>
      <c r="U168" s="517">
        <v>517984846</v>
      </c>
      <c r="V168" s="517">
        <v>502664317</v>
      </c>
      <c r="W168" s="517">
        <v>530906578</v>
      </c>
      <c r="X168" s="517">
        <v>778650994</v>
      </c>
      <c r="Y168" s="517">
        <v>491333662</v>
      </c>
      <c r="Z168" s="517">
        <v>537670110</v>
      </c>
      <c r="AA168" s="517">
        <f>-IFERROR(VLOOKUP(C168,'전사시산표(3단계)_1013'!$C:$L,10,0),0)</f>
        <v>548909315</v>
      </c>
      <c r="AB168" s="517"/>
      <c r="AC168" s="517"/>
      <c r="AD168" s="517">
        <f t="shared" si="30"/>
        <v>548909315</v>
      </c>
      <c r="AE168" s="21">
        <f t="shared" si="23"/>
        <v>-229741679</v>
      </c>
      <c r="AF168" s="38">
        <f t="shared" si="22"/>
        <v>-0.29505090312643972</v>
      </c>
      <c r="AG168" s="630" t="b">
        <f t="shared" si="24"/>
        <v>1</v>
      </c>
    </row>
    <row r="169" spans="1:33">
      <c r="B169" s="1" t="s">
        <v>822</v>
      </c>
      <c r="C169" s="2">
        <v>405100</v>
      </c>
      <c r="D169" s="2" t="s">
        <v>631</v>
      </c>
      <c r="E169" s="3" t="s">
        <v>794</v>
      </c>
      <c r="F169" s="3" t="s">
        <v>165</v>
      </c>
      <c r="G169" s="30">
        <v>0</v>
      </c>
      <c r="H169" s="21">
        <v>0</v>
      </c>
      <c r="I169" s="21">
        <v>0</v>
      </c>
      <c r="J169" s="21">
        <v>17500000000</v>
      </c>
      <c r="K169" s="21">
        <v>0</v>
      </c>
      <c r="L169" s="21">
        <v>0</v>
      </c>
      <c r="M169" s="21">
        <v>0</v>
      </c>
      <c r="N169" s="21">
        <v>5000000000</v>
      </c>
      <c r="O169" s="21">
        <v>0</v>
      </c>
      <c r="P169" s="21">
        <v>0</v>
      </c>
      <c r="Q169" s="21"/>
      <c r="R169" s="21"/>
      <c r="S169" s="21">
        <v>0</v>
      </c>
      <c r="T169" s="517">
        <v>0</v>
      </c>
      <c r="U169" s="517">
        <v>0</v>
      </c>
      <c r="V169" s="517">
        <v>0</v>
      </c>
      <c r="W169" s="517">
        <v>0</v>
      </c>
      <c r="X169" s="517">
        <v>0</v>
      </c>
      <c r="Y169" s="517">
        <v>5000000000</v>
      </c>
      <c r="Z169" s="517">
        <v>0</v>
      </c>
      <c r="AA169" s="517">
        <f>-IFERROR(VLOOKUP(C169,'전사시산표(3단계)_1013'!$C:$L,10,0),0)</f>
        <v>0</v>
      </c>
      <c r="AB169" s="517"/>
      <c r="AC169" s="517"/>
      <c r="AD169" s="517">
        <f t="shared" si="30"/>
        <v>0</v>
      </c>
      <c r="AE169" s="21">
        <f t="shared" si="23"/>
        <v>0</v>
      </c>
      <c r="AF169" s="38" t="str">
        <f t="shared" si="22"/>
        <v/>
      </c>
      <c r="AG169" s="630" t="b">
        <f t="shared" si="24"/>
        <v>1</v>
      </c>
    </row>
    <row r="170" spans="1:33">
      <c r="B170" s="1" t="s">
        <v>285</v>
      </c>
      <c r="C170" s="2">
        <v>405500</v>
      </c>
      <c r="D170" s="2" t="s">
        <v>631</v>
      </c>
      <c r="E170" s="3" t="s">
        <v>305</v>
      </c>
      <c r="F170" s="3" t="s">
        <v>165</v>
      </c>
      <c r="G170" s="30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/>
      <c r="R170" s="21"/>
      <c r="S170" s="21">
        <v>0</v>
      </c>
      <c r="T170" s="517">
        <v>0</v>
      </c>
      <c r="U170" s="517">
        <v>0</v>
      </c>
      <c r="V170" s="517">
        <v>0</v>
      </c>
      <c r="W170" s="517">
        <v>0</v>
      </c>
      <c r="X170" s="517">
        <v>0</v>
      </c>
      <c r="Y170" s="517">
        <v>0</v>
      </c>
      <c r="Z170" s="517">
        <v>0</v>
      </c>
      <c r="AA170" s="517">
        <f>-IFERROR(VLOOKUP(C170,'전사시산표(3단계)_1013'!$C:$L,10,0),0)</f>
        <v>0</v>
      </c>
      <c r="AB170" s="517"/>
      <c r="AC170" s="517"/>
      <c r="AD170" s="517">
        <f t="shared" si="30"/>
        <v>0</v>
      </c>
      <c r="AE170" s="21">
        <f t="shared" si="23"/>
        <v>0</v>
      </c>
      <c r="AF170" s="38" t="str">
        <f t="shared" si="22"/>
        <v/>
      </c>
      <c r="AG170" s="630" t="b">
        <f t="shared" si="24"/>
        <v>1</v>
      </c>
    </row>
    <row r="171" spans="1:33">
      <c r="B171" s="1" t="s">
        <v>285</v>
      </c>
      <c r="C171" s="2">
        <v>405510</v>
      </c>
      <c r="D171" s="2" t="s">
        <v>631</v>
      </c>
      <c r="E171" s="3" t="s">
        <v>162</v>
      </c>
      <c r="F171" s="3" t="s">
        <v>165</v>
      </c>
      <c r="G171" s="30">
        <v>0</v>
      </c>
      <c r="H171" s="21">
        <v>403537180</v>
      </c>
      <c r="I171" s="21">
        <v>406285450</v>
      </c>
      <c r="J171" s="21">
        <v>416650290</v>
      </c>
      <c r="K171" s="21">
        <v>397941300</v>
      </c>
      <c r="L171" s="21">
        <v>402818570</v>
      </c>
      <c r="M171" s="21">
        <v>407957370</v>
      </c>
      <c r="N171" s="21">
        <v>427702980</v>
      </c>
      <c r="O171" s="21">
        <v>466731400</v>
      </c>
      <c r="P171" s="21">
        <v>477141820</v>
      </c>
      <c r="Q171" s="21"/>
      <c r="R171" s="21"/>
      <c r="S171" s="21">
        <v>477141820</v>
      </c>
      <c r="T171" s="517">
        <v>479111530</v>
      </c>
      <c r="U171" s="517">
        <v>495774880</v>
      </c>
      <c r="V171" s="517">
        <v>599558740</v>
      </c>
      <c r="W171" s="517">
        <v>544713260</v>
      </c>
      <c r="X171" s="517">
        <v>547402820</v>
      </c>
      <c r="Y171" s="517">
        <v>550432300</v>
      </c>
      <c r="Z171" s="517">
        <v>662522360</v>
      </c>
      <c r="AA171" s="517">
        <f>-IFERROR(VLOOKUP(C171,'전사시산표(3단계)_1013'!$C:$L,10,0),0)</f>
        <v>606474780</v>
      </c>
      <c r="AB171" s="517"/>
      <c r="AC171" s="517"/>
      <c r="AD171" s="517">
        <f t="shared" si="30"/>
        <v>606474780</v>
      </c>
      <c r="AE171" s="21">
        <f t="shared" si="23"/>
        <v>59071960</v>
      </c>
      <c r="AF171" s="38">
        <f t="shared" si="22"/>
        <v>0.10791314520447666</v>
      </c>
      <c r="AG171" s="630" t="b">
        <f t="shared" si="24"/>
        <v>1</v>
      </c>
    </row>
    <row r="172" spans="1:33">
      <c r="B172" s="1" t="s">
        <v>285</v>
      </c>
      <c r="C172" s="2">
        <v>405530</v>
      </c>
      <c r="D172" s="2" t="s">
        <v>631</v>
      </c>
      <c r="E172" s="3" t="s">
        <v>161</v>
      </c>
      <c r="F172" s="3" t="s">
        <v>165</v>
      </c>
      <c r="G172" s="30">
        <v>0</v>
      </c>
      <c r="H172" s="21">
        <v>2430032079</v>
      </c>
      <c r="I172" s="21">
        <v>5168037301</v>
      </c>
      <c r="J172" s="21">
        <v>7140126590</v>
      </c>
      <c r="K172" s="21">
        <v>7376314717</v>
      </c>
      <c r="L172" s="21">
        <v>7676912821</v>
      </c>
      <c r="M172" s="21">
        <v>7722269601</v>
      </c>
      <c r="N172" s="21">
        <v>7719221745</v>
      </c>
      <c r="O172" s="21">
        <v>8763428564</v>
      </c>
      <c r="P172" s="21">
        <v>8421715971</v>
      </c>
      <c r="Q172" s="21"/>
      <c r="R172" s="21"/>
      <c r="S172" s="21">
        <v>8421715971</v>
      </c>
      <c r="T172" s="517">
        <v>8578715615</v>
      </c>
      <c r="U172" s="517">
        <v>8024514264</v>
      </c>
      <c r="V172" s="517">
        <v>7669159710</v>
      </c>
      <c r="W172" s="517">
        <v>0</v>
      </c>
      <c r="X172" s="517">
        <v>0</v>
      </c>
      <c r="Y172" s="517">
        <v>0</v>
      </c>
      <c r="Z172" s="517">
        <v>0</v>
      </c>
      <c r="AA172" s="517">
        <f>-IFERROR(VLOOKUP(C172,'전사시산표(3단계)_1013'!$C:$L,10,0),0)</f>
        <v>0</v>
      </c>
      <c r="AB172" s="517"/>
      <c r="AC172" s="517"/>
      <c r="AD172" s="517">
        <f t="shared" si="30"/>
        <v>0</v>
      </c>
      <c r="AE172" s="21">
        <f t="shared" si="23"/>
        <v>0</v>
      </c>
      <c r="AF172" s="38" t="str">
        <f t="shared" si="22"/>
        <v/>
      </c>
      <c r="AG172" s="630" t="b">
        <f t="shared" si="24"/>
        <v>1</v>
      </c>
    </row>
    <row r="173" spans="1:33">
      <c r="B173" s="55" t="s">
        <v>290</v>
      </c>
      <c r="C173" s="56">
        <v>40520</v>
      </c>
      <c r="D173" s="56"/>
      <c r="E173" s="57" t="s">
        <v>306</v>
      </c>
      <c r="F173" s="57"/>
      <c r="G173" s="59">
        <f>SUM(G174)</f>
        <v>0</v>
      </c>
      <c r="H173" s="59">
        <f>SUM(H174)</f>
        <v>0</v>
      </c>
      <c r="I173" s="59">
        <v>0</v>
      </c>
      <c r="J173" s="59">
        <v>0</v>
      </c>
      <c r="K173" s="59">
        <v>0</v>
      </c>
      <c r="L173" s="59">
        <v>0</v>
      </c>
      <c r="M173" s="59">
        <v>0</v>
      </c>
      <c r="N173" s="59">
        <v>0</v>
      </c>
      <c r="O173" s="59">
        <v>0</v>
      </c>
      <c r="P173" s="59">
        <v>0</v>
      </c>
      <c r="Q173" s="59">
        <v>0</v>
      </c>
      <c r="R173" s="59">
        <v>0</v>
      </c>
      <c r="S173" s="61">
        <v>0</v>
      </c>
      <c r="T173" s="61">
        <v>0</v>
      </c>
      <c r="U173" s="59">
        <v>0</v>
      </c>
      <c r="V173" s="59">
        <v>0</v>
      </c>
      <c r="W173" s="59">
        <v>0</v>
      </c>
      <c r="X173" s="59">
        <v>0</v>
      </c>
      <c r="Y173" s="59">
        <v>0</v>
      </c>
      <c r="Z173" s="59">
        <v>0</v>
      </c>
      <c r="AA173" s="59">
        <f>SUM(AA174)</f>
        <v>0</v>
      </c>
      <c r="AB173" s="59">
        <f>SUM(AB174)</f>
        <v>0</v>
      </c>
      <c r="AC173" s="59">
        <f>SUM(AC174)</f>
        <v>0</v>
      </c>
      <c r="AD173" s="61">
        <f t="shared" si="30"/>
        <v>0</v>
      </c>
      <c r="AE173" s="61">
        <f t="shared" si="23"/>
        <v>0</v>
      </c>
      <c r="AF173" s="62" t="str">
        <f t="shared" si="22"/>
        <v/>
      </c>
      <c r="AG173" s="630" t="b">
        <f t="shared" si="24"/>
        <v>1</v>
      </c>
    </row>
    <row r="174" spans="1:33">
      <c r="B174" s="1" t="s">
        <v>285</v>
      </c>
      <c r="C174" s="2">
        <v>405200</v>
      </c>
      <c r="D174" s="2"/>
      <c r="E174" s="3" t="s">
        <v>306</v>
      </c>
      <c r="F174" s="3" t="s">
        <v>307</v>
      </c>
      <c r="G174" s="30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/>
      <c r="R174" s="21"/>
      <c r="S174" s="21">
        <v>0</v>
      </c>
      <c r="T174" s="517">
        <v>0</v>
      </c>
      <c r="U174" s="517">
        <v>0</v>
      </c>
      <c r="V174" s="517">
        <v>0</v>
      </c>
      <c r="W174" s="517">
        <v>0</v>
      </c>
      <c r="X174" s="517">
        <v>0</v>
      </c>
      <c r="Y174" s="517">
        <v>0</v>
      </c>
      <c r="Z174" s="517">
        <v>0</v>
      </c>
      <c r="AA174" s="517">
        <f>-IFERROR(VLOOKUP(C174,'전사시산표(3단계)_1013'!$C:$L,10,0),0)</f>
        <v>0</v>
      </c>
      <c r="AB174" s="517"/>
      <c r="AC174" s="517"/>
      <c r="AD174" s="517">
        <f t="shared" si="30"/>
        <v>0</v>
      </c>
      <c r="AE174" s="21">
        <f t="shared" si="23"/>
        <v>0</v>
      </c>
      <c r="AF174" s="38" t="str">
        <f t="shared" si="22"/>
        <v/>
      </c>
      <c r="AG174" s="630" t="b">
        <f t="shared" si="24"/>
        <v>1</v>
      </c>
    </row>
    <row r="175" spans="1:33">
      <c r="B175" s="55" t="s">
        <v>276</v>
      </c>
      <c r="C175" s="56">
        <v>40600</v>
      </c>
      <c r="D175" s="56"/>
      <c r="E175" s="57" t="s">
        <v>160</v>
      </c>
      <c r="F175" s="57"/>
      <c r="G175" s="59">
        <f>SUM(G176:G180)</f>
        <v>19607026336</v>
      </c>
      <c r="H175" s="59">
        <f>SUM(H176:H180)</f>
        <v>27077649469</v>
      </c>
      <c r="I175" s="59">
        <v>32370562615</v>
      </c>
      <c r="J175" s="59">
        <v>22430783280</v>
      </c>
      <c r="K175" s="59">
        <v>18907069323</v>
      </c>
      <c r="L175" s="59">
        <v>28682090074</v>
      </c>
      <c r="M175" s="59">
        <v>29402938914</v>
      </c>
      <c r="N175" s="59">
        <v>32063869101</v>
      </c>
      <c r="O175" s="59">
        <v>33701923938</v>
      </c>
      <c r="P175" s="59">
        <v>37846792381</v>
      </c>
      <c r="Q175" s="59">
        <v>0</v>
      </c>
      <c r="R175" s="59">
        <v>0</v>
      </c>
      <c r="S175" s="61">
        <v>37846792381</v>
      </c>
      <c r="T175" s="61">
        <v>36425269977</v>
      </c>
      <c r="U175" s="59">
        <v>35187037639</v>
      </c>
      <c r="V175" s="59">
        <v>35483852641</v>
      </c>
      <c r="W175" s="59">
        <v>37357503478</v>
      </c>
      <c r="X175" s="59">
        <v>32165358786</v>
      </c>
      <c r="Y175" s="59">
        <v>31578784924</v>
      </c>
      <c r="Z175" s="59">
        <v>44805117047</v>
      </c>
      <c r="AA175" s="59">
        <f>SUM(AA176:AA180)</f>
        <v>33765791394</v>
      </c>
      <c r="AB175" s="59">
        <f>SUM(AB176:AB180)</f>
        <v>0</v>
      </c>
      <c r="AC175" s="59">
        <f>SUM(AC176:AC180)</f>
        <v>0</v>
      </c>
      <c r="AD175" s="61">
        <f t="shared" si="30"/>
        <v>33765791394</v>
      </c>
      <c r="AE175" s="61">
        <f t="shared" si="23"/>
        <v>1600432608</v>
      </c>
      <c r="AF175" s="62">
        <f t="shared" si="22"/>
        <v>4.9756404666519365E-2</v>
      </c>
      <c r="AG175" s="630" t="b">
        <f t="shared" si="24"/>
        <v>1</v>
      </c>
    </row>
    <row r="176" spans="1:33" s="11" customFormat="1">
      <c r="A176" s="24"/>
      <c r="B176" s="1" t="s">
        <v>285</v>
      </c>
      <c r="C176" s="2">
        <v>406100</v>
      </c>
      <c r="D176" s="2" t="s">
        <v>633</v>
      </c>
      <c r="E176" s="3" t="s">
        <v>160</v>
      </c>
      <c r="F176" s="3" t="s">
        <v>160</v>
      </c>
      <c r="G176" s="30">
        <v>15269910856</v>
      </c>
      <c r="H176" s="21">
        <v>21360607959</v>
      </c>
      <c r="I176" s="21">
        <v>19272283025</v>
      </c>
      <c r="J176" s="21">
        <v>13164942652</v>
      </c>
      <c r="K176" s="21">
        <v>10386339593</v>
      </c>
      <c r="L176" s="21">
        <v>19050569447</v>
      </c>
      <c r="M176" s="21">
        <v>19212780634</v>
      </c>
      <c r="N176" s="21">
        <v>25519427312</v>
      </c>
      <c r="O176" s="21">
        <v>24814773148</v>
      </c>
      <c r="P176" s="21">
        <v>26073738983</v>
      </c>
      <c r="Q176" s="21"/>
      <c r="R176" s="21"/>
      <c r="S176" s="21">
        <v>26073738983</v>
      </c>
      <c r="T176" s="517">
        <v>22144190057</v>
      </c>
      <c r="U176" s="517">
        <v>27035694446</v>
      </c>
      <c r="V176" s="517">
        <v>23719857226</v>
      </c>
      <c r="W176" s="517">
        <v>22355984261</v>
      </c>
      <c r="X176" s="517">
        <v>16437830726</v>
      </c>
      <c r="Y176" s="517">
        <v>22299446182</v>
      </c>
      <c r="Z176" s="517">
        <v>31809128647</v>
      </c>
      <c r="AA176" s="517">
        <f>-IFERROR(VLOOKUP(C176,'전사시산표(3단계)_1013'!$C:$L,10,0),0)</f>
        <v>17601418874</v>
      </c>
      <c r="AB176" s="517"/>
      <c r="AC176" s="517"/>
      <c r="AD176" s="517">
        <f t="shared" si="30"/>
        <v>17601418874</v>
      </c>
      <c r="AE176" s="21">
        <f t="shared" si="23"/>
        <v>1163588148</v>
      </c>
      <c r="AF176" s="38">
        <f t="shared" si="22"/>
        <v>7.078720832424272E-2</v>
      </c>
      <c r="AG176" s="630" t="b">
        <f t="shared" si="24"/>
        <v>1</v>
      </c>
    </row>
    <row r="177" spans="1:36">
      <c r="B177" s="1" t="s">
        <v>285</v>
      </c>
      <c r="C177" s="2">
        <v>406110</v>
      </c>
      <c r="D177" s="2" t="s">
        <v>632</v>
      </c>
      <c r="E177" s="3" t="s">
        <v>159</v>
      </c>
      <c r="F177" s="3" t="s">
        <v>160</v>
      </c>
      <c r="G177" s="30">
        <v>4337115480</v>
      </c>
      <c r="H177" s="21">
        <v>4643842070</v>
      </c>
      <c r="I177" s="21">
        <v>3752008330</v>
      </c>
      <c r="J177" s="21">
        <v>4165540578</v>
      </c>
      <c r="K177" s="21">
        <v>4720429680</v>
      </c>
      <c r="L177" s="21">
        <v>4881220577</v>
      </c>
      <c r="M177" s="21">
        <v>3939858230</v>
      </c>
      <c r="N177" s="21">
        <v>4594441789</v>
      </c>
      <c r="O177" s="21">
        <v>5137150790</v>
      </c>
      <c r="P177" s="21">
        <v>5723053398</v>
      </c>
      <c r="Q177" s="21"/>
      <c r="R177" s="21"/>
      <c r="S177" s="21">
        <v>5723053398</v>
      </c>
      <c r="T177" s="517">
        <v>4173079920</v>
      </c>
      <c r="U177" s="517">
        <v>4801343193</v>
      </c>
      <c r="V177" s="517">
        <v>5891995415</v>
      </c>
      <c r="W177" s="517">
        <v>6512519217</v>
      </c>
      <c r="X177" s="517">
        <v>4671528060</v>
      </c>
      <c r="Y177" s="517">
        <v>5586338742</v>
      </c>
      <c r="Z177" s="517">
        <v>6467988400</v>
      </c>
      <c r="AA177" s="517">
        <f>-IFERROR(VLOOKUP(C177,'전사시산표(3단계)_1013'!$C:$L,10,0),0)</f>
        <v>6801372520</v>
      </c>
      <c r="AB177" s="517"/>
      <c r="AC177" s="517"/>
      <c r="AD177" s="517">
        <f t="shared" si="30"/>
        <v>6801372520</v>
      </c>
      <c r="AE177" s="21">
        <f t="shared" si="23"/>
        <v>2129844460</v>
      </c>
      <c r="AF177" s="38">
        <f t="shared" si="22"/>
        <v>0.4559202968803317</v>
      </c>
      <c r="AG177" s="630" t="b">
        <f t="shared" si="24"/>
        <v>1</v>
      </c>
    </row>
    <row r="178" spans="1:36">
      <c r="B178" s="1" t="s">
        <v>285</v>
      </c>
      <c r="C178" s="2">
        <v>406120</v>
      </c>
      <c r="D178" s="2" t="s">
        <v>632</v>
      </c>
      <c r="E178" s="3" t="s">
        <v>158</v>
      </c>
      <c r="F178" s="3" t="s">
        <v>160</v>
      </c>
      <c r="G178" s="30">
        <v>0</v>
      </c>
      <c r="H178" s="21">
        <v>1073199440</v>
      </c>
      <c r="I178" s="21">
        <v>9346271260</v>
      </c>
      <c r="J178" s="21">
        <v>5100300050</v>
      </c>
      <c r="K178" s="21">
        <v>3800300050</v>
      </c>
      <c r="L178" s="21">
        <v>4750300050</v>
      </c>
      <c r="M178" s="21">
        <v>6250300050</v>
      </c>
      <c r="N178" s="21">
        <v>1950000000</v>
      </c>
      <c r="O178" s="21">
        <v>3750000000</v>
      </c>
      <c r="P178" s="21">
        <v>6050000000</v>
      </c>
      <c r="Q178" s="21"/>
      <c r="R178" s="21"/>
      <c r="S178" s="21">
        <v>6050000000</v>
      </c>
      <c r="T178" s="517">
        <v>10108000000</v>
      </c>
      <c r="U178" s="517">
        <v>3350000000</v>
      </c>
      <c r="V178" s="517">
        <v>5872000000</v>
      </c>
      <c r="W178" s="517">
        <v>8489000000</v>
      </c>
      <c r="X178" s="517">
        <v>11056000000</v>
      </c>
      <c r="Y178" s="517">
        <v>3693000000</v>
      </c>
      <c r="Z178" s="517">
        <v>6528000000</v>
      </c>
      <c r="AA178" s="517">
        <f>-IFERROR(VLOOKUP(C178,'전사시산표(3단계)_1013'!$C:$L,10,0),0)</f>
        <v>9363000000</v>
      </c>
      <c r="AB178" s="517"/>
      <c r="AC178" s="517"/>
      <c r="AD178" s="517">
        <f t="shared" si="30"/>
        <v>9363000000</v>
      </c>
      <c r="AE178" s="21">
        <f t="shared" si="23"/>
        <v>-1693000000</v>
      </c>
      <c r="AF178" s="38">
        <f t="shared" si="22"/>
        <v>-0.15312952243125905</v>
      </c>
      <c r="AG178" s="630" t="b">
        <f t="shared" si="24"/>
        <v>1</v>
      </c>
    </row>
    <row r="179" spans="1:36">
      <c r="B179" s="1" t="s">
        <v>285</v>
      </c>
      <c r="C179" s="2">
        <v>406150</v>
      </c>
      <c r="D179" s="2"/>
      <c r="E179" s="3" t="s">
        <v>308</v>
      </c>
      <c r="F179" s="3" t="s">
        <v>160</v>
      </c>
      <c r="G179" s="30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/>
      <c r="R179" s="21"/>
      <c r="S179" s="21">
        <v>0</v>
      </c>
      <c r="T179" s="517">
        <v>0</v>
      </c>
      <c r="U179" s="517">
        <v>0</v>
      </c>
      <c r="V179" s="517">
        <v>0</v>
      </c>
      <c r="W179" s="517">
        <v>0</v>
      </c>
      <c r="X179" s="517">
        <v>0</v>
      </c>
      <c r="Y179" s="517">
        <v>0</v>
      </c>
      <c r="Z179" s="517">
        <v>0</v>
      </c>
      <c r="AA179" s="517">
        <f>-IFERROR(VLOOKUP(C179,'전사시산표(3단계)_1013'!$C:$L,10,0),0)</f>
        <v>0</v>
      </c>
      <c r="AB179" s="517"/>
      <c r="AC179" s="517"/>
      <c r="AD179" s="517">
        <f t="shared" si="30"/>
        <v>0</v>
      </c>
      <c r="AE179" s="21">
        <f t="shared" si="23"/>
        <v>0</v>
      </c>
      <c r="AF179" s="38" t="str">
        <f t="shared" si="22"/>
        <v/>
      </c>
      <c r="AG179" s="630" t="b">
        <f t="shared" si="24"/>
        <v>1</v>
      </c>
    </row>
    <row r="180" spans="1:36">
      <c r="B180" s="1" t="s">
        <v>285</v>
      </c>
      <c r="C180" s="5">
        <v>407100</v>
      </c>
      <c r="D180" s="5"/>
      <c r="E180" s="6" t="s">
        <v>309</v>
      </c>
      <c r="F180" s="6" t="s">
        <v>160</v>
      </c>
      <c r="G180" s="31">
        <v>0</v>
      </c>
      <c r="H180" s="22">
        <v>0</v>
      </c>
      <c r="I180" s="21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/>
      <c r="R180" s="22"/>
      <c r="S180" s="21">
        <v>0</v>
      </c>
      <c r="T180" s="517">
        <v>0</v>
      </c>
      <c r="U180" s="519">
        <v>0</v>
      </c>
      <c r="V180" s="519">
        <v>0</v>
      </c>
      <c r="W180" s="519">
        <v>0</v>
      </c>
      <c r="X180" s="519">
        <v>0</v>
      </c>
      <c r="Y180" s="519">
        <v>0</v>
      </c>
      <c r="Z180" s="519">
        <v>0</v>
      </c>
      <c r="AA180" s="519">
        <f>-IFERROR(VLOOKUP(C180,'전사시산표(3단계)_1013'!$C:$L,10,0),0)</f>
        <v>0</v>
      </c>
      <c r="AB180" s="519"/>
      <c r="AC180" s="519"/>
      <c r="AD180" s="517">
        <f t="shared" si="30"/>
        <v>0</v>
      </c>
      <c r="AE180" s="21">
        <f t="shared" si="23"/>
        <v>0</v>
      </c>
      <c r="AF180" s="38" t="str">
        <f t="shared" si="22"/>
        <v/>
      </c>
      <c r="AG180" s="630" t="b">
        <f t="shared" si="24"/>
        <v>1</v>
      </c>
    </row>
    <row r="181" spans="1:36">
      <c r="B181" s="55" t="s">
        <v>276</v>
      </c>
      <c r="C181" s="56">
        <v>41100</v>
      </c>
      <c r="D181" s="56"/>
      <c r="E181" s="57" t="s">
        <v>157</v>
      </c>
      <c r="F181" s="57"/>
      <c r="G181" s="59">
        <f>SUM(G182:G212)</f>
        <v>317162210291</v>
      </c>
      <c r="H181" s="59">
        <f>SUM(H182:H212)</f>
        <v>301835811167</v>
      </c>
      <c r="I181" s="59">
        <v>324453188486</v>
      </c>
      <c r="J181" s="59">
        <v>308096892751</v>
      </c>
      <c r="K181" s="59">
        <v>282835904584</v>
      </c>
      <c r="L181" s="59">
        <v>304963917861</v>
      </c>
      <c r="M181" s="59">
        <f>SUM(M182:M216)</f>
        <v>308487123195</v>
      </c>
      <c r="N181" s="59">
        <v>373456107576</v>
      </c>
      <c r="O181" s="59">
        <v>336075880557</v>
      </c>
      <c r="P181" s="59">
        <v>324820197157</v>
      </c>
      <c r="Q181" s="59">
        <v>0</v>
      </c>
      <c r="R181" s="59">
        <v>0</v>
      </c>
      <c r="S181" s="61">
        <v>324820197157</v>
      </c>
      <c r="T181" s="61">
        <v>358746380300</v>
      </c>
      <c r="U181" s="59">
        <v>409954807929</v>
      </c>
      <c r="V181" s="59">
        <v>350388996258</v>
      </c>
      <c r="W181" s="59">
        <v>382857692881</v>
      </c>
      <c r="X181" s="59">
        <v>393967987573</v>
      </c>
      <c r="Y181" s="59">
        <v>353466576496</v>
      </c>
      <c r="Z181" s="59">
        <v>346913563867</v>
      </c>
      <c r="AA181" s="59">
        <f>SUM(AA182:AA216)</f>
        <v>398917214066</v>
      </c>
      <c r="AB181" s="59">
        <f>SUM(AB182:AB212)</f>
        <v>0</v>
      </c>
      <c r="AC181" s="59">
        <f>SUM(AC182:AC212)</f>
        <v>0</v>
      </c>
      <c r="AD181" s="61">
        <f>AA181-AB181+AC181</f>
        <v>398917214066</v>
      </c>
      <c r="AE181" s="61">
        <f t="shared" si="23"/>
        <v>4949226493</v>
      </c>
      <c r="AF181" s="62">
        <f t="shared" si="22"/>
        <v>1.256250926246371E-2</v>
      </c>
      <c r="AG181" t="b">
        <f>AD181=AA181</f>
        <v>1</v>
      </c>
    </row>
    <row r="182" spans="1:36">
      <c r="B182" s="1" t="s">
        <v>285</v>
      </c>
      <c r="C182" s="2">
        <v>411100</v>
      </c>
      <c r="D182" s="2" t="s">
        <v>628</v>
      </c>
      <c r="E182" s="3" t="s">
        <v>156</v>
      </c>
      <c r="F182" s="3" t="s">
        <v>157</v>
      </c>
      <c r="G182" s="30">
        <v>0</v>
      </c>
      <c r="H182" s="21">
        <v>240000</v>
      </c>
      <c r="I182" s="21">
        <v>48000</v>
      </c>
      <c r="J182" s="21">
        <v>64000</v>
      </c>
      <c r="K182" s="21">
        <v>272000</v>
      </c>
      <c r="L182" s="21">
        <v>76000</v>
      </c>
      <c r="M182" s="21">
        <v>384000</v>
      </c>
      <c r="N182" s="21">
        <v>-2650170</v>
      </c>
      <c r="O182" s="21">
        <v>0</v>
      </c>
      <c r="P182" s="21">
        <v>96000</v>
      </c>
      <c r="Q182" s="21"/>
      <c r="R182" s="21"/>
      <c r="S182" s="21">
        <v>96000</v>
      </c>
      <c r="T182" s="517">
        <v>240000</v>
      </c>
      <c r="U182" s="517">
        <v>120000</v>
      </c>
      <c r="V182" s="517">
        <v>0</v>
      </c>
      <c r="W182" s="517">
        <v>0</v>
      </c>
      <c r="X182" s="517">
        <v>120000</v>
      </c>
      <c r="Y182" s="517">
        <v>120000</v>
      </c>
      <c r="Z182" s="517">
        <v>0</v>
      </c>
      <c r="AA182" s="517">
        <f>-IFERROR(VLOOKUP(C182,'전사시산표(3단계)_1013'!$C:$L,10,0),0)</f>
        <v>0</v>
      </c>
      <c r="AB182" s="517"/>
      <c r="AC182" s="517"/>
      <c r="AD182" s="517">
        <f t="shared" ref="AD182:AD216" si="31">AA182+AB182-AC182</f>
        <v>0</v>
      </c>
      <c r="AE182" s="21">
        <f t="shared" si="23"/>
        <v>-120000</v>
      </c>
      <c r="AF182" s="38">
        <f t="shared" si="22"/>
        <v>-1</v>
      </c>
      <c r="AG182" s="630" t="b">
        <f t="shared" ref="AG182:AG250" si="32">AD182=AA182</f>
        <v>1</v>
      </c>
    </row>
    <row r="183" spans="1:36">
      <c r="B183" s="1" t="s">
        <v>285</v>
      </c>
      <c r="C183" s="2">
        <v>411110</v>
      </c>
      <c r="D183" s="2" t="s">
        <v>628</v>
      </c>
      <c r="E183" s="3" t="s">
        <v>155</v>
      </c>
      <c r="F183" s="3" t="s">
        <v>157</v>
      </c>
      <c r="G183" s="30">
        <v>0</v>
      </c>
      <c r="H183" s="21">
        <v>0</v>
      </c>
      <c r="I183" s="21">
        <v>46500</v>
      </c>
      <c r="J183" s="21">
        <v>120000</v>
      </c>
      <c r="K183" s="21">
        <v>13500</v>
      </c>
      <c r="L183" s="21">
        <v>4500</v>
      </c>
      <c r="M183" s="21">
        <v>3000</v>
      </c>
      <c r="N183" s="21">
        <v>34500</v>
      </c>
      <c r="O183" s="21">
        <v>0</v>
      </c>
      <c r="P183" s="21">
        <v>10500</v>
      </c>
      <c r="Q183" s="21"/>
      <c r="R183" s="21"/>
      <c r="S183" s="21">
        <v>10500</v>
      </c>
      <c r="T183" s="517">
        <v>412950</v>
      </c>
      <c r="U183" s="517">
        <v>529500</v>
      </c>
      <c r="V183" s="517">
        <v>328500</v>
      </c>
      <c r="W183" s="517">
        <v>120000</v>
      </c>
      <c r="X183" s="517">
        <v>171000</v>
      </c>
      <c r="Y183" s="517">
        <v>199500</v>
      </c>
      <c r="Z183" s="517">
        <v>22500</v>
      </c>
      <c r="AA183" s="517">
        <f>-IFERROR(VLOOKUP(C183,'전사시산표(3단계)_1013'!$C:$L,10,0),0)</f>
        <v>0</v>
      </c>
      <c r="AB183" s="517"/>
      <c r="AC183" s="517"/>
      <c r="AD183" s="517">
        <f t="shared" si="31"/>
        <v>0</v>
      </c>
      <c r="AE183" s="21">
        <f t="shared" si="23"/>
        <v>-171000</v>
      </c>
      <c r="AF183" s="38">
        <f t="shared" si="22"/>
        <v>-1</v>
      </c>
      <c r="AG183" s="630" t="b">
        <f t="shared" si="32"/>
        <v>1</v>
      </c>
    </row>
    <row r="184" spans="1:36" s="11" customFormat="1">
      <c r="A184" s="24"/>
      <c r="B184" s="1" t="s">
        <v>285</v>
      </c>
      <c r="C184" s="2">
        <v>411120</v>
      </c>
      <c r="D184" s="2">
        <v>4062</v>
      </c>
      <c r="E184" s="3" t="s">
        <v>1345</v>
      </c>
      <c r="F184" s="3" t="s">
        <v>1346</v>
      </c>
      <c r="G184" s="3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v>0</v>
      </c>
      <c r="U184" s="21">
        <v>0</v>
      </c>
      <c r="V184" s="21">
        <v>0</v>
      </c>
      <c r="W184" s="21">
        <v>344480</v>
      </c>
      <c r="X184" s="21">
        <v>0</v>
      </c>
      <c r="Y184" s="21">
        <v>0</v>
      </c>
      <c r="Z184" s="21">
        <v>0</v>
      </c>
      <c r="AA184" s="21">
        <f>-IFERROR(VLOOKUP(C184,'전사시산표(3단계)_1013'!$C:$L,10,0),0)</f>
        <v>0</v>
      </c>
      <c r="AB184" s="21"/>
      <c r="AC184" s="21"/>
      <c r="AD184" s="21">
        <f t="shared" ref="AD184" si="33">AA184+AB184-AC184</f>
        <v>0</v>
      </c>
      <c r="AE184" s="21">
        <f t="shared" si="23"/>
        <v>0</v>
      </c>
      <c r="AF184" s="38" t="str">
        <f t="shared" si="22"/>
        <v/>
      </c>
      <c r="AG184" s="630" t="b">
        <f t="shared" si="32"/>
        <v>1</v>
      </c>
    </row>
    <row r="185" spans="1:36" s="11" customFormat="1">
      <c r="A185" s="24"/>
      <c r="B185" s="1" t="s">
        <v>285</v>
      </c>
      <c r="C185" s="2">
        <v>411130</v>
      </c>
      <c r="D185" s="2" t="s">
        <v>628</v>
      </c>
      <c r="E185" s="3" t="s">
        <v>153</v>
      </c>
      <c r="F185" s="3" t="s">
        <v>157</v>
      </c>
      <c r="G185" s="30">
        <v>0</v>
      </c>
      <c r="H185" s="21">
        <v>527880890</v>
      </c>
      <c r="I185" s="21">
        <v>685773690</v>
      </c>
      <c r="J185" s="21">
        <v>518440070</v>
      </c>
      <c r="K185" s="21">
        <v>551917750</v>
      </c>
      <c r="L185" s="21">
        <v>569441740</v>
      </c>
      <c r="M185" s="21">
        <v>712652540</v>
      </c>
      <c r="N185" s="21">
        <v>742719540</v>
      </c>
      <c r="O185" s="21">
        <v>0</v>
      </c>
      <c r="P185" s="21">
        <v>668211210</v>
      </c>
      <c r="Q185" s="21"/>
      <c r="R185" s="21"/>
      <c r="S185" s="21">
        <v>668211210</v>
      </c>
      <c r="T185" s="21">
        <v>865992790</v>
      </c>
      <c r="U185" s="21">
        <v>627828290</v>
      </c>
      <c r="V185" s="21">
        <v>759848490</v>
      </c>
      <c r="W185" s="21">
        <v>790603550</v>
      </c>
      <c r="X185" s="21">
        <v>998545010</v>
      </c>
      <c r="Y185" s="21">
        <v>129553960</v>
      </c>
      <c r="Z185" s="21">
        <v>812225620</v>
      </c>
      <c r="AA185" s="21">
        <f>-IFERROR(VLOOKUP(C185,'전사시산표(3단계)_1013'!$C:$L,10,0),0)</f>
        <v>839041530</v>
      </c>
      <c r="AB185" s="21"/>
      <c r="AC185" s="21"/>
      <c r="AD185" s="21">
        <f t="shared" si="31"/>
        <v>839041530</v>
      </c>
      <c r="AE185" s="21">
        <f t="shared" si="23"/>
        <v>-159503480</v>
      </c>
      <c r="AF185" s="38">
        <f t="shared" si="22"/>
        <v>-0.15973589412859818</v>
      </c>
      <c r="AG185" s="630" t="b">
        <f t="shared" si="32"/>
        <v>1</v>
      </c>
    </row>
    <row r="186" spans="1:36" s="11" customFormat="1">
      <c r="A186" s="24"/>
      <c r="B186" s="1" t="s">
        <v>285</v>
      </c>
      <c r="C186" s="2">
        <v>411150</v>
      </c>
      <c r="D186" s="2" t="s">
        <v>628</v>
      </c>
      <c r="E186" s="3" t="s">
        <v>310</v>
      </c>
      <c r="F186" s="3" t="s">
        <v>157</v>
      </c>
      <c r="G186" s="30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1"/>
      <c r="R186" s="21"/>
      <c r="S186" s="21">
        <v>0</v>
      </c>
      <c r="T186" s="21">
        <v>0</v>
      </c>
      <c r="U186" s="21">
        <v>0</v>
      </c>
      <c r="V186" s="21">
        <v>0</v>
      </c>
      <c r="W186" s="21">
        <v>0</v>
      </c>
      <c r="X186" s="21">
        <v>0</v>
      </c>
      <c r="Y186" s="21">
        <v>0</v>
      </c>
      <c r="Z186" s="21">
        <v>0</v>
      </c>
      <c r="AA186" s="21">
        <f>-IFERROR(VLOOKUP(C186,'전사시산표(3단계)_1013'!$C:$L,10,0),0)</f>
        <v>0</v>
      </c>
      <c r="AB186" s="21"/>
      <c r="AC186" s="21"/>
      <c r="AD186" s="21">
        <f t="shared" si="31"/>
        <v>0</v>
      </c>
      <c r="AE186" s="21">
        <f t="shared" si="23"/>
        <v>0</v>
      </c>
      <c r="AF186" s="38" t="str">
        <f t="shared" si="22"/>
        <v/>
      </c>
      <c r="AG186" s="630" t="b">
        <f t="shared" si="32"/>
        <v>1</v>
      </c>
    </row>
    <row r="187" spans="1:36" s="11" customFormat="1">
      <c r="A187" s="24"/>
      <c r="B187" s="1" t="s">
        <v>285</v>
      </c>
      <c r="C187" s="2">
        <v>411170</v>
      </c>
      <c r="D187" s="2" t="s">
        <v>628</v>
      </c>
      <c r="E187" s="3" t="s">
        <v>311</v>
      </c>
      <c r="F187" s="3" t="s">
        <v>157</v>
      </c>
      <c r="G187" s="30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1"/>
      <c r="R187" s="21"/>
      <c r="S187" s="21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0</v>
      </c>
      <c r="Y187" s="21">
        <v>0</v>
      </c>
      <c r="Z187" s="21">
        <v>0</v>
      </c>
      <c r="AA187" s="21">
        <f>-IFERROR(VLOOKUP(C187,'전사시산표(3단계)_1013'!$C:$L,10,0),0)</f>
        <v>0</v>
      </c>
      <c r="AB187" s="21"/>
      <c r="AC187" s="21"/>
      <c r="AD187" s="21">
        <f t="shared" si="31"/>
        <v>0</v>
      </c>
      <c r="AE187" s="21">
        <f t="shared" si="23"/>
        <v>0</v>
      </c>
      <c r="AF187" s="38" t="str">
        <f t="shared" si="22"/>
        <v/>
      </c>
      <c r="AG187" s="630" t="b">
        <f t="shared" si="32"/>
        <v>1</v>
      </c>
    </row>
    <row r="188" spans="1:36" s="11" customFormat="1">
      <c r="A188" s="24"/>
      <c r="B188" s="1" t="s">
        <v>285</v>
      </c>
      <c r="C188" s="2">
        <v>411180</v>
      </c>
      <c r="D188" s="2" t="s">
        <v>628</v>
      </c>
      <c r="E188" s="3" t="s">
        <v>312</v>
      </c>
      <c r="F188" s="3" t="s">
        <v>157</v>
      </c>
      <c r="G188" s="30">
        <v>0</v>
      </c>
      <c r="H188" s="21">
        <v>0</v>
      </c>
      <c r="I188" s="21">
        <v>14088580</v>
      </c>
      <c r="J188" s="21">
        <v>0</v>
      </c>
      <c r="K188" s="21">
        <v>158080</v>
      </c>
      <c r="L188" s="21">
        <v>6315480</v>
      </c>
      <c r="M188" s="21">
        <v>5301930</v>
      </c>
      <c r="N188" s="21">
        <v>0</v>
      </c>
      <c r="O188" s="21">
        <v>1964000</v>
      </c>
      <c r="P188" s="21">
        <v>4166630</v>
      </c>
      <c r="Q188" s="21"/>
      <c r="R188" s="21"/>
      <c r="S188" s="21">
        <v>4166630</v>
      </c>
      <c r="T188" s="21">
        <v>14810630</v>
      </c>
      <c r="U188" s="21">
        <v>4147160</v>
      </c>
      <c r="V188" s="21">
        <v>1775120</v>
      </c>
      <c r="W188" s="21">
        <v>3611080</v>
      </c>
      <c r="X188" s="21">
        <v>3586490</v>
      </c>
      <c r="Y188" s="21">
        <v>779940</v>
      </c>
      <c r="Z188" s="21">
        <v>1263220</v>
      </c>
      <c r="AA188" s="21">
        <f>-IFERROR(VLOOKUP(C188,'전사시산표(3단계)_1013'!$C:$L,10,0),0)</f>
        <v>9133040</v>
      </c>
      <c r="AB188" s="21"/>
      <c r="AC188" s="21"/>
      <c r="AD188" s="21">
        <f t="shared" si="31"/>
        <v>9133040</v>
      </c>
      <c r="AE188" s="21">
        <f t="shared" si="23"/>
        <v>5546550</v>
      </c>
      <c r="AF188" s="38">
        <f t="shared" si="22"/>
        <v>1.5465120493853322</v>
      </c>
      <c r="AG188" s="630" t="b">
        <f t="shared" si="32"/>
        <v>1</v>
      </c>
    </row>
    <row r="189" spans="1:36" s="11" customFormat="1">
      <c r="A189" s="24"/>
      <c r="B189" s="1" t="s">
        <v>285</v>
      </c>
      <c r="C189" s="2">
        <v>411190</v>
      </c>
      <c r="D189" s="2" t="s">
        <v>628</v>
      </c>
      <c r="E189" s="3" t="s">
        <v>313</v>
      </c>
      <c r="F189" s="3" t="s">
        <v>157</v>
      </c>
      <c r="G189" s="30">
        <v>0</v>
      </c>
      <c r="H189" s="21">
        <v>0</v>
      </c>
      <c r="I189" s="21">
        <v>0</v>
      </c>
      <c r="J189" s="21">
        <v>0</v>
      </c>
      <c r="K189" s="21">
        <v>3100</v>
      </c>
      <c r="L189" s="21">
        <v>0</v>
      </c>
      <c r="M189" s="21">
        <v>198430</v>
      </c>
      <c r="N189" s="21">
        <v>93010</v>
      </c>
      <c r="O189" s="21">
        <v>0</v>
      </c>
      <c r="P189" s="21">
        <v>379920</v>
      </c>
      <c r="Q189" s="21"/>
      <c r="R189" s="21"/>
      <c r="S189" s="21">
        <v>379920</v>
      </c>
      <c r="T189" s="21">
        <v>176780</v>
      </c>
      <c r="U189" s="21">
        <v>217080</v>
      </c>
      <c r="V189" s="21">
        <v>156620</v>
      </c>
      <c r="W189" s="21">
        <v>214000</v>
      </c>
      <c r="X189" s="21">
        <v>367500</v>
      </c>
      <c r="Y189" s="21">
        <v>148890</v>
      </c>
      <c r="Z189" s="21">
        <v>189190</v>
      </c>
      <c r="AA189" s="21">
        <f>-IFERROR(VLOOKUP(C189,'전사시산표(3단계)_1013'!$C:$L,10,0),0)</f>
        <v>214000</v>
      </c>
      <c r="AB189" s="21"/>
      <c r="AC189" s="21"/>
      <c r="AD189" s="21">
        <f t="shared" si="31"/>
        <v>214000</v>
      </c>
      <c r="AE189" s="21">
        <f t="shared" si="23"/>
        <v>-153500</v>
      </c>
      <c r="AF189" s="38">
        <f t="shared" si="22"/>
        <v>-0.41768707482993195</v>
      </c>
      <c r="AG189" s="630" t="b">
        <f t="shared" si="32"/>
        <v>1</v>
      </c>
    </row>
    <row r="190" spans="1:36" s="11" customFormat="1">
      <c r="A190" s="24"/>
      <c r="B190" s="1" t="s">
        <v>285</v>
      </c>
      <c r="C190" s="2">
        <v>411200</v>
      </c>
      <c r="D190" s="2" t="s">
        <v>629</v>
      </c>
      <c r="E190" s="3" t="s">
        <v>152</v>
      </c>
      <c r="F190" s="3" t="s">
        <v>157</v>
      </c>
      <c r="G190" s="30">
        <v>0</v>
      </c>
      <c r="H190" s="21">
        <v>52807810</v>
      </c>
      <c r="I190" s="21">
        <v>69991810</v>
      </c>
      <c r="J190" s="21">
        <v>51858210</v>
      </c>
      <c r="K190" s="21">
        <v>55232220</v>
      </c>
      <c r="L190" s="21">
        <v>57579310</v>
      </c>
      <c r="M190" s="21">
        <v>71849350</v>
      </c>
      <c r="N190" s="21">
        <v>74286030</v>
      </c>
      <c r="O190" s="21">
        <v>58707500</v>
      </c>
      <c r="P190" s="21">
        <v>67281930</v>
      </c>
      <c r="Q190" s="21"/>
      <c r="R190" s="21"/>
      <c r="S190" s="21">
        <v>67281930</v>
      </c>
      <c r="T190" s="21">
        <v>88158420</v>
      </c>
      <c r="U190" s="21">
        <v>63238210</v>
      </c>
      <c r="V190" s="21">
        <v>76206250</v>
      </c>
      <c r="W190" s="21">
        <v>79484100</v>
      </c>
      <c r="X190" s="21">
        <v>100274280</v>
      </c>
      <c r="Y190" s="21">
        <v>13173160</v>
      </c>
      <c r="Z190" s="21">
        <v>81343650</v>
      </c>
      <c r="AA190" s="21">
        <f>-IFERROR(VLOOKUP(C190,'전사시산표(3단계)_1013'!$C:$L,10,0),0)</f>
        <v>84833660</v>
      </c>
      <c r="AB190" s="21"/>
      <c r="AC190" s="21"/>
      <c r="AD190" s="21">
        <f t="shared" si="31"/>
        <v>84833660</v>
      </c>
      <c r="AE190" s="21">
        <f t="shared" si="23"/>
        <v>-15440620</v>
      </c>
      <c r="AF190" s="38">
        <f t="shared" si="22"/>
        <v>-0.15398385308775092</v>
      </c>
      <c r="AG190" s="630" t="b">
        <f t="shared" si="32"/>
        <v>1</v>
      </c>
      <c r="AH190" s="248"/>
    </row>
    <row r="191" spans="1:36" s="11" customFormat="1">
      <c r="A191" s="24"/>
      <c r="B191" s="1" t="s">
        <v>285</v>
      </c>
      <c r="C191" s="2">
        <v>411300</v>
      </c>
      <c r="D191" s="2" t="s">
        <v>629</v>
      </c>
      <c r="E191" s="3" t="s">
        <v>314</v>
      </c>
      <c r="F191" s="3" t="s">
        <v>157</v>
      </c>
      <c r="G191" s="30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/>
      <c r="R191" s="21"/>
      <c r="S191" s="21">
        <v>0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0</v>
      </c>
      <c r="Z191" s="21">
        <v>0</v>
      </c>
      <c r="AA191" s="21">
        <f>-IFERROR(VLOOKUP(C191,'전사시산표(3단계)_1013'!$C:$L,10,0),0)</f>
        <v>0</v>
      </c>
      <c r="AB191" s="21"/>
      <c r="AC191" s="21"/>
      <c r="AD191" s="21">
        <f t="shared" si="31"/>
        <v>0</v>
      </c>
      <c r="AE191" s="21">
        <f t="shared" si="23"/>
        <v>0</v>
      </c>
      <c r="AF191" s="38" t="str">
        <f t="shared" si="22"/>
        <v/>
      </c>
      <c r="AG191" s="630" t="b">
        <f t="shared" si="32"/>
        <v>1</v>
      </c>
      <c r="AH191" s="615"/>
      <c r="AJ191" s="616"/>
    </row>
    <row r="192" spans="1:36" s="11" customFormat="1">
      <c r="A192" s="24"/>
      <c r="B192" s="1" t="s">
        <v>285</v>
      </c>
      <c r="C192" s="2">
        <v>420201</v>
      </c>
      <c r="D192" s="2" t="s">
        <v>630</v>
      </c>
      <c r="E192" s="3" t="s">
        <v>151</v>
      </c>
      <c r="F192" s="3" t="s">
        <v>157</v>
      </c>
      <c r="G192" s="30">
        <v>0</v>
      </c>
      <c r="H192" s="21">
        <v>191197320</v>
      </c>
      <c r="I192" s="21">
        <v>193026360</v>
      </c>
      <c r="J192" s="21">
        <v>194286440</v>
      </c>
      <c r="K192" s="21">
        <v>193515640</v>
      </c>
      <c r="L192" s="21">
        <v>191060920</v>
      </c>
      <c r="M192" s="21">
        <v>195593570</v>
      </c>
      <c r="N192" s="21">
        <v>200263070</v>
      </c>
      <c r="O192" s="21">
        <v>202597850</v>
      </c>
      <c r="P192" s="21">
        <v>217635640</v>
      </c>
      <c r="Q192" s="21"/>
      <c r="R192" s="21"/>
      <c r="S192" s="21">
        <v>217635640</v>
      </c>
      <c r="T192" s="21">
        <v>217939960</v>
      </c>
      <c r="U192" s="21">
        <v>222494140</v>
      </c>
      <c r="V192" s="21">
        <v>224715320</v>
      </c>
      <c r="W192" s="21">
        <v>244100910</v>
      </c>
      <c r="X192" s="21">
        <v>246237560</v>
      </c>
      <c r="Y192" s="21">
        <v>248224700</v>
      </c>
      <c r="Z192" s="21">
        <v>250752850</v>
      </c>
      <c r="AA192" s="21">
        <f>-IFERROR(VLOOKUP(C192,'전사시산표(3단계)_1013'!$C:$L,10,0),0)</f>
        <v>267548780</v>
      </c>
      <c r="AB192" s="21"/>
      <c r="AC192" s="21"/>
      <c r="AD192" s="21">
        <f t="shared" si="31"/>
        <v>267548780</v>
      </c>
      <c r="AE192" s="21">
        <f t="shared" si="23"/>
        <v>21311220</v>
      </c>
      <c r="AF192" s="38">
        <f t="shared" si="22"/>
        <v>8.6547397561931652E-2</v>
      </c>
      <c r="AG192" s="630" t="b">
        <f t="shared" si="32"/>
        <v>1</v>
      </c>
    </row>
    <row r="193" spans="1:35" s="11" customFormat="1">
      <c r="A193" s="24"/>
      <c r="B193" s="1" t="s">
        <v>285</v>
      </c>
      <c r="C193" s="2">
        <v>420202</v>
      </c>
      <c r="D193" s="2" t="s">
        <v>630</v>
      </c>
      <c r="E193" s="3" t="s">
        <v>150</v>
      </c>
      <c r="F193" s="3" t="s">
        <v>157</v>
      </c>
      <c r="G193" s="30">
        <v>0</v>
      </c>
      <c r="H193" s="21">
        <v>212339860</v>
      </c>
      <c r="I193" s="21">
        <v>213259090</v>
      </c>
      <c r="J193" s="21">
        <v>222384650</v>
      </c>
      <c r="K193" s="21">
        <v>204494270</v>
      </c>
      <c r="L193" s="21">
        <v>211778450</v>
      </c>
      <c r="M193" s="21">
        <v>212384600</v>
      </c>
      <c r="N193" s="21">
        <v>227460710</v>
      </c>
      <c r="O193" s="21">
        <v>264133550</v>
      </c>
      <c r="P193" s="21">
        <v>259506180</v>
      </c>
      <c r="Q193" s="21"/>
      <c r="R193" s="21"/>
      <c r="S193" s="21">
        <v>259506180</v>
      </c>
      <c r="T193" s="21">
        <v>261171570</v>
      </c>
      <c r="U193" s="21">
        <v>273025700</v>
      </c>
      <c r="V193" s="21">
        <v>374843420</v>
      </c>
      <c r="W193" s="21">
        <v>300612350</v>
      </c>
      <c r="X193" s="21">
        <v>298892440</v>
      </c>
      <c r="Y193" s="21">
        <v>300998680</v>
      </c>
      <c r="Z193" s="21">
        <v>411433790</v>
      </c>
      <c r="AA193" s="21">
        <f>-IFERROR(VLOOKUP(C193,'전사시산표(3단계)_1013'!$C:$L,10,0),0)</f>
        <v>338590280</v>
      </c>
      <c r="AB193" s="21"/>
      <c r="AC193" s="21"/>
      <c r="AD193" s="21">
        <f t="shared" si="31"/>
        <v>338590280</v>
      </c>
      <c r="AE193" s="21">
        <f t="shared" si="23"/>
        <v>39697840</v>
      </c>
      <c r="AF193" s="38">
        <f t="shared" si="22"/>
        <v>0.13281647404665037</v>
      </c>
      <c r="AG193" s="630" t="b">
        <f t="shared" si="32"/>
        <v>1</v>
      </c>
    </row>
    <row r="194" spans="1:35" s="11" customFormat="1">
      <c r="A194" s="24"/>
      <c r="B194" s="1" t="s">
        <v>285</v>
      </c>
      <c r="C194" s="2">
        <v>420203</v>
      </c>
      <c r="D194" s="2" t="s">
        <v>630</v>
      </c>
      <c r="E194" s="3" t="s">
        <v>149</v>
      </c>
      <c r="F194" s="3" t="s">
        <v>157</v>
      </c>
      <c r="G194" s="30">
        <v>0</v>
      </c>
      <c r="H194" s="21">
        <v>40060510</v>
      </c>
      <c r="I194" s="21">
        <v>41368930</v>
      </c>
      <c r="J194" s="21">
        <v>41137260</v>
      </c>
      <c r="K194" s="21">
        <v>37748750</v>
      </c>
      <c r="L194" s="21">
        <v>37539610</v>
      </c>
      <c r="M194" s="21">
        <v>46359110</v>
      </c>
      <c r="N194" s="21">
        <v>47644170</v>
      </c>
      <c r="O194" s="21">
        <v>57931770</v>
      </c>
      <c r="P194" s="21">
        <v>51025540</v>
      </c>
      <c r="Q194" s="21"/>
      <c r="R194" s="21"/>
      <c r="S194" s="21">
        <v>51025540</v>
      </c>
      <c r="T194" s="21">
        <v>53417330</v>
      </c>
      <c r="U194" s="21">
        <v>53699510</v>
      </c>
      <c r="V194" s="21">
        <v>81402330</v>
      </c>
      <c r="W194" s="21">
        <v>58269860</v>
      </c>
      <c r="X194" s="21">
        <v>58773630</v>
      </c>
      <c r="Y194" s="21">
        <v>58762960</v>
      </c>
      <c r="Z194" s="21">
        <v>86886320</v>
      </c>
      <c r="AA194" s="21">
        <f>-IFERROR(VLOOKUP(C194,'전사시산표(3단계)_1013'!$C:$L,10,0),0)</f>
        <v>72709680</v>
      </c>
      <c r="AB194" s="21"/>
      <c r="AC194" s="21"/>
      <c r="AD194" s="21">
        <f t="shared" si="31"/>
        <v>72709680</v>
      </c>
      <c r="AE194" s="21">
        <f t="shared" si="23"/>
        <v>13936050</v>
      </c>
      <c r="AF194" s="38">
        <f t="shared" si="22"/>
        <v>0.23711399142778827</v>
      </c>
      <c r="AG194" s="630" t="b">
        <f t="shared" si="32"/>
        <v>1</v>
      </c>
    </row>
    <row r="195" spans="1:35" s="11" customFormat="1">
      <c r="A195" s="24"/>
      <c r="B195" s="1" t="s">
        <v>285</v>
      </c>
      <c r="C195" s="2">
        <v>420205</v>
      </c>
      <c r="D195" s="2" t="s">
        <v>630</v>
      </c>
      <c r="E195" s="3" t="s">
        <v>148</v>
      </c>
      <c r="F195" s="3" t="s">
        <v>157</v>
      </c>
      <c r="G195" s="30">
        <v>0</v>
      </c>
      <c r="H195" s="21">
        <v>11778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/>
      <c r="R195" s="21"/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0</v>
      </c>
      <c r="AA195" s="21">
        <f>-IFERROR(VLOOKUP(C195,'전사시산표(3단계)_1013'!$C:$L,10,0),0)</f>
        <v>0</v>
      </c>
      <c r="AB195" s="21"/>
      <c r="AC195" s="21"/>
      <c r="AD195" s="21">
        <f t="shared" si="31"/>
        <v>0</v>
      </c>
      <c r="AE195" s="21">
        <f t="shared" si="23"/>
        <v>0</v>
      </c>
      <c r="AF195" s="38" t="str">
        <f t="shared" si="22"/>
        <v/>
      </c>
      <c r="AG195" s="630" t="b">
        <f t="shared" si="32"/>
        <v>1</v>
      </c>
    </row>
    <row r="196" spans="1:35" s="11" customFormat="1">
      <c r="A196" s="24"/>
      <c r="B196" s="1" t="s">
        <v>285</v>
      </c>
      <c r="C196" s="2">
        <v>420230</v>
      </c>
      <c r="D196" s="2" t="s">
        <v>627</v>
      </c>
      <c r="E196" s="3" t="s">
        <v>1087</v>
      </c>
      <c r="F196" s="3" t="s">
        <v>157</v>
      </c>
      <c r="G196" s="30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470194663</v>
      </c>
      <c r="N196" s="21">
        <v>948728033</v>
      </c>
      <c r="O196" s="21">
        <v>1833148503</v>
      </c>
      <c r="P196" s="21">
        <v>5776234582</v>
      </c>
      <c r="Q196" s="21"/>
      <c r="R196" s="21"/>
      <c r="S196" s="21">
        <v>5776234582</v>
      </c>
      <c r="T196" s="21">
        <v>5767852650</v>
      </c>
      <c r="U196" s="21">
        <v>14095433983</v>
      </c>
      <c r="V196" s="21">
        <v>10256708779</v>
      </c>
      <c r="W196" s="21">
        <v>10120373796</v>
      </c>
      <c r="X196" s="21">
        <v>6940508171</v>
      </c>
      <c r="Y196" s="21">
        <v>4826605019</v>
      </c>
      <c r="Z196" s="21">
        <v>4432983062</v>
      </c>
      <c r="AA196" s="21">
        <f>-IFERROR(VLOOKUP(C196,'전사시산표(3단계)_1013'!$C:$L,10,0),0)</f>
        <v>4048773876</v>
      </c>
      <c r="AB196" s="21"/>
      <c r="AC196" s="21"/>
      <c r="AD196" s="21">
        <f t="shared" si="31"/>
        <v>4048773876</v>
      </c>
      <c r="AE196" s="21">
        <f t="shared" si="23"/>
        <v>-2891734295</v>
      </c>
      <c r="AF196" s="38">
        <f t="shared" ref="AF196:AF236" si="34">IFERROR(AE196/X196,"")</f>
        <v>-0.41664590311740157</v>
      </c>
      <c r="AG196" s="630" t="b">
        <f t="shared" si="32"/>
        <v>1</v>
      </c>
    </row>
    <row r="197" spans="1:35" s="11" customFormat="1">
      <c r="A197" s="24"/>
      <c r="B197" s="1" t="s">
        <v>285</v>
      </c>
      <c r="C197" s="2">
        <v>420240</v>
      </c>
      <c r="D197" s="2" t="s">
        <v>627</v>
      </c>
      <c r="E197" s="3" t="s">
        <v>1137</v>
      </c>
      <c r="F197" s="3" t="s">
        <v>157</v>
      </c>
      <c r="G197" s="30">
        <v>0</v>
      </c>
      <c r="H197" s="21">
        <v>0</v>
      </c>
      <c r="I197" s="21">
        <v>0</v>
      </c>
      <c r="J197" s="21">
        <v>0</v>
      </c>
      <c r="K197" s="21">
        <v>5171652512</v>
      </c>
      <c r="L197" s="21">
        <v>9516543979</v>
      </c>
      <c r="M197" s="21">
        <v>9146723008</v>
      </c>
      <c r="N197" s="21">
        <v>7795324880</v>
      </c>
      <c r="O197" s="21">
        <v>8696233707</v>
      </c>
      <c r="P197" s="21">
        <v>9634874596</v>
      </c>
      <c r="Q197" s="21"/>
      <c r="R197" s="21"/>
      <c r="S197" s="21">
        <v>9634874596</v>
      </c>
      <c r="T197" s="21">
        <v>10307572765</v>
      </c>
      <c r="U197" s="21">
        <v>9471629454</v>
      </c>
      <c r="V197" s="21">
        <v>9314301193</v>
      </c>
      <c r="W197" s="21">
        <v>8508506661</v>
      </c>
      <c r="X197" s="21">
        <v>10148988475</v>
      </c>
      <c r="Y197" s="21">
        <v>11048136210</v>
      </c>
      <c r="Z197" s="21">
        <v>11257757088</v>
      </c>
      <c r="AA197" s="21">
        <f>-IFERROR(VLOOKUP(C197,'전사시산표(3단계)_1013'!$C:$L,10,0),0)</f>
        <v>14514207131</v>
      </c>
      <c r="AB197" s="21"/>
      <c r="AC197" s="21"/>
      <c r="AD197" s="21">
        <f t="shared" si="31"/>
        <v>14514207131</v>
      </c>
      <c r="AE197" s="21">
        <f t="shared" si="23"/>
        <v>4365218656</v>
      </c>
      <c r="AF197" s="38">
        <f t="shared" si="34"/>
        <v>0.43011366765789927</v>
      </c>
      <c r="AG197" s="630" t="b">
        <f t="shared" si="32"/>
        <v>1</v>
      </c>
    </row>
    <row r="198" spans="1:35" s="11" customFormat="1">
      <c r="A198" s="24"/>
      <c r="B198" s="1" t="s">
        <v>285</v>
      </c>
      <c r="C198" s="2">
        <v>420250</v>
      </c>
      <c r="D198" s="2" t="s">
        <v>627</v>
      </c>
      <c r="E198" s="3" t="s">
        <v>147</v>
      </c>
      <c r="F198" s="3" t="s">
        <v>157</v>
      </c>
      <c r="G198" s="30">
        <v>192821361235</v>
      </c>
      <c r="H198" s="21">
        <v>166799597017</v>
      </c>
      <c r="I198" s="21">
        <v>181761754942</v>
      </c>
      <c r="J198" s="21">
        <v>176001584191</v>
      </c>
      <c r="K198" s="21">
        <v>156156153992</v>
      </c>
      <c r="L198" s="21">
        <v>176288594054</v>
      </c>
      <c r="M198" s="21">
        <v>170378479836</v>
      </c>
      <c r="N198" s="21">
        <v>194763636530</v>
      </c>
      <c r="O198" s="21">
        <v>190962910676</v>
      </c>
      <c r="P198" s="21">
        <v>166516869368</v>
      </c>
      <c r="Q198" s="21"/>
      <c r="R198" s="21"/>
      <c r="S198" s="21">
        <v>166516869368</v>
      </c>
      <c r="T198" s="21">
        <v>172122700283</v>
      </c>
      <c r="U198" s="21">
        <v>192716246901</v>
      </c>
      <c r="V198" s="21">
        <v>186975735890</v>
      </c>
      <c r="W198" s="21">
        <v>201923046399</v>
      </c>
      <c r="X198" s="21">
        <v>178450087529</v>
      </c>
      <c r="Y198" s="21">
        <v>170637724823</v>
      </c>
      <c r="Z198" s="21">
        <v>162641955622</v>
      </c>
      <c r="AA198" s="21">
        <f>-IFERROR(VLOOKUP(C198,'전사시산표(3단계)_1013'!$C:$L,10,0),0)</f>
        <v>190902301609</v>
      </c>
      <c r="AB198" s="21"/>
      <c r="AC198" s="21"/>
      <c r="AD198" s="21">
        <f t="shared" si="31"/>
        <v>190902301609</v>
      </c>
      <c r="AE198" s="21">
        <f t="shared" ref="AE198:AE263" si="35">AD198-X198</f>
        <v>12452214080</v>
      </c>
      <c r="AF198" s="38">
        <f t="shared" si="34"/>
        <v>6.9779814918703165E-2</v>
      </c>
      <c r="AG198" s="630" t="b">
        <f t="shared" si="32"/>
        <v>1</v>
      </c>
    </row>
    <row r="199" spans="1:35" s="11" customFormat="1">
      <c r="A199" s="24"/>
      <c r="B199" s="1" t="s">
        <v>285</v>
      </c>
      <c r="C199" s="2">
        <v>420251</v>
      </c>
      <c r="D199" s="2" t="s">
        <v>627</v>
      </c>
      <c r="E199" s="3" t="s">
        <v>795</v>
      </c>
      <c r="F199" s="3" t="s">
        <v>157</v>
      </c>
      <c r="G199" s="30">
        <v>0</v>
      </c>
      <c r="H199" s="21">
        <v>0</v>
      </c>
      <c r="I199" s="21">
        <v>0</v>
      </c>
      <c r="J199" s="21">
        <v>106421129</v>
      </c>
      <c r="K199" s="21">
        <v>154951043</v>
      </c>
      <c r="L199" s="21">
        <v>208105693</v>
      </c>
      <c r="M199" s="21">
        <v>243600003</v>
      </c>
      <c r="N199" s="21">
        <v>305285830</v>
      </c>
      <c r="O199" s="21">
        <v>301974042</v>
      </c>
      <c r="P199" s="21">
        <v>252905541</v>
      </c>
      <c r="Q199" s="21"/>
      <c r="R199" s="21"/>
      <c r="S199" s="21">
        <v>252905541</v>
      </c>
      <c r="T199" s="21">
        <v>245328181</v>
      </c>
      <c r="U199" s="21">
        <v>259459917</v>
      </c>
      <c r="V199" s="21">
        <v>274593603</v>
      </c>
      <c r="W199" s="21">
        <v>323368680</v>
      </c>
      <c r="X199" s="21">
        <v>317794452</v>
      </c>
      <c r="Y199" s="21">
        <v>330572127</v>
      </c>
      <c r="Z199" s="21">
        <v>327868232</v>
      </c>
      <c r="AA199" s="21">
        <f>-IFERROR(VLOOKUP(C199,'전사시산표(3단계)_1013'!$C:$L,10,0),0)</f>
        <v>338952367</v>
      </c>
      <c r="AB199" s="21"/>
      <c r="AC199" s="21"/>
      <c r="AD199" s="21">
        <f t="shared" si="31"/>
        <v>338952367</v>
      </c>
      <c r="AE199" s="21">
        <f t="shared" si="35"/>
        <v>21157915</v>
      </c>
      <c r="AF199" s="38">
        <f t="shared" si="34"/>
        <v>6.6577357996167916E-2</v>
      </c>
      <c r="AG199" s="630" t="b">
        <f t="shared" si="32"/>
        <v>1</v>
      </c>
    </row>
    <row r="200" spans="1:35" s="11" customFormat="1">
      <c r="A200" s="24"/>
      <c r="B200" s="1" t="s">
        <v>285</v>
      </c>
      <c r="C200" s="2">
        <v>420255</v>
      </c>
      <c r="D200" s="2" t="s">
        <v>627</v>
      </c>
      <c r="E200" s="3" t="s">
        <v>1210</v>
      </c>
      <c r="F200" s="3" t="s">
        <v>157</v>
      </c>
      <c r="G200" s="30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>
        <v>0</v>
      </c>
      <c r="T200" s="21">
        <v>665348019</v>
      </c>
      <c r="U200" s="21">
        <v>1851263726</v>
      </c>
      <c r="V200" s="21">
        <v>1289161226</v>
      </c>
      <c r="W200" s="21">
        <v>1441853226</v>
      </c>
      <c r="X200" s="21">
        <v>1056196226</v>
      </c>
      <c r="Y200" s="21">
        <v>1077886726</v>
      </c>
      <c r="Z200" s="21">
        <v>1160313726</v>
      </c>
      <c r="AA200" s="21">
        <f>-IFERROR(VLOOKUP(C200,'전사시산표(3단계)_1013'!$C:$L,10,0),0)</f>
        <v>1202411226</v>
      </c>
      <c r="AB200" s="21"/>
      <c r="AC200" s="21"/>
      <c r="AD200" s="21">
        <f t="shared" si="31"/>
        <v>1202411226</v>
      </c>
      <c r="AE200" s="21">
        <f t="shared" si="35"/>
        <v>146215000</v>
      </c>
      <c r="AF200" s="38">
        <f t="shared" si="34"/>
        <v>0.13843545015658862</v>
      </c>
      <c r="AG200" s="630" t="b">
        <f t="shared" si="32"/>
        <v>1</v>
      </c>
    </row>
    <row r="201" spans="1:35" s="11" customFormat="1">
      <c r="A201" s="24"/>
      <c r="B201" s="1" t="s">
        <v>285</v>
      </c>
      <c r="C201" s="2">
        <v>420260</v>
      </c>
      <c r="D201" s="2" t="s">
        <v>627</v>
      </c>
      <c r="E201" s="3" t="s">
        <v>146</v>
      </c>
      <c r="F201" s="3" t="s">
        <v>157</v>
      </c>
      <c r="G201" s="30">
        <v>91445498350</v>
      </c>
      <c r="H201" s="21">
        <v>85327725059</v>
      </c>
      <c r="I201" s="21">
        <v>104838889232</v>
      </c>
      <c r="J201" s="21">
        <v>93024797267</v>
      </c>
      <c r="K201" s="21">
        <v>82528047630</v>
      </c>
      <c r="L201" s="21">
        <v>86219100077</v>
      </c>
      <c r="M201" s="21">
        <v>86456594167</v>
      </c>
      <c r="N201" s="21">
        <v>120720951243</v>
      </c>
      <c r="O201" s="21">
        <v>96312958568</v>
      </c>
      <c r="P201" s="21">
        <v>90506572350</v>
      </c>
      <c r="Q201" s="21"/>
      <c r="R201" s="21"/>
      <c r="S201" s="21">
        <v>90506572350</v>
      </c>
      <c r="T201" s="21">
        <v>96388840209</v>
      </c>
      <c r="U201" s="21">
        <v>106133354554</v>
      </c>
      <c r="V201" s="21">
        <v>71141759116</v>
      </c>
      <c r="W201" s="21">
        <v>74465310041</v>
      </c>
      <c r="X201" s="21">
        <v>91045277043</v>
      </c>
      <c r="Y201" s="21">
        <v>72248400808</v>
      </c>
      <c r="Z201" s="21">
        <v>70494082854</v>
      </c>
      <c r="AA201" s="21">
        <f>-IFERROR(VLOOKUP(C201,'전사시산표(3단계)_1013'!$C:$L,10,0),0)</f>
        <v>77185918116</v>
      </c>
      <c r="AB201" s="21"/>
      <c r="AC201" s="21"/>
      <c r="AD201" s="21">
        <f t="shared" si="31"/>
        <v>77185918116</v>
      </c>
      <c r="AE201" s="21">
        <f t="shared" si="35"/>
        <v>-13859358927</v>
      </c>
      <c r="AF201" s="38">
        <f t="shared" si="34"/>
        <v>-0.15222490805815583</v>
      </c>
      <c r="AG201" s="630" t="b">
        <f t="shared" si="32"/>
        <v>1</v>
      </c>
    </row>
    <row r="202" spans="1:35" s="11" customFormat="1">
      <c r="A202" s="24"/>
      <c r="B202" s="1" t="s">
        <v>285</v>
      </c>
      <c r="C202" s="2">
        <v>420270</v>
      </c>
      <c r="D202" s="2" t="s">
        <v>627</v>
      </c>
      <c r="E202" s="3" t="s">
        <v>145</v>
      </c>
      <c r="F202" s="3" t="s">
        <v>157</v>
      </c>
      <c r="G202" s="30">
        <v>2375326734</v>
      </c>
      <c r="H202" s="21">
        <v>2673007953</v>
      </c>
      <c r="I202" s="21">
        <v>2934242454</v>
      </c>
      <c r="J202" s="21">
        <v>2552395655</v>
      </c>
      <c r="K202" s="21">
        <v>2661536827</v>
      </c>
      <c r="L202" s="21">
        <v>2535723701</v>
      </c>
      <c r="M202" s="21">
        <v>2780890246</v>
      </c>
      <c r="N202" s="21">
        <v>2773335300</v>
      </c>
      <c r="O202" s="21">
        <v>3077751001</v>
      </c>
      <c r="P202" s="21">
        <v>2892677442</v>
      </c>
      <c r="Q202" s="21"/>
      <c r="R202" s="21"/>
      <c r="S202" s="21">
        <v>2892677442</v>
      </c>
      <c r="T202" s="21">
        <v>2941718787</v>
      </c>
      <c r="U202" s="21">
        <v>3701780142</v>
      </c>
      <c r="V202" s="21">
        <v>3581475371</v>
      </c>
      <c r="W202" s="21">
        <v>3589948783</v>
      </c>
      <c r="X202" s="21">
        <v>3920229182</v>
      </c>
      <c r="Y202" s="21">
        <v>4024596854</v>
      </c>
      <c r="Z202" s="21">
        <v>4161214655</v>
      </c>
      <c r="AA202" s="21">
        <f>-IFERROR(VLOOKUP(C202,'전사시산표(3단계)_1013'!$C:$L,10,0),0)</f>
        <v>4187948212</v>
      </c>
      <c r="AB202" s="21"/>
      <c r="AC202" s="21"/>
      <c r="AD202" s="21">
        <f t="shared" si="31"/>
        <v>4187948212</v>
      </c>
      <c r="AE202" s="21">
        <f t="shared" si="35"/>
        <v>267719030</v>
      </c>
      <c r="AF202" s="38">
        <f t="shared" si="34"/>
        <v>6.8291678259334992E-2</v>
      </c>
      <c r="AG202" s="630" t="b">
        <f t="shared" si="32"/>
        <v>1</v>
      </c>
    </row>
    <row r="203" spans="1:35" s="11" customFormat="1">
      <c r="A203" s="24"/>
      <c r="B203" s="1" t="s">
        <v>285</v>
      </c>
      <c r="C203" s="2">
        <v>420271</v>
      </c>
      <c r="D203" s="2" t="s">
        <v>627</v>
      </c>
      <c r="E203" s="3" t="s">
        <v>144</v>
      </c>
      <c r="F203" s="3" t="s">
        <v>157</v>
      </c>
      <c r="G203" s="30">
        <v>1234158758</v>
      </c>
      <c r="H203" s="21">
        <v>4669088192</v>
      </c>
      <c r="I203" s="21">
        <v>1574375085</v>
      </c>
      <c r="J203" s="21">
        <v>1153976410</v>
      </c>
      <c r="K203" s="21">
        <v>1424857416</v>
      </c>
      <c r="L203" s="21">
        <v>951669243</v>
      </c>
      <c r="M203" s="21">
        <v>2494497081</v>
      </c>
      <c r="N203" s="21">
        <v>793227376</v>
      </c>
      <c r="O203" s="21">
        <v>1420548644</v>
      </c>
      <c r="P203" s="21">
        <v>1814689653</v>
      </c>
      <c r="Q203" s="21"/>
      <c r="R203" s="21"/>
      <c r="S203" s="21">
        <v>1814689653</v>
      </c>
      <c r="T203" s="21">
        <v>2806930981</v>
      </c>
      <c r="U203" s="21">
        <v>2246535064</v>
      </c>
      <c r="V203" s="21">
        <v>2540330716</v>
      </c>
      <c r="W203" s="21">
        <v>2836228742</v>
      </c>
      <c r="X203" s="21">
        <v>2950830640</v>
      </c>
      <c r="Y203" s="21">
        <v>3357555783</v>
      </c>
      <c r="Z203" s="21">
        <v>4088623085</v>
      </c>
      <c r="AA203" s="21">
        <f>-IFERROR(VLOOKUP(C203,'전사시산표(3단계)_1013'!$C:$L,10,0),0)</f>
        <v>6898488346</v>
      </c>
      <c r="AB203" s="21"/>
      <c r="AC203" s="21"/>
      <c r="AD203" s="21">
        <f t="shared" si="31"/>
        <v>6898488346</v>
      </c>
      <c r="AE203" s="21">
        <f t="shared" si="35"/>
        <v>3947657706</v>
      </c>
      <c r="AF203" s="38">
        <f t="shared" si="34"/>
        <v>1.3378123612000992</v>
      </c>
      <c r="AG203" s="630" t="b">
        <f t="shared" si="32"/>
        <v>1</v>
      </c>
    </row>
    <row r="204" spans="1:35" s="11" customFormat="1">
      <c r="A204" s="24"/>
      <c r="B204" s="1" t="s">
        <v>285</v>
      </c>
      <c r="C204" s="2">
        <v>420280</v>
      </c>
      <c r="D204" s="2" t="s">
        <v>627</v>
      </c>
      <c r="E204" s="3" t="s">
        <v>1597</v>
      </c>
      <c r="F204" s="3" t="s">
        <v>157</v>
      </c>
      <c r="G204" s="30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>
        <f>-IFERROR(VLOOKUP(C204,'전사시산표(3단계)_1013'!$C:$L,10,0),0)</f>
        <v>-11160</v>
      </c>
      <c r="AB204" s="21"/>
      <c r="AC204" s="21"/>
      <c r="AD204" s="21">
        <f t="shared" ref="AD204" si="36">AA204+AB204-AC204</f>
        <v>-11160</v>
      </c>
      <c r="AE204" s="21">
        <f t="shared" ref="AE204" si="37">AD204-X204</f>
        <v>-11160</v>
      </c>
      <c r="AF204" s="38" t="str">
        <f t="shared" si="34"/>
        <v/>
      </c>
      <c r="AG204" s="747" t="b">
        <f t="shared" si="32"/>
        <v>1</v>
      </c>
    </row>
    <row r="205" spans="1:35" s="11" customFormat="1">
      <c r="A205" s="24"/>
      <c r="B205" s="1" t="s">
        <v>285</v>
      </c>
      <c r="C205" s="2">
        <v>420288</v>
      </c>
      <c r="D205" s="2" t="s">
        <v>627</v>
      </c>
      <c r="E205" s="3" t="s">
        <v>143</v>
      </c>
      <c r="F205" s="3" t="s">
        <v>157</v>
      </c>
      <c r="G205" s="30">
        <v>5342373739</v>
      </c>
      <c r="H205" s="21">
        <v>15646369888</v>
      </c>
      <c r="I205" s="21">
        <v>10496398022</v>
      </c>
      <c r="J205" s="21">
        <v>12300716067</v>
      </c>
      <c r="K205" s="21">
        <v>12809728672</v>
      </c>
      <c r="L205" s="21">
        <v>9629999709</v>
      </c>
      <c r="M205" s="21">
        <v>21552253466</v>
      </c>
      <c r="N205" s="21">
        <v>30015043121</v>
      </c>
      <c r="O205" s="21">
        <v>18875696097</v>
      </c>
      <c r="P205" s="21">
        <v>31172528651</v>
      </c>
      <c r="Q205" s="21"/>
      <c r="R205" s="21"/>
      <c r="S205" s="21">
        <v>31172528651</v>
      </c>
      <c r="T205" s="21">
        <v>50132739430</v>
      </c>
      <c r="U205" s="21">
        <v>60801712550</v>
      </c>
      <c r="V205" s="21">
        <v>46981684465</v>
      </c>
      <c r="W205" s="21">
        <v>61418033423</v>
      </c>
      <c r="X205" s="21">
        <v>79690186195</v>
      </c>
      <c r="Y205" s="21">
        <v>67173564864</v>
      </c>
      <c r="Z205" s="21">
        <v>68890724883</v>
      </c>
      <c r="AA205" s="21">
        <f>-IFERROR(VLOOKUP(C205,'전사시산표(3단계)_1013'!$C:$L,10,0),0)</f>
        <v>80935318603</v>
      </c>
      <c r="AB205" s="21"/>
      <c r="AC205" s="21"/>
      <c r="AD205" s="21">
        <f t="shared" si="31"/>
        <v>80935318603</v>
      </c>
      <c r="AE205" s="21">
        <f t="shared" si="35"/>
        <v>1245132408</v>
      </c>
      <c r="AF205" s="38">
        <f t="shared" si="34"/>
        <v>1.5624664308766835E-2</v>
      </c>
      <c r="AG205" s="630" t="b">
        <f t="shared" si="32"/>
        <v>1</v>
      </c>
    </row>
    <row r="206" spans="1:35" s="11" customFormat="1">
      <c r="A206" s="24"/>
      <c r="B206" s="1" t="s">
        <v>285</v>
      </c>
      <c r="C206" s="2">
        <v>420289</v>
      </c>
      <c r="D206" s="2" t="s">
        <v>627</v>
      </c>
      <c r="E206" s="3" t="s">
        <v>472</v>
      </c>
      <c r="F206" s="3" t="s">
        <v>480</v>
      </c>
      <c r="G206" s="30">
        <v>19183978089</v>
      </c>
      <c r="H206" s="21">
        <v>18493137316</v>
      </c>
      <c r="I206" s="21">
        <v>16501415947</v>
      </c>
      <c r="J206" s="21">
        <v>15535743052</v>
      </c>
      <c r="K206" s="21">
        <v>14522008791</v>
      </c>
      <c r="L206" s="21">
        <v>13346050541</v>
      </c>
      <c r="M206" s="21">
        <v>12461710431</v>
      </c>
      <c r="N206" s="21">
        <v>12368334070</v>
      </c>
      <c r="O206" s="21">
        <v>12158036407</v>
      </c>
      <c r="P206" s="21">
        <v>12214441001</v>
      </c>
      <c r="Q206" s="21"/>
      <c r="R206" s="21"/>
      <c r="S206" s="21">
        <v>12214441001</v>
      </c>
      <c r="T206" s="21">
        <v>11991675179</v>
      </c>
      <c r="U206" s="21">
        <v>11665992294</v>
      </c>
      <c r="V206" s="21">
        <v>11148181251</v>
      </c>
      <c r="W206" s="21">
        <v>10800964576</v>
      </c>
      <c r="X206" s="21">
        <v>10473107703</v>
      </c>
      <c r="Y206" s="21">
        <v>9755610648</v>
      </c>
      <c r="Z206" s="21">
        <v>9052573205</v>
      </c>
      <c r="AA206" s="21">
        <f>-IFERROR(VLOOKUP(C206,'전사시산표(3단계)_1013'!$C:$L,10,0),0)</f>
        <v>8360978642</v>
      </c>
      <c r="AB206" s="21"/>
      <c r="AC206" s="21"/>
      <c r="AD206" s="21">
        <f t="shared" si="31"/>
        <v>8360978642</v>
      </c>
      <c r="AE206" s="21">
        <f t="shared" si="35"/>
        <v>-2112129061</v>
      </c>
      <c r="AF206" s="38">
        <f t="shared" si="34"/>
        <v>-0.20167166431363873</v>
      </c>
      <c r="AG206" s="630" t="b">
        <f t="shared" si="32"/>
        <v>1</v>
      </c>
      <c r="AH206" s="248"/>
      <c r="AI206" s="248"/>
    </row>
    <row r="207" spans="1:35" s="11" customFormat="1">
      <c r="A207" s="24"/>
      <c r="B207" s="1" t="s">
        <v>285</v>
      </c>
      <c r="C207" s="5">
        <v>420290</v>
      </c>
      <c r="D207" s="2" t="s">
        <v>627</v>
      </c>
      <c r="E207" s="6" t="s">
        <v>514</v>
      </c>
      <c r="F207" s="6" t="s">
        <v>157</v>
      </c>
      <c r="G207" s="31">
        <v>3937843218</v>
      </c>
      <c r="H207" s="22">
        <v>3877279838</v>
      </c>
      <c r="I207" s="21">
        <v>3636719487</v>
      </c>
      <c r="J207" s="22">
        <v>3236960066</v>
      </c>
      <c r="K207" s="22">
        <v>2906204847</v>
      </c>
      <c r="L207" s="22">
        <v>2724514707</v>
      </c>
      <c r="M207" s="22">
        <v>-837408</v>
      </c>
      <c r="N207" s="22">
        <v>-837408</v>
      </c>
      <c r="O207" s="22">
        <v>-837408</v>
      </c>
      <c r="P207" s="22">
        <v>-837408</v>
      </c>
      <c r="Q207" s="22"/>
      <c r="R207" s="22"/>
      <c r="S207" s="21">
        <v>-837408</v>
      </c>
      <c r="T207" s="21">
        <v>-837408</v>
      </c>
      <c r="U207" s="22">
        <v>-837408</v>
      </c>
      <c r="V207" s="22">
        <v>-837408</v>
      </c>
      <c r="W207" s="22">
        <v>-837408</v>
      </c>
      <c r="X207" s="22">
        <v>-837408</v>
      </c>
      <c r="Y207" s="22">
        <v>-837408</v>
      </c>
      <c r="Z207" s="22">
        <v>-837408</v>
      </c>
      <c r="AA207" s="22">
        <f>-IFERROR(VLOOKUP(C207,'전사시산표(3단계)_1013'!$C:$L,10,0),0)</f>
        <v>-837408</v>
      </c>
      <c r="AB207" s="22"/>
      <c r="AC207" s="22"/>
      <c r="AD207" s="21">
        <f t="shared" si="31"/>
        <v>-837408</v>
      </c>
      <c r="AE207" s="21">
        <f t="shared" si="35"/>
        <v>0</v>
      </c>
      <c r="AF207" s="38">
        <f t="shared" si="34"/>
        <v>0</v>
      </c>
      <c r="AG207" s="630" t="b">
        <f t="shared" si="32"/>
        <v>1</v>
      </c>
    </row>
    <row r="208" spans="1:35" s="11" customFormat="1">
      <c r="A208" s="24"/>
      <c r="B208" s="1" t="s">
        <v>285</v>
      </c>
      <c r="C208" s="5">
        <v>420297</v>
      </c>
      <c r="D208" s="2" t="s">
        <v>627</v>
      </c>
      <c r="E208" s="6" t="s">
        <v>141</v>
      </c>
      <c r="F208" s="6" t="s">
        <v>157</v>
      </c>
      <c r="G208" s="31">
        <v>315002000</v>
      </c>
      <c r="H208" s="22">
        <v>411068981</v>
      </c>
      <c r="I208" s="21">
        <v>326312000</v>
      </c>
      <c r="J208" s="22">
        <v>326382000</v>
      </c>
      <c r="K208" s="22">
        <v>326382000</v>
      </c>
      <c r="L208" s="22">
        <v>10024000</v>
      </c>
      <c r="M208" s="22">
        <v>10024000</v>
      </c>
      <c r="N208" s="22">
        <v>10024000</v>
      </c>
      <c r="O208" s="22">
        <v>10024000</v>
      </c>
      <c r="P208" s="22">
        <v>10024000</v>
      </c>
      <c r="Q208" s="22"/>
      <c r="R208" s="22"/>
      <c r="S208" s="21">
        <v>10024000</v>
      </c>
      <c r="T208" s="21">
        <v>10024000</v>
      </c>
      <c r="U208" s="22">
        <v>10024000</v>
      </c>
      <c r="V208" s="22">
        <v>10024000</v>
      </c>
      <c r="W208" s="22">
        <v>10024000</v>
      </c>
      <c r="X208" s="22">
        <v>10024000</v>
      </c>
      <c r="Y208" s="22">
        <v>10024000</v>
      </c>
      <c r="Z208" s="22">
        <v>10024000</v>
      </c>
      <c r="AA208" s="22">
        <f>-IFERROR(VLOOKUP(C208,'전사시산표(3단계)_1013'!$C:$L,10,0),0)</f>
        <v>10024000</v>
      </c>
      <c r="AB208" s="22"/>
      <c r="AC208" s="22"/>
      <c r="AD208" s="21">
        <f t="shared" si="31"/>
        <v>10024000</v>
      </c>
      <c r="AE208" s="21">
        <f t="shared" si="35"/>
        <v>0</v>
      </c>
      <c r="AF208" s="38">
        <f t="shared" si="34"/>
        <v>0</v>
      </c>
      <c r="AG208" s="630" t="b">
        <f t="shared" si="32"/>
        <v>1</v>
      </c>
    </row>
    <row r="209" spans="1:36" s="11" customFormat="1">
      <c r="A209" s="24"/>
      <c r="B209" s="1" t="s">
        <v>285</v>
      </c>
      <c r="C209" s="5">
        <v>420698</v>
      </c>
      <c r="D209" s="2" t="s">
        <v>627</v>
      </c>
      <c r="E209" s="6" t="s">
        <v>254</v>
      </c>
      <c r="F209" s="6" t="s">
        <v>157</v>
      </c>
      <c r="G209" s="31">
        <v>-215120137</v>
      </c>
      <c r="H209" s="22">
        <v>-209963879</v>
      </c>
      <c r="I209" s="21">
        <v>-46330633</v>
      </c>
      <c r="J209" s="22">
        <v>20244821</v>
      </c>
      <c r="K209" s="22">
        <v>92647981</v>
      </c>
      <c r="L209" s="22">
        <v>151670700</v>
      </c>
      <c r="M209" s="22">
        <v>244141185</v>
      </c>
      <c r="N209" s="22">
        <v>337325363</v>
      </c>
      <c r="O209" s="22">
        <v>411220672</v>
      </c>
      <c r="P209" s="22">
        <v>460788222</v>
      </c>
      <c r="Q209" s="22"/>
      <c r="R209" s="22"/>
      <c r="S209" s="21">
        <v>460788222</v>
      </c>
      <c r="T209" s="21">
        <v>507432135</v>
      </c>
      <c r="U209" s="22">
        <v>571142861</v>
      </c>
      <c r="V209" s="22">
        <v>612707601</v>
      </c>
      <c r="W209" s="22">
        <v>653968415</v>
      </c>
      <c r="X209" s="22">
        <v>739175598</v>
      </c>
      <c r="Y209" s="22">
        <v>898388253</v>
      </c>
      <c r="Z209" s="22">
        <v>907319069</v>
      </c>
      <c r="AA209" s="22">
        <f>-IFERROR(VLOOKUP(C209,'전사시산표(3단계)_1013'!$C:$L,10,0),0)</f>
        <v>960681001</v>
      </c>
      <c r="AB209" s="22"/>
      <c r="AC209" s="22"/>
      <c r="AD209" s="21">
        <f t="shared" si="31"/>
        <v>960681001</v>
      </c>
      <c r="AE209" s="21">
        <f t="shared" si="35"/>
        <v>221505403</v>
      </c>
      <c r="AF209" s="38">
        <f t="shared" si="34"/>
        <v>0.29966547001731514</v>
      </c>
      <c r="AG209" s="630" t="b">
        <f t="shared" si="32"/>
        <v>1</v>
      </c>
    </row>
    <row r="210" spans="1:36" s="11" customFormat="1">
      <c r="A210" s="24"/>
      <c r="B210" s="1" t="s">
        <v>285</v>
      </c>
      <c r="C210" s="5">
        <v>420699</v>
      </c>
      <c r="D210" s="2" t="s">
        <v>627</v>
      </c>
      <c r="E210" s="6" t="s">
        <v>140</v>
      </c>
      <c r="F210" s="6" t="s">
        <v>157</v>
      </c>
      <c r="G210" s="31">
        <v>53093443</v>
      </c>
      <c r="H210" s="22">
        <v>53093443</v>
      </c>
      <c r="I210" s="21">
        <v>53093443</v>
      </c>
      <c r="J210" s="22">
        <v>53093443</v>
      </c>
      <c r="K210" s="22">
        <v>53093443</v>
      </c>
      <c r="L210" s="22">
        <v>53023643</v>
      </c>
      <c r="M210" s="22">
        <v>53023643</v>
      </c>
      <c r="N210" s="22">
        <v>53023643</v>
      </c>
      <c r="O210" s="22">
        <v>53023643</v>
      </c>
      <c r="P210" s="22">
        <v>53023643</v>
      </c>
      <c r="Q210" s="22"/>
      <c r="R210" s="22"/>
      <c r="S210" s="21">
        <v>53023643</v>
      </c>
      <c r="T210" s="21">
        <v>53023643</v>
      </c>
      <c r="U210" s="22">
        <v>53023643</v>
      </c>
      <c r="V210" s="22">
        <v>53023643</v>
      </c>
      <c r="W210" s="22">
        <v>53023643</v>
      </c>
      <c r="X210" s="22">
        <v>53023643</v>
      </c>
      <c r="Y210" s="22">
        <v>53023643</v>
      </c>
      <c r="Z210" s="22">
        <v>53023643</v>
      </c>
      <c r="AA210" s="22">
        <f>-IFERROR(VLOOKUP(C210,'전사시산표(3단계)_1013'!$C:$L,10,0),0)</f>
        <v>53023643</v>
      </c>
      <c r="AB210" s="22"/>
      <c r="AC210" s="22"/>
      <c r="AD210" s="21">
        <f t="shared" si="31"/>
        <v>53023643</v>
      </c>
      <c r="AE210" s="21">
        <f t="shared" si="35"/>
        <v>0</v>
      </c>
      <c r="AF210" s="38">
        <f t="shared" si="34"/>
        <v>0</v>
      </c>
      <c r="AG210" s="630" t="b">
        <f t="shared" si="32"/>
        <v>1</v>
      </c>
    </row>
    <row r="211" spans="1:36" s="11" customFormat="1">
      <c r="A211" s="24"/>
      <c r="B211" s="1" t="s">
        <v>285</v>
      </c>
      <c r="C211" s="5">
        <v>420714</v>
      </c>
      <c r="D211" s="2" t="s">
        <v>627</v>
      </c>
      <c r="E211" s="6" t="s">
        <v>1379</v>
      </c>
      <c r="F211" s="6" t="s">
        <v>157</v>
      </c>
      <c r="G211" s="31"/>
      <c r="H211" s="22"/>
      <c r="I211" s="21"/>
      <c r="J211" s="22"/>
      <c r="K211" s="22"/>
      <c r="L211" s="22"/>
      <c r="M211" s="22"/>
      <c r="N211" s="22"/>
      <c r="O211" s="22"/>
      <c r="P211" s="22"/>
      <c r="Q211" s="22"/>
      <c r="R211" s="22"/>
      <c r="S211" s="21"/>
      <c r="T211" s="21"/>
      <c r="U211" s="22"/>
      <c r="V211" s="22"/>
      <c r="W211" s="22"/>
      <c r="X211" s="22">
        <v>973417071</v>
      </c>
      <c r="Y211" s="22">
        <v>1307201675</v>
      </c>
      <c r="Z211" s="22">
        <v>1617443696</v>
      </c>
      <c r="AA211" s="22">
        <f>-IFERROR(VLOOKUP(C211,'전사시산표(3단계)_1013'!$C:$L,10,0),0)</f>
        <v>1384207288</v>
      </c>
      <c r="AB211" s="22"/>
      <c r="AC211" s="22"/>
      <c r="AD211" s="21">
        <f t="shared" ref="AD211" si="38">AA211+AB211-AC211</f>
        <v>1384207288</v>
      </c>
      <c r="AE211" s="21">
        <f t="shared" si="35"/>
        <v>410790217</v>
      </c>
      <c r="AF211" s="38">
        <f t="shared" si="34"/>
        <v>0.42200843732686089</v>
      </c>
      <c r="AG211" s="630" t="b">
        <f t="shared" ref="AG211" si="39">AD211=AA211</f>
        <v>1</v>
      </c>
    </row>
    <row r="212" spans="1:36" s="11" customFormat="1">
      <c r="A212" s="24"/>
      <c r="B212" s="1" t="s">
        <v>285</v>
      </c>
      <c r="C212" s="2">
        <v>420715</v>
      </c>
      <c r="D212" s="2" t="s">
        <v>627</v>
      </c>
      <c r="E212" s="3" t="s">
        <v>138</v>
      </c>
      <c r="F212" s="3" t="s">
        <v>157</v>
      </c>
      <c r="G212" s="30">
        <v>668694862</v>
      </c>
      <c r="H212" s="21">
        <v>3070869191</v>
      </c>
      <c r="I212" s="21">
        <v>1158715547</v>
      </c>
      <c r="J212" s="21">
        <v>2756288020</v>
      </c>
      <c r="K212" s="21">
        <v>2985284120</v>
      </c>
      <c r="L212" s="21">
        <v>2255101804</v>
      </c>
      <c r="M212" s="21">
        <v>951102344</v>
      </c>
      <c r="N212" s="21">
        <v>1282820901</v>
      </c>
      <c r="O212" s="21">
        <v>1013893224</v>
      </c>
      <c r="P212" s="21">
        <v>957703930</v>
      </c>
      <c r="Q212" s="21"/>
      <c r="R212" s="21"/>
      <c r="S212" s="21">
        <v>957703930</v>
      </c>
      <c r="T212" s="21">
        <v>749690283</v>
      </c>
      <c r="U212" s="21">
        <v>1166922404</v>
      </c>
      <c r="V212" s="21">
        <v>1152854772</v>
      </c>
      <c r="W212" s="21">
        <v>1209324390</v>
      </c>
      <c r="X212" s="21">
        <v>1026457732</v>
      </c>
      <c r="Y212" s="21">
        <v>1279148548</v>
      </c>
      <c r="Z212" s="21">
        <v>1315648572</v>
      </c>
      <c r="AA212" s="21">
        <f>-IFERROR(VLOOKUP(C212,'전사시산표(3단계)_1013'!$C:$L,10,0),0)</f>
        <v>392127667</v>
      </c>
      <c r="AB212" s="21"/>
      <c r="AC212" s="21"/>
      <c r="AD212" s="21">
        <f t="shared" si="31"/>
        <v>392127667</v>
      </c>
      <c r="AE212" s="21">
        <f t="shared" si="35"/>
        <v>-634330065</v>
      </c>
      <c r="AF212" s="38">
        <f t="shared" si="34"/>
        <v>-0.61797972310466265</v>
      </c>
      <c r="AG212" s="630" t="b">
        <f t="shared" si="32"/>
        <v>1</v>
      </c>
    </row>
    <row r="213" spans="1:36" s="11" customFormat="1">
      <c r="A213" s="24"/>
      <c r="B213" s="1" t="s">
        <v>285</v>
      </c>
      <c r="C213" s="5">
        <v>420716</v>
      </c>
      <c r="D213" s="2" t="s">
        <v>627</v>
      </c>
      <c r="E213" s="6" t="s">
        <v>1177</v>
      </c>
      <c r="F213" s="6" t="s">
        <v>157</v>
      </c>
      <c r="G213" s="31"/>
      <c r="H213" s="22"/>
      <c r="I213" s="22"/>
      <c r="J213" s="22"/>
      <c r="K213" s="22"/>
      <c r="L213" s="22"/>
      <c r="M213" s="22"/>
      <c r="N213" s="22"/>
      <c r="O213" s="22">
        <v>363917675</v>
      </c>
      <c r="P213" s="21">
        <v>1289388036</v>
      </c>
      <c r="Q213" s="22"/>
      <c r="R213" s="22"/>
      <c r="S213" s="21">
        <v>1289388036</v>
      </c>
      <c r="T213" s="21">
        <v>2554329487</v>
      </c>
      <c r="U213" s="21">
        <v>3967276494</v>
      </c>
      <c r="V213" s="21">
        <v>3539597564</v>
      </c>
      <c r="W213" s="21">
        <v>4028882869</v>
      </c>
      <c r="X213" s="21">
        <v>4370394206</v>
      </c>
      <c r="Y213" s="21">
        <v>4688699818</v>
      </c>
      <c r="Z213" s="21">
        <v>4860268123</v>
      </c>
      <c r="AA213" s="21">
        <f>-IFERROR(VLOOKUP(C213,'전사시산표(3단계)_1013'!$C:$L,10,0),0)</f>
        <v>5080870793</v>
      </c>
      <c r="AB213" s="22"/>
      <c r="AC213" s="22"/>
      <c r="AD213" s="21">
        <f t="shared" si="31"/>
        <v>5080870793</v>
      </c>
      <c r="AE213" s="21">
        <f t="shared" si="35"/>
        <v>710476587</v>
      </c>
      <c r="AF213" s="38">
        <f t="shared" si="34"/>
        <v>0.16256579006639843</v>
      </c>
      <c r="AG213" s="630" t="b">
        <f t="shared" si="32"/>
        <v>1</v>
      </c>
    </row>
    <row r="214" spans="1:36" s="11" customFormat="1">
      <c r="A214" s="24"/>
      <c r="B214" s="1" t="s">
        <v>285</v>
      </c>
      <c r="C214" s="5">
        <v>420718</v>
      </c>
      <c r="D214" s="2" t="s">
        <v>627</v>
      </c>
      <c r="E214" s="6" t="s">
        <v>1344</v>
      </c>
      <c r="F214" s="6" t="s">
        <v>157</v>
      </c>
      <c r="G214" s="31"/>
      <c r="H214" s="22"/>
      <c r="I214" s="22"/>
      <c r="J214" s="22"/>
      <c r="K214" s="22"/>
      <c r="L214" s="22"/>
      <c r="M214" s="22"/>
      <c r="N214" s="22"/>
      <c r="O214" s="22"/>
      <c r="P214" s="21"/>
      <c r="Q214" s="22"/>
      <c r="R214" s="22"/>
      <c r="S214" s="21"/>
      <c r="T214" s="21">
        <v>0</v>
      </c>
      <c r="U214" s="21">
        <v>0</v>
      </c>
      <c r="V214" s="21">
        <v>0</v>
      </c>
      <c r="W214" s="21">
        <v>0</v>
      </c>
      <c r="X214" s="21">
        <v>97846890</v>
      </c>
      <c r="Y214" s="21">
        <v>0</v>
      </c>
      <c r="Z214" s="21">
        <v>0</v>
      </c>
      <c r="AA214" s="21">
        <f>-IFERROR(VLOOKUP(C214,'전사시산표(3단계)_1013'!$C:$L,10,0),0)</f>
        <v>0</v>
      </c>
      <c r="AB214" s="22"/>
      <c r="AC214" s="22"/>
      <c r="AD214" s="21">
        <f t="shared" ref="AD214" si="40">AA214+AB214-AC214</f>
        <v>0</v>
      </c>
      <c r="AE214" s="21">
        <f t="shared" si="35"/>
        <v>-97846890</v>
      </c>
      <c r="AF214" s="38">
        <f t="shared" si="34"/>
        <v>-1</v>
      </c>
      <c r="AG214" s="630" t="b">
        <f t="shared" si="32"/>
        <v>1</v>
      </c>
    </row>
    <row r="215" spans="1:36" s="11" customFormat="1">
      <c r="A215" s="24"/>
      <c r="B215" s="1" t="s">
        <v>285</v>
      </c>
      <c r="C215" s="5">
        <v>420719</v>
      </c>
      <c r="D215" s="2" t="s">
        <v>627</v>
      </c>
      <c r="E215" s="6" t="s">
        <v>1594</v>
      </c>
      <c r="F215" s="6" t="s">
        <v>157</v>
      </c>
      <c r="G215" s="31"/>
      <c r="H215" s="22"/>
      <c r="I215" s="22"/>
      <c r="J215" s="22"/>
      <c r="K215" s="22"/>
      <c r="L215" s="22"/>
      <c r="M215" s="22"/>
      <c r="N215" s="22"/>
      <c r="O215" s="22"/>
      <c r="P215" s="21"/>
      <c r="Q215" s="22"/>
      <c r="R215" s="22"/>
      <c r="S215" s="21"/>
      <c r="T215" s="21"/>
      <c r="U215" s="21"/>
      <c r="V215" s="21"/>
      <c r="W215" s="21"/>
      <c r="X215" s="21"/>
      <c r="Y215" s="21"/>
      <c r="Z215" s="21"/>
      <c r="AA215" s="21">
        <f>-IFERROR(VLOOKUP(C215,'전사시산표(3단계)_1013'!$C:$L,10,0),0)</f>
        <v>851273819</v>
      </c>
      <c r="AB215" s="22"/>
      <c r="AC215" s="22"/>
      <c r="AD215" s="21">
        <f t="shared" ref="AD215" si="41">AA215+AB215-AC215</f>
        <v>851273819</v>
      </c>
      <c r="AE215" s="21">
        <f t="shared" ref="AE215" si="42">AD215-X215</f>
        <v>851273819</v>
      </c>
      <c r="AF215" s="38" t="str">
        <f t="shared" si="34"/>
        <v/>
      </c>
      <c r="AG215" s="747"/>
    </row>
    <row r="216" spans="1:36" s="11" customFormat="1">
      <c r="A216" s="24"/>
      <c r="B216" s="7" t="s">
        <v>285</v>
      </c>
      <c r="C216" s="5">
        <v>420717</v>
      </c>
      <c r="D216" s="2" t="s">
        <v>627</v>
      </c>
      <c r="E216" s="6" t="s">
        <v>1141</v>
      </c>
      <c r="F216" s="6" t="s">
        <v>157</v>
      </c>
      <c r="G216" s="31"/>
      <c r="H216" s="22"/>
      <c r="I216" s="22"/>
      <c r="J216" s="22"/>
      <c r="K216" s="22"/>
      <c r="L216" s="22"/>
      <c r="M216" s="22"/>
      <c r="N216" s="22">
        <v>33834</v>
      </c>
      <c r="O216" s="22">
        <v>46436</v>
      </c>
      <c r="P216" s="21">
        <v>0</v>
      </c>
      <c r="Q216" s="22"/>
      <c r="R216" s="22"/>
      <c r="S216" s="21">
        <v>0</v>
      </c>
      <c r="T216" s="21">
        <v>-308754</v>
      </c>
      <c r="U216" s="21">
        <v>-1452240</v>
      </c>
      <c r="V216" s="21">
        <v>-1581574</v>
      </c>
      <c r="W216" s="21">
        <v>-1687685</v>
      </c>
      <c r="X216" s="21">
        <v>-1687685</v>
      </c>
      <c r="Y216" s="21">
        <v>-1687685</v>
      </c>
      <c r="Z216" s="21">
        <v>-1539380</v>
      </c>
      <c r="AA216" s="21">
        <f>-IFERROR(VLOOKUP(C216,'전사시산표(3단계)_1013'!$C:$L,10,0),0)</f>
        <v>-1514675</v>
      </c>
      <c r="AB216" s="22"/>
      <c r="AC216" s="22"/>
      <c r="AD216" s="21">
        <f t="shared" si="31"/>
        <v>-1514675</v>
      </c>
      <c r="AE216" s="21">
        <f t="shared" si="35"/>
        <v>173010</v>
      </c>
      <c r="AF216" s="38">
        <f t="shared" si="34"/>
        <v>-0.10251320595964294</v>
      </c>
      <c r="AG216" s="630" t="b">
        <f t="shared" si="32"/>
        <v>1</v>
      </c>
    </row>
    <row r="217" spans="1:36">
      <c r="B217" s="55" t="s">
        <v>276</v>
      </c>
      <c r="C217" s="56">
        <v>42010</v>
      </c>
      <c r="D217" s="56"/>
      <c r="E217" s="57" t="s">
        <v>139</v>
      </c>
      <c r="F217" s="57"/>
      <c r="G217" s="59">
        <f>SUM(G218:G219)</f>
        <v>0</v>
      </c>
      <c r="H217" s="59">
        <f>SUM(H218:H219)</f>
        <v>0</v>
      </c>
      <c r="I217" s="59">
        <v>0</v>
      </c>
      <c r="J217" s="59">
        <v>0</v>
      </c>
      <c r="K217" s="59">
        <v>0</v>
      </c>
      <c r="L217" s="59">
        <v>0</v>
      </c>
      <c r="M217" s="59">
        <v>0</v>
      </c>
      <c r="N217" s="59">
        <v>0</v>
      </c>
      <c r="O217" s="59">
        <v>0</v>
      </c>
      <c r="P217" s="59">
        <v>0</v>
      </c>
      <c r="Q217" s="59">
        <v>0</v>
      </c>
      <c r="R217" s="59">
        <v>0</v>
      </c>
      <c r="S217" s="61">
        <v>0</v>
      </c>
      <c r="T217" s="61">
        <v>0</v>
      </c>
      <c r="U217" s="59">
        <v>0</v>
      </c>
      <c r="V217" s="59">
        <v>0</v>
      </c>
      <c r="W217" s="59">
        <v>6147653476</v>
      </c>
      <c r="X217" s="59">
        <v>6266882543</v>
      </c>
      <c r="Y217" s="59">
        <v>5987797404</v>
      </c>
      <c r="Z217" s="59">
        <v>2963145858</v>
      </c>
      <c r="AA217" s="59">
        <f>SUM(AA218:AA219)</f>
        <v>3468970144</v>
      </c>
      <c r="AB217" s="59">
        <f>SUM(AB218:AB219)</f>
        <v>0</v>
      </c>
      <c r="AC217" s="59">
        <f>SUM(AC218:AC219)</f>
        <v>0</v>
      </c>
      <c r="AD217" s="61">
        <f>AA217-AB217+AC217</f>
        <v>3468970144</v>
      </c>
      <c r="AE217" s="61">
        <f t="shared" si="35"/>
        <v>-2797912399</v>
      </c>
      <c r="AF217" s="62">
        <f t="shared" si="34"/>
        <v>-0.44646000300822936</v>
      </c>
      <c r="AG217" s="630" t="b">
        <f t="shared" si="32"/>
        <v>1</v>
      </c>
      <c r="AH217" s="11"/>
      <c r="AI217" s="11"/>
      <c r="AJ217" s="11"/>
    </row>
    <row r="218" spans="1:36">
      <c r="B218" s="1" t="s">
        <v>285</v>
      </c>
      <c r="C218" s="2">
        <v>420710</v>
      </c>
      <c r="D218" s="2" t="s">
        <v>634</v>
      </c>
      <c r="E218" s="3" t="s">
        <v>315</v>
      </c>
      <c r="F218" s="3" t="s">
        <v>157</v>
      </c>
      <c r="G218" s="30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1"/>
      <c r="R218" s="21"/>
      <c r="S218" s="21">
        <v>0</v>
      </c>
      <c r="T218" s="517">
        <v>0</v>
      </c>
      <c r="U218" s="517">
        <v>0</v>
      </c>
      <c r="V218" s="517">
        <v>0</v>
      </c>
      <c r="W218" s="517">
        <v>0</v>
      </c>
      <c r="X218" s="517">
        <v>0</v>
      </c>
      <c r="Y218" s="517">
        <v>0</v>
      </c>
      <c r="Z218" s="517">
        <v>0</v>
      </c>
      <c r="AA218" s="517">
        <f>-IFERROR(VLOOKUP(C218,'전사시산표(3단계)_1013'!$C:$L,10,0),0)</f>
        <v>0</v>
      </c>
      <c r="AB218" s="517"/>
      <c r="AC218" s="517"/>
      <c r="AD218" s="517">
        <f>AA218+AB218-AC218</f>
        <v>0</v>
      </c>
      <c r="AE218" s="21">
        <f t="shared" si="35"/>
        <v>0</v>
      </c>
      <c r="AF218" s="38" t="str">
        <f t="shared" si="34"/>
        <v/>
      </c>
      <c r="AG218" s="630" t="b">
        <f t="shared" si="32"/>
        <v>1</v>
      </c>
      <c r="AH218" s="11"/>
      <c r="AI218" s="11"/>
      <c r="AJ218" s="11"/>
    </row>
    <row r="219" spans="1:36">
      <c r="B219" s="1" t="s">
        <v>285</v>
      </c>
      <c r="C219" s="2">
        <v>420780</v>
      </c>
      <c r="D219" s="2" t="s">
        <v>634</v>
      </c>
      <c r="E219" s="3" t="s">
        <v>137</v>
      </c>
      <c r="F219" s="3" t="s">
        <v>157</v>
      </c>
      <c r="G219" s="30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1"/>
      <c r="R219" s="21"/>
      <c r="S219" s="21">
        <v>0</v>
      </c>
      <c r="T219" s="517">
        <v>0</v>
      </c>
      <c r="U219" s="517">
        <v>0</v>
      </c>
      <c r="V219" s="517">
        <v>0</v>
      </c>
      <c r="W219" s="517">
        <v>6147653476</v>
      </c>
      <c r="X219" s="517">
        <v>6266882543</v>
      </c>
      <c r="Y219" s="517">
        <v>5987797404</v>
      </c>
      <c r="Z219" s="517">
        <v>2963145858</v>
      </c>
      <c r="AA219" s="517">
        <f>-IFERROR(VLOOKUP(C219,'전사시산표(3단계)_1013'!$C:$L,10,0),0)</f>
        <v>3468970144</v>
      </c>
      <c r="AB219" s="517"/>
      <c r="AC219" s="517"/>
      <c r="AD219" s="517">
        <f>AA219+AB219-AC219</f>
        <v>3468970144</v>
      </c>
      <c r="AE219" s="21">
        <f t="shared" si="35"/>
        <v>-2797912399</v>
      </c>
      <c r="AF219" s="38">
        <f t="shared" si="34"/>
        <v>-0.44646000300822936</v>
      </c>
      <c r="AG219" s="630" t="b">
        <f t="shared" si="32"/>
        <v>1</v>
      </c>
      <c r="AH219" s="11"/>
      <c r="AI219" s="11"/>
      <c r="AJ219" s="11"/>
    </row>
    <row r="220" spans="1:36">
      <c r="B220" s="55" t="s">
        <v>276</v>
      </c>
      <c r="C220" s="56">
        <v>42020</v>
      </c>
      <c r="D220" s="56"/>
      <c r="E220" s="57" t="s">
        <v>136</v>
      </c>
      <c r="F220" s="57"/>
      <c r="G220" s="59">
        <f>SUM(G221:G224)</f>
        <v>0</v>
      </c>
      <c r="H220" s="59">
        <f>SUM(H221:H224)</f>
        <v>0</v>
      </c>
      <c r="I220" s="59">
        <v>0</v>
      </c>
      <c r="J220" s="59">
        <v>0</v>
      </c>
      <c r="K220" s="59">
        <v>0</v>
      </c>
      <c r="L220" s="59">
        <v>0</v>
      </c>
      <c r="M220" s="59">
        <v>0</v>
      </c>
      <c r="N220" s="59">
        <v>0</v>
      </c>
      <c r="O220" s="59">
        <v>0</v>
      </c>
      <c r="P220" s="59">
        <v>0</v>
      </c>
      <c r="Q220" s="59">
        <v>0</v>
      </c>
      <c r="R220" s="59">
        <v>0</v>
      </c>
      <c r="S220" s="61">
        <v>0</v>
      </c>
      <c r="T220" s="61">
        <v>0</v>
      </c>
      <c r="U220" s="59">
        <v>0</v>
      </c>
      <c r="V220" s="59">
        <v>0</v>
      </c>
      <c r="W220" s="59">
        <v>0</v>
      </c>
      <c r="X220" s="59">
        <v>0</v>
      </c>
      <c r="Y220" s="59">
        <v>0</v>
      </c>
      <c r="Z220" s="59">
        <v>0</v>
      </c>
      <c r="AA220" s="59">
        <f>SUM(AA221:AA228)</f>
        <v>0</v>
      </c>
      <c r="AB220" s="59">
        <f>SUM(AB221:AB228)</f>
        <v>0</v>
      </c>
      <c r="AC220" s="59">
        <f>SUM(AC221:AC228)</f>
        <v>0</v>
      </c>
      <c r="AD220" s="61">
        <f>AA220-AB220+AC220</f>
        <v>0</v>
      </c>
      <c r="AE220" s="61">
        <f t="shared" si="35"/>
        <v>0</v>
      </c>
      <c r="AF220" s="62" t="str">
        <f t="shared" si="34"/>
        <v/>
      </c>
      <c r="AG220" s="630" t="b">
        <f t="shared" si="32"/>
        <v>1</v>
      </c>
      <c r="AH220" s="11"/>
      <c r="AI220" s="11"/>
      <c r="AJ220" s="11"/>
    </row>
    <row r="221" spans="1:36">
      <c r="B221" s="1" t="s">
        <v>285</v>
      </c>
      <c r="C221" s="2">
        <v>426101</v>
      </c>
      <c r="D221" s="2" t="s">
        <v>635</v>
      </c>
      <c r="E221" s="3" t="s">
        <v>135</v>
      </c>
      <c r="F221" s="3" t="s">
        <v>157</v>
      </c>
      <c r="G221" s="30">
        <v>-7046510277</v>
      </c>
      <c r="H221" s="21">
        <v>-47208069900</v>
      </c>
      <c r="I221" s="21">
        <v>-5261825101</v>
      </c>
      <c r="J221" s="21">
        <v>-5520800389</v>
      </c>
      <c r="K221" s="21">
        <v>-5182006294</v>
      </c>
      <c r="L221" s="21">
        <v>-4237426730</v>
      </c>
      <c r="M221" s="21">
        <v>-1162400489</v>
      </c>
      <c r="N221" s="21">
        <v>-1601057388</v>
      </c>
      <c r="O221" s="21">
        <v>-1297070233</v>
      </c>
      <c r="P221" s="21">
        <v>-2217967423</v>
      </c>
      <c r="Q221" s="21"/>
      <c r="R221" s="21"/>
      <c r="S221" s="21">
        <v>-2217967423</v>
      </c>
      <c r="T221" s="517">
        <v>-2463716271</v>
      </c>
      <c r="U221" s="517">
        <v>-2434536509</v>
      </c>
      <c r="V221" s="517">
        <v>-2551942405</v>
      </c>
      <c r="W221" s="517">
        <v>-2696750417</v>
      </c>
      <c r="X221" s="517">
        <v>-2802206330</v>
      </c>
      <c r="Y221" s="517">
        <v>0</v>
      </c>
      <c r="Z221" s="517">
        <v>0</v>
      </c>
      <c r="AA221" s="517">
        <f>-IFERROR(VLOOKUP(C221,'전사시산표(3단계)_1013'!$C:$L,10,0),0)</f>
        <v>0</v>
      </c>
      <c r="AB221" s="517"/>
      <c r="AC221" s="517"/>
      <c r="AD221" s="517">
        <f t="shared" ref="AD221:AD228" si="43">AA221+AB221-AC221</f>
        <v>0</v>
      </c>
      <c r="AE221" s="21">
        <f t="shared" si="35"/>
        <v>2802206330</v>
      </c>
      <c r="AF221" s="38">
        <f t="shared" si="34"/>
        <v>-1</v>
      </c>
      <c r="AG221" s="630" t="b">
        <f t="shared" si="32"/>
        <v>1</v>
      </c>
      <c r="AH221" s="11"/>
      <c r="AI221" s="11"/>
      <c r="AJ221" s="11"/>
    </row>
    <row r="222" spans="1:36">
      <c r="B222" s="1" t="s">
        <v>285</v>
      </c>
      <c r="C222" s="2">
        <v>426102</v>
      </c>
      <c r="D222" s="2" t="s">
        <v>635</v>
      </c>
      <c r="E222" s="3" t="s">
        <v>134</v>
      </c>
      <c r="F222" s="3" t="s">
        <v>157</v>
      </c>
      <c r="G222" s="30">
        <v>55716373</v>
      </c>
      <c r="H222" s="21">
        <v>112126600</v>
      </c>
      <c r="I222" s="21">
        <v>856398506</v>
      </c>
      <c r="J222" s="21">
        <v>925121800</v>
      </c>
      <c r="K222" s="21">
        <v>1139596094</v>
      </c>
      <c r="L222" s="21">
        <v>1059650573</v>
      </c>
      <c r="M222" s="21">
        <v>805884532</v>
      </c>
      <c r="N222" s="21">
        <v>1067391765</v>
      </c>
      <c r="O222" s="21">
        <v>680578262</v>
      </c>
      <c r="P222" s="21">
        <v>1265228156</v>
      </c>
      <c r="Q222" s="21"/>
      <c r="R222" s="21"/>
      <c r="S222" s="21">
        <v>1265228156</v>
      </c>
      <c r="T222" s="517">
        <v>1343081000</v>
      </c>
      <c r="U222" s="517">
        <v>748677293</v>
      </c>
      <c r="V222" s="517">
        <v>902501008</v>
      </c>
      <c r="W222" s="517">
        <v>1163879467</v>
      </c>
      <c r="X222" s="517">
        <v>879534884</v>
      </c>
      <c r="Y222" s="517">
        <v>0</v>
      </c>
      <c r="Z222" s="517">
        <v>0</v>
      </c>
      <c r="AA222" s="517">
        <f>-IFERROR(VLOOKUP(C222,'전사시산표(3단계)_1013'!$C:$L,10,0),0)</f>
        <v>0</v>
      </c>
      <c r="AB222" s="517"/>
      <c r="AC222" s="517"/>
      <c r="AD222" s="517">
        <f t="shared" si="43"/>
        <v>0</v>
      </c>
      <c r="AE222" s="21">
        <f t="shared" si="35"/>
        <v>-879534884</v>
      </c>
      <c r="AF222" s="38">
        <f t="shared" si="34"/>
        <v>-1</v>
      </c>
      <c r="AG222" s="630" t="b">
        <f t="shared" si="32"/>
        <v>1</v>
      </c>
      <c r="AH222" s="11"/>
      <c r="AI222" s="11"/>
      <c r="AJ222" s="11"/>
    </row>
    <row r="223" spans="1:36">
      <c r="B223" s="1" t="s">
        <v>285</v>
      </c>
      <c r="C223" s="2">
        <v>426220</v>
      </c>
      <c r="D223" s="2" t="s">
        <v>635</v>
      </c>
      <c r="E223" s="3" t="s">
        <v>133</v>
      </c>
      <c r="F223" s="3" t="s">
        <v>157</v>
      </c>
      <c r="G223" s="30">
        <v>6990793817</v>
      </c>
      <c r="H223" s="21">
        <v>22204009417</v>
      </c>
      <c r="I223" s="21">
        <v>-20486507288</v>
      </c>
      <c r="J223" s="21">
        <v>4595678589</v>
      </c>
      <c r="K223" s="21">
        <v>4042229333</v>
      </c>
      <c r="L223" s="21">
        <v>3177839554</v>
      </c>
      <c r="M223" s="21">
        <v>356966461</v>
      </c>
      <c r="N223" s="21">
        <v>533445737</v>
      </c>
      <c r="O223" s="21">
        <v>658019471</v>
      </c>
      <c r="P223" s="21">
        <v>714444528</v>
      </c>
      <c r="Q223" s="21"/>
      <c r="R223" s="21"/>
      <c r="S223" s="21">
        <v>714444528</v>
      </c>
      <c r="T223" s="517">
        <v>1222535206</v>
      </c>
      <c r="U223" s="517">
        <v>1753541710</v>
      </c>
      <c r="V223" s="517">
        <v>1813119050</v>
      </c>
      <c r="W223" s="517">
        <v>1692236533</v>
      </c>
      <c r="X223" s="517">
        <v>2073545778</v>
      </c>
      <c r="Y223" s="517">
        <v>0</v>
      </c>
      <c r="Z223" s="517">
        <v>0</v>
      </c>
      <c r="AA223" s="517">
        <f>-IFERROR(VLOOKUP(C223,'전사시산표(3단계)_1013'!$C:$L,10,0),0)</f>
        <v>0</v>
      </c>
      <c r="AB223" s="517"/>
      <c r="AC223" s="517"/>
      <c r="AD223" s="517">
        <f t="shared" si="43"/>
        <v>0</v>
      </c>
      <c r="AE223" s="21">
        <f t="shared" si="35"/>
        <v>-2073545778</v>
      </c>
      <c r="AF223" s="38">
        <f t="shared" si="34"/>
        <v>-1</v>
      </c>
      <c r="AG223" s="630" t="b">
        <f t="shared" si="32"/>
        <v>1</v>
      </c>
      <c r="AH223" s="11"/>
      <c r="AI223" s="11"/>
      <c r="AJ223" s="11"/>
    </row>
    <row r="224" spans="1:36">
      <c r="B224" s="1" t="s">
        <v>285</v>
      </c>
      <c r="C224" s="2">
        <v>426221</v>
      </c>
      <c r="D224" s="2" t="s">
        <v>635</v>
      </c>
      <c r="E224" s="3" t="s">
        <v>132</v>
      </c>
      <c r="F224" s="3" t="s">
        <v>157</v>
      </c>
      <c r="G224" s="30">
        <v>87</v>
      </c>
      <c r="H224" s="21">
        <v>24891933883</v>
      </c>
      <c r="I224" s="21">
        <v>24891933883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1"/>
      <c r="R224" s="21"/>
      <c r="S224" s="21">
        <v>0</v>
      </c>
      <c r="T224" s="517">
        <v>0</v>
      </c>
      <c r="U224" s="517">
        <v>0</v>
      </c>
      <c r="V224" s="517">
        <v>0</v>
      </c>
      <c r="W224" s="517">
        <v>0</v>
      </c>
      <c r="X224" s="517">
        <v>0</v>
      </c>
      <c r="Y224" s="517">
        <v>0</v>
      </c>
      <c r="Z224" s="517">
        <v>0</v>
      </c>
      <c r="AA224" s="517">
        <f>-IFERROR(VLOOKUP(C224,'전사시산표(3단계)_1013'!$C:$L,10,0),0)</f>
        <v>0</v>
      </c>
      <c r="AB224" s="517"/>
      <c r="AC224" s="517"/>
      <c r="AD224" s="517">
        <f t="shared" si="43"/>
        <v>0</v>
      </c>
      <c r="AE224" s="21">
        <f t="shared" si="35"/>
        <v>0</v>
      </c>
      <c r="AF224" s="38" t="str">
        <f t="shared" si="34"/>
        <v/>
      </c>
      <c r="AG224" s="630" t="b">
        <f t="shared" si="32"/>
        <v>1</v>
      </c>
      <c r="AH224" s="11"/>
      <c r="AI224" s="11"/>
      <c r="AJ224" s="11"/>
    </row>
    <row r="225" spans="1:36">
      <c r="B225" s="1" t="s">
        <v>285</v>
      </c>
      <c r="C225" s="2">
        <v>426250</v>
      </c>
      <c r="D225" s="2" t="s">
        <v>635</v>
      </c>
      <c r="E225" s="3" t="s">
        <v>1178</v>
      </c>
      <c r="F225" s="3" t="s">
        <v>157</v>
      </c>
      <c r="G225" s="31"/>
      <c r="H225" s="22"/>
      <c r="I225" s="22"/>
      <c r="J225" s="22"/>
      <c r="K225" s="22"/>
      <c r="L225" s="22"/>
      <c r="M225" s="22"/>
      <c r="N225" s="22"/>
      <c r="O225" s="22">
        <v>0</v>
      </c>
      <c r="P225" s="21">
        <v>3745934421</v>
      </c>
      <c r="Q225" s="21"/>
      <c r="R225" s="21"/>
      <c r="S225" s="21">
        <v>3745934421</v>
      </c>
      <c r="T225" s="517">
        <v>5129873</v>
      </c>
      <c r="U225" s="517">
        <v>41141219</v>
      </c>
      <c r="V225" s="517">
        <v>-13505553</v>
      </c>
      <c r="W225" s="517">
        <v>-22330637</v>
      </c>
      <c r="X225" s="517">
        <v>-19338625</v>
      </c>
      <c r="Y225" s="517">
        <v>0</v>
      </c>
      <c r="Z225" s="517">
        <v>0</v>
      </c>
      <c r="AA225" s="517">
        <f>-IFERROR(VLOOKUP(C225,'전사시산표(3단계)_1013'!$C:$L,10,0),0)</f>
        <v>0</v>
      </c>
      <c r="AB225" s="517"/>
      <c r="AC225" s="517"/>
      <c r="AD225" s="517">
        <f t="shared" si="43"/>
        <v>0</v>
      </c>
      <c r="AE225" s="21">
        <f t="shared" si="35"/>
        <v>19338625</v>
      </c>
      <c r="AF225" s="38">
        <f t="shared" si="34"/>
        <v>-1</v>
      </c>
      <c r="AG225" s="630" t="b">
        <f t="shared" si="32"/>
        <v>1</v>
      </c>
      <c r="AH225" s="11"/>
      <c r="AI225" s="11"/>
      <c r="AJ225" s="11"/>
    </row>
    <row r="226" spans="1:36">
      <c r="B226" s="1" t="s">
        <v>285</v>
      </c>
      <c r="C226" s="2">
        <v>426240</v>
      </c>
      <c r="D226" s="2" t="s">
        <v>635</v>
      </c>
      <c r="E226" s="3" t="s">
        <v>1179</v>
      </c>
      <c r="F226" s="3" t="s">
        <v>157</v>
      </c>
      <c r="G226" s="31"/>
      <c r="H226" s="22"/>
      <c r="I226" s="22"/>
      <c r="J226" s="22"/>
      <c r="K226" s="22"/>
      <c r="L226" s="22"/>
      <c r="M226" s="22"/>
      <c r="N226" s="22"/>
      <c r="O226" s="22">
        <v>-28944713</v>
      </c>
      <c r="P226" s="21">
        <v>0</v>
      </c>
      <c r="Q226" s="21"/>
      <c r="R226" s="21"/>
      <c r="S226" s="21">
        <v>0</v>
      </c>
      <c r="T226" s="517">
        <v>0</v>
      </c>
      <c r="U226" s="517">
        <v>0</v>
      </c>
      <c r="V226" s="517">
        <v>0</v>
      </c>
      <c r="W226" s="517">
        <v>0</v>
      </c>
      <c r="X226" s="517">
        <v>0</v>
      </c>
      <c r="Y226" s="517">
        <v>0</v>
      </c>
      <c r="Z226" s="517">
        <v>0</v>
      </c>
      <c r="AA226" s="517">
        <f>-IFERROR(VLOOKUP(C226,'전사시산표(3단계)_1013'!$C:$L,10,0),0)</f>
        <v>0</v>
      </c>
      <c r="AB226" s="517"/>
      <c r="AC226" s="517"/>
      <c r="AD226" s="517">
        <f t="shared" si="43"/>
        <v>0</v>
      </c>
      <c r="AE226" s="21">
        <f t="shared" si="35"/>
        <v>0</v>
      </c>
      <c r="AF226" s="38" t="str">
        <f t="shared" si="34"/>
        <v/>
      </c>
      <c r="AG226" s="630" t="b">
        <f t="shared" si="32"/>
        <v>1</v>
      </c>
      <c r="AH226" s="11"/>
      <c r="AI226" s="11"/>
      <c r="AJ226" s="11"/>
    </row>
    <row r="227" spans="1:36">
      <c r="B227" s="1" t="s">
        <v>285</v>
      </c>
      <c r="C227" s="2">
        <v>426500</v>
      </c>
      <c r="D227" s="2" t="s">
        <v>635</v>
      </c>
      <c r="E227" s="3" t="s">
        <v>1082</v>
      </c>
      <c r="F227" s="3" t="s">
        <v>157</v>
      </c>
      <c r="G227" s="31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66454</v>
      </c>
      <c r="N227" s="22">
        <v>188853</v>
      </c>
      <c r="O227" s="22">
        <v>406479</v>
      </c>
      <c r="P227" s="21">
        <v>8893822</v>
      </c>
      <c r="Q227" s="21"/>
      <c r="R227" s="21"/>
      <c r="S227" s="21">
        <v>8893822</v>
      </c>
      <c r="T227" s="517">
        <v>10857961</v>
      </c>
      <c r="U227" s="517">
        <v>9771750</v>
      </c>
      <c r="V227" s="517">
        <v>9815955</v>
      </c>
      <c r="W227" s="517">
        <v>9913234</v>
      </c>
      <c r="X227" s="517">
        <v>10021593</v>
      </c>
      <c r="Y227" s="517">
        <v>0</v>
      </c>
      <c r="Z227" s="517">
        <v>0</v>
      </c>
      <c r="AA227" s="517">
        <f>-IFERROR(VLOOKUP(C227,'전사시산표(3단계)_1013'!$C:$L,10,0),0)</f>
        <v>0</v>
      </c>
      <c r="AB227" s="517"/>
      <c r="AC227" s="517"/>
      <c r="AD227" s="517">
        <f t="shared" si="43"/>
        <v>0</v>
      </c>
      <c r="AE227" s="21">
        <f t="shared" si="35"/>
        <v>-10021593</v>
      </c>
      <c r="AF227" s="38">
        <f t="shared" si="34"/>
        <v>-1</v>
      </c>
      <c r="AG227" s="630" t="b">
        <f t="shared" si="32"/>
        <v>1</v>
      </c>
      <c r="AH227" s="11"/>
      <c r="AI227" s="11"/>
      <c r="AJ227" s="11"/>
    </row>
    <row r="228" spans="1:36" s="11" customFormat="1">
      <c r="A228" s="24"/>
      <c r="B228" s="7" t="s">
        <v>880</v>
      </c>
      <c r="C228" s="5">
        <v>426230</v>
      </c>
      <c r="D228" s="5" t="s">
        <v>635</v>
      </c>
      <c r="E228" s="6" t="s">
        <v>877</v>
      </c>
      <c r="F228" s="6" t="s">
        <v>157</v>
      </c>
      <c r="G228" s="31">
        <v>0</v>
      </c>
      <c r="H228" s="22">
        <v>0</v>
      </c>
      <c r="I228" s="22">
        <v>0</v>
      </c>
      <c r="J228" s="22">
        <v>0</v>
      </c>
      <c r="K228" s="22">
        <v>180867</v>
      </c>
      <c r="L228" s="22">
        <v>-63397</v>
      </c>
      <c r="M228" s="22">
        <v>-516958</v>
      </c>
      <c r="N228" s="22">
        <v>31033</v>
      </c>
      <c r="O228" s="22">
        <v>-12989266</v>
      </c>
      <c r="P228" s="22">
        <v>-3516533504</v>
      </c>
      <c r="Q228" s="22"/>
      <c r="R228" s="22"/>
      <c r="S228" s="21">
        <v>-3516533504</v>
      </c>
      <c r="T228" s="517">
        <v>-117887769</v>
      </c>
      <c r="U228" s="519">
        <v>-118595463</v>
      </c>
      <c r="V228" s="519">
        <v>-159988055</v>
      </c>
      <c r="W228" s="519">
        <v>-146948180</v>
      </c>
      <c r="X228" s="519">
        <v>-141557300</v>
      </c>
      <c r="Y228" s="519">
        <v>0</v>
      </c>
      <c r="Z228" s="519">
        <v>0</v>
      </c>
      <c r="AA228" s="519">
        <f>-IFERROR(VLOOKUP(C228,'전사시산표(3단계)_1013'!$C:$L,10,0),0)</f>
        <v>0</v>
      </c>
      <c r="AB228" s="519"/>
      <c r="AC228" s="519"/>
      <c r="AD228" s="517">
        <f t="shared" si="43"/>
        <v>0</v>
      </c>
      <c r="AE228" s="21">
        <f t="shared" si="35"/>
        <v>141557300</v>
      </c>
      <c r="AF228" s="38">
        <f t="shared" si="34"/>
        <v>-1</v>
      </c>
      <c r="AG228" s="630" t="b">
        <f t="shared" si="32"/>
        <v>1</v>
      </c>
    </row>
    <row r="229" spans="1:36">
      <c r="B229" s="55" t="s">
        <v>276</v>
      </c>
      <c r="C229" s="56">
        <v>42780</v>
      </c>
      <c r="D229" s="56"/>
      <c r="E229" s="57" t="s">
        <v>1124</v>
      </c>
      <c r="F229" s="57"/>
      <c r="G229" s="59">
        <f>G230</f>
        <v>0</v>
      </c>
      <c r="H229" s="59">
        <f t="shared" ref="H229:L229" si="44">H230</f>
        <v>0</v>
      </c>
      <c r="I229" s="59">
        <f t="shared" si="44"/>
        <v>0</v>
      </c>
      <c r="J229" s="59">
        <f t="shared" si="44"/>
        <v>0</v>
      </c>
      <c r="K229" s="59">
        <f t="shared" si="44"/>
        <v>0</v>
      </c>
      <c r="L229" s="59">
        <f t="shared" si="44"/>
        <v>0</v>
      </c>
      <c r="M229" s="59">
        <v>269700000</v>
      </c>
      <c r="N229" s="59">
        <v>269700000</v>
      </c>
      <c r="O229" s="59">
        <v>269700000</v>
      </c>
      <c r="P229" s="59">
        <v>269700000</v>
      </c>
      <c r="Q229" s="59">
        <v>0</v>
      </c>
      <c r="R229" s="59">
        <v>0</v>
      </c>
      <c r="S229" s="61">
        <v>269700000</v>
      </c>
      <c r="T229" s="61">
        <v>301700000</v>
      </c>
      <c r="U229" s="59">
        <v>301700000</v>
      </c>
      <c r="V229" s="59">
        <v>32000000</v>
      </c>
      <c r="W229" s="59">
        <v>32000000</v>
      </c>
      <c r="X229" s="59">
        <v>931395381</v>
      </c>
      <c r="Y229" s="59">
        <v>931395381</v>
      </c>
      <c r="Z229" s="59">
        <v>931395381</v>
      </c>
      <c r="AA229" s="59">
        <f>AA230</f>
        <v>931395381</v>
      </c>
      <c r="AB229" s="59">
        <f>SUM(AB230:AB232)</f>
        <v>0</v>
      </c>
      <c r="AC229" s="59">
        <f>SUM(AC230:AC232)</f>
        <v>0</v>
      </c>
      <c r="AD229" s="61">
        <f>AA229-AB229+AC229</f>
        <v>931395381</v>
      </c>
      <c r="AE229" s="61">
        <f t="shared" si="35"/>
        <v>0</v>
      </c>
      <c r="AF229" s="62">
        <f t="shared" si="34"/>
        <v>0</v>
      </c>
      <c r="AG229" s="630" t="b">
        <f t="shared" si="32"/>
        <v>1</v>
      </c>
    </row>
    <row r="230" spans="1:36" s="11" customFormat="1">
      <c r="A230" s="24"/>
      <c r="B230" s="7" t="s">
        <v>1125</v>
      </c>
      <c r="C230" s="5">
        <v>427800</v>
      </c>
      <c r="D230" s="5">
        <v>4072</v>
      </c>
      <c r="E230" s="6" t="s">
        <v>1124</v>
      </c>
      <c r="F230" s="6" t="s">
        <v>1123</v>
      </c>
      <c r="G230" s="31"/>
      <c r="H230" s="22"/>
      <c r="I230" s="22"/>
      <c r="J230" s="22"/>
      <c r="K230" s="22"/>
      <c r="L230" s="22"/>
      <c r="M230" s="22">
        <v>269700000</v>
      </c>
      <c r="N230" s="22">
        <v>269700000</v>
      </c>
      <c r="O230" s="22">
        <v>269700000</v>
      </c>
      <c r="P230" s="22">
        <v>269700000</v>
      </c>
      <c r="Q230" s="22"/>
      <c r="R230" s="22"/>
      <c r="S230" s="21">
        <v>269700000</v>
      </c>
      <c r="T230" s="21">
        <v>301700000</v>
      </c>
      <c r="U230" s="22">
        <v>301700000</v>
      </c>
      <c r="V230" s="22">
        <v>32000000</v>
      </c>
      <c r="W230" s="22">
        <v>32000000</v>
      </c>
      <c r="X230" s="22">
        <v>931395381</v>
      </c>
      <c r="Y230" s="22">
        <v>931395381</v>
      </c>
      <c r="Z230" s="22">
        <v>931395381</v>
      </c>
      <c r="AA230" s="22">
        <f>-IFERROR(VLOOKUP(C230,'전사시산표(3단계)_1013'!$C:$L,10,0),0)</f>
        <v>931395381</v>
      </c>
      <c r="AB230" s="22"/>
      <c r="AC230" s="22"/>
      <c r="AD230" s="21">
        <f>AA230-AB230+AC230</f>
        <v>931395381</v>
      </c>
      <c r="AE230" s="21">
        <f t="shared" si="35"/>
        <v>0</v>
      </c>
      <c r="AF230" s="38">
        <f t="shared" si="34"/>
        <v>0</v>
      </c>
      <c r="AG230" s="630" t="b">
        <f t="shared" si="32"/>
        <v>1</v>
      </c>
    </row>
    <row r="231" spans="1:36">
      <c r="B231" s="55" t="s">
        <v>290</v>
      </c>
      <c r="C231" s="56">
        <v>42200</v>
      </c>
      <c r="D231" s="56"/>
      <c r="E231" s="57" t="s">
        <v>131</v>
      </c>
      <c r="F231" s="57"/>
      <c r="G231" s="59">
        <f>SUM(G232:G234)</f>
        <v>9832043</v>
      </c>
      <c r="H231" s="59">
        <f>SUM(H232:H234)</f>
        <v>9832043</v>
      </c>
      <c r="I231" s="59">
        <v>9832043</v>
      </c>
      <c r="J231" s="59">
        <v>9832043</v>
      </c>
      <c r="K231" s="59">
        <v>135568285</v>
      </c>
      <c r="L231" s="59">
        <v>122948257</v>
      </c>
      <c r="M231" s="59">
        <f>SUM(M232:M234)</f>
        <v>9832043</v>
      </c>
      <c r="N231" s="59">
        <v>9832043</v>
      </c>
      <c r="O231" s="59">
        <v>9832043</v>
      </c>
      <c r="P231" s="59">
        <v>9832043</v>
      </c>
      <c r="Q231" s="59">
        <v>0</v>
      </c>
      <c r="R231" s="59">
        <v>0</v>
      </c>
      <c r="S231" s="61">
        <v>9832043</v>
      </c>
      <c r="T231" s="61">
        <v>9832043</v>
      </c>
      <c r="U231" s="59">
        <v>9832043</v>
      </c>
      <c r="V231" s="59">
        <v>9832043</v>
      </c>
      <c r="W231" s="59">
        <v>1311097043</v>
      </c>
      <c r="X231" s="59">
        <v>852655984</v>
      </c>
      <c r="Y231" s="59">
        <v>1755529043</v>
      </c>
      <c r="Z231" s="59">
        <v>4115175043</v>
      </c>
      <c r="AA231" s="59">
        <f>SUM(AA232:AA234)</f>
        <v>1253822743</v>
      </c>
      <c r="AB231" s="59">
        <f>SUM(AB232:AB234)</f>
        <v>0</v>
      </c>
      <c r="AC231" s="59">
        <f>SUM(AC232:AC234)</f>
        <v>0</v>
      </c>
      <c r="AD231" s="61">
        <f>AA231-AB231+AC231</f>
        <v>1253822743</v>
      </c>
      <c r="AE231" s="61">
        <f t="shared" si="35"/>
        <v>401166759</v>
      </c>
      <c r="AF231" s="62">
        <f t="shared" si="34"/>
        <v>0.47049075656284844</v>
      </c>
      <c r="AG231" s="630" t="b">
        <f t="shared" si="32"/>
        <v>1</v>
      </c>
    </row>
    <row r="232" spans="1:36" s="11" customFormat="1">
      <c r="A232" s="24"/>
      <c r="B232" s="1" t="s">
        <v>285</v>
      </c>
      <c r="C232" s="2">
        <v>422300</v>
      </c>
      <c r="D232" s="2" t="s">
        <v>627</v>
      </c>
      <c r="E232" s="3" t="s">
        <v>130</v>
      </c>
      <c r="F232" s="3" t="s">
        <v>480</v>
      </c>
      <c r="G232" s="30">
        <v>0</v>
      </c>
      <c r="H232" s="21">
        <v>0</v>
      </c>
      <c r="I232" s="21">
        <v>0</v>
      </c>
      <c r="J232" s="21">
        <v>0</v>
      </c>
      <c r="K232" s="21">
        <v>125736242</v>
      </c>
      <c r="L232" s="21">
        <v>113116214</v>
      </c>
      <c r="M232" s="21">
        <v>0</v>
      </c>
      <c r="N232" s="21">
        <v>0</v>
      </c>
      <c r="O232" s="21">
        <v>0</v>
      </c>
      <c r="P232" s="21">
        <v>0</v>
      </c>
      <c r="Q232" s="21"/>
      <c r="R232" s="21"/>
      <c r="S232" s="21">
        <v>0</v>
      </c>
      <c r="T232" s="21">
        <v>0</v>
      </c>
      <c r="U232" s="21">
        <v>0</v>
      </c>
      <c r="V232" s="21">
        <v>0</v>
      </c>
      <c r="W232" s="21">
        <v>1301265000</v>
      </c>
      <c r="X232" s="21">
        <v>842823941</v>
      </c>
      <c r="Y232" s="21">
        <v>1745697000</v>
      </c>
      <c r="Z232" s="21">
        <v>4105343000</v>
      </c>
      <c r="AA232" s="21">
        <f>-IFERROR(VLOOKUP(C232,'전사시산표(3단계)_1013'!$C:$L,10,0),0)</f>
        <v>1243990700</v>
      </c>
      <c r="AB232" s="21"/>
      <c r="AC232" s="21"/>
      <c r="AD232" s="21">
        <f>AA232+AB232-AC232</f>
        <v>1243990700</v>
      </c>
      <c r="AE232" s="21">
        <f t="shared" si="35"/>
        <v>401166759</v>
      </c>
      <c r="AF232" s="38">
        <f t="shared" si="34"/>
        <v>0.47597931131859006</v>
      </c>
      <c r="AG232" s="630" t="b">
        <f t="shared" si="32"/>
        <v>1</v>
      </c>
    </row>
    <row r="233" spans="1:36">
      <c r="B233" s="1" t="s">
        <v>285</v>
      </c>
      <c r="C233" s="2">
        <v>422400</v>
      </c>
      <c r="D233" s="2" t="s">
        <v>922</v>
      </c>
      <c r="E233" s="3" t="s">
        <v>129</v>
      </c>
      <c r="F233" s="3" t="s">
        <v>927</v>
      </c>
      <c r="G233" s="30">
        <v>9535843</v>
      </c>
      <c r="H233" s="21">
        <v>9535843</v>
      </c>
      <c r="I233" s="21">
        <v>9535843</v>
      </c>
      <c r="J233" s="21">
        <v>9535843</v>
      </c>
      <c r="K233" s="21">
        <v>9535843</v>
      </c>
      <c r="L233" s="21">
        <v>9535843</v>
      </c>
      <c r="M233" s="21">
        <v>9535843</v>
      </c>
      <c r="N233" s="21">
        <v>9535843</v>
      </c>
      <c r="O233" s="21">
        <v>9535843</v>
      </c>
      <c r="P233" s="21">
        <v>9535843</v>
      </c>
      <c r="Q233" s="21"/>
      <c r="R233" s="21"/>
      <c r="S233" s="21">
        <v>9535843</v>
      </c>
      <c r="T233" s="517">
        <v>9535843</v>
      </c>
      <c r="U233" s="517">
        <v>9535843</v>
      </c>
      <c r="V233" s="517">
        <v>9535843</v>
      </c>
      <c r="W233" s="517">
        <v>9535843</v>
      </c>
      <c r="X233" s="517">
        <v>9535843</v>
      </c>
      <c r="Y233" s="517">
        <v>9535843</v>
      </c>
      <c r="Z233" s="517">
        <v>9535843</v>
      </c>
      <c r="AA233" s="517">
        <f>-IFERROR(VLOOKUP(C233,'전사시산표(3단계)_1013'!$C:$L,10,0),0)</f>
        <v>9535843</v>
      </c>
      <c r="AB233" s="517"/>
      <c r="AC233" s="517"/>
      <c r="AD233" s="517">
        <f>AA233-AB233+AC233</f>
        <v>9535843</v>
      </c>
      <c r="AE233" s="21">
        <f t="shared" si="35"/>
        <v>0</v>
      </c>
      <c r="AF233" s="38">
        <f t="shared" si="34"/>
        <v>0</v>
      </c>
      <c r="AG233" s="630" t="b">
        <f t="shared" si="32"/>
        <v>1</v>
      </c>
    </row>
    <row r="234" spans="1:36">
      <c r="B234" s="1" t="s">
        <v>285</v>
      </c>
      <c r="C234" s="2">
        <v>422401</v>
      </c>
      <c r="D234" s="2" t="s">
        <v>922</v>
      </c>
      <c r="E234" s="3" t="s">
        <v>128</v>
      </c>
      <c r="F234" s="3" t="s">
        <v>928</v>
      </c>
      <c r="G234" s="30">
        <v>296200</v>
      </c>
      <c r="H234" s="21">
        <v>296200</v>
      </c>
      <c r="I234" s="21">
        <v>296200</v>
      </c>
      <c r="J234" s="21">
        <v>296200</v>
      </c>
      <c r="K234" s="21">
        <v>296200</v>
      </c>
      <c r="L234" s="21">
        <v>296200</v>
      </c>
      <c r="M234" s="21">
        <v>296200</v>
      </c>
      <c r="N234" s="21">
        <v>296200</v>
      </c>
      <c r="O234" s="21">
        <v>296200</v>
      </c>
      <c r="P234" s="21">
        <v>296200</v>
      </c>
      <c r="Q234" s="21"/>
      <c r="R234" s="21"/>
      <c r="S234" s="21">
        <v>296200</v>
      </c>
      <c r="T234" s="517">
        <v>296200</v>
      </c>
      <c r="U234" s="517">
        <v>296200</v>
      </c>
      <c r="V234" s="517">
        <v>296200</v>
      </c>
      <c r="W234" s="517">
        <v>296200</v>
      </c>
      <c r="X234" s="517">
        <v>296200</v>
      </c>
      <c r="Y234" s="517">
        <v>296200</v>
      </c>
      <c r="Z234" s="517">
        <v>296200</v>
      </c>
      <c r="AA234" s="517">
        <f>-IFERROR(VLOOKUP(C234,'전사시산표(3단계)_1013'!$C:$L,10,0),0)</f>
        <v>296200</v>
      </c>
      <c r="AB234" s="517"/>
      <c r="AC234" s="517"/>
      <c r="AD234" s="517">
        <f>AA234-AB234+AC234</f>
        <v>296200</v>
      </c>
      <c r="AE234" s="21">
        <f t="shared" si="35"/>
        <v>0</v>
      </c>
      <c r="AF234" s="38">
        <f t="shared" si="34"/>
        <v>0</v>
      </c>
      <c r="AG234" s="630" t="b">
        <f t="shared" si="32"/>
        <v>1</v>
      </c>
    </row>
    <row r="235" spans="1:36">
      <c r="B235" s="55" t="s">
        <v>290</v>
      </c>
      <c r="C235" s="56">
        <v>42400</v>
      </c>
      <c r="D235" s="56"/>
      <c r="E235" s="57" t="s">
        <v>127</v>
      </c>
      <c r="F235" s="57"/>
      <c r="G235" s="59">
        <f>SUM(G239)</f>
        <v>0</v>
      </c>
      <c r="H235" s="59">
        <f>SUM(H239)</f>
        <v>0</v>
      </c>
      <c r="I235" s="59">
        <v>0</v>
      </c>
      <c r="J235" s="59">
        <v>67958901</v>
      </c>
      <c r="K235" s="59">
        <v>45470688</v>
      </c>
      <c r="L235" s="59">
        <v>22735350</v>
      </c>
      <c r="M235" s="59">
        <v>0</v>
      </c>
      <c r="N235" s="59">
        <v>0</v>
      </c>
      <c r="O235" s="59">
        <v>0</v>
      </c>
      <c r="P235" s="59">
        <v>0</v>
      </c>
      <c r="Q235" s="59">
        <v>0</v>
      </c>
      <c r="R235" s="59">
        <v>0</v>
      </c>
      <c r="S235" s="61">
        <v>0</v>
      </c>
      <c r="T235" s="61">
        <v>0</v>
      </c>
      <c r="U235" s="59">
        <v>0</v>
      </c>
      <c r="V235" s="59">
        <v>454384867</v>
      </c>
      <c r="W235" s="59">
        <v>282354382</v>
      </c>
      <c r="X235" s="59">
        <v>110323897</v>
      </c>
      <c r="Y235" s="59">
        <v>408509952</v>
      </c>
      <c r="Z235" s="59">
        <v>273321759</v>
      </c>
      <c r="AA235" s="59">
        <f>SUM(AA236:AA239)</f>
        <v>136661033</v>
      </c>
      <c r="AB235" s="59">
        <f>SUM(AB239)</f>
        <v>0</v>
      </c>
      <c r="AC235" s="59">
        <f>SUM(AC239)</f>
        <v>0</v>
      </c>
      <c r="AD235" s="61">
        <f>AA235-AB235+AC235</f>
        <v>136661033</v>
      </c>
      <c r="AE235" s="61">
        <f t="shared" si="35"/>
        <v>26337136</v>
      </c>
      <c r="AF235" s="62">
        <f t="shared" si="34"/>
        <v>0.23872557728811919</v>
      </c>
      <c r="AG235" s="630" t="b">
        <f t="shared" si="32"/>
        <v>1</v>
      </c>
    </row>
    <row r="236" spans="1:36" s="11" customFormat="1">
      <c r="A236" s="24"/>
      <c r="B236" s="1" t="s">
        <v>291</v>
      </c>
      <c r="C236" s="2">
        <v>424200</v>
      </c>
      <c r="D236" s="2">
        <v>4141</v>
      </c>
      <c r="E236" s="3" t="s">
        <v>1319</v>
      </c>
      <c r="F236" s="3" t="s">
        <v>927</v>
      </c>
      <c r="G236" s="3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>
        <v>454384867</v>
      </c>
      <c r="W236" s="21">
        <v>282354382</v>
      </c>
      <c r="X236" s="21">
        <v>110323897</v>
      </c>
      <c r="Y236" s="21">
        <v>408496732</v>
      </c>
      <c r="Z236" s="21">
        <v>273321449</v>
      </c>
      <c r="AA236" s="21">
        <f>-IFERROR(VLOOKUP(C236,'전사시산표(3단계)_1013'!$C:$L,10,0),0)</f>
        <v>136660723</v>
      </c>
      <c r="AB236" s="21"/>
      <c r="AC236" s="21"/>
      <c r="AD236" s="21">
        <f>AA236-AB236+AC236</f>
        <v>136660723</v>
      </c>
      <c r="AE236" s="21">
        <f t="shared" si="35"/>
        <v>26336826</v>
      </c>
      <c r="AF236" s="38">
        <f t="shared" si="34"/>
        <v>0.23872276738012618</v>
      </c>
      <c r="AG236" s="630" t="b">
        <f t="shared" si="32"/>
        <v>1</v>
      </c>
    </row>
    <row r="237" spans="1:36" s="11" customFormat="1">
      <c r="A237" s="24"/>
      <c r="B237" s="1" t="s">
        <v>291</v>
      </c>
      <c r="C237" s="2">
        <v>424304</v>
      </c>
      <c r="D237" s="2">
        <v>4141</v>
      </c>
      <c r="E237" s="3" t="s">
        <v>878</v>
      </c>
      <c r="F237" s="3" t="s">
        <v>927</v>
      </c>
      <c r="G237" s="3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>
        <v>12910</v>
      </c>
      <c r="Z237" s="21">
        <v>0</v>
      </c>
      <c r="AA237" s="21">
        <f>-IFERROR(VLOOKUP(C237,'전사시산표(3단계)_1013'!$C:$L,10,0),0)</f>
        <v>0</v>
      </c>
      <c r="AB237" s="21"/>
      <c r="AC237" s="21"/>
      <c r="AD237" s="21">
        <f t="shared" ref="AD237:AD238" si="45">AA237-AB237+AC237</f>
        <v>0</v>
      </c>
      <c r="AE237" s="21">
        <f t="shared" si="35"/>
        <v>0</v>
      </c>
      <c r="AF237" s="38"/>
      <c r="AG237" s="721" t="b">
        <f t="shared" si="32"/>
        <v>1</v>
      </c>
    </row>
    <row r="238" spans="1:36" s="11" customFormat="1">
      <c r="A238" s="24"/>
      <c r="B238" s="1" t="s">
        <v>291</v>
      </c>
      <c r="C238" s="2">
        <v>424600</v>
      </c>
      <c r="D238" s="2">
        <v>4141</v>
      </c>
      <c r="E238" s="3" t="s">
        <v>1555</v>
      </c>
      <c r="F238" s="3" t="s">
        <v>927</v>
      </c>
      <c r="G238" s="3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>
        <v>310</v>
      </c>
      <c r="Z238" s="21">
        <v>310</v>
      </c>
      <c r="AA238" s="21">
        <f>-IFERROR(VLOOKUP(C238,'전사시산표(3단계)_1013'!$C:$L,10,0),0)</f>
        <v>310</v>
      </c>
      <c r="AB238" s="21"/>
      <c r="AC238" s="21"/>
      <c r="AD238" s="21">
        <f t="shared" si="45"/>
        <v>310</v>
      </c>
      <c r="AE238" s="21">
        <f t="shared" si="35"/>
        <v>310</v>
      </c>
      <c r="AF238" s="38"/>
      <c r="AG238" s="721" t="b">
        <f t="shared" si="32"/>
        <v>1</v>
      </c>
    </row>
    <row r="239" spans="1:36">
      <c r="B239" s="1" t="s">
        <v>285</v>
      </c>
      <c r="C239" s="2">
        <v>424300</v>
      </c>
      <c r="D239" s="2" t="s">
        <v>922</v>
      </c>
      <c r="E239" s="3" t="s">
        <v>725</v>
      </c>
      <c r="F239" s="3" t="s">
        <v>928</v>
      </c>
      <c r="G239" s="30">
        <v>0</v>
      </c>
      <c r="H239" s="21">
        <v>0</v>
      </c>
      <c r="I239" s="21">
        <v>0</v>
      </c>
      <c r="J239" s="21">
        <v>67958901</v>
      </c>
      <c r="K239" s="21">
        <v>45470688</v>
      </c>
      <c r="L239" s="21">
        <v>22735350</v>
      </c>
      <c r="M239" s="21">
        <v>0</v>
      </c>
      <c r="N239" s="21">
        <v>0</v>
      </c>
      <c r="O239" s="21">
        <v>0</v>
      </c>
      <c r="P239" s="21">
        <v>0</v>
      </c>
      <c r="Q239" s="21"/>
      <c r="R239" s="21"/>
      <c r="S239" s="21">
        <v>0</v>
      </c>
      <c r="T239" s="517">
        <v>0</v>
      </c>
      <c r="U239" s="517">
        <v>0</v>
      </c>
      <c r="V239" s="517">
        <v>0</v>
      </c>
      <c r="W239" s="517">
        <v>0</v>
      </c>
      <c r="X239" s="517">
        <v>0</v>
      </c>
      <c r="Y239" s="517">
        <v>0</v>
      </c>
      <c r="Z239" s="517">
        <v>0</v>
      </c>
      <c r="AA239" s="517">
        <f>-IFERROR(VLOOKUP(C239,'전사시산표(3단계)_1013'!$C:$L,10,0),0)</f>
        <v>0</v>
      </c>
      <c r="AB239" s="517"/>
      <c r="AC239" s="517"/>
      <c r="AD239" s="517">
        <f>AA239-AB239+AC239</f>
        <v>0</v>
      </c>
      <c r="AE239" s="21">
        <f t="shared" si="35"/>
        <v>0</v>
      </c>
      <c r="AF239" s="38" t="str">
        <f t="shared" ref="AF239:AF270" si="46">IFERROR(AE239/X239,"")</f>
        <v/>
      </c>
      <c r="AG239" s="721" t="b">
        <f t="shared" si="32"/>
        <v>1</v>
      </c>
    </row>
    <row r="240" spans="1:36">
      <c r="B240" s="55" t="s">
        <v>824</v>
      </c>
      <c r="C240" s="56">
        <v>42700</v>
      </c>
      <c r="D240" s="56"/>
      <c r="E240" s="57" t="s">
        <v>796</v>
      </c>
      <c r="F240" s="57"/>
      <c r="G240" s="59"/>
      <c r="H240" s="59"/>
      <c r="I240" s="59"/>
      <c r="J240" s="59">
        <v>11552052802</v>
      </c>
      <c r="K240" s="59">
        <v>11658432797</v>
      </c>
      <c r="L240" s="59">
        <v>11927352300</v>
      </c>
      <c r="M240" s="59">
        <v>12019055167</v>
      </c>
      <c r="N240" s="59">
        <v>11753370412</v>
      </c>
      <c r="O240" s="59">
        <v>10805362473</v>
      </c>
      <c r="P240" s="59">
        <v>9956224127</v>
      </c>
      <c r="Q240" s="59">
        <v>0</v>
      </c>
      <c r="R240" s="59">
        <v>0</v>
      </c>
      <c r="S240" s="61">
        <v>9956224127</v>
      </c>
      <c r="T240" s="61">
        <v>11298011576</v>
      </c>
      <c r="U240" s="59">
        <v>10104089302</v>
      </c>
      <c r="V240" s="59">
        <v>11041395567</v>
      </c>
      <c r="W240" s="59">
        <v>10795429386</v>
      </c>
      <c r="X240" s="59">
        <v>11582857466</v>
      </c>
      <c r="Y240" s="59">
        <v>13686354468</v>
      </c>
      <c r="Z240" s="59">
        <v>11702237092</v>
      </c>
      <c r="AA240" s="59">
        <f>AA241</f>
        <v>13250424846</v>
      </c>
      <c r="AB240" s="59">
        <f t="shared" ref="AB240:AD242" si="47">AB241</f>
        <v>0</v>
      </c>
      <c r="AC240" s="59">
        <f t="shared" si="47"/>
        <v>0</v>
      </c>
      <c r="AD240" s="61">
        <f t="shared" si="47"/>
        <v>13250424846</v>
      </c>
      <c r="AE240" s="61">
        <f t="shared" si="35"/>
        <v>1667567380</v>
      </c>
      <c r="AF240" s="62">
        <f t="shared" si="46"/>
        <v>0.14396856603777877</v>
      </c>
      <c r="AG240" s="630" t="b">
        <f t="shared" si="32"/>
        <v>1</v>
      </c>
    </row>
    <row r="241" spans="1:35">
      <c r="B241" s="7" t="s">
        <v>822</v>
      </c>
      <c r="C241" s="5">
        <v>427400</v>
      </c>
      <c r="D241" s="5" t="s">
        <v>921</v>
      </c>
      <c r="E241" s="6" t="s">
        <v>797</v>
      </c>
      <c r="F241" s="6" t="s">
        <v>1097</v>
      </c>
      <c r="G241" s="31"/>
      <c r="H241" s="22"/>
      <c r="I241" s="22"/>
      <c r="J241" s="22">
        <v>11552052802</v>
      </c>
      <c r="K241" s="21">
        <v>11658432797</v>
      </c>
      <c r="L241" s="21">
        <v>11927352300</v>
      </c>
      <c r="M241" s="21">
        <v>12019055167</v>
      </c>
      <c r="N241" s="21">
        <v>11753370412</v>
      </c>
      <c r="O241" s="21">
        <v>10805362473</v>
      </c>
      <c r="P241" s="21">
        <v>9956224127</v>
      </c>
      <c r="Q241" s="22"/>
      <c r="R241" s="22"/>
      <c r="S241" s="21">
        <v>9956224127</v>
      </c>
      <c r="T241" s="517">
        <v>11298011576</v>
      </c>
      <c r="U241" s="517">
        <v>10104089302</v>
      </c>
      <c r="V241" s="517">
        <v>11041395567</v>
      </c>
      <c r="W241" s="517">
        <v>10795429386</v>
      </c>
      <c r="X241" s="517">
        <v>11582857466</v>
      </c>
      <c r="Y241" s="517">
        <v>13686354468</v>
      </c>
      <c r="Z241" s="517">
        <v>11702237092</v>
      </c>
      <c r="AA241" s="517">
        <f>-IFERROR(VLOOKUP(C241,'전사시산표(3단계)_1013'!$C:$L,10,0),0)</f>
        <v>13250424846</v>
      </c>
      <c r="AB241" s="519"/>
      <c r="AC241" s="519"/>
      <c r="AD241" s="517">
        <f t="shared" ref="AD241:AD249" si="48">AA241-AB241+AC241</f>
        <v>13250424846</v>
      </c>
      <c r="AE241" s="21">
        <f t="shared" si="35"/>
        <v>1667567380</v>
      </c>
      <c r="AF241" s="38">
        <f t="shared" si="46"/>
        <v>0.14396856603777877</v>
      </c>
      <c r="AG241" s="630" t="b">
        <f t="shared" si="32"/>
        <v>1</v>
      </c>
    </row>
    <row r="242" spans="1:35" s="630" customFormat="1">
      <c r="A242" s="23"/>
      <c r="B242" s="55" t="s">
        <v>276</v>
      </c>
      <c r="C242" s="56"/>
      <c r="D242" s="56"/>
      <c r="E242" s="57" t="s">
        <v>1359</v>
      </c>
      <c r="F242" s="57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61"/>
      <c r="T242" s="61"/>
      <c r="U242" s="59"/>
      <c r="V242" s="59"/>
      <c r="W242" s="59"/>
      <c r="X242" s="59">
        <v>3824249227</v>
      </c>
      <c r="Y242" s="59">
        <v>3824249227</v>
      </c>
      <c r="Z242" s="59">
        <v>3824249227</v>
      </c>
      <c r="AA242" s="59">
        <f>AA243</f>
        <v>3824249227</v>
      </c>
      <c r="AB242" s="59"/>
      <c r="AC242" s="59"/>
      <c r="AD242" s="61">
        <f t="shared" si="47"/>
        <v>3824249227</v>
      </c>
      <c r="AE242" s="61">
        <f t="shared" si="35"/>
        <v>0</v>
      </c>
      <c r="AF242" s="62">
        <f t="shared" si="46"/>
        <v>0</v>
      </c>
      <c r="AG242" s="630" t="b">
        <f t="shared" si="32"/>
        <v>1</v>
      </c>
    </row>
    <row r="243" spans="1:35" s="630" customFormat="1">
      <c r="A243" s="23"/>
      <c r="B243" s="7" t="s">
        <v>291</v>
      </c>
      <c r="C243" s="32">
        <v>426100</v>
      </c>
      <c r="D243" s="32"/>
      <c r="E243" s="10" t="s">
        <v>1365</v>
      </c>
      <c r="F243" s="10" t="s">
        <v>1359</v>
      </c>
      <c r="G243" s="41"/>
      <c r="H243" s="42"/>
      <c r="I243" s="36"/>
      <c r="J243" s="42"/>
      <c r="K243" s="42"/>
      <c r="L243" s="42"/>
      <c r="M243" s="42"/>
      <c r="N243" s="42"/>
      <c r="O243" s="42"/>
      <c r="P243" s="42"/>
      <c r="Q243" s="42"/>
      <c r="R243" s="42"/>
      <c r="S243" s="36"/>
      <c r="T243" s="518"/>
      <c r="U243" s="521"/>
      <c r="V243" s="521"/>
      <c r="W243" s="521"/>
      <c r="X243" s="521">
        <v>3824249227</v>
      </c>
      <c r="Y243" s="521">
        <v>3824249227</v>
      </c>
      <c r="Z243" s="521">
        <v>3824249227</v>
      </c>
      <c r="AA243" s="517">
        <f>-IFERROR(VLOOKUP(C243,'전사시산표(3단계)_1013'!$C:$L,10,0),0)</f>
        <v>3824249227</v>
      </c>
      <c r="AB243" s="521"/>
      <c r="AC243" s="521"/>
      <c r="AD243" s="517">
        <f t="shared" ref="AD243" si="49">AA243-AB243+AC243</f>
        <v>3824249227</v>
      </c>
      <c r="AE243" s="21">
        <f t="shared" si="35"/>
        <v>0</v>
      </c>
      <c r="AF243" s="38">
        <f t="shared" si="46"/>
        <v>0</v>
      </c>
      <c r="AG243" s="630" t="b">
        <f t="shared" si="32"/>
        <v>1</v>
      </c>
    </row>
    <row r="244" spans="1:35">
      <c r="B244" s="55" t="s">
        <v>289</v>
      </c>
      <c r="C244" s="56">
        <v>42900</v>
      </c>
      <c r="D244" s="56"/>
      <c r="E244" s="57" t="s">
        <v>316</v>
      </c>
      <c r="F244" s="57"/>
      <c r="G244" s="59">
        <f>SUM(G245)</f>
        <v>0</v>
      </c>
      <c r="H244" s="59">
        <f>SUM(H245)</f>
        <v>0</v>
      </c>
      <c r="I244" s="59">
        <v>0</v>
      </c>
      <c r="J244" s="59">
        <v>0</v>
      </c>
      <c r="K244" s="59">
        <v>0</v>
      </c>
      <c r="L244" s="59">
        <v>0</v>
      </c>
      <c r="M244" s="59">
        <v>0</v>
      </c>
      <c r="N244" s="59">
        <v>0</v>
      </c>
      <c r="O244" s="59">
        <v>0</v>
      </c>
      <c r="P244" s="59">
        <v>0</v>
      </c>
      <c r="Q244" s="59">
        <v>0</v>
      </c>
      <c r="R244" s="59">
        <v>0</v>
      </c>
      <c r="S244" s="61">
        <v>0</v>
      </c>
      <c r="T244" s="61">
        <v>0</v>
      </c>
      <c r="U244" s="59">
        <v>0</v>
      </c>
      <c r="V244" s="59">
        <v>0</v>
      </c>
      <c r="W244" s="59">
        <v>0</v>
      </c>
      <c r="X244" s="59">
        <v>0</v>
      </c>
      <c r="Y244" s="59">
        <v>0</v>
      </c>
      <c r="Z244" s="59">
        <v>0</v>
      </c>
      <c r="AA244" s="59">
        <f>SUM(AA245)</f>
        <v>0</v>
      </c>
      <c r="AB244" s="59">
        <f>SUM(AB245)</f>
        <v>0</v>
      </c>
      <c r="AC244" s="59">
        <f>SUM(AC245)</f>
        <v>0</v>
      </c>
      <c r="AD244" s="61">
        <f t="shared" si="48"/>
        <v>0</v>
      </c>
      <c r="AE244" s="61">
        <f t="shared" si="35"/>
        <v>0</v>
      </c>
      <c r="AF244" s="62" t="str">
        <f t="shared" si="46"/>
        <v/>
      </c>
      <c r="AG244" s="630" t="b">
        <f t="shared" si="32"/>
        <v>1</v>
      </c>
    </row>
    <row r="245" spans="1:35" ht="17.25" thickBot="1">
      <c r="B245" s="9" t="s">
        <v>285</v>
      </c>
      <c r="C245" s="32">
        <v>429100</v>
      </c>
      <c r="D245" s="32"/>
      <c r="E245" s="10" t="s">
        <v>317</v>
      </c>
      <c r="F245" s="10" t="s">
        <v>318</v>
      </c>
      <c r="G245" s="41">
        <v>0</v>
      </c>
      <c r="H245" s="42">
        <v>0</v>
      </c>
      <c r="I245" s="36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/>
      <c r="R245" s="42"/>
      <c r="S245" s="36">
        <v>0</v>
      </c>
      <c r="T245" s="518">
        <v>0</v>
      </c>
      <c r="U245" s="521">
        <v>0</v>
      </c>
      <c r="V245" s="521">
        <v>0</v>
      </c>
      <c r="W245" s="521">
        <v>0</v>
      </c>
      <c r="X245" s="521">
        <v>0</v>
      </c>
      <c r="Y245" s="521">
        <v>0</v>
      </c>
      <c r="Z245" s="521">
        <v>0</v>
      </c>
      <c r="AA245" s="521">
        <f>-IFERROR(VLOOKUP(C245,'전사시산표(3단계)_1013'!$C:$L,10,0),0)</f>
        <v>0</v>
      </c>
      <c r="AB245" s="521"/>
      <c r="AC245" s="521"/>
      <c r="AD245" s="518">
        <f t="shared" si="48"/>
        <v>0</v>
      </c>
      <c r="AE245" s="36">
        <f t="shared" si="35"/>
        <v>0</v>
      </c>
      <c r="AF245" s="40" t="str">
        <f t="shared" si="46"/>
        <v/>
      </c>
      <c r="AG245" s="630" t="b">
        <f t="shared" si="32"/>
        <v>1</v>
      </c>
    </row>
    <row r="246" spans="1:35" ht="17.25" thickBot="1">
      <c r="B246" s="44" t="s">
        <v>273</v>
      </c>
      <c r="C246" s="54"/>
      <c r="D246" s="54"/>
      <c r="E246" s="46" t="s">
        <v>319</v>
      </c>
      <c r="F246" s="46"/>
      <c r="G246" s="52">
        <f>SUM(G247,G252,G255,G258,G261,G265)</f>
        <v>10802078119</v>
      </c>
      <c r="H246" s="52">
        <f>SUM(H247,H252,H255,H258,H261,H265)</f>
        <v>11296316276</v>
      </c>
      <c r="I246" s="52">
        <v>9515799035</v>
      </c>
      <c r="J246" s="52">
        <v>37555882092</v>
      </c>
      <c r="K246" s="52">
        <v>33246963013</v>
      </c>
      <c r="L246" s="52">
        <v>32562352938</v>
      </c>
      <c r="M246" s="52">
        <v>26410023074</v>
      </c>
      <c r="N246" s="52">
        <v>25618245555</v>
      </c>
      <c r="O246" s="52">
        <v>25396286247</v>
      </c>
      <c r="P246" s="52">
        <v>25730089090</v>
      </c>
      <c r="Q246" s="52">
        <v>0</v>
      </c>
      <c r="R246" s="52">
        <v>0</v>
      </c>
      <c r="S246" s="50">
        <v>25730089090</v>
      </c>
      <c r="T246" s="50">
        <v>34106679223</v>
      </c>
      <c r="U246" s="52">
        <v>33627423051</v>
      </c>
      <c r="V246" s="52">
        <v>34176392533</v>
      </c>
      <c r="W246" s="52">
        <v>33284632697</v>
      </c>
      <c r="X246" s="52">
        <v>24569507230</v>
      </c>
      <c r="Y246" s="52">
        <v>26783280259</v>
      </c>
      <c r="Z246" s="52">
        <v>25587950850</v>
      </c>
      <c r="AA246" s="52">
        <f>SUM(AA247,AA250,AA252,AA255,AA258,AA261,AA263,AA265)</f>
        <v>31714627791</v>
      </c>
      <c r="AB246" s="52">
        <f>SUM(AB247,AB252,AB255,AB258,AB261,AB265)</f>
        <v>0</v>
      </c>
      <c r="AC246" s="52">
        <f>SUM(AC247,AC252,AC255,AC258,AC261,AC265)</f>
        <v>0</v>
      </c>
      <c r="AD246" s="50">
        <f t="shared" si="48"/>
        <v>31714627791</v>
      </c>
      <c r="AE246" s="50">
        <f t="shared" si="35"/>
        <v>7145120561</v>
      </c>
      <c r="AF246" s="53">
        <f t="shared" si="46"/>
        <v>0.29081253010543184</v>
      </c>
      <c r="AG246" s="630" t="b">
        <f t="shared" si="32"/>
        <v>1</v>
      </c>
      <c r="AH246">
        <v>24929016159</v>
      </c>
      <c r="AI246" s="187">
        <f>AH246-AD246</f>
        <v>-6785611632</v>
      </c>
    </row>
    <row r="247" spans="1:35">
      <c r="B247" s="55" t="s">
        <v>289</v>
      </c>
      <c r="C247" s="56">
        <v>45010</v>
      </c>
      <c r="D247" s="56"/>
      <c r="E247" s="57" t="s">
        <v>126</v>
      </c>
      <c r="F247" s="57"/>
      <c r="G247" s="59">
        <f>SUM(G248:G249)</f>
        <v>2744600377</v>
      </c>
      <c r="H247" s="59">
        <f>SUM(H248:H249)</f>
        <v>2762566709</v>
      </c>
      <c r="I247" s="59">
        <v>2938382407</v>
      </c>
      <c r="J247" s="59">
        <v>2916220262</v>
      </c>
      <c r="K247" s="59">
        <v>2944902168</v>
      </c>
      <c r="L247" s="59">
        <v>2925044954</v>
      </c>
      <c r="M247" s="59">
        <v>2993747729</v>
      </c>
      <c r="N247" s="59">
        <v>2992586425</v>
      </c>
      <c r="O247" s="59">
        <v>3047884852</v>
      </c>
      <c r="P247" s="59">
        <v>2989407598</v>
      </c>
      <c r="Q247" s="59">
        <v>0</v>
      </c>
      <c r="R247" s="59">
        <v>0</v>
      </c>
      <c r="S247" s="59">
        <v>2989407598</v>
      </c>
      <c r="T247" s="59">
        <v>2673496643</v>
      </c>
      <c r="U247" s="59">
        <v>2601500368</v>
      </c>
      <c r="V247" s="59">
        <v>2382674105</v>
      </c>
      <c r="W247" s="59">
        <v>2173498601</v>
      </c>
      <c r="X247" s="59">
        <v>2696938658</v>
      </c>
      <c r="Y247" s="59">
        <v>2632837503</v>
      </c>
      <c r="Z247" s="59">
        <v>2500368338</v>
      </c>
      <c r="AA247" s="59">
        <f>SUM(AA248:AA249)</f>
        <v>2590942602</v>
      </c>
      <c r="AB247" s="59">
        <f>SUM(AB248:AB249)</f>
        <v>0</v>
      </c>
      <c r="AC247" s="59">
        <f>SUM(AC248:AC249)</f>
        <v>0</v>
      </c>
      <c r="AD247" s="59">
        <f t="shared" si="48"/>
        <v>2590942602</v>
      </c>
      <c r="AE247" s="59">
        <f t="shared" si="35"/>
        <v>-105996056</v>
      </c>
      <c r="AF247" s="60">
        <f t="shared" si="46"/>
        <v>-3.9302360728740014E-2</v>
      </c>
      <c r="AG247" s="630" t="b">
        <f t="shared" si="32"/>
        <v>1</v>
      </c>
    </row>
    <row r="248" spans="1:35">
      <c r="B248" s="1" t="s">
        <v>285</v>
      </c>
      <c r="C248" s="2">
        <v>444100</v>
      </c>
      <c r="D248" s="2" t="s">
        <v>639</v>
      </c>
      <c r="E248" s="3" t="s">
        <v>125</v>
      </c>
      <c r="F248" s="3" t="s">
        <v>735</v>
      </c>
      <c r="G248" s="30">
        <v>2744600377</v>
      </c>
      <c r="H248" s="21">
        <v>2762566709</v>
      </c>
      <c r="I248" s="21">
        <v>2938382407</v>
      </c>
      <c r="J248" s="21">
        <v>2916220262</v>
      </c>
      <c r="K248" s="21">
        <v>2944902168</v>
      </c>
      <c r="L248" s="21">
        <v>2925044954</v>
      </c>
      <c r="M248" s="21">
        <v>2993747729</v>
      </c>
      <c r="N248" s="21">
        <v>2992586425</v>
      </c>
      <c r="O248" s="21">
        <v>3047884852</v>
      </c>
      <c r="P248" s="21">
        <v>2989407598</v>
      </c>
      <c r="Q248" s="21"/>
      <c r="R248" s="21"/>
      <c r="S248" s="21">
        <v>2989407598</v>
      </c>
      <c r="T248" s="517">
        <v>2673496643</v>
      </c>
      <c r="U248" s="517">
        <v>2601500368</v>
      </c>
      <c r="V248" s="517">
        <v>2382674105</v>
      </c>
      <c r="W248" s="517">
        <v>2173498601</v>
      </c>
      <c r="X248" s="517">
        <v>2696938658</v>
      </c>
      <c r="Y248" s="517">
        <v>2632837503</v>
      </c>
      <c r="Z248" s="517">
        <v>2500368338</v>
      </c>
      <c r="AA248" s="517">
        <f>-IFERROR(VLOOKUP(C248,'전사시산표(3단계)_1013'!$C:$L,10,0),0)</f>
        <v>2590942602</v>
      </c>
      <c r="AB248" s="517"/>
      <c r="AC248" s="517"/>
      <c r="AD248" s="517">
        <f t="shared" si="48"/>
        <v>2590942602</v>
      </c>
      <c r="AE248" s="21">
        <f t="shared" si="35"/>
        <v>-105996056</v>
      </c>
      <c r="AF248" s="38">
        <f t="shared" si="46"/>
        <v>-3.9302360728740014E-2</v>
      </c>
      <c r="AG248" s="630" t="b">
        <f t="shared" si="32"/>
        <v>1</v>
      </c>
    </row>
    <row r="249" spans="1:35">
      <c r="B249" s="1" t="s">
        <v>285</v>
      </c>
      <c r="C249" s="2">
        <v>444101</v>
      </c>
      <c r="D249" s="2"/>
      <c r="E249" s="3" t="s">
        <v>320</v>
      </c>
      <c r="F249" s="3" t="s">
        <v>735</v>
      </c>
      <c r="G249" s="30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/>
      <c r="R249" s="21"/>
      <c r="S249" s="21">
        <v>0</v>
      </c>
      <c r="T249" s="517">
        <v>0</v>
      </c>
      <c r="U249" s="517">
        <v>0</v>
      </c>
      <c r="V249" s="517">
        <v>0</v>
      </c>
      <c r="W249" s="517">
        <v>0</v>
      </c>
      <c r="X249" s="517">
        <v>0</v>
      </c>
      <c r="Y249" s="517">
        <v>0</v>
      </c>
      <c r="Z249" s="517">
        <v>0</v>
      </c>
      <c r="AA249" s="517">
        <f>-IFERROR(VLOOKUP(C249,'전사시산표(3단계)_1013'!$C:$L,10,0),0)</f>
        <v>0</v>
      </c>
      <c r="AB249" s="517"/>
      <c r="AC249" s="517"/>
      <c r="AD249" s="517">
        <f t="shared" si="48"/>
        <v>0</v>
      </c>
      <c r="AE249" s="21">
        <f t="shared" si="35"/>
        <v>0</v>
      </c>
      <c r="AF249" s="38" t="str">
        <f t="shared" si="46"/>
        <v/>
      </c>
      <c r="AG249" s="630" t="b">
        <f t="shared" si="32"/>
        <v>1</v>
      </c>
    </row>
    <row r="250" spans="1:35">
      <c r="B250" s="55" t="s">
        <v>826</v>
      </c>
      <c r="C250" s="56">
        <v>44300</v>
      </c>
      <c r="D250" s="56"/>
      <c r="E250" s="57" t="s">
        <v>798</v>
      </c>
      <c r="F250" s="57"/>
      <c r="G250" s="59"/>
      <c r="H250" s="59"/>
      <c r="I250" s="59"/>
      <c r="J250" s="59">
        <v>26743034207</v>
      </c>
      <c r="K250" s="59">
        <v>23834539283</v>
      </c>
      <c r="L250" s="59">
        <v>21381833297</v>
      </c>
      <c r="M250" s="59">
        <v>18341226291</v>
      </c>
      <c r="N250" s="59">
        <v>15837892999</v>
      </c>
      <c r="O250" s="59">
        <v>13847329599</v>
      </c>
      <c r="P250" s="59">
        <v>12525857204</v>
      </c>
      <c r="Q250" s="59">
        <v>0</v>
      </c>
      <c r="R250" s="59">
        <v>0</v>
      </c>
      <c r="S250" s="61">
        <v>12525857204</v>
      </c>
      <c r="T250" s="61">
        <v>13810208064</v>
      </c>
      <c r="U250" s="59">
        <v>11823200654</v>
      </c>
      <c r="V250" s="59">
        <v>11036123481</v>
      </c>
      <c r="W250" s="59">
        <v>8829387267</v>
      </c>
      <c r="X250" s="59">
        <v>7413753254</v>
      </c>
      <c r="Y250" s="59">
        <v>7967726902</v>
      </c>
      <c r="Z250" s="59">
        <v>5208615414</v>
      </c>
      <c r="AA250" s="59">
        <f>AA251</f>
        <v>11877025200</v>
      </c>
      <c r="AB250" s="59">
        <f t="shared" ref="AB250:AD250" si="50">AB251</f>
        <v>0</v>
      </c>
      <c r="AC250" s="59">
        <f t="shared" si="50"/>
        <v>0</v>
      </c>
      <c r="AD250" s="61">
        <f t="shared" si="50"/>
        <v>11877025200</v>
      </c>
      <c r="AE250" s="61">
        <f t="shared" si="35"/>
        <v>4463271946</v>
      </c>
      <c r="AF250" s="62">
        <f t="shared" si="46"/>
        <v>0.60202596351475501</v>
      </c>
      <c r="AG250" s="630" t="b">
        <f t="shared" si="32"/>
        <v>1</v>
      </c>
    </row>
    <row r="251" spans="1:35">
      <c r="B251" s="7" t="s">
        <v>828</v>
      </c>
      <c r="C251" s="5">
        <v>443000</v>
      </c>
      <c r="D251" s="5" t="s">
        <v>923</v>
      </c>
      <c r="E251" s="6" t="s">
        <v>799</v>
      </c>
      <c r="F251" s="6" t="s">
        <v>1098</v>
      </c>
      <c r="G251" s="31"/>
      <c r="H251" s="22"/>
      <c r="I251" s="22"/>
      <c r="J251" s="22">
        <v>26743034207</v>
      </c>
      <c r="K251" s="21">
        <v>23834539283</v>
      </c>
      <c r="L251" s="21">
        <v>21381833297</v>
      </c>
      <c r="M251" s="21">
        <v>18341226291</v>
      </c>
      <c r="N251" s="21">
        <v>15837892999</v>
      </c>
      <c r="O251" s="21">
        <v>13847329599</v>
      </c>
      <c r="P251" s="21">
        <v>12525857204</v>
      </c>
      <c r="Q251" s="22"/>
      <c r="R251" s="22"/>
      <c r="S251" s="21">
        <v>12525857204</v>
      </c>
      <c r="T251" s="517">
        <v>13810208064</v>
      </c>
      <c r="U251" s="517">
        <v>11823200654</v>
      </c>
      <c r="V251" s="517">
        <v>11036123481</v>
      </c>
      <c r="W251" s="517">
        <v>8829387267</v>
      </c>
      <c r="X251" s="517">
        <v>7413753254</v>
      </c>
      <c r="Y251" s="517">
        <v>7967726902</v>
      </c>
      <c r="Z251" s="517">
        <v>5208615414</v>
      </c>
      <c r="AA251" s="517">
        <f>-IFERROR(VLOOKUP(C251,'전사시산표(3단계)_1013'!$C:$L,10,0),0)</f>
        <v>11877025200</v>
      </c>
      <c r="AB251" s="519"/>
      <c r="AC251" s="519"/>
      <c r="AD251" s="517">
        <f>AA251-AB251+AC251</f>
        <v>11877025200</v>
      </c>
      <c r="AE251" s="21">
        <f t="shared" si="35"/>
        <v>4463271946</v>
      </c>
      <c r="AF251" s="38">
        <f t="shared" si="46"/>
        <v>0.60202596351475501</v>
      </c>
      <c r="AG251" s="630" t="b">
        <f t="shared" ref="AG251:AG293" si="51">AD251=AA251</f>
        <v>1</v>
      </c>
    </row>
    <row r="252" spans="1:35">
      <c r="B252" s="55" t="s">
        <v>276</v>
      </c>
      <c r="C252" s="56">
        <v>45100</v>
      </c>
      <c r="D252" s="56"/>
      <c r="E252" s="57" t="s">
        <v>292</v>
      </c>
      <c r="F252" s="57"/>
      <c r="G252" s="59">
        <f>SUM(G253:G254)</f>
        <v>971430735</v>
      </c>
      <c r="H252" s="59">
        <f t="shared" ref="H252:I252" si="52">SUM(H253:H254)</f>
        <v>971430735</v>
      </c>
      <c r="I252" s="59">
        <f t="shared" si="52"/>
        <v>1006230735</v>
      </c>
      <c r="J252" s="59">
        <v>1169095381</v>
      </c>
      <c r="K252" s="59">
        <v>1169095381</v>
      </c>
      <c r="L252" s="59">
        <v>1169095381</v>
      </c>
      <c r="M252" s="59">
        <v>899395381</v>
      </c>
      <c r="N252" s="59">
        <v>899395381</v>
      </c>
      <c r="O252" s="59">
        <v>899395381</v>
      </c>
      <c r="P252" s="59">
        <v>899395381</v>
      </c>
      <c r="Q252" s="59">
        <v>0</v>
      </c>
      <c r="R252" s="59">
        <v>0</v>
      </c>
      <c r="S252" s="61">
        <v>899395381</v>
      </c>
      <c r="T252" s="61">
        <v>899395381</v>
      </c>
      <c r="U252" s="59">
        <v>899395381</v>
      </c>
      <c r="V252" s="59">
        <v>899395381</v>
      </c>
      <c r="W252" s="59">
        <v>899395381</v>
      </c>
      <c r="X252" s="59">
        <v>0</v>
      </c>
      <c r="Y252" s="59">
        <v>0</v>
      </c>
      <c r="Z252" s="59">
        <v>0</v>
      </c>
      <c r="AA252" s="59">
        <f t="shared" ref="AA252:AD252" si="53">SUM(AA253:AA254)</f>
        <v>0</v>
      </c>
      <c r="AB252" s="59">
        <f t="shared" si="53"/>
        <v>0</v>
      </c>
      <c r="AC252" s="59">
        <f t="shared" si="53"/>
        <v>0</v>
      </c>
      <c r="AD252" s="61">
        <f t="shared" si="53"/>
        <v>0</v>
      </c>
      <c r="AE252" s="61">
        <f t="shared" si="35"/>
        <v>0</v>
      </c>
      <c r="AF252" s="62" t="str">
        <f t="shared" si="46"/>
        <v/>
      </c>
      <c r="AG252" s="630" t="b">
        <f t="shared" si="51"/>
        <v>1</v>
      </c>
    </row>
    <row r="253" spans="1:35" s="11" customFormat="1">
      <c r="A253" s="24"/>
      <c r="B253" s="7" t="s">
        <v>321</v>
      </c>
      <c r="C253" s="5">
        <v>453100</v>
      </c>
      <c r="D253" s="5" t="s">
        <v>637</v>
      </c>
      <c r="E253" s="6" t="s">
        <v>123</v>
      </c>
      <c r="F253" s="6" t="s">
        <v>322</v>
      </c>
      <c r="G253" s="31">
        <v>971430735</v>
      </c>
      <c r="H253" s="22">
        <v>971430735</v>
      </c>
      <c r="I253" s="21">
        <v>1006230735</v>
      </c>
      <c r="J253" s="22">
        <v>1169095381</v>
      </c>
      <c r="K253" s="22">
        <v>1169095381</v>
      </c>
      <c r="L253" s="22">
        <v>1169095381</v>
      </c>
      <c r="M253" s="22">
        <v>899395381</v>
      </c>
      <c r="N253" s="22">
        <v>899395381</v>
      </c>
      <c r="O253" s="22">
        <v>899395381</v>
      </c>
      <c r="P253" s="22">
        <v>899395381</v>
      </c>
      <c r="Q253" s="22"/>
      <c r="R253" s="22"/>
      <c r="S253" s="21">
        <v>899395381</v>
      </c>
      <c r="T253" s="21">
        <v>899395381</v>
      </c>
      <c r="U253" s="22">
        <v>899395381</v>
      </c>
      <c r="V253" s="22">
        <v>899395381</v>
      </c>
      <c r="W253" s="22">
        <v>899395381</v>
      </c>
      <c r="X253" s="22">
        <v>0</v>
      </c>
      <c r="Y253" s="22">
        <v>0</v>
      </c>
      <c r="Z253" s="22">
        <v>0</v>
      </c>
      <c r="AA253" s="22">
        <f>-IFERROR(VLOOKUP(C253,'전사시산표(3단계)_1013'!$C:$L,10,0),0)</f>
        <v>0</v>
      </c>
      <c r="AB253" s="22"/>
      <c r="AC253" s="22"/>
      <c r="AD253" s="21">
        <f t="shared" ref="AD253:AD279" si="54">AA253-AB253+AC253</f>
        <v>0</v>
      </c>
      <c r="AE253" s="21">
        <f t="shared" si="35"/>
        <v>0</v>
      </c>
      <c r="AF253" s="38" t="str">
        <f t="shared" si="46"/>
        <v/>
      </c>
      <c r="AG253" s="630" t="b">
        <f t="shared" si="51"/>
        <v>1</v>
      </c>
    </row>
    <row r="254" spans="1:35" s="11" customFormat="1">
      <c r="A254" s="24"/>
      <c r="B254" s="7" t="s">
        <v>822</v>
      </c>
      <c r="C254" s="5">
        <v>453110</v>
      </c>
      <c r="D254" s="5"/>
      <c r="E254" s="6" t="s">
        <v>800</v>
      </c>
      <c r="F254" s="6" t="s">
        <v>322</v>
      </c>
      <c r="G254" s="31"/>
      <c r="H254" s="22"/>
      <c r="I254" s="22"/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/>
      <c r="R254" s="22"/>
      <c r="S254" s="21">
        <v>0</v>
      </c>
      <c r="T254" s="517">
        <v>0</v>
      </c>
      <c r="U254" s="519">
        <v>0</v>
      </c>
      <c r="V254" s="519">
        <v>0</v>
      </c>
      <c r="W254" s="519">
        <v>0</v>
      </c>
      <c r="X254" s="519">
        <v>0</v>
      </c>
      <c r="Y254" s="519">
        <v>0</v>
      </c>
      <c r="Z254" s="519">
        <v>0</v>
      </c>
      <c r="AA254" s="519">
        <f>-IFERROR(VLOOKUP(C254,'전사시산표(3단계)_1013'!$C:$L,10,0),0)</f>
        <v>0</v>
      </c>
      <c r="AB254" s="519"/>
      <c r="AC254" s="519"/>
      <c r="AD254" s="517">
        <f t="shared" si="54"/>
        <v>0</v>
      </c>
      <c r="AE254" s="21">
        <f t="shared" si="35"/>
        <v>0</v>
      </c>
      <c r="AF254" s="38" t="str">
        <f t="shared" si="46"/>
        <v/>
      </c>
      <c r="AG254" s="630" t="b">
        <f t="shared" si="51"/>
        <v>1</v>
      </c>
    </row>
    <row r="255" spans="1:35">
      <c r="B255" s="55" t="s">
        <v>276</v>
      </c>
      <c r="C255" s="56">
        <v>45400</v>
      </c>
      <c r="D255" s="56"/>
      <c r="E255" s="57" t="s">
        <v>122</v>
      </c>
      <c r="F255" s="57"/>
      <c r="G255" s="59">
        <f>SUM(G256:G257)</f>
        <v>32480179309</v>
      </c>
      <c r="H255" s="59">
        <f>SUM(H256:H257)</f>
        <v>33011891858</v>
      </c>
      <c r="I255" s="59">
        <v>33598469307</v>
      </c>
      <c r="J255" s="59">
        <v>33715990880</v>
      </c>
      <c r="K255" s="59">
        <v>34142254032</v>
      </c>
      <c r="L255" s="59">
        <v>34127681533</v>
      </c>
      <c r="M255" s="59">
        <v>37699648678</v>
      </c>
      <c r="N255" s="59">
        <v>38129388959</v>
      </c>
      <c r="O255" s="59">
        <v>39218638377</v>
      </c>
      <c r="P255" s="59">
        <v>40397375774</v>
      </c>
      <c r="Q255" s="59">
        <v>0</v>
      </c>
      <c r="R255" s="59">
        <v>0</v>
      </c>
      <c r="S255" s="61">
        <v>40397375774</v>
      </c>
      <c r="T255" s="61">
        <v>39145939221</v>
      </c>
      <c r="U255" s="59">
        <v>38732258246</v>
      </c>
      <c r="V255" s="59">
        <v>39254079944</v>
      </c>
      <c r="W255" s="59">
        <v>40079932072</v>
      </c>
      <c r="X255" s="59">
        <v>42617454219</v>
      </c>
      <c r="Y255" s="59">
        <v>43262802701</v>
      </c>
      <c r="Z255" s="59">
        <v>43794343464</v>
      </c>
      <c r="AA255" s="59">
        <f>SUM(AA256:AA257)</f>
        <v>40905215807</v>
      </c>
      <c r="AB255" s="59">
        <f>SUM(AB256:AB257)</f>
        <v>0</v>
      </c>
      <c r="AC255" s="59">
        <f>SUM(AC256:AC257)</f>
        <v>0</v>
      </c>
      <c r="AD255" s="61">
        <f>AA255-AB255+AC255</f>
        <v>40905215807</v>
      </c>
      <c r="AE255" s="61">
        <f t="shared" si="35"/>
        <v>-1712238412</v>
      </c>
      <c r="AF255" s="62">
        <f t="shared" si="46"/>
        <v>-4.0176928523258396E-2</v>
      </c>
      <c r="AG255" s="630" t="b">
        <f t="shared" si="51"/>
        <v>1</v>
      </c>
    </row>
    <row r="256" spans="1:35">
      <c r="B256" s="1" t="s">
        <v>285</v>
      </c>
      <c r="C256" s="2">
        <v>454120</v>
      </c>
      <c r="D256" s="2" t="s">
        <v>636</v>
      </c>
      <c r="E256" s="3" t="s">
        <v>121</v>
      </c>
      <c r="F256" s="3" t="s">
        <v>737</v>
      </c>
      <c r="G256" s="30">
        <v>376493560</v>
      </c>
      <c r="H256" s="21">
        <v>384331760</v>
      </c>
      <c r="I256" s="21">
        <v>570808485</v>
      </c>
      <c r="J256" s="21">
        <v>612889465</v>
      </c>
      <c r="K256" s="21">
        <v>690095447</v>
      </c>
      <c r="L256" s="21">
        <v>767301428</v>
      </c>
      <c r="M256" s="21">
        <v>844507410</v>
      </c>
      <c r="N256" s="21">
        <v>719248588</v>
      </c>
      <c r="O256" s="21">
        <v>820039768</v>
      </c>
      <c r="P256" s="21">
        <v>920830947</v>
      </c>
      <c r="Q256" s="21"/>
      <c r="R256" s="21"/>
      <c r="S256" s="21">
        <v>920830947</v>
      </c>
      <c r="T256" s="517">
        <v>790784627</v>
      </c>
      <c r="U256" s="517">
        <v>731756642</v>
      </c>
      <c r="V256" s="517">
        <v>846367078</v>
      </c>
      <c r="W256" s="517">
        <v>915288024</v>
      </c>
      <c r="X256" s="517">
        <v>1070122277</v>
      </c>
      <c r="Y256" s="517">
        <v>1043397962</v>
      </c>
      <c r="Z256" s="517">
        <v>961358847</v>
      </c>
      <c r="AA256" s="517">
        <f>-IFERROR(VLOOKUP(C256,'전사시산표(3단계)_1013'!$C:$L,10,0),0)</f>
        <v>1033922672</v>
      </c>
      <c r="AB256" s="517"/>
      <c r="AC256" s="517"/>
      <c r="AD256" s="517">
        <f t="shared" si="54"/>
        <v>1033922672</v>
      </c>
      <c r="AE256" s="21">
        <f t="shared" si="35"/>
        <v>-36199605</v>
      </c>
      <c r="AF256" s="38">
        <f t="shared" si="46"/>
        <v>-3.3827540812889738E-2</v>
      </c>
      <c r="AG256" s="630" t="b">
        <f t="shared" si="51"/>
        <v>1</v>
      </c>
    </row>
    <row r="257" spans="1:35">
      <c r="B257" s="1" t="s">
        <v>285</v>
      </c>
      <c r="C257" s="2">
        <v>454130</v>
      </c>
      <c r="D257" s="2" t="s">
        <v>636</v>
      </c>
      <c r="E257" s="3" t="s">
        <v>120</v>
      </c>
      <c r="F257" s="3" t="s">
        <v>737</v>
      </c>
      <c r="G257" s="30">
        <v>32103685749</v>
      </c>
      <c r="H257" s="21">
        <v>32627560098</v>
      </c>
      <c r="I257" s="21">
        <v>33027660822</v>
      </c>
      <c r="J257" s="21">
        <v>33103101415</v>
      </c>
      <c r="K257" s="21">
        <v>33452158585</v>
      </c>
      <c r="L257" s="21">
        <v>33360380105</v>
      </c>
      <c r="M257" s="21">
        <v>36855141268</v>
      </c>
      <c r="N257" s="21">
        <v>37410140371</v>
      </c>
      <c r="O257" s="21">
        <v>38398598609</v>
      </c>
      <c r="P257" s="21">
        <v>39476544827</v>
      </c>
      <c r="Q257" s="21"/>
      <c r="R257" s="21"/>
      <c r="S257" s="21">
        <v>39476544827</v>
      </c>
      <c r="T257" s="517">
        <v>38355154594</v>
      </c>
      <c r="U257" s="517">
        <v>38000501604</v>
      </c>
      <c r="V257" s="517">
        <v>38407712866</v>
      </c>
      <c r="W257" s="517">
        <v>39164644048</v>
      </c>
      <c r="X257" s="517">
        <v>41547331942</v>
      </c>
      <c r="Y257" s="517">
        <v>42219404739</v>
      </c>
      <c r="Z257" s="517">
        <v>42832984617</v>
      </c>
      <c r="AA257" s="517">
        <f>-IFERROR(VLOOKUP(C257,'전사시산표(3단계)_1013'!$C:$L,10,0),0)</f>
        <v>39871293135</v>
      </c>
      <c r="AB257" s="517"/>
      <c r="AC257" s="517"/>
      <c r="AD257" s="517">
        <f t="shared" si="54"/>
        <v>39871293135</v>
      </c>
      <c r="AE257" s="21">
        <f t="shared" si="35"/>
        <v>-1676038807</v>
      </c>
      <c r="AF257" s="38">
        <f t="shared" si="46"/>
        <v>-4.034046781487069E-2</v>
      </c>
      <c r="AG257" s="630" t="b">
        <f t="shared" si="51"/>
        <v>1</v>
      </c>
    </row>
    <row r="258" spans="1:35">
      <c r="B258" s="55" t="s">
        <v>276</v>
      </c>
      <c r="C258" s="56">
        <v>45430</v>
      </c>
      <c r="D258" s="56"/>
      <c r="E258" s="57" t="s">
        <v>119</v>
      </c>
      <c r="F258" s="57"/>
      <c r="G258" s="59">
        <f>SUM(G259)</f>
        <v>-26743880346</v>
      </c>
      <c r="H258" s="59">
        <f>SUM(H259)</f>
        <v>-26809737751</v>
      </c>
      <c r="I258" s="59">
        <v>-29397945211</v>
      </c>
      <c r="J258" s="59">
        <v>-28369698518</v>
      </c>
      <c r="K258" s="59">
        <v>-30267203091</v>
      </c>
      <c r="L258" s="59">
        <v>-28491727315</v>
      </c>
      <c r="M258" s="59">
        <v>-35001942443</v>
      </c>
      <c r="N258" s="59">
        <v>-33746918475</v>
      </c>
      <c r="O258" s="59">
        <v>-33151403642</v>
      </c>
      <c r="P258" s="59">
        <v>-32645376790</v>
      </c>
      <c r="Q258" s="59">
        <v>0</v>
      </c>
      <c r="R258" s="59">
        <v>0</v>
      </c>
      <c r="S258" s="61">
        <v>-32645376790</v>
      </c>
      <c r="T258" s="61">
        <v>-36351782701</v>
      </c>
      <c r="U258" s="59">
        <v>-34390138119</v>
      </c>
      <c r="V258" s="59">
        <v>-33389407445</v>
      </c>
      <c r="W258" s="59">
        <v>-32723973800</v>
      </c>
      <c r="X258" s="59">
        <v>-41028203586</v>
      </c>
      <c r="Y258" s="59">
        <v>-39983636111</v>
      </c>
      <c r="Z258" s="59">
        <v>-38853483417</v>
      </c>
      <c r="AA258" s="59">
        <f>SUM(AA259:AA260)</f>
        <v>-36552456311</v>
      </c>
      <c r="AB258" s="59">
        <f>SUM(AB259)</f>
        <v>0</v>
      </c>
      <c r="AC258" s="59">
        <f>SUM(AC259)</f>
        <v>0</v>
      </c>
      <c r="AD258" s="61">
        <f t="shared" si="54"/>
        <v>-36552456311</v>
      </c>
      <c r="AE258" s="61">
        <f t="shared" si="35"/>
        <v>4475747275</v>
      </c>
      <c r="AF258" s="62">
        <f t="shared" si="46"/>
        <v>-0.10908952583357204</v>
      </c>
      <c r="AG258" s="630" t="b">
        <f t="shared" si="51"/>
        <v>1</v>
      </c>
    </row>
    <row r="259" spans="1:35">
      <c r="B259" s="1" t="s">
        <v>285</v>
      </c>
      <c r="C259" s="2">
        <v>454400</v>
      </c>
      <c r="D259" s="2" t="s">
        <v>626</v>
      </c>
      <c r="E259" s="3" t="s">
        <v>118</v>
      </c>
      <c r="F259" s="3" t="s">
        <v>737</v>
      </c>
      <c r="G259" s="30">
        <v>-26743880346</v>
      </c>
      <c r="H259" s="21">
        <v>-26809737751</v>
      </c>
      <c r="I259" s="21">
        <v>-29397945211</v>
      </c>
      <c r="J259" s="21">
        <v>-28369698518</v>
      </c>
      <c r="K259" s="21">
        <v>-30267203091</v>
      </c>
      <c r="L259" s="21">
        <v>-28491727315</v>
      </c>
      <c r="M259" s="21">
        <v>-35001942443</v>
      </c>
      <c r="N259" s="21">
        <v>-33746918475</v>
      </c>
      <c r="O259" s="21">
        <v>-33151403642</v>
      </c>
      <c r="P259" s="21">
        <v>-32645376790</v>
      </c>
      <c r="Q259" s="21"/>
      <c r="R259" s="21"/>
      <c r="S259" s="21">
        <v>-32645376790</v>
      </c>
      <c r="T259" s="517">
        <v>-36582620201</v>
      </c>
      <c r="U259" s="517">
        <v>-34805864039</v>
      </c>
      <c r="V259" s="517">
        <v>-33805133365</v>
      </c>
      <c r="W259" s="517">
        <v>-33153199720</v>
      </c>
      <c r="X259" s="517">
        <v>-41447117996</v>
      </c>
      <c r="Y259" s="517">
        <v>-40557553621</v>
      </c>
      <c r="Z259" s="517">
        <v>-39609496327</v>
      </c>
      <c r="AA259" s="517">
        <f>-IFERROR(VLOOKUP(C259,'전사시산표(3단계)_1013'!$C:$L,10,0),0)</f>
        <v>-37392406681</v>
      </c>
      <c r="AB259" s="517"/>
      <c r="AC259" s="517"/>
      <c r="AD259" s="517">
        <f t="shared" si="54"/>
        <v>-37392406681</v>
      </c>
      <c r="AE259" s="21">
        <f t="shared" si="35"/>
        <v>4054711315</v>
      </c>
      <c r="AF259" s="38">
        <f t="shared" si="46"/>
        <v>-9.7828546616710824E-2</v>
      </c>
      <c r="AG259" s="630" t="b">
        <f t="shared" si="51"/>
        <v>1</v>
      </c>
    </row>
    <row r="260" spans="1:35" s="11" customFormat="1">
      <c r="A260" s="24"/>
      <c r="B260" s="7" t="s">
        <v>285</v>
      </c>
      <c r="C260" s="5">
        <v>454401</v>
      </c>
      <c r="D260" s="5" t="s">
        <v>626</v>
      </c>
      <c r="E260" s="6" t="s">
        <v>1211</v>
      </c>
      <c r="F260" s="6" t="s">
        <v>1038</v>
      </c>
      <c r="G260" s="31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1">
        <v>0</v>
      </c>
      <c r="T260" s="21">
        <v>230837500</v>
      </c>
      <c r="U260" s="22">
        <v>415725920</v>
      </c>
      <c r="V260" s="22">
        <v>415725920</v>
      </c>
      <c r="W260" s="22">
        <v>429225920</v>
      </c>
      <c r="X260" s="22">
        <v>418914410</v>
      </c>
      <c r="Y260" s="22">
        <v>573917510</v>
      </c>
      <c r="Z260" s="22">
        <v>756012910</v>
      </c>
      <c r="AA260" s="22">
        <f>-IFERROR(VLOOKUP(C260,'전사시산표(3단계)_1013'!$C:$L,10,0),0)</f>
        <v>839950370</v>
      </c>
      <c r="AB260" s="22"/>
      <c r="AC260" s="22"/>
      <c r="AD260" s="21">
        <f t="shared" si="54"/>
        <v>839950370</v>
      </c>
      <c r="AE260" s="21">
        <f t="shared" si="35"/>
        <v>421035960</v>
      </c>
      <c r="AF260" s="38">
        <f t="shared" si="46"/>
        <v>1.0050643996705675</v>
      </c>
      <c r="AG260" s="630" t="b">
        <f t="shared" si="51"/>
        <v>1</v>
      </c>
    </row>
    <row r="261" spans="1:35">
      <c r="B261" s="55" t="s">
        <v>290</v>
      </c>
      <c r="C261" s="56">
        <v>45500</v>
      </c>
      <c r="D261" s="56"/>
      <c r="E261" s="57" t="s">
        <v>323</v>
      </c>
      <c r="F261" s="57"/>
      <c r="G261" s="59">
        <f>SUM(G262)</f>
        <v>0</v>
      </c>
      <c r="H261" s="59">
        <f>SUM(H262)</f>
        <v>0</v>
      </c>
      <c r="I261" s="59">
        <v>0</v>
      </c>
      <c r="J261" s="59">
        <v>0</v>
      </c>
      <c r="K261" s="59">
        <v>0</v>
      </c>
      <c r="L261" s="59">
        <v>0</v>
      </c>
      <c r="M261" s="59">
        <v>0</v>
      </c>
      <c r="N261" s="59">
        <v>0</v>
      </c>
      <c r="O261" s="59">
        <v>0</v>
      </c>
      <c r="P261" s="59">
        <v>0</v>
      </c>
      <c r="Q261" s="59">
        <v>0</v>
      </c>
      <c r="R261" s="59">
        <v>0</v>
      </c>
      <c r="S261" s="61">
        <v>0</v>
      </c>
      <c r="T261" s="61">
        <v>0</v>
      </c>
      <c r="U261" s="59">
        <v>0</v>
      </c>
      <c r="V261" s="59">
        <v>0</v>
      </c>
      <c r="W261" s="59">
        <v>0</v>
      </c>
      <c r="X261" s="59">
        <v>0</v>
      </c>
      <c r="Y261" s="59">
        <v>0</v>
      </c>
      <c r="Z261" s="59">
        <v>0</v>
      </c>
      <c r="AA261" s="59">
        <f>SUM(AA262)</f>
        <v>0</v>
      </c>
      <c r="AB261" s="59">
        <f>SUM(AB262)</f>
        <v>0</v>
      </c>
      <c r="AC261" s="59">
        <f>SUM(AC262)</f>
        <v>0</v>
      </c>
      <c r="AD261" s="61">
        <f t="shared" si="54"/>
        <v>0</v>
      </c>
      <c r="AE261" s="61">
        <f t="shared" si="35"/>
        <v>0</v>
      </c>
      <c r="AF261" s="62" t="str">
        <f t="shared" si="46"/>
        <v/>
      </c>
      <c r="AG261" s="630" t="b">
        <f t="shared" si="51"/>
        <v>1</v>
      </c>
    </row>
    <row r="262" spans="1:35">
      <c r="B262" s="1" t="s">
        <v>285</v>
      </c>
      <c r="C262" s="2">
        <v>455100</v>
      </c>
      <c r="D262" s="2"/>
      <c r="E262" s="3" t="s">
        <v>324</v>
      </c>
      <c r="F262" s="3" t="s">
        <v>738</v>
      </c>
      <c r="G262" s="30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/>
      <c r="R262" s="21"/>
      <c r="S262" s="21">
        <v>0</v>
      </c>
      <c r="T262" s="517">
        <v>0</v>
      </c>
      <c r="U262" s="517">
        <v>0</v>
      </c>
      <c r="V262" s="517">
        <v>0</v>
      </c>
      <c r="W262" s="517">
        <v>0</v>
      </c>
      <c r="X262" s="517">
        <v>0</v>
      </c>
      <c r="Y262" s="517">
        <v>0</v>
      </c>
      <c r="Z262" s="517">
        <v>0</v>
      </c>
      <c r="AA262" s="517">
        <f>-IFERROR(VLOOKUP(C262,'전사시산표(3단계)_1013'!$C:$L,10,0),0)</f>
        <v>0</v>
      </c>
      <c r="AB262" s="517"/>
      <c r="AC262" s="517"/>
      <c r="AD262" s="517">
        <f t="shared" si="54"/>
        <v>0</v>
      </c>
      <c r="AE262" s="21">
        <f t="shared" si="35"/>
        <v>0</v>
      </c>
      <c r="AF262" s="38" t="str">
        <f t="shared" si="46"/>
        <v/>
      </c>
      <c r="AG262" s="630" t="b">
        <f t="shared" si="51"/>
        <v>1</v>
      </c>
    </row>
    <row r="263" spans="1:35">
      <c r="B263" s="55" t="s">
        <v>272</v>
      </c>
      <c r="C263" s="56">
        <v>45600</v>
      </c>
      <c r="D263" s="56"/>
      <c r="E263" s="57" t="s">
        <v>1212</v>
      </c>
      <c r="F263" s="57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61">
        <v>0</v>
      </c>
      <c r="T263" s="61">
        <v>12115000000</v>
      </c>
      <c r="U263" s="59">
        <v>12115000000</v>
      </c>
      <c r="V263" s="59">
        <v>12115000000</v>
      </c>
      <c r="W263" s="59">
        <v>12115000000</v>
      </c>
      <c r="X263" s="59">
        <v>10924750773</v>
      </c>
      <c r="Y263" s="59">
        <v>10924750773</v>
      </c>
      <c r="Z263" s="59">
        <v>10924750773</v>
      </c>
      <c r="AA263" s="59">
        <f>SUM(AA264)</f>
        <v>10924750773</v>
      </c>
      <c r="AB263" s="59"/>
      <c r="AC263" s="59"/>
      <c r="AD263" s="61">
        <f t="shared" si="54"/>
        <v>10924750773</v>
      </c>
      <c r="AE263" s="61">
        <f t="shared" si="35"/>
        <v>0</v>
      </c>
      <c r="AF263" s="62">
        <f t="shared" si="46"/>
        <v>0</v>
      </c>
      <c r="AG263" s="630" t="b">
        <f t="shared" si="51"/>
        <v>1</v>
      </c>
    </row>
    <row r="264" spans="1:35" s="11" customFormat="1">
      <c r="A264" s="24"/>
      <c r="B264" s="1" t="s">
        <v>285</v>
      </c>
      <c r="C264" s="2">
        <v>456100</v>
      </c>
      <c r="D264" s="2"/>
      <c r="E264" s="3" t="s">
        <v>1213</v>
      </c>
      <c r="F264" s="3" t="s">
        <v>1213</v>
      </c>
      <c r="G264" s="30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>
        <v>0</v>
      </c>
      <c r="T264" s="21">
        <v>12115000000</v>
      </c>
      <c r="U264" s="21">
        <v>12115000000</v>
      </c>
      <c r="V264" s="21">
        <v>12115000000</v>
      </c>
      <c r="W264" s="21">
        <v>12115000000</v>
      </c>
      <c r="X264" s="21">
        <v>10924750773</v>
      </c>
      <c r="Y264" s="21">
        <v>10924750773</v>
      </c>
      <c r="Z264" s="21">
        <v>10924750773</v>
      </c>
      <c r="AA264" s="21">
        <f>-IFERROR(VLOOKUP(C264,'전사시산표(3단계)_1013'!$C:$L,10,0),0)</f>
        <v>10924750773</v>
      </c>
      <c r="AB264" s="21"/>
      <c r="AC264" s="21"/>
      <c r="AD264" s="21">
        <f t="shared" si="54"/>
        <v>10924750773</v>
      </c>
      <c r="AE264" s="21">
        <f t="shared" ref="AE264:AE293" si="55">AD264-X264</f>
        <v>0</v>
      </c>
      <c r="AF264" s="38">
        <f t="shared" si="46"/>
        <v>0</v>
      </c>
      <c r="AG264" s="630" t="b">
        <f t="shared" si="51"/>
        <v>1</v>
      </c>
    </row>
    <row r="265" spans="1:35">
      <c r="B265" s="55" t="s">
        <v>289</v>
      </c>
      <c r="C265" s="56">
        <v>45700</v>
      </c>
      <c r="D265" s="56"/>
      <c r="E265" s="57" t="s">
        <v>449</v>
      </c>
      <c r="F265" s="57"/>
      <c r="G265" s="59">
        <f>SUM(G266)</f>
        <v>1349748044</v>
      </c>
      <c r="H265" s="59">
        <f>SUM(H266)</f>
        <v>1360164725</v>
      </c>
      <c r="I265" s="59">
        <v>1370661797</v>
      </c>
      <c r="J265" s="59">
        <v>1381239880</v>
      </c>
      <c r="K265" s="59">
        <v>1423375240</v>
      </c>
      <c r="L265" s="59">
        <v>1450425088</v>
      </c>
      <c r="M265" s="59">
        <v>1477947438</v>
      </c>
      <c r="N265" s="59">
        <v>1505900266</v>
      </c>
      <c r="O265" s="59">
        <v>1534441680</v>
      </c>
      <c r="P265" s="59">
        <v>1563429923</v>
      </c>
      <c r="Q265" s="59">
        <v>0</v>
      </c>
      <c r="R265" s="59">
        <v>0</v>
      </c>
      <c r="S265" s="61">
        <v>1563429923</v>
      </c>
      <c r="T265" s="61">
        <v>1814422615</v>
      </c>
      <c r="U265" s="59">
        <v>1846206521</v>
      </c>
      <c r="V265" s="59">
        <v>1878527067</v>
      </c>
      <c r="W265" s="59">
        <v>1911393176</v>
      </c>
      <c r="X265" s="59">
        <v>1944813912</v>
      </c>
      <c r="Y265" s="59">
        <v>1978798491</v>
      </c>
      <c r="Z265" s="59">
        <v>2013356278</v>
      </c>
      <c r="AA265" s="59">
        <f>SUM(AA266)</f>
        <v>1969149720</v>
      </c>
      <c r="AB265" s="59">
        <f>SUM(AB266)</f>
        <v>0</v>
      </c>
      <c r="AC265" s="59">
        <f>SUM(AC266)</f>
        <v>0</v>
      </c>
      <c r="AD265" s="61">
        <f t="shared" si="54"/>
        <v>1969149720</v>
      </c>
      <c r="AE265" s="61">
        <f t="shared" si="55"/>
        <v>24335808</v>
      </c>
      <c r="AF265" s="62">
        <f t="shared" si="46"/>
        <v>1.2513180746929992E-2</v>
      </c>
      <c r="AG265" s="630" t="b">
        <f t="shared" si="51"/>
        <v>1</v>
      </c>
    </row>
    <row r="266" spans="1:35" ht="17.25" thickBot="1">
      <c r="B266" s="9" t="s">
        <v>285</v>
      </c>
      <c r="C266" s="34">
        <v>457200</v>
      </c>
      <c r="D266" s="34" t="s">
        <v>638</v>
      </c>
      <c r="E266" s="33" t="s">
        <v>117</v>
      </c>
      <c r="F266" s="33" t="s">
        <v>739</v>
      </c>
      <c r="G266" s="39">
        <v>1349748044</v>
      </c>
      <c r="H266" s="36">
        <v>1360164725</v>
      </c>
      <c r="I266" s="36">
        <v>1370661797</v>
      </c>
      <c r="J266" s="36">
        <v>1381239880</v>
      </c>
      <c r="K266" s="36">
        <v>1423375240</v>
      </c>
      <c r="L266" s="36">
        <v>1450425088</v>
      </c>
      <c r="M266" s="36">
        <v>1477947438</v>
      </c>
      <c r="N266" s="36">
        <v>1505900266</v>
      </c>
      <c r="O266" s="36">
        <v>1534441680</v>
      </c>
      <c r="P266" s="36">
        <v>1563429923</v>
      </c>
      <c r="Q266" s="36"/>
      <c r="R266" s="36"/>
      <c r="S266" s="36">
        <v>1563429923</v>
      </c>
      <c r="T266" s="518">
        <v>1814422615</v>
      </c>
      <c r="U266" s="518">
        <v>1846206521</v>
      </c>
      <c r="V266" s="518">
        <v>1878527067</v>
      </c>
      <c r="W266" s="518">
        <v>1911393176</v>
      </c>
      <c r="X266" s="518">
        <v>1944813912</v>
      </c>
      <c r="Y266" s="518">
        <v>1978798491</v>
      </c>
      <c r="Z266" s="518">
        <v>2013356278</v>
      </c>
      <c r="AA266" s="518">
        <f>-IFERROR(VLOOKUP(C266,'전사시산표(3단계)_1013'!$C:$L,10,0),0)</f>
        <v>1969149720</v>
      </c>
      <c r="AB266" s="518"/>
      <c r="AC266" s="518"/>
      <c r="AD266" s="518">
        <f t="shared" si="54"/>
        <v>1969149720</v>
      </c>
      <c r="AE266" s="36">
        <f t="shared" si="55"/>
        <v>24335808</v>
      </c>
      <c r="AF266" s="40">
        <f t="shared" si="46"/>
        <v>1.2513180746929992E-2</v>
      </c>
      <c r="AG266" s="630" t="b">
        <f t="shared" si="51"/>
        <v>1</v>
      </c>
      <c r="AH266" s="17"/>
    </row>
    <row r="267" spans="1:35" ht="17.25" thickBot="1">
      <c r="B267" s="44" t="s">
        <v>275</v>
      </c>
      <c r="C267" s="54">
        <v>460</v>
      </c>
      <c r="D267" s="54"/>
      <c r="E267" s="46" t="s">
        <v>450</v>
      </c>
      <c r="F267" s="46"/>
      <c r="G267" s="52">
        <f>SUM(G268,G270,G272,G278,G286,G290)</f>
        <v>63860000000</v>
      </c>
      <c r="H267" s="52">
        <f>SUM(H268,H270,H272,H278,H286,H290)</f>
        <v>561582186102</v>
      </c>
      <c r="I267" s="52">
        <v>550039338670</v>
      </c>
      <c r="J267" s="52">
        <v>536894115218</v>
      </c>
      <c r="K267" s="52">
        <v>536593334379</v>
      </c>
      <c r="L267" s="52">
        <v>494575485254</v>
      </c>
      <c r="M267" s="52">
        <v>476991574086</v>
      </c>
      <c r="N267" s="52">
        <v>459127979431</v>
      </c>
      <c r="O267" s="52">
        <v>469616185900</v>
      </c>
      <c r="P267" s="52">
        <v>475418067147</v>
      </c>
      <c r="Q267" s="52">
        <v>0</v>
      </c>
      <c r="R267" s="52">
        <v>0</v>
      </c>
      <c r="S267" s="50">
        <v>475418067147</v>
      </c>
      <c r="T267" s="50">
        <v>456690491627</v>
      </c>
      <c r="U267" s="52">
        <v>452597926835</v>
      </c>
      <c r="V267" s="52">
        <v>414015312821</v>
      </c>
      <c r="W267" s="52">
        <v>394923099464</v>
      </c>
      <c r="X267" s="52">
        <v>364828430641</v>
      </c>
      <c r="Y267" s="52">
        <v>333972684023</v>
      </c>
      <c r="Z267" s="52">
        <v>282959356034</v>
      </c>
      <c r="AA267" s="52">
        <f>SUM(AA268,AA270,AA272,AA274,AA278,AA282,AA286,AA290,AA280)</f>
        <v>287676630515</v>
      </c>
      <c r="AB267" s="52">
        <f>SUM(AB268,AB270,AB272,AB278,AB286,AB290)</f>
        <v>0</v>
      </c>
      <c r="AC267" s="52">
        <f>SUM(AC268,AC270,AC272,AC278,AC286,AC290)</f>
        <v>0</v>
      </c>
      <c r="AD267" s="50">
        <f t="shared" si="54"/>
        <v>287676630515</v>
      </c>
      <c r="AE267" s="50">
        <f t="shared" si="55"/>
        <v>-77151800126</v>
      </c>
      <c r="AF267" s="53">
        <f t="shared" si="46"/>
        <v>-0.2114741989555064</v>
      </c>
      <c r="AG267" s="630" t="b">
        <f t="shared" si="51"/>
        <v>1</v>
      </c>
      <c r="AH267">
        <v>282457885043</v>
      </c>
      <c r="AI267" s="187">
        <f>AH267-AD267</f>
        <v>-5218745472</v>
      </c>
    </row>
    <row r="268" spans="1:35">
      <c r="B268" s="55" t="s">
        <v>276</v>
      </c>
      <c r="C268" s="56">
        <v>46000</v>
      </c>
      <c r="D268" s="56"/>
      <c r="E268" s="57" t="s">
        <v>115</v>
      </c>
      <c r="F268" s="57"/>
      <c r="G268" s="58">
        <f>G269</f>
        <v>4191965500</v>
      </c>
      <c r="H268" s="58">
        <f>H269</f>
        <v>4191965500</v>
      </c>
      <c r="I268" s="58">
        <v>4191965500</v>
      </c>
      <c r="J268" s="58">
        <v>4191965500</v>
      </c>
      <c r="K268" s="58">
        <v>4191965500</v>
      </c>
      <c r="L268" s="58">
        <v>4191965500</v>
      </c>
      <c r="M268" s="58">
        <v>4191965500</v>
      </c>
      <c r="N268" s="58">
        <v>4191965500</v>
      </c>
      <c r="O268" s="58">
        <v>4191965500</v>
      </c>
      <c r="P268" s="58">
        <v>4191965500</v>
      </c>
      <c r="Q268" s="58">
        <v>0</v>
      </c>
      <c r="R268" s="58">
        <v>0</v>
      </c>
      <c r="S268" s="59">
        <v>4191965500</v>
      </c>
      <c r="T268" s="59">
        <v>4191965500</v>
      </c>
      <c r="U268" s="58">
        <v>4191965500</v>
      </c>
      <c r="V268" s="58">
        <v>4191965500</v>
      </c>
      <c r="W268" s="58">
        <v>4191965500</v>
      </c>
      <c r="X268" s="58">
        <v>4191965500</v>
      </c>
      <c r="Y268" s="58">
        <v>4191965500</v>
      </c>
      <c r="Z268" s="58">
        <v>4191965500</v>
      </c>
      <c r="AA268" s="58">
        <f>AA269</f>
        <v>4191965500</v>
      </c>
      <c r="AB268" s="58">
        <f>AB269</f>
        <v>0</v>
      </c>
      <c r="AC268" s="58">
        <f>AC269</f>
        <v>0</v>
      </c>
      <c r="AD268" s="59">
        <f t="shared" si="54"/>
        <v>4191965500</v>
      </c>
      <c r="AE268" s="59">
        <f t="shared" si="55"/>
        <v>0</v>
      </c>
      <c r="AF268" s="60">
        <f t="shared" si="46"/>
        <v>0</v>
      </c>
      <c r="AG268" s="630" t="b">
        <f t="shared" si="51"/>
        <v>1</v>
      </c>
    </row>
    <row r="269" spans="1:35">
      <c r="B269" s="1" t="s">
        <v>285</v>
      </c>
      <c r="C269" s="2">
        <v>460100</v>
      </c>
      <c r="D269" s="2" t="s">
        <v>640</v>
      </c>
      <c r="E269" s="3" t="s">
        <v>114</v>
      </c>
      <c r="F269" s="3" t="s">
        <v>325</v>
      </c>
      <c r="G269" s="30">
        <v>4191965500</v>
      </c>
      <c r="H269" s="21">
        <v>4191965500</v>
      </c>
      <c r="I269" s="21">
        <v>4191965500</v>
      </c>
      <c r="J269" s="21">
        <v>4191965500</v>
      </c>
      <c r="K269" s="21">
        <v>4191965500</v>
      </c>
      <c r="L269" s="21">
        <v>4191965500</v>
      </c>
      <c r="M269" s="21">
        <v>4191965500</v>
      </c>
      <c r="N269" s="21">
        <v>4191965500</v>
      </c>
      <c r="O269" s="21">
        <v>4191965500</v>
      </c>
      <c r="P269" s="21">
        <v>4191965500</v>
      </c>
      <c r="Q269" s="21"/>
      <c r="R269" s="21"/>
      <c r="S269" s="21">
        <v>4191965500</v>
      </c>
      <c r="T269" s="517">
        <v>4191965500</v>
      </c>
      <c r="U269" s="517">
        <v>4191965500</v>
      </c>
      <c r="V269" s="517">
        <v>4191965500</v>
      </c>
      <c r="W269" s="517">
        <v>4191965500</v>
      </c>
      <c r="X269" s="517">
        <v>4191965500</v>
      </c>
      <c r="Y269" s="517">
        <v>4191965500</v>
      </c>
      <c r="Z269" s="517">
        <v>4191965500</v>
      </c>
      <c r="AA269" s="517">
        <f>-IFERROR(VLOOKUP(C269,'전사시산표(3단계)_1013'!$C:$L,10,0),0)</f>
        <v>4191965500</v>
      </c>
      <c r="AB269" s="517"/>
      <c r="AC269" s="517"/>
      <c r="AD269" s="517">
        <f t="shared" si="54"/>
        <v>4191965500</v>
      </c>
      <c r="AE269" s="21">
        <f t="shared" si="55"/>
        <v>0</v>
      </c>
      <c r="AF269" s="38">
        <f t="shared" si="46"/>
        <v>0</v>
      </c>
      <c r="AG269" s="630" t="b">
        <f t="shared" si="51"/>
        <v>1</v>
      </c>
    </row>
    <row r="270" spans="1:35">
      <c r="B270" s="55" t="s">
        <v>276</v>
      </c>
      <c r="C270" s="56">
        <v>46100</v>
      </c>
      <c r="D270" s="56"/>
      <c r="E270" s="57" t="s">
        <v>489</v>
      </c>
      <c r="F270" s="57"/>
      <c r="G270" s="58">
        <f>G271</f>
        <v>0</v>
      </c>
      <c r="H270" s="58">
        <f>H271</f>
        <v>931546500</v>
      </c>
      <c r="I270" s="58">
        <v>931546500</v>
      </c>
      <c r="J270" s="58">
        <v>931546500</v>
      </c>
      <c r="K270" s="58">
        <v>931546500</v>
      </c>
      <c r="L270" s="58">
        <v>931546500</v>
      </c>
      <c r="M270" s="58">
        <v>931546500</v>
      </c>
      <c r="N270" s="58">
        <v>931546500</v>
      </c>
      <c r="O270" s="58">
        <v>931546500</v>
      </c>
      <c r="P270" s="58">
        <v>931546500</v>
      </c>
      <c r="Q270" s="58">
        <v>0</v>
      </c>
      <c r="R270" s="58">
        <v>0</v>
      </c>
      <c r="S270" s="59">
        <v>931546500</v>
      </c>
      <c r="T270" s="59">
        <v>931546500</v>
      </c>
      <c r="U270" s="58">
        <v>931546500</v>
      </c>
      <c r="V270" s="58">
        <v>931546500</v>
      </c>
      <c r="W270" s="58">
        <v>931546500</v>
      </c>
      <c r="X270" s="58">
        <v>931546500</v>
      </c>
      <c r="Y270" s="58">
        <v>931546500</v>
      </c>
      <c r="Z270" s="58">
        <v>931546500</v>
      </c>
      <c r="AA270" s="58">
        <f>AA271</f>
        <v>931546500</v>
      </c>
      <c r="AB270" s="58">
        <f>AB271</f>
        <v>0</v>
      </c>
      <c r="AC270" s="58">
        <f>AC271</f>
        <v>0</v>
      </c>
      <c r="AD270" s="59">
        <f t="shared" si="54"/>
        <v>931546500</v>
      </c>
      <c r="AE270" s="59">
        <f t="shared" si="55"/>
        <v>0</v>
      </c>
      <c r="AF270" s="60">
        <f t="shared" si="46"/>
        <v>0</v>
      </c>
      <c r="AG270" s="630" t="b">
        <f t="shared" si="51"/>
        <v>1</v>
      </c>
    </row>
    <row r="271" spans="1:35">
      <c r="B271" s="1" t="s">
        <v>285</v>
      </c>
      <c r="C271" s="2">
        <v>460200</v>
      </c>
      <c r="D271" s="2" t="s">
        <v>640</v>
      </c>
      <c r="E271" s="3" t="s">
        <v>253</v>
      </c>
      <c r="F271" s="3" t="s">
        <v>325</v>
      </c>
      <c r="G271" s="30">
        <v>0</v>
      </c>
      <c r="H271" s="21">
        <v>931546500</v>
      </c>
      <c r="I271" s="21">
        <v>931546500</v>
      </c>
      <c r="J271" s="21">
        <v>931546500</v>
      </c>
      <c r="K271" s="21">
        <v>931546500</v>
      </c>
      <c r="L271" s="21">
        <v>931546500</v>
      </c>
      <c r="M271" s="21">
        <v>931546500</v>
      </c>
      <c r="N271" s="21">
        <v>931546500</v>
      </c>
      <c r="O271" s="21">
        <v>931546500</v>
      </c>
      <c r="P271" s="21">
        <v>931546500</v>
      </c>
      <c r="Q271" s="21"/>
      <c r="R271" s="21"/>
      <c r="S271" s="21">
        <v>931546500</v>
      </c>
      <c r="T271" s="517">
        <v>931546500</v>
      </c>
      <c r="U271" s="517">
        <v>931546500</v>
      </c>
      <c r="V271" s="517">
        <v>931546500</v>
      </c>
      <c r="W271" s="517">
        <v>931546500</v>
      </c>
      <c r="X271" s="517">
        <v>931546500</v>
      </c>
      <c r="Y271" s="517">
        <v>931546500</v>
      </c>
      <c r="Z271" s="517">
        <v>931546500</v>
      </c>
      <c r="AA271" s="517">
        <f>-IFERROR(VLOOKUP(C271,'전사시산표(3단계)_1013'!$C:$L,10,0),0)</f>
        <v>931546500</v>
      </c>
      <c r="AB271" s="517"/>
      <c r="AC271" s="517"/>
      <c r="AD271" s="517">
        <f t="shared" si="54"/>
        <v>931546500</v>
      </c>
      <c r="AE271" s="21">
        <f t="shared" si="55"/>
        <v>0</v>
      </c>
      <c r="AF271" s="38">
        <f t="shared" ref="AF271:AF293" si="56">IFERROR(AE271/X271,"")</f>
        <v>0</v>
      </c>
      <c r="AG271" s="630" t="b">
        <f t="shared" si="51"/>
        <v>1</v>
      </c>
    </row>
    <row r="272" spans="1:35">
      <c r="B272" s="55" t="s">
        <v>276</v>
      </c>
      <c r="C272" s="56">
        <v>46110</v>
      </c>
      <c r="D272" s="56"/>
      <c r="E272" s="57" t="s">
        <v>113</v>
      </c>
      <c r="F272" s="57"/>
      <c r="G272" s="59">
        <f>SUM(G273)</f>
        <v>59668034500</v>
      </c>
      <c r="H272" s="59">
        <f>SUM(H273)</f>
        <v>553662702713</v>
      </c>
      <c r="I272" s="59">
        <v>463655072713</v>
      </c>
      <c r="J272" s="59">
        <v>463655072713</v>
      </c>
      <c r="K272" s="59">
        <v>463655072713</v>
      </c>
      <c r="L272" s="59">
        <v>463655072713</v>
      </c>
      <c r="M272" s="59">
        <v>463655072713</v>
      </c>
      <c r="N272" s="59">
        <v>463655072713</v>
      </c>
      <c r="O272" s="59">
        <v>463655072713</v>
      </c>
      <c r="P272" s="59">
        <v>463655072713</v>
      </c>
      <c r="Q272" s="59">
        <v>0</v>
      </c>
      <c r="R272" s="59">
        <v>0</v>
      </c>
      <c r="S272" s="61">
        <v>463655072713</v>
      </c>
      <c r="T272" s="61">
        <v>463655072713</v>
      </c>
      <c r="U272" s="59">
        <v>463655072713</v>
      </c>
      <c r="V272" s="59">
        <v>383655072713</v>
      </c>
      <c r="W272" s="59">
        <v>383655072713</v>
      </c>
      <c r="X272" s="59">
        <v>293655072713</v>
      </c>
      <c r="Y272" s="59">
        <v>293655072713</v>
      </c>
      <c r="Z272" s="59">
        <v>293655072713</v>
      </c>
      <c r="AA272" s="59">
        <f>SUM(AA273)</f>
        <v>293655072713</v>
      </c>
      <c r="AB272" s="59">
        <f>SUM(AB273)</f>
        <v>0</v>
      </c>
      <c r="AC272" s="59">
        <f>SUM(AC273)</f>
        <v>0</v>
      </c>
      <c r="AD272" s="61">
        <f t="shared" si="54"/>
        <v>293655072713</v>
      </c>
      <c r="AE272" s="61">
        <f t="shared" si="55"/>
        <v>0</v>
      </c>
      <c r="AF272" s="62">
        <f t="shared" si="56"/>
        <v>0</v>
      </c>
      <c r="AG272" s="630" t="b">
        <f t="shared" si="51"/>
        <v>1</v>
      </c>
    </row>
    <row r="273" spans="1:33">
      <c r="B273" s="1" t="s">
        <v>285</v>
      </c>
      <c r="C273" s="2">
        <v>461100</v>
      </c>
      <c r="D273" s="2" t="s">
        <v>641</v>
      </c>
      <c r="E273" s="3" t="s">
        <v>113</v>
      </c>
      <c r="F273" s="3" t="s">
        <v>740</v>
      </c>
      <c r="G273" s="30">
        <v>59668034500</v>
      </c>
      <c r="H273" s="21">
        <v>553662702713</v>
      </c>
      <c r="I273" s="21">
        <v>463655072713</v>
      </c>
      <c r="J273" s="21">
        <v>463655072713</v>
      </c>
      <c r="K273" s="21">
        <v>463655072713</v>
      </c>
      <c r="L273" s="21">
        <v>463655072713</v>
      </c>
      <c r="M273" s="21">
        <v>463655072713</v>
      </c>
      <c r="N273" s="21">
        <v>463655072713</v>
      </c>
      <c r="O273" s="21">
        <v>463655072713</v>
      </c>
      <c r="P273" s="21">
        <v>463655072713</v>
      </c>
      <c r="Q273" s="21"/>
      <c r="R273" s="21"/>
      <c r="S273" s="21">
        <v>463655072713</v>
      </c>
      <c r="T273" s="517">
        <v>463655072713</v>
      </c>
      <c r="U273" s="517">
        <v>463655072713</v>
      </c>
      <c r="V273" s="517">
        <v>383655072713</v>
      </c>
      <c r="W273" s="517">
        <v>383655072713</v>
      </c>
      <c r="X273" s="517">
        <v>293655072713</v>
      </c>
      <c r="Y273" s="517">
        <v>293655072713</v>
      </c>
      <c r="Z273" s="517">
        <v>293655072713</v>
      </c>
      <c r="AA273" s="517">
        <f>-IFERROR(VLOOKUP(C273,'전사시산표(3단계)_1013'!$C:$L,10,0),0)</f>
        <v>293655072713</v>
      </c>
      <c r="AB273" s="517"/>
      <c r="AC273" s="517"/>
      <c r="AD273" s="517">
        <f t="shared" si="54"/>
        <v>293655072713</v>
      </c>
      <c r="AE273" s="21">
        <f t="shared" si="55"/>
        <v>0</v>
      </c>
      <c r="AF273" s="38">
        <f t="shared" si="56"/>
        <v>0</v>
      </c>
      <c r="AG273" s="630" t="b">
        <f t="shared" si="51"/>
        <v>1</v>
      </c>
    </row>
    <row r="274" spans="1:33">
      <c r="B274" s="55" t="s">
        <v>826</v>
      </c>
      <c r="C274" s="56">
        <v>46210</v>
      </c>
      <c r="D274" s="56"/>
      <c r="E274" s="57" t="s">
        <v>801</v>
      </c>
      <c r="F274" s="57"/>
      <c r="G274" s="59"/>
      <c r="H274" s="59"/>
      <c r="I274" s="59"/>
      <c r="J274" s="59">
        <v>1750000000</v>
      </c>
      <c r="K274" s="59">
        <v>1750000000</v>
      </c>
      <c r="L274" s="59">
        <v>1750000000</v>
      </c>
      <c r="M274" s="59">
        <v>1750000000</v>
      </c>
      <c r="N274" s="59">
        <v>4550000000</v>
      </c>
      <c r="O274" s="59">
        <v>4550000000</v>
      </c>
      <c r="P274" s="59">
        <v>4550000000</v>
      </c>
      <c r="Q274" s="59">
        <v>0</v>
      </c>
      <c r="R274" s="59">
        <v>0</v>
      </c>
      <c r="S274" s="59">
        <v>4550000000</v>
      </c>
      <c r="T274" s="59">
        <v>4550000000</v>
      </c>
      <c r="U274" s="59">
        <v>4550000000</v>
      </c>
      <c r="V274" s="59">
        <v>4861756000</v>
      </c>
      <c r="W274" s="59">
        <v>4861756000</v>
      </c>
      <c r="X274" s="59">
        <v>4861756000</v>
      </c>
      <c r="Y274" s="59">
        <v>4861756000</v>
      </c>
      <c r="Z274" s="59">
        <v>4861756000</v>
      </c>
      <c r="AA274" s="59">
        <f>SUM(AA275:AA277)</f>
        <v>4861756000</v>
      </c>
      <c r="AB274" s="59">
        <f t="shared" ref="AB274:AC274" si="57">AB275</f>
        <v>0</v>
      </c>
      <c r="AC274" s="59">
        <f t="shared" si="57"/>
        <v>0</v>
      </c>
      <c r="AD274" s="59">
        <f t="shared" si="54"/>
        <v>4861756000</v>
      </c>
      <c r="AE274" s="61">
        <f t="shared" si="55"/>
        <v>0</v>
      </c>
      <c r="AF274" s="62">
        <f t="shared" si="56"/>
        <v>0</v>
      </c>
      <c r="AG274" s="630" t="b">
        <f t="shared" si="51"/>
        <v>1</v>
      </c>
    </row>
    <row r="275" spans="1:33">
      <c r="B275" s="7" t="s">
        <v>828</v>
      </c>
      <c r="C275" s="5">
        <v>462100</v>
      </c>
      <c r="D275" s="5" t="s">
        <v>924</v>
      </c>
      <c r="E275" s="6" t="s">
        <v>802</v>
      </c>
      <c r="F275" s="6" t="s">
        <v>669</v>
      </c>
      <c r="G275" s="31"/>
      <c r="H275" s="22"/>
      <c r="I275" s="22"/>
      <c r="J275" s="22">
        <v>1750000000</v>
      </c>
      <c r="K275" s="21">
        <v>1750000000</v>
      </c>
      <c r="L275" s="21">
        <v>1750000000</v>
      </c>
      <c r="M275" s="21">
        <v>1750000000</v>
      </c>
      <c r="N275" s="21">
        <v>2250000000</v>
      </c>
      <c r="O275" s="21">
        <v>2250000000</v>
      </c>
      <c r="P275" s="21">
        <v>2250000000</v>
      </c>
      <c r="Q275" s="22"/>
      <c r="R275" s="22"/>
      <c r="S275" s="21">
        <v>2250000000</v>
      </c>
      <c r="T275" s="517">
        <v>2250000000</v>
      </c>
      <c r="U275" s="517">
        <v>2250000000</v>
      </c>
      <c r="V275" s="517">
        <v>2561756000</v>
      </c>
      <c r="W275" s="517">
        <v>2561756000</v>
      </c>
      <c r="X275" s="517">
        <v>2561756000</v>
      </c>
      <c r="Y275" s="517">
        <v>2561756000</v>
      </c>
      <c r="Z275" s="517">
        <v>2561756000</v>
      </c>
      <c r="AA275" s="517">
        <f>-IFERROR(VLOOKUP(C275,'전사시산표(3단계)_1013'!$C:$L,10,0),0)</f>
        <v>2561756000</v>
      </c>
      <c r="AB275" s="519"/>
      <c r="AC275" s="519"/>
      <c r="AD275" s="517">
        <f t="shared" si="54"/>
        <v>2561756000</v>
      </c>
      <c r="AE275" s="21">
        <f t="shared" si="55"/>
        <v>0</v>
      </c>
      <c r="AF275" s="38">
        <f t="shared" si="56"/>
        <v>0</v>
      </c>
      <c r="AG275" s="630" t="b">
        <f t="shared" si="51"/>
        <v>1</v>
      </c>
    </row>
    <row r="276" spans="1:33">
      <c r="B276" s="7" t="s">
        <v>291</v>
      </c>
      <c r="C276" s="5">
        <v>463500</v>
      </c>
      <c r="D276" s="5"/>
      <c r="E276" s="6" t="s">
        <v>1146</v>
      </c>
      <c r="F276" s="6" t="s">
        <v>769</v>
      </c>
      <c r="G276" s="31"/>
      <c r="H276" s="22"/>
      <c r="I276" s="22"/>
      <c r="J276" s="22"/>
      <c r="K276" s="22"/>
      <c r="L276" s="22"/>
      <c r="M276" s="22"/>
      <c r="N276" s="22">
        <v>1000000000</v>
      </c>
      <c r="O276" s="22">
        <v>1000000000</v>
      </c>
      <c r="P276" s="21">
        <v>1000000000</v>
      </c>
      <c r="Q276" s="22"/>
      <c r="R276" s="22"/>
      <c r="S276" s="21">
        <v>1000000000</v>
      </c>
      <c r="T276" s="517">
        <v>1000000000</v>
      </c>
      <c r="U276" s="517">
        <v>1000000000</v>
      </c>
      <c r="V276" s="517">
        <v>1000000000</v>
      </c>
      <c r="W276" s="517">
        <v>1000000000</v>
      </c>
      <c r="X276" s="517">
        <v>1000000000</v>
      </c>
      <c r="Y276" s="517">
        <v>1000000000</v>
      </c>
      <c r="Z276" s="517">
        <v>1000000000</v>
      </c>
      <c r="AA276" s="517">
        <f>-IFERROR(VLOOKUP(C276,'전사시산표(3단계)_1013'!$C:$L,10,0),0)</f>
        <v>1000000000</v>
      </c>
      <c r="AB276" s="519"/>
      <c r="AC276" s="519"/>
      <c r="AD276" s="517">
        <f t="shared" si="54"/>
        <v>1000000000</v>
      </c>
      <c r="AE276" s="21">
        <f t="shared" si="55"/>
        <v>0</v>
      </c>
      <c r="AF276" s="38">
        <f t="shared" si="56"/>
        <v>0</v>
      </c>
      <c r="AG276" s="630" t="b">
        <f t="shared" si="51"/>
        <v>1</v>
      </c>
    </row>
    <row r="277" spans="1:33">
      <c r="B277" s="7" t="s">
        <v>291</v>
      </c>
      <c r="C277" s="5">
        <v>463600</v>
      </c>
      <c r="D277" s="5"/>
      <c r="E277" s="6" t="s">
        <v>1147</v>
      </c>
      <c r="F277" s="6" t="s">
        <v>769</v>
      </c>
      <c r="G277" s="31"/>
      <c r="H277" s="22"/>
      <c r="I277" s="22"/>
      <c r="J277" s="22"/>
      <c r="K277" s="22"/>
      <c r="L277" s="22"/>
      <c r="M277" s="22"/>
      <c r="N277" s="22">
        <v>1300000000</v>
      </c>
      <c r="O277" s="22">
        <v>1300000000</v>
      </c>
      <c r="P277" s="21">
        <v>1300000000</v>
      </c>
      <c r="Q277" s="22"/>
      <c r="R277" s="22"/>
      <c r="S277" s="21">
        <v>1300000000</v>
      </c>
      <c r="T277" s="517">
        <v>1300000000</v>
      </c>
      <c r="U277" s="517">
        <v>1300000000</v>
      </c>
      <c r="V277" s="517">
        <v>1300000000</v>
      </c>
      <c r="W277" s="517">
        <v>1300000000</v>
      </c>
      <c r="X277" s="517">
        <v>1300000000</v>
      </c>
      <c r="Y277" s="517">
        <v>1300000000</v>
      </c>
      <c r="Z277" s="517">
        <v>1300000000</v>
      </c>
      <c r="AA277" s="517">
        <f>-IFERROR(VLOOKUP(C277,'전사시산표(3단계)_1013'!$C:$L,10,0),0)</f>
        <v>1300000000</v>
      </c>
      <c r="AB277" s="519"/>
      <c r="AC277" s="519"/>
      <c r="AD277" s="517">
        <f t="shared" si="54"/>
        <v>1300000000</v>
      </c>
      <c r="AE277" s="21">
        <f t="shared" si="55"/>
        <v>0</v>
      </c>
      <c r="AF277" s="38">
        <f t="shared" si="56"/>
        <v>0</v>
      </c>
      <c r="AG277" s="630" t="b">
        <f t="shared" si="51"/>
        <v>1</v>
      </c>
    </row>
    <row r="278" spans="1:33">
      <c r="B278" s="55" t="s">
        <v>276</v>
      </c>
      <c r="C278" s="56">
        <v>46710</v>
      </c>
      <c r="D278" s="56"/>
      <c r="E278" s="57" t="s">
        <v>112</v>
      </c>
      <c r="F278" s="57"/>
      <c r="G278" s="59">
        <f>SUM(G279:G279)</f>
        <v>0</v>
      </c>
      <c r="H278" s="59">
        <f>SUM(H279:H279)</f>
        <v>-3500605</v>
      </c>
      <c r="I278" s="59">
        <v>-3500605</v>
      </c>
      <c r="J278" s="59">
        <v>-3500605</v>
      </c>
      <c r="K278" s="59">
        <v>-3500605</v>
      </c>
      <c r="L278" s="59">
        <v>-42575729077</v>
      </c>
      <c r="M278" s="59">
        <v>-42575729077</v>
      </c>
      <c r="N278" s="59">
        <v>-42575729077</v>
      </c>
      <c r="O278" s="59">
        <v>-42575729077</v>
      </c>
      <c r="P278" s="59">
        <v>-42575729077</v>
      </c>
      <c r="Q278" s="59">
        <v>0</v>
      </c>
      <c r="R278" s="59">
        <v>0</v>
      </c>
      <c r="S278" s="61">
        <v>-42575729077</v>
      </c>
      <c r="T278" s="61">
        <v>-42575729077</v>
      </c>
      <c r="U278" s="59">
        <v>-42575729077</v>
      </c>
      <c r="V278" s="59">
        <v>-42575729077</v>
      </c>
      <c r="W278" s="59">
        <v>-42575729077</v>
      </c>
      <c r="X278" s="59">
        <v>-42575729077</v>
      </c>
      <c r="Y278" s="59">
        <v>-42575729077</v>
      </c>
      <c r="Z278" s="59">
        <v>-42575729077</v>
      </c>
      <c r="AA278" s="59">
        <f>SUM(AA279:AA279)</f>
        <v>-42575729077</v>
      </c>
      <c r="AB278" s="59">
        <f>SUM(AB279:AB279)</f>
        <v>0</v>
      </c>
      <c r="AC278" s="59">
        <f>SUM(AC279:AC279)</f>
        <v>0</v>
      </c>
      <c r="AD278" s="61">
        <f t="shared" si="54"/>
        <v>-42575729077</v>
      </c>
      <c r="AE278" s="61">
        <f t="shared" si="55"/>
        <v>0</v>
      </c>
      <c r="AF278" s="62">
        <f t="shared" si="56"/>
        <v>0</v>
      </c>
      <c r="AG278" s="630" t="b">
        <f t="shared" si="51"/>
        <v>1</v>
      </c>
    </row>
    <row r="279" spans="1:33">
      <c r="B279" s="7" t="s">
        <v>321</v>
      </c>
      <c r="C279" s="5">
        <v>467100</v>
      </c>
      <c r="D279" s="5" t="s">
        <v>642</v>
      </c>
      <c r="E279" s="6" t="s">
        <v>326</v>
      </c>
      <c r="F279" s="6" t="s">
        <v>740</v>
      </c>
      <c r="G279" s="31">
        <v>0</v>
      </c>
      <c r="H279" s="22">
        <v>-3500605</v>
      </c>
      <c r="I279" s="21">
        <v>-3500605</v>
      </c>
      <c r="J279" s="22">
        <v>-3500605</v>
      </c>
      <c r="K279" s="22">
        <v>-3500605</v>
      </c>
      <c r="L279" s="22">
        <v>-42575729077</v>
      </c>
      <c r="M279" s="22">
        <v>-42575729077</v>
      </c>
      <c r="N279" s="22">
        <v>-42575729077</v>
      </c>
      <c r="O279" s="22">
        <v>-42575729077</v>
      </c>
      <c r="P279" s="22">
        <v>-42575729077</v>
      </c>
      <c r="Q279" s="22"/>
      <c r="R279" s="22"/>
      <c r="S279" s="21">
        <v>-42575729077</v>
      </c>
      <c r="T279" s="517">
        <v>-42575729077</v>
      </c>
      <c r="U279" s="519">
        <v>-42575729077</v>
      </c>
      <c r="V279" s="519">
        <v>-42575729077</v>
      </c>
      <c r="W279" s="519">
        <v>-42575729077</v>
      </c>
      <c r="X279" s="519">
        <v>-42575729077</v>
      </c>
      <c r="Y279" s="519">
        <v>-42575729077</v>
      </c>
      <c r="Z279" s="519">
        <v>-42575729077</v>
      </c>
      <c r="AA279" s="519">
        <f>-IFERROR(VLOOKUP(C279,'전사시산표(3단계)_1013'!$C:$L,10,0),0)</f>
        <v>-42575729077</v>
      </c>
      <c r="AB279" s="519"/>
      <c r="AC279" s="519"/>
      <c r="AD279" s="517">
        <f t="shared" si="54"/>
        <v>-42575729077</v>
      </c>
      <c r="AE279" s="21">
        <f t="shared" si="55"/>
        <v>0</v>
      </c>
      <c r="AF279" s="38">
        <f t="shared" si="56"/>
        <v>0</v>
      </c>
      <c r="AG279" s="630" t="b">
        <f t="shared" si="51"/>
        <v>1</v>
      </c>
    </row>
    <row r="280" spans="1:33" s="606" customFormat="1">
      <c r="A280" s="23"/>
      <c r="B280" s="55" t="s">
        <v>276</v>
      </c>
      <c r="C280" s="56">
        <v>46710</v>
      </c>
      <c r="D280" s="56"/>
      <c r="E280" s="57" t="s">
        <v>1348</v>
      </c>
      <c r="F280" s="57"/>
      <c r="G280" s="59"/>
      <c r="H280" s="59"/>
      <c r="I280" s="59"/>
      <c r="J280" s="59"/>
      <c r="K280" s="59"/>
      <c r="L280" s="59"/>
      <c r="M280" s="59"/>
      <c r="N280" s="22"/>
      <c r="O280" s="22"/>
      <c r="P280" s="22"/>
      <c r="Q280" s="22"/>
      <c r="R280" s="22"/>
      <c r="S280" s="21"/>
      <c r="T280" s="61">
        <f>T281</f>
        <v>0</v>
      </c>
      <c r="U280" s="61">
        <f t="shared" ref="U280:AA280" si="58">U281</f>
        <v>0</v>
      </c>
      <c r="V280" s="61">
        <f t="shared" si="58"/>
        <v>0</v>
      </c>
      <c r="W280" s="61">
        <v>477851825</v>
      </c>
      <c r="X280" s="61">
        <v>1097860647</v>
      </c>
      <c r="Y280" s="61">
        <v>1702843384</v>
      </c>
      <c r="Z280" s="61">
        <v>2184222732</v>
      </c>
      <c r="AA280" s="61">
        <f t="shared" si="58"/>
        <v>2779373521</v>
      </c>
      <c r="AB280" s="59">
        <f>SUM(AB281:AB281)</f>
        <v>0</v>
      </c>
      <c r="AC280" s="59">
        <f>SUM(AC281:AC281)</f>
        <v>0</v>
      </c>
      <c r="AD280" s="61">
        <f t="shared" ref="AD280:AD281" si="59">AA280-AB280+AC280</f>
        <v>2779373521</v>
      </c>
      <c r="AE280" s="61">
        <f t="shared" si="55"/>
        <v>1681512874</v>
      </c>
      <c r="AF280" s="62">
        <f t="shared" si="56"/>
        <v>1.5316268768671877</v>
      </c>
      <c r="AG280" s="630" t="b">
        <f t="shared" si="51"/>
        <v>1</v>
      </c>
    </row>
    <row r="281" spans="1:33" s="11" customFormat="1">
      <c r="A281" s="24"/>
      <c r="B281" s="7" t="s">
        <v>291</v>
      </c>
      <c r="C281" s="5">
        <v>467110</v>
      </c>
      <c r="D281" s="5">
        <v>4664</v>
      </c>
      <c r="E281" s="6" t="s">
        <v>1347</v>
      </c>
      <c r="F281" s="6" t="s">
        <v>1347</v>
      </c>
      <c r="G281" s="31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1"/>
      <c r="T281" s="21">
        <v>0</v>
      </c>
      <c r="U281" s="22">
        <v>0</v>
      </c>
      <c r="V281" s="22">
        <v>0</v>
      </c>
      <c r="W281" s="22">
        <v>477851825</v>
      </c>
      <c r="X281" s="22">
        <v>1097860647</v>
      </c>
      <c r="Y281" s="22">
        <v>1702843384</v>
      </c>
      <c r="Z281" s="22">
        <v>2184222732</v>
      </c>
      <c r="AA281" s="22">
        <f>-IFERROR(VLOOKUP(C281,'전사시산표(3단계)_1013'!$C:$L,10,0),0)</f>
        <v>2779373521</v>
      </c>
      <c r="AB281" s="22"/>
      <c r="AC281" s="22"/>
      <c r="AD281" s="21">
        <f t="shared" si="59"/>
        <v>2779373521</v>
      </c>
      <c r="AE281" s="21">
        <f t="shared" si="55"/>
        <v>1681512874</v>
      </c>
      <c r="AF281" s="38">
        <f t="shared" si="56"/>
        <v>1.5316268768671877</v>
      </c>
      <c r="AG281" s="630" t="b">
        <f t="shared" si="51"/>
        <v>1</v>
      </c>
    </row>
    <row r="282" spans="1:33">
      <c r="B282" s="55" t="s">
        <v>829</v>
      </c>
      <c r="C282" s="56">
        <v>46791</v>
      </c>
      <c r="D282" s="56"/>
      <c r="E282" s="57" t="s">
        <v>830</v>
      </c>
      <c r="F282" s="57"/>
      <c r="G282" s="59">
        <v>0</v>
      </c>
      <c r="H282" s="59">
        <v>0</v>
      </c>
      <c r="I282" s="59">
        <v>0</v>
      </c>
      <c r="J282" s="59">
        <v>-12146190</v>
      </c>
      <c r="K282" s="59">
        <v>-12146190</v>
      </c>
      <c r="L282" s="59">
        <v>-12146190</v>
      </c>
      <c r="M282" s="59">
        <v>-5990913118</v>
      </c>
      <c r="N282" s="59">
        <v>-12140687222</v>
      </c>
      <c r="O282" s="59">
        <v>-9326153945</v>
      </c>
      <c r="P282" s="59">
        <v>-3362296660</v>
      </c>
      <c r="Q282" s="59">
        <v>0</v>
      </c>
      <c r="R282" s="59">
        <v>0</v>
      </c>
      <c r="S282" s="61">
        <v>-3362296660</v>
      </c>
      <c r="T282" s="61">
        <v>-95281465</v>
      </c>
      <c r="U282" s="59">
        <v>-95281465</v>
      </c>
      <c r="V282" s="59">
        <v>-96309720</v>
      </c>
      <c r="W282" s="59">
        <v>-96309720</v>
      </c>
      <c r="X282" s="59">
        <v>-8903015</v>
      </c>
      <c r="Y282" s="59">
        <v>-8903015</v>
      </c>
      <c r="Z282" s="59">
        <v>0</v>
      </c>
      <c r="AA282" s="59">
        <f>SUM(AA283:AA285)</f>
        <v>0</v>
      </c>
      <c r="AB282" s="59">
        <f t="shared" ref="AB282:AC282" si="60">SUM(AB284:AB285)</f>
        <v>0</v>
      </c>
      <c r="AC282" s="59">
        <f t="shared" si="60"/>
        <v>0</v>
      </c>
      <c r="AD282" s="61">
        <f>SUM(AD283:AD285)</f>
        <v>0</v>
      </c>
      <c r="AE282" s="61">
        <f t="shared" si="55"/>
        <v>8903015</v>
      </c>
      <c r="AF282" s="62">
        <f t="shared" si="56"/>
        <v>-1</v>
      </c>
      <c r="AG282" s="630" t="b">
        <f t="shared" si="51"/>
        <v>1</v>
      </c>
    </row>
    <row r="283" spans="1:33" s="11" customFormat="1">
      <c r="A283" s="24"/>
      <c r="B283" s="7" t="s">
        <v>291</v>
      </c>
      <c r="C283" s="5">
        <v>467402</v>
      </c>
      <c r="D283" s="5" t="s">
        <v>925</v>
      </c>
      <c r="E283" s="6" t="s">
        <v>1083</v>
      </c>
      <c r="F283" s="6" t="s">
        <v>830</v>
      </c>
      <c r="G283" s="31"/>
      <c r="H283" s="22"/>
      <c r="I283" s="22"/>
      <c r="J283" s="22"/>
      <c r="K283" s="22"/>
      <c r="L283" s="22">
        <v>0</v>
      </c>
      <c r="M283" s="22">
        <v>-5978766928</v>
      </c>
      <c r="N283" s="22">
        <v>-12082950267</v>
      </c>
      <c r="O283" s="22">
        <v>-9267658813</v>
      </c>
      <c r="P283" s="22">
        <v>-3303801528</v>
      </c>
      <c r="Q283" s="22"/>
      <c r="R283" s="22"/>
      <c r="S283" s="21">
        <v>-3303801528</v>
      </c>
      <c r="T283" s="21">
        <v>0</v>
      </c>
      <c r="U283" s="22">
        <v>0</v>
      </c>
      <c r="V283" s="22">
        <v>0</v>
      </c>
      <c r="W283" s="22">
        <v>0</v>
      </c>
      <c r="X283" s="22">
        <v>0</v>
      </c>
      <c r="Y283" s="22">
        <v>0</v>
      </c>
      <c r="Z283" s="22">
        <v>0</v>
      </c>
      <c r="AA283" s="22">
        <f>-IFERROR(VLOOKUP(G283,'[7]전사시산표(3단계)_20201014'!$C:$L,10,0),0)</f>
        <v>0</v>
      </c>
      <c r="AB283" s="22"/>
      <c r="AC283" s="22"/>
      <c r="AD283" s="21">
        <f>AA283-AB283+AC283</f>
        <v>0</v>
      </c>
      <c r="AE283" s="21">
        <f t="shared" si="55"/>
        <v>0</v>
      </c>
      <c r="AF283" s="38" t="str">
        <f t="shared" si="56"/>
        <v/>
      </c>
      <c r="AG283" s="630" t="b">
        <f t="shared" si="51"/>
        <v>1</v>
      </c>
    </row>
    <row r="284" spans="1:33">
      <c r="B284" s="7" t="s">
        <v>822</v>
      </c>
      <c r="C284" s="5">
        <v>467902</v>
      </c>
      <c r="D284" s="5" t="s">
        <v>925</v>
      </c>
      <c r="E284" s="6" t="s">
        <v>804</v>
      </c>
      <c r="F284" s="6" t="s">
        <v>830</v>
      </c>
      <c r="G284" s="31">
        <v>0</v>
      </c>
      <c r="H284" s="22">
        <v>0</v>
      </c>
      <c r="I284" s="22">
        <v>0</v>
      </c>
      <c r="J284" s="22">
        <v>-12146190</v>
      </c>
      <c r="K284" s="22">
        <v>-12146190</v>
      </c>
      <c r="L284" s="22">
        <v>-12146190</v>
      </c>
      <c r="M284" s="22">
        <v>-12146190</v>
      </c>
      <c r="N284" s="22">
        <v>-57736955</v>
      </c>
      <c r="O284" s="22">
        <v>-58495132</v>
      </c>
      <c r="P284" s="22">
        <v>-58495132</v>
      </c>
      <c r="Q284" s="22"/>
      <c r="R284" s="22"/>
      <c r="S284" s="21">
        <v>-58495132</v>
      </c>
      <c r="T284" s="517">
        <v>-95281465</v>
      </c>
      <c r="U284" s="519">
        <v>-95281465</v>
      </c>
      <c r="V284" s="519">
        <v>-96309720</v>
      </c>
      <c r="W284" s="519">
        <v>-96309720</v>
      </c>
      <c r="X284" s="519">
        <v>-8903015</v>
      </c>
      <c r="Y284" s="519">
        <v>-8903015</v>
      </c>
      <c r="Z284" s="519">
        <v>0</v>
      </c>
      <c r="AA284" s="519">
        <f>-IFERROR(VLOOKUP(C284,'전사시산표(3단계)_1013'!$C:$L,10,0),0)</f>
        <v>0</v>
      </c>
      <c r="AB284" s="519"/>
      <c r="AC284" s="519"/>
      <c r="AD284" s="517">
        <f>AA284-AB284+AC284</f>
        <v>0</v>
      </c>
      <c r="AE284" s="21">
        <f t="shared" si="55"/>
        <v>8903015</v>
      </c>
      <c r="AF284" s="38">
        <f t="shared" si="56"/>
        <v>-1</v>
      </c>
      <c r="AG284" s="630" t="b">
        <f t="shared" si="51"/>
        <v>1</v>
      </c>
    </row>
    <row r="285" spans="1:33">
      <c r="B285" s="7"/>
      <c r="C285" s="5"/>
      <c r="D285" s="5"/>
      <c r="E285" s="6" t="s">
        <v>831</v>
      </c>
      <c r="F285" s="6" t="s">
        <v>830</v>
      </c>
      <c r="G285" s="31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2">
        <v>0</v>
      </c>
      <c r="N285" s="22">
        <v>0</v>
      </c>
      <c r="O285" s="22">
        <v>0</v>
      </c>
      <c r="P285" s="22">
        <v>0</v>
      </c>
      <c r="Q285" s="22"/>
      <c r="R285" s="22"/>
      <c r="S285" s="21">
        <v>0</v>
      </c>
      <c r="T285" s="517">
        <v>0</v>
      </c>
      <c r="U285" s="519">
        <v>0</v>
      </c>
      <c r="V285" s="519">
        <v>0</v>
      </c>
      <c r="W285" s="519">
        <v>0</v>
      </c>
      <c r="X285" s="519">
        <v>0</v>
      </c>
      <c r="Y285" s="519">
        <v>0</v>
      </c>
      <c r="Z285" s="519">
        <v>0</v>
      </c>
      <c r="AA285" s="519">
        <f>-IFERROR(VLOOKUP(C285,'전사시산표(3단계)_1013'!$C:$L,10,0),0)</f>
        <v>0</v>
      </c>
      <c r="AB285" s="519"/>
      <c r="AC285" s="519"/>
      <c r="AD285" s="517">
        <f>AA285-AB285+AC285</f>
        <v>0</v>
      </c>
      <c r="AE285" s="21">
        <f t="shared" si="55"/>
        <v>0</v>
      </c>
      <c r="AF285" s="38" t="str">
        <f t="shared" si="56"/>
        <v/>
      </c>
      <c r="AG285" s="630" t="b">
        <f t="shared" si="51"/>
        <v>1</v>
      </c>
    </row>
    <row r="286" spans="1:33">
      <c r="B286" s="55" t="s">
        <v>290</v>
      </c>
      <c r="C286" s="56">
        <v>46510</v>
      </c>
      <c r="D286" s="56"/>
      <c r="E286" s="57" t="s">
        <v>327</v>
      </c>
      <c r="F286" s="57"/>
      <c r="G286" s="59">
        <f>SUM(G287:G289)</f>
        <v>0</v>
      </c>
      <c r="H286" s="59">
        <f>SUM(H287:H289)</f>
        <v>2799471994</v>
      </c>
      <c r="I286" s="59">
        <v>81264254562</v>
      </c>
      <c r="J286" s="59">
        <v>66381177300</v>
      </c>
      <c r="K286" s="59">
        <v>66080396461</v>
      </c>
      <c r="L286" s="59">
        <v>66634775808</v>
      </c>
      <c r="M286" s="59">
        <v>55029631568</v>
      </c>
      <c r="N286" s="59">
        <v>40515811017</v>
      </c>
      <c r="O286" s="59">
        <v>48189484209</v>
      </c>
      <c r="P286" s="59">
        <v>48027508171</v>
      </c>
      <c r="Q286" s="59">
        <v>0</v>
      </c>
      <c r="R286" s="59">
        <v>0</v>
      </c>
      <c r="S286" s="61">
        <v>48027508171</v>
      </c>
      <c r="T286" s="61">
        <v>26032917456</v>
      </c>
      <c r="U286" s="59">
        <v>21940352664</v>
      </c>
      <c r="V286" s="59">
        <v>63047010905</v>
      </c>
      <c r="W286" s="59">
        <v>43476945723</v>
      </c>
      <c r="X286" s="59">
        <v>102674861373</v>
      </c>
      <c r="Y286" s="59">
        <v>71214132018</v>
      </c>
      <c r="Z286" s="59">
        <v>19710521666</v>
      </c>
      <c r="AA286" s="59">
        <f>SUM(AA287:AA289)</f>
        <v>23832645358</v>
      </c>
      <c r="AB286" s="59">
        <f>SUM(AB287:AB289)</f>
        <v>0</v>
      </c>
      <c r="AC286" s="59">
        <f>SUM(AC287:AC289)</f>
        <v>0</v>
      </c>
      <c r="AD286" s="61">
        <f>AA286-AB286+AC286</f>
        <v>23832645358</v>
      </c>
      <c r="AE286" s="61">
        <f t="shared" si="55"/>
        <v>-78842216015</v>
      </c>
      <c r="AF286" s="62">
        <f t="shared" si="56"/>
        <v>-0.76788237121236402</v>
      </c>
      <c r="AG286" s="630" t="b">
        <f t="shared" si="51"/>
        <v>1</v>
      </c>
    </row>
    <row r="287" spans="1:33">
      <c r="B287" s="1" t="s">
        <v>285</v>
      </c>
      <c r="C287" s="2">
        <v>465100</v>
      </c>
      <c r="D287" s="2" t="s">
        <v>726</v>
      </c>
      <c r="E287" s="3" t="s">
        <v>328</v>
      </c>
      <c r="F287" s="3" t="s">
        <v>669</v>
      </c>
      <c r="G287" s="30">
        <v>0</v>
      </c>
      <c r="H287" s="21">
        <v>0</v>
      </c>
      <c r="I287" s="21">
        <v>90000000000</v>
      </c>
      <c r="J287" s="22">
        <v>61242865502</v>
      </c>
      <c r="K287" s="22">
        <v>61242865502</v>
      </c>
      <c r="L287" s="22">
        <v>61242865502</v>
      </c>
      <c r="M287" s="22">
        <v>61242865502</v>
      </c>
      <c r="N287" s="22">
        <v>48365827743</v>
      </c>
      <c r="O287" s="22">
        <v>48365827743</v>
      </c>
      <c r="P287" s="22">
        <v>48365827743</v>
      </c>
      <c r="Q287" s="21"/>
      <c r="R287" s="21"/>
      <c r="S287" s="21">
        <v>48365827743</v>
      </c>
      <c r="T287" s="517">
        <v>55609743659</v>
      </c>
      <c r="U287" s="519">
        <v>25987013285</v>
      </c>
      <c r="V287" s="519">
        <v>80675257285</v>
      </c>
      <c r="W287" s="519">
        <v>80675257285</v>
      </c>
      <c r="X287" s="519">
        <v>170675257285</v>
      </c>
      <c r="Y287" s="519">
        <v>98787337586</v>
      </c>
      <c r="Z287" s="519">
        <v>98787337586</v>
      </c>
      <c r="AA287" s="519">
        <f>-IFERROR(VLOOKUP(C287,'전사시산표(3단계)_1013'!$C:$L,10,0),0)</f>
        <v>98787337586</v>
      </c>
      <c r="AB287" s="517"/>
      <c r="AC287" s="517"/>
      <c r="AD287" s="517">
        <f>AA287-AB287+AC287</f>
        <v>98787337586</v>
      </c>
      <c r="AE287" s="21">
        <f t="shared" si="55"/>
        <v>-71887919699</v>
      </c>
      <c r="AF287" s="38">
        <f t="shared" si="56"/>
        <v>-0.42119707825580621</v>
      </c>
      <c r="AG287" s="630" t="b">
        <f t="shared" si="51"/>
        <v>1</v>
      </c>
    </row>
    <row r="288" spans="1:33">
      <c r="B288" s="1" t="s">
        <v>285</v>
      </c>
      <c r="C288" s="2"/>
      <c r="D288" s="2"/>
      <c r="E288" s="3" t="s">
        <v>329</v>
      </c>
      <c r="F288" s="3" t="s">
        <v>669</v>
      </c>
      <c r="G288" s="30">
        <v>0</v>
      </c>
      <c r="H288" s="21">
        <f>IS_WTB!G276</f>
        <v>2799471994</v>
      </c>
      <c r="I288" s="21">
        <v>-9507134498</v>
      </c>
      <c r="J288" s="21">
        <v>4366922738</v>
      </c>
      <c r="K288" s="21">
        <v>4066141899</v>
      </c>
      <c r="L288" s="21">
        <v>4620521246</v>
      </c>
      <c r="M288" s="21">
        <v>-5077037759</v>
      </c>
      <c r="N288" s="21">
        <v>-6713820551</v>
      </c>
      <c r="O288" s="21">
        <v>959852641</v>
      </c>
      <c r="P288" s="21">
        <v>797876603</v>
      </c>
      <c r="Q288" s="21">
        <v>0</v>
      </c>
      <c r="R288" s="21">
        <v>0</v>
      </c>
      <c r="S288" s="21">
        <v>797876603</v>
      </c>
      <c r="T288" s="517">
        <v>-29622730374</v>
      </c>
      <c r="U288" s="517">
        <v>-4092564792</v>
      </c>
      <c r="V288" s="517">
        <v>-17674150551</v>
      </c>
      <c r="W288" s="517">
        <v>-37244215733</v>
      </c>
      <c r="X288" s="517">
        <v>-66887919699</v>
      </c>
      <c r="Y288" s="517">
        <v>-26460729355</v>
      </c>
      <c r="Z288" s="517">
        <v>-77964339707</v>
      </c>
      <c r="AA288" s="517">
        <f>IS_WTB!AA276</f>
        <v>-75590345281</v>
      </c>
      <c r="AB288" s="517">
        <f>IS_WTB!AB276</f>
        <v>0</v>
      </c>
      <c r="AC288" s="517">
        <f>IS_WTB!AC276</f>
        <v>0</v>
      </c>
      <c r="AD288" s="517">
        <f>IS_WTB!AD276</f>
        <v>-75590345281</v>
      </c>
      <c r="AE288" s="21">
        <f t="shared" si="55"/>
        <v>-8702425582</v>
      </c>
      <c r="AF288" s="38">
        <f t="shared" si="56"/>
        <v>0.13010459319353154</v>
      </c>
      <c r="AG288" s="630" t="b">
        <f t="shared" si="51"/>
        <v>1</v>
      </c>
    </row>
    <row r="289" spans="2:33">
      <c r="B289" s="1" t="s">
        <v>285</v>
      </c>
      <c r="C289" s="2">
        <v>465300</v>
      </c>
      <c r="D289" s="2" t="s">
        <v>727</v>
      </c>
      <c r="E289" s="3" t="s">
        <v>330</v>
      </c>
      <c r="F289" s="3" t="s">
        <v>669</v>
      </c>
      <c r="G289" s="30">
        <v>0</v>
      </c>
      <c r="H289" s="21">
        <v>0</v>
      </c>
      <c r="I289" s="21">
        <v>771389060</v>
      </c>
      <c r="J289" s="21">
        <v>771389060</v>
      </c>
      <c r="K289" s="21">
        <v>771389060</v>
      </c>
      <c r="L289" s="21">
        <v>771389060</v>
      </c>
      <c r="M289" s="21">
        <v>-1136196175</v>
      </c>
      <c r="N289" s="21">
        <v>-1136196175</v>
      </c>
      <c r="O289" s="21">
        <v>-1136196175</v>
      </c>
      <c r="P289" s="21">
        <v>-1136196175</v>
      </c>
      <c r="Q289" s="21"/>
      <c r="R289" s="21"/>
      <c r="S289" s="21">
        <v>-1136196175</v>
      </c>
      <c r="T289" s="517">
        <v>45904171</v>
      </c>
      <c r="U289" s="517">
        <v>45904171</v>
      </c>
      <c r="V289" s="517">
        <v>45904171</v>
      </c>
      <c r="W289" s="517">
        <v>45904171</v>
      </c>
      <c r="X289" s="517">
        <v>-1112476213</v>
      </c>
      <c r="Y289" s="517">
        <v>-1112476213</v>
      </c>
      <c r="Z289" s="517">
        <v>-1112476213</v>
      </c>
      <c r="AA289" s="517">
        <f>-IFERROR(VLOOKUP(C289,'전사시산표(3단계)_1013'!$C:$L,10,0),0)</f>
        <v>635653053</v>
      </c>
      <c r="AB289" s="517"/>
      <c r="AC289" s="517"/>
      <c r="AD289" s="517">
        <f>AA289-AB289+AC289</f>
        <v>635653053</v>
      </c>
      <c r="AE289" s="21">
        <f t="shared" si="55"/>
        <v>1748129266</v>
      </c>
      <c r="AF289" s="38">
        <f t="shared" si="56"/>
        <v>-1.5713857479126163</v>
      </c>
      <c r="AG289" s="630" t="b">
        <f t="shared" si="51"/>
        <v>1</v>
      </c>
    </row>
    <row r="290" spans="2:33">
      <c r="B290" s="55" t="s">
        <v>290</v>
      </c>
      <c r="C290" s="56">
        <v>46740</v>
      </c>
      <c r="D290" s="56"/>
      <c r="E290" s="57" t="s">
        <v>331</v>
      </c>
      <c r="F290" s="57"/>
      <c r="G290" s="59">
        <f>SUM(G291:G292)</f>
        <v>0</v>
      </c>
      <c r="H290" s="59">
        <f>SUM(H291:H292)</f>
        <v>0</v>
      </c>
      <c r="I290" s="59">
        <v>0</v>
      </c>
      <c r="J290" s="59">
        <v>0</v>
      </c>
      <c r="K290" s="59">
        <v>0</v>
      </c>
      <c r="L290" s="59">
        <v>0</v>
      </c>
      <c r="M290" s="59">
        <v>0</v>
      </c>
      <c r="N290" s="59">
        <v>0</v>
      </c>
      <c r="O290" s="59">
        <v>0</v>
      </c>
      <c r="P290" s="59">
        <v>0</v>
      </c>
      <c r="Q290" s="59">
        <v>0</v>
      </c>
      <c r="R290" s="59">
        <v>0</v>
      </c>
      <c r="S290" s="61">
        <v>0</v>
      </c>
      <c r="T290" s="61">
        <v>0</v>
      </c>
      <c r="U290" s="59">
        <v>0</v>
      </c>
      <c r="V290" s="59">
        <v>0</v>
      </c>
      <c r="W290" s="59">
        <v>0</v>
      </c>
      <c r="X290" s="59">
        <v>0</v>
      </c>
      <c r="Y290" s="59">
        <v>0</v>
      </c>
      <c r="Z290" s="59">
        <v>0</v>
      </c>
      <c r="AA290" s="59">
        <f>SUM(AA291:AA292)</f>
        <v>0</v>
      </c>
      <c r="AB290" s="59">
        <f>SUM(AB291:AB292)</f>
        <v>0</v>
      </c>
      <c r="AC290" s="59">
        <f>SUM(AC291:AC292)</f>
        <v>0</v>
      </c>
      <c r="AD290" s="61">
        <f>AA290-AB290+AC290</f>
        <v>0</v>
      </c>
      <c r="AE290" s="61">
        <f t="shared" si="55"/>
        <v>0</v>
      </c>
      <c r="AF290" s="62" t="str">
        <f t="shared" si="56"/>
        <v/>
      </c>
      <c r="AG290" s="630" t="b">
        <f t="shared" si="51"/>
        <v>1</v>
      </c>
    </row>
    <row r="291" spans="2:33">
      <c r="B291" s="1" t="s">
        <v>285</v>
      </c>
      <c r="C291" s="2">
        <v>467710</v>
      </c>
      <c r="D291" s="2"/>
      <c r="E291" s="3" t="s">
        <v>332</v>
      </c>
      <c r="F291" s="3" t="s">
        <v>769</v>
      </c>
      <c r="G291" s="30">
        <v>0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1"/>
      <c r="R291" s="21"/>
      <c r="S291" s="21">
        <v>0</v>
      </c>
      <c r="T291" s="517">
        <v>0</v>
      </c>
      <c r="U291" s="517">
        <v>0</v>
      </c>
      <c r="V291" s="517">
        <v>0</v>
      </c>
      <c r="W291" s="517">
        <v>0</v>
      </c>
      <c r="X291" s="517">
        <v>0</v>
      </c>
      <c r="Y291" s="517">
        <v>0</v>
      </c>
      <c r="Z291" s="517">
        <v>0</v>
      </c>
      <c r="AA291" s="517">
        <f>-IFERROR(VLOOKUP(C291,'전사시산표(3단계)_1013'!$C:$L,10,0),0)</f>
        <v>0</v>
      </c>
      <c r="AB291" s="517"/>
      <c r="AC291" s="517"/>
      <c r="AD291" s="517">
        <f>AA291-AB291+AC291</f>
        <v>0</v>
      </c>
      <c r="AE291" s="21">
        <f t="shared" si="55"/>
        <v>0</v>
      </c>
      <c r="AF291" s="38" t="str">
        <f t="shared" si="56"/>
        <v/>
      </c>
      <c r="AG291" s="630" t="b">
        <f t="shared" si="51"/>
        <v>1</v>
      </c>
    </row>
    <row r="292" spans="2:33" ht="17.25" thickBot="1">
      <c r="B292" s="9" t="s">
        <v>285</v>
      </c>
      <c r="C292" s="34">
        <v>467720</v>
      </c>
      <c r="D292" s="34"/>
      <c r="E292" s="33" t="s">
        <v>333</v>
      </c>
      <c r="F292" s="3" t="s">
        <v>769</v>
      </c>
      <c r="G292" s="39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/>
      <c r="S292" s="36">
        <v>0</v>
      </c>
      <c r="T292" s="518">
        <v>0</v>
      </c>
      <c r="U292" s="518">
        <v>0</v>
      </c>
      <c r="V292" s="518">
        <v>0</v>
      </c>
      <c r="W292" s="518">
        <v>0</v>
      </c>
      <c r="X292" s="518">
        <v>0</v>
      </c>
      <c r="Y292" s="518">
        <v>0</v>
      </c>
      <c r="Z292" s="518">
        <v>0</v>
      </c>
      <c r="AA292" s="518">
        <f>-IFERROR(VLOOKUP(C292,'전사시산표(3단계)_1013'!$C:$L,10,0),0)</f>
        <v>0</v>
      </c>
      <c r="AB292" s="518">
        <v>0</v>
      </c>
      <c r="AC292" s="518"/>
      <c r="AD292" s="518">
        <f>AA292-AB292+AC292</f>
        <v>0</v>
      </c>
      <c r="AE292" s="36">
        <f t="shared" si="55"/>
        <v>0</v>
      </c>
      <c r="AF292" s="40" t="str">
        <f t="shared" si="56"/>
        <v/>
      </c>
      <c r="AG292" s="630" t="b">
        <f t="shared" si="51"/>
        <v>1</v>
      </c>
    </row>
    <row r="293" spans="2:33" ht="17.25" thickBot="1">
      <c r="B293" s="44" t="s">
        <v>334</v>
      </c>
      <c r="C293" s="54"/>
      <c r="D293" s="54"/>
      <c r="E293" s="46" t="s">
        <v>335</v>
      </c>
      <c r="F293" s="46"/>
      <c r="G293" s="52">
        <f>G267+G159</f>
        <v>494796101763</v>
      </c>
      <c r="H293" s="52">
        <f>H267+H159</f>
        <v>1043121741971</v>
      </c>
      <c r="I293" s="52">
        <v>1045946496278</v>
      </c>
      <c r="J293" s="52">
        <v>1096634294883</v>
      </c>
      <c r="K293" s="52">
        <v>986970573166</v>
      </c>
      <c r="L293" s="52">
        <v>971070269957</v>
      </c>
      <c r="M293" s="52">
        <v>923423937523</v>
      </c>
      <c r="N293" s="52">
        <v>975565846713</v>
      </c>
      <c r="O293" s="52">
        <v>944132995069</v>
      </c>
      <c r="P293" s="52">
        <v>962227867327</v>
      </c>
      <c r="Q293" s="52">
        <v>0</v>
      </c>
      <c r="R293" s="52">
        <v>0</v>
      </c>
      <c r="S293" s="50">
        <v>962227867327</v>
      </c>
      <c r="T293" s="50">
        <v>999224964339</v>
      </c>
      <c r="U293" s="52">
        <v>1015605393069</v>
      </c>
      <c r="V293" s="52">
        <v>944173650681</v>
      </c>
      <c r="W293" s="52">
        <v>943982393357</v>
      </c>
      <c r="X293" s="52">
        <v>944077517567</v>
      </c>
      <c r="Y293" s="52">
        <v>880657447783</v>
      </c>
      <c r="Z293" s="52">
        <v>812115296070</v>
      </c>
      <c r="AA293" s="52">
        <f>AA267+AA159</f>
        <v>875918784205</v>
      </c>
      <c r="AB293" s="52">
        <f>AB267+AB159</f>
        <v>0</v>
      </c>
      <c r="AC293" s="52">
        <f>AC267+AC159</f>
        <v>0</v>
      </c>
      <c r="AD293" s="50">
        <f>AA293-AB293+AC293</f>
        <v>875918784205</v>
      </c>
      <c r="AE293" s="50">
        <f t="shared" si="55"/>
        <v>-68158733362</v>
      </c>
      <c r="AF293" s="53">
        <f t="shared" si="56"/>
        <v>-7.2196119591591543E-2</v>
      </c>
      <c r="AG293" s="630" t="b">
        <f t="shared" si="51"/>
        <v>1</v>
      </c>
    </row>
    <row r="294" spans="2:33" s="11" customFormat="1">
      <c r="B294" s="26"/>
      <c r="C294" s="18"/>
      <c r="D294" s="18"/>
      <c r="E294" s="19"/>
      <c r="F294" s="20"/>
      <c r="G294" s="27" t="b">
        <f t="shared" ref="G294:U294" si="61">G293=G4</f>
        <v>1</v>
      </c>
      <c r="H294" s="27" t="b">
        <f t="shared" si="61"/>
        <v>1</v>
      </c>
      <c r="I294" s="27" t="b">
        <f t="shared" si="61"/>
        <v>1</v>
      </c>
      <c r="J294" s="27" t="b">
        <f t="shared" si="61"/>
        <v>1</v>
      </c>
      <c r="K294" s="27" t="b">
        <f t="shared" si="61"/>
        <v>1</v>
      </c>
      <c r="L294" s="27" t="b">
        <f t="shared" si="61"/>
        <v>1</v>
      </c>
      <c r="M294" s="27" t="b">
        <f t="shared" si="61"/>
        <v>1</v>
      </c>
      <c r="N294" s="27" t="b">
        <f t="shared" si="61"/>
        <v>1</v>
      </c>
      <c r="O294" s="27" t="b">
        <f t="shared" si="61"/>
        <v>1</v>
      </c>
      <c r="P294" s="27" t="b">
        <f t="shared" si="61"/>
        <v>1</v>
      </c>
      <c r="Q294" s="27" t="b">
        <f t="shared" si="61"/>
        <v>1</v>
      </c>
      <c r="R294" s="27" t="b">
        <f t="shared" si="61"/>
        <v>1</v>
      </c>
      <c r="S294" s="27" t="b">
        <f t="shared" si="61"/>
        <v>1</v>
      </c>
      <c r="T294" s="27" t="b">
        <f t="shared" si="61"/>
        <v>1</v>
      </c>
      <c r="U294" s="27" t="b">
        <f t="shared" si="61"/>
        <v>1</v>
      </c>
      <c r="V294" s="27"/>
      <c r="W294" s="27"/>
      <c r="X294" s="27"/>
      <c r="Y294" s="27" t="b">
        <f>Y293=Y4</f>
        <v>1</v>
      </c>
      <c r="Z294" s="27"/>
      <c r="AA294" s="27" t="b">
        <f>AA293=AA4</f>
        <v>1</v>
      </c>
      <c r="AB294" s="27"/>
      <c r="AC294" s="27"/>
      <c r="AD294" s="27" t="b">
        <f>AD293=AD4</f>
        <v>1</v>
      </c>
      <c r="AE294" s="27" t="b">
        <f>AE293=AE4</f>
        <v>1</v>
      </c>
      <c r="AF294" s="27"/>
    </row>
    <row r="295" spans="2:33">
      <c r="G295" s="75">
        <f>G293-G4</f>
        <v>0</v>
      </c>
      <c r="H295" s="75">
        <f>H293-H4</f>
        <v>0</v>
      </c>
      <c r="I295" s="75"/>
      <c r="J295" s="75"/>
      <c r="K295" s="75"/>
      <c r="L295" s="75"/>
      <c r="M295" s="75"/>
      <c r="N295" s="75"/>
      <c r="O295" s="75"/>
      <c r="P295" s="75">
        <f>P293-P4</f>
        <v>0</v>
      </c>
      <c r="Q295" s="351"/>
      <c r="S295" s="75">
        <f>S293-S4</f>
        <v>0</v>
      </c>
      <c r="T295" s="75"/>
      <c r="U295" s="75"/>
      <c r="V295" s="75"/>
      <c r="W295" s="75"/>
      <c r="X295" s="75"/>
      <c r="Y295" s="75"/>
      <c r="Z295" s="75"/>
      <c r="AA295" s="75">
        <f>AA293-AA4</f>
        <v>0</v>
      </c>
      <c r="AB295" s="75"/>
      <c r="AC295" s="75"/>
      <c r="AD295" s="75"/>
    </row>
    <row r="296" spans="2:33">
      <c r="B296" s="25"/>
      <c r="I296" s="75"/>
      <c r="J296" s="75"/>
      <c r="P296" s="351"/>
      <c r="Q296" s="351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</row>
    <row r="297" spans="2:33">
      <c r="AA297" s="187"/>
    </row>
    <row r="298" spans="2:33">
      <c r="T298" s="187">
        <f>T289-M289</f>
        <v>1182100346</v>
      </c>
      <c r="AD298" s="187"/>
    </row>
  </sheetData>
  <mergeCells count="7">
    <mergeCell ref="D2:D3"/>
    <mergeCell ref="AE2:AE3"/>
    <mergeCell ref="AF2:AF3"/>
    <mergeCell ref="Q2:R2"/>
    <mergeCell ref="E2:E3"/>
    <mergeCell ref="F2:F3"/>
    <mergeCell ref="AB2:AC2"/>
  </mergeCells>
  <phoneticPr fontId="2" type="noConversion"/>
  <conditionalFormatting sqref="AH202:XFD202 A202:R202 A206:R211 AH206:XFD211 AE206:AF211 AE202:AF202 S182:S212 S216 A1:XFD1 AA2:XFD3 AE239:AF241 A239:S241 A236:A238 AE181:XFD181 A96:S181 A94:A95 A182:R194 AE185:AF194 AE265:AF293 A265:S293 A217:S235 AA217:AF235 T216:Z235 A244:S262 A242:A243 AE244:AF262 AE96:AF180 AH265:XFD293 AE182:AF183 AH182:XFD194 AH217:XFD262 AG59:XFD180 AH57:XFD58 A57:A58 A294:XFD1048576 AE4:XFD56 A2:S56 AG182:AG293 A59:S93 AE59:AF93">
    <cfRule type="containsText" dxfId="306" priority="117" operator="containsText" text="false">
      <formula>NOT(ISERROR(SEARCH("false",A1)))</formula>
    </cfRule>
  </conditionalFormatting>
  <conditionalFormatting sqref="A195:R195 AE195:AF195 AH195:XFD195">
    <cfRule type="containsText" dxfId="305" priority="65" operator="containsText" text="false">
      <formula>NOT(ISERROR(SEARCH("false",A195)))</formula>
    </cfRule>
  </conditionalFormatting>
  <conditionalFormatting sqref="A196:R196 AE196:AF196 AH196:XFD196">
    <cfRule type="containsText" dxfId="304" priority="64" operator="containsText" text="false">
      <formula>NOT(ISERROR(SEARCH("false",A196)))</formula>
    </cfRule>
  </conditionalFormatting>
  <conditionalFormatting sqref="A197:R197 AE197:AF197 AH197:XFD197">
    <cfRule type="containsText" dxfId="303" priority="63" operator="containsText" text="false">
      <formula>NOT(ISERROR(SEARCH("false",A197)))</formula>
    </cfRule>
  </conditionalFormatting>
  <conditionalFormatting sqref="A198:R198 AE198:AF198 AH198:XFD198">
    <cfRule type="containsText" dxfId="302" priority="62" operator="containsText" text="false">
      <formula>NOT(ISERROR(SEARCH("false",A198)))</formula>
    </cfRule>
  </conditionalFormatting>
  <conditionalFormatting sqref="A199:R200 AE199:AF200 AH199:XFD200">
    <cfRule type="containsText" dxfId="301" priority="61" operator="containsText" text="false">
      <formula>NOT(ISERROR(SEARCH("false",A199)))</formula>
    </cfRule>
  </conditionalFormatting>
  <conditionalFormatting sqref="A201:R201 AE201:AF201 AH201:XFD201">
    <cfRule type="containsText" dxfId="300" priority="60" operator="containsText" text="false">
      <formula>NOT(ISERROR(SEARCH("false",A201)))</formula>
    </cfRule>
  </conditionalFormatting>
  <conditionalFormatting sqref="AH203:XFD204 A203:R204 AE203:AF204">
    <cfRule type="containsText" dxfId="299" priority="59" operator="containsText" text="false">
      <formula>NOT(ISERROR(SEARCH("false",A203)))</formula>
    </cfRule>
  </conditionalFormatting>
  <conditionalFormatting sqref="A205:O205 AE205:AF205 Q205:R205 AH205:XFD205">
    <cfRule type="containsText" dxfId="298" priority="58" operator="containsText" text="false">
      <formula>NOT(ISERROR(SEARCH("false",A205)))</formula>
    </cfRule>
  </conditionalFormatting>
  <conditionalFormatting sqref="AF212 AE216:AF216 AH212:XFD216 A212:R216">
    <cfRule type="containsText" dxfId="297" priority="57" operator="containsText" text="false">
      <formula>NOT(ISERROR(SEARCH("false",A212)))</formula>
    </cfRule>
  </conditionalFormatting>
  <conditionalFormatting sqref="P205">
    <cfRule type="containsText" dxfId="296" priority="52" operator="containsText" text="false">
      <formula>NOT(ISERROR(SEARCH("false",P205)))</formula>
    </cfRule>
  </conditionalFormatting>
  <conditionalFormatting sqref="S213:S215">
    <cfRule type="containsText" dxfId="295" priority="56" operator="containsText" text="false">
      <formula>NOT(ISERROR(SEARCH("false",S213)))</formula>
    </cfRule>
  </conditionalFormatting>
  <conditionalFormatting sqref="AE213">
    <cfRule type="containsText" dxfId="294" priority="55" operator="containsText" text="false">
      <formula>NOT(ISERROR(SEARCH("false",AE213)))</formula>
    </cfRule>
  </conditionalFormatting>
  <conditionalFormatting sqref="AE212">
    <cfRule type="containsText" dxfId="293" priority="54" operator="containsText" text="false">
      <formula>NOT(ISERROR(SEARCH("false",AE212)))</formula>
    </cfRule>
  </conditionalFormatting>
  <conditionalFormatting sqref="AF213">
    <cfRule type="containsText" dxfId="292" priority="53" operator="containsText" text="false">
      <formula>NOT(ISERROR(SEARCH("false",AF213)))</formula>
    </cfRule>
  </conditionalFormatting>
  <conditionalFormatting sqref="AA202:AC202 AA206:AC211 AA96:AD183 AD216 AA239:AD241 AA185:AC194 AA265:AD267 AA269:AD269 AB268:AD268 AA271:AD271 AB270:AD270 AA273:AD281 AB272:AD272 AA283:AD293 AB282:AD282 AA244:AD262 AA4:AD56 AD185:AD212 AA59:AD93">
    <cfRule type="containsText" dxfId="291" priority="51" operator="containsText" text="false">
      <formula>NOT(ISERROR(SEARCH("false",AA4)))</formula>
    </cfRule>
  </conditionalFormatting>
  <conditionalFormatting sqref="AA195:AC195">
    <cfRule type="containsText" dxfId="290" priority="50" operator="containsText" text="false">
      <formula>NOT(ISERROR(SEARCH("false",AA195)))</formula>
    </cfRule>
  </conditionalFormatting>
  <conditionalFormatting sqref="AA196:AC196">
    <cfRule type="containsText" dxfId="289" priority="49" operator="containsText" text="false">
      <formula>NOT(ISERROR(SEARCH("false",AA196)))</formula>
    </cfRule>
  </conditionalFormatting>
  <conditionalFormatting sqref="AA197:AC197">
    <cfRule type="containsText" dxfId="288" priority="48" operator="containsText" text="false">
      <formula>NOT(ISERROR(SEARCH("false",AA197)))</formula>
    </cfRule>
  </conditionalFormatting>
  <conditionalFormatting sqref="AA198:AC198">
    <cfRule type="containsText" dxfId="287" priority="47" operator="containsText" text="false">
      <formula>NOT(ISERROR(SEARCH("false",AA198)))</formula>
    </cfRule>
  </conditionalFormatting>
  <conditionalFormatting sqref="AA199:AC200">
    <cfRule type="containsText" dxfId="286" priority="46" operator="containsText" text="false">
      <formula>NOT(ISERROR(SEARCH("false",AA199)))</formula>
    </cfRule>
  </conditionalFormatting>
  <conditionalFormatting sqref="AA201:AC201">
    <cfRule type="containsText" dxfId="285" priority="45" operator="containsText" text="false">
      <formula>NOT(ISERROR(SEARCH("false",AA201)))</formula>
    </cfRule>
  </conditionalFormatting>
  <conditionalFormatting sqref="AA203:AC204">
    <cfRule type="containsText" dxfId="284" priority="44" operator="containsText" text="false">
      <formula>NOT(ISERROR(SEARCH("false",AA203)))</formula>
    </cfRule>
  </conditionalFormatting>
  <conditionalFormatting sqref="AB205:AC205">
    <cfRule type="containsText" dxfId="283" priority="43" operator="containsText" text="false">
      <formula>NOT(ISERROR(SEARCH("false",AB205)))</formula>
    </cfRule>
  </conditionalFormatting>
  <conditionalFormatting sqref="AA212:AC216">
    <cfRule type="containsText" dxfId="282" priority="42" operator="containsText" text="false">
      <formula>NOT(ISERROR(SEARCH("false",AA212)))</formula>
    </cfRule>
  </conditionalFormatting>
  <conditionalFormatting sqref="AA205">
    <cfRule type="containsText" dxfId="281" priority="40" operator="containsText" text="false">
      <formula>NOT(ISERROR(SEARCH("false",AA205)))</formula>
    </cfRule>
  </conditionalFormatting>
  <conditionalFormatting sqref="AD213">
    <cfRule type="containsText" dxfId="280" priority="41" operator="containsText" text="false">
      <formula>NOT(ISERROR(SEARCH("false",AD213)))</formula>
    </cfRule>
  </conditionalFormatting>
  <conditionalFormatting sqref="A263:S264 AE263:AF264 AH263:XFD264">
    <cfRule type="containsText" dxfId="279" priority="39" operator="containsText" text="false">
      <formula>NOT(ISERROR(SEARCH("false",A263)))</formula>
    </cfRule>
  </conditionalFormatting>
  <conditionalFormatting sqref="AA263:AD264">
    <cfRule type="containsText" dxfId="278" priority="38" operator="containsText" text="false">
      <formula>NOT(ISERROR(SEARCH("false",AA263)))</formula>
    </cfRule>
  </conditionalFormatting>
  <conditionalFormatting sqref="T2:V3">
    <cfRule type="containsText" dxfId="277" priority="37" operator="containsText" text="false">
      <formula>NOT(ISERROR(SEARCH("false",T2)))</formula>
    </cfRule>
  </conditionalFormatting>
  <conditionalFormatting sqref="T4:Z56 T239:Z241 T96:Z212 T265:Z293 T244:Z262 T59:Z93">
    <cfRule type="containsText" dxfId="276" priority="36" operator="containsText" text="false">
      <formula>NOT(ISERROR(SEARCH("false",T4)))</formula>
    </cfRule>
  </conditionalFormatting>
  <conditionalFormatting sqref="T213:Z215">
    <cfRule type="containsText" dxfId="275" priority="35" operator="containsText" text="false">
      <formula>NOT(ISERROR(SEARCH("false",T213)))</formula>
    </cfRule>
  </conditionalFormatting>
  <conditionalFormatting sqref="T263:Z264">
    <cfRule type="containsText" dxfId="274" priority="34" operator="containsText" text="false">
      <formula>NOT(ISERROR(SEARCH("false",T263)))</formula>
    </cfRule>
  </conditionalFormatting>
  <conditionalFormatting sqref="B236:S238 AE236:AF238">
    <cfRule type="containsText" dxfId="273" priority="33" operator="containsText" text="false">
      <formula>NOT(ISERROR(SEARCH("false",B236)))</formula>
    </cfRule>
  </conditionalFormatting>
  <conditionalFormatting sqref="AA236:AD238">
    <cfRule type="containsText" dxfId="272" priority="32" operator="containsText" text="false">
      <formula>NOT(ISERROR(SEARCH("false",AA236)))</formula>
    </cfRule>
  </conditionalFormatting>
  <conditionalFormatting sqref="T236:Z238">
    <cfRule type="containsText" dxfId="271" priority="31" operator="containsText" text="false">
      <formula>NOT(ISERROR(SEARCH("false",T236)))</formula>
    </cfRule>
  </conditionalFormatting>
  <conditionalFormatting sqref="AE94:AF95 B94:S95">
    <cfRule type="containsText" dxfId="270" priority="30" operator="containsText" text="false">
      <formula>NOT(ISERROR(SEARCH("false",B94)))</formula>
    </cfRule>
  </conditionalFormatting>
  <conditionalFormatting sqref="AA94:AD95">
    <cfRule type="containsText" dxfId="269" priority="29" operator="containsText" text="false">
      <formula>NOT(ISERROR(SEARCH("false",AA94)))</formula>
    </cfRule>
  </conditionalFormatting>
  <conditionalFormatting sqref="T94:Z95">
    <cfRule type="containsText" dxfId="268" priority="28" operator="containsText" text="false">
      <formula>NOT(ISERROR(SEARCH("false",T94)))</formula>
    </cfRule>
  </conditionalFormatting>
  <conditionalFormatting sqref="AE214:AE215">
    <cfRule type="containsText" dxfId="267" priority="27" operator="containsText" text="false">
      <formula>NOT(ISERROR(SEARCH("false",AE214)))</formula>
    </cfRule>
  </conditionalFormatting>
  <conditionalFormatting sqref="AF214:AF215">
    <cfRule type="containsText" dxfId="266" priority="26" operator="containsText" text="false">
      <formula>NOT(ISERROR(SEARCH("false",AF214)))</formula>
    </cfRule>
  </conditionalFormatting>
  <conditionalFormatting sqref="AD214:AD215">
    <cfRule type="containsText" dxfId="265" priority="25" operator="containsText" text="false">
      <formula>NOT(ISERROR(SEARCH("false",AD214)))</formula>
    </cfRule>
  </conditionalFormatting>
  <conditionalFormatting sqref="AE184:AF184">
    <cfRule type="containsText" dxfId="264" priority="24" operator="containsText" text="false">
      <formula>NOT(ISERROR(SEARCH("false",AE184)))</formula>
    </cfRule>
  </conditionalFormatting>
  <conditionalFormatting sqref="AA184:AD184">
    <cfRule type="containsText" dxfId="263" priority="23" operator="containsText" text="false">
      <formula>NOT(ISERROR(SEARCH("false",AA184)))</formula>
    </cfRule>
  </conditionalFormatting>
  <conditionalFormatting sqref="AE280:AF281">
    <cfRule type="containsText" dxfId="262" priority="22" operator="containsText" text="false">
      <formula>NOT(ISERROR(SEARCH("false",AE280)))</formula>
    </cfRule>
  </conditionalFormatting>
  <conditionalFormatting sqref="AA281:AD281 AB280:AD280">
    <cfRule type="containsText" dxfId="261" priority="21" operator="containsText" text="false">
      <formula>NOT(ISERROR(SEARCH("false",AA280)))</formula>
    </cfRule>
  </conditionalFormatting>
  <conditionalFormatting sqref="T281:Z281 T280:AA280">
    <cfRule type="containsText" dxfId="260" priority="20" operator="containsText" text="false">
      <formula>NOT(ISERROR(SEARCH("false",T280)))</formula>
    </cfRule>
  </conditionalFormatting>
  <conditionalFormatting sqref="AA268">
    <cfRule type="containsText" dxfId="259" priority="19" operator="containsText" text="false">
      <formula>NOT(ISERROR(SEARCH("false",AA268)))</formula>
    </cfRule>
  </conditionalFormatting>
  <conditionalFormatting sqref="AA270">
    <cfRule type="containsText" dxfId="258" priority="18" operator="containsText" text="false">
      <formula>NOT(ISERROR(SEARCH("false",AA270)))</formula>
    </cfRule>
  </conditionalFormatting>
  <conditionalFormatting sqref="AA272">
    <cfRule type="containsText" dxfId="257" priority="17" operator="containsText" text="false">
      <formula>NOT(ISERROR(SEARCH("false",AA272)))</formula>
    </cfRule>
  </conditionalFormatting>
  <conditionalFormatting sqref="AA282">
    <cfRule type="containsText" dxfId="256" priority="16" operator="containsText" text="false">
      <formula>NOT(ISERROR(SEARCH("false",AA282)))</formula>
    </cfRule>
  </conditionalFormatting>
  <conditionalFormatting sqref="W3:Y3 W2">
    <cfRule type="containsText" dxfId="255" priority="15" operator="containsText" text="false">
      <formula>NOT(ISERROR(SEARCH("false",W2)))</formula>
    </cfRule>
  </conditionalFormatting>
  <conditionalFormatting sqref="C242:S243">
    <cfRule type="containsText" dxfId="254" priority="14" operator="containsText" text="false">
      <formula>NOT(ISERROR(SEARCH("false",C242)))</formula>
    </cfRule>
  </conditionalFormatting>
  <conditionalFormatting sqref="AB242:AC243">
    <cfRule type="containsText" dxfId="253" priority="13" operator="containsText" text="false">
      <formula>NOT(ISERROR(SEARCH("false",AB242)))</formula>
    </cfRule>
  </conditionalFormatting>
  <conditionalFormatting sqref="T242:Z243">
    <cfRule type="containsText" dxfId="252" priority="12" operator="containsText" text="false">
      <formula>NOT(ISERROR(SEARCH("false",T242)))</formula>
    </cfRule>
  </conditionalFormatting>
  <conditionalFormatting sqref="B242:B243">
    <cfRule type="containsText" dxfId="251" priority="11" operator="containsText" text="false">
      <formula>NOT(ISERROR(SEARCH("false",B242)))</formula>
    </cfRule>
  </conditionalFormatting>
  <conditionalFormatting sqref="AA242:AA243">
    <cfRule type="containsText" dxfId="250" priority="10" operator="containsText" text="false">
      <formula>NOT(ISERROR(SEARCH("false",AA242)))</formula>
    </cfRule>
  </conditionalFormatting>
  <conditionalFormatting sqref="AE242:AF243">
    <cfRule type="containsText" dxfId="249" priority="9" operator="containsText" text="false">
      <formula>NOT(ISERROR(SEARCH("false",AE242)))</formula>
    </cfRule>
  </conditionalFormatting>
  <conditionalFormatting sqref="AD242:AD243">
    <cfRule type="containsText" dxfId="248" priority="8" operator="containsText" text="false">
      <formula>NOT(ISERROR(SEARCH("false",AD242)))</formula>
    </cfRule>
  </conditionalFormatting>
  <conditionalFormatting sqref="AE57:AG58 C57:S58">
    <cfRule type="containsText" dxfId="247" priority="7" operator="containsText" text="false">
      <formula>NOT(ISERROR(SEARCH("false",C57)))</formula>
    </cfRule>
  </conditionalFormatting>
  <conditionalFormatting sqref="AA57:AD58">
    <cfRule type="containsText" dxfId="246" priority="6" operator="containsText" text="false">
      <formula>NOT(ISERROR(SEARCH("false",AA57)))</formula>
    </cfRule>
  </conditionalFormatting>
  <conditionalFormatting sqref="T57:Z58">
    <cfRule type="containsText" dxfId="245" priority="5" operator="containsText" text="false">
      <formula>NOT(ISERROR(SEARCH("false",T57)))</formula>
    </cfRule>
  </conditionalFormatting>
  <conditionalFormatting sqref="B57:B58">
    <cfRule type="containsText" dxfId="244" priority="4" operator="containsText" text="false">
      <formula>NOT(ISERROR(SEARCH("false",B57)))</formula>
    </cfRule>
  </conditionalFormatting>
  <conditionalFormatting sqref="X2:Y2">
    <cfRule type="containsText" dxfId="243" priority="3" operator="containsText" text="false">
      <formula>NOT(ISERROR(SEARCH("false",X2)))</formula>
    </cfRule>
  </conditionalFormatting>
  <conditionalFormatting sqref="Z2">
    <cfRule type="containsText" dxfId="242" priority="2" operator="containsText" text="false">
      <formula>NOT(ISERROR(SEARCH("false",Z2)))</formula>
    </cfRule>
  </conditionalFormatting>
  <conditionalFormatting sqref="Z3">
    <cfRule type="containsText" dxfId="241" priority="1" operator="containsText" text="false">
      <formula>NOT(ISERROR(SEARCH("false",Z3)))</formula>
    </cfRule>
  </conditionalFormatting>
  <pageMargins left="0.7" right="0.7" top="0.75" bottom="0.75" header="0.3" footer="0.3"/>
  <pageSetup paperSize="9" scale="33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AL170"/>
  <sheetViews>
    <sheetView showGridLines="0" tabSelected="1" zoomScale="70" zoomScaleNormal="70" zoomScaleSheetLayoutView="85" workbookViewId="0">
      <pane xSplit="8" topLeftCell="I1" activePane="topRight" state="frozen"/>
      <selection activeCell="E155" sqref="E155"/>
      <selection pane="topRight" activeCell="B8" sqref="B8"/>
    </sheetView>
  </sheetViews>
  <sheetFormatPr defaultColWidth="9" defaultRowHeight="13.5" outlineLevelRow="1" outlineLevelCol="1"/>
  <cols>
    <col min="1" max="1" width="3.625" style="84" customWidth="1"/>
    <col min="2" max="2" width="18.75" style="85" customWidth="1"/>
    <col min="3" max="3" width="15.875" style="86" customWidth="1" outlineLevel="1"/>
    <col min="4" max="4" width="15.625" style="85" customWidth="1" outlineLevel="1"/>
    <col min="5" max="5" width="18.25" style="85" customWidth="1"/>
    <col min="6" max="6" width="19.375" style="85" customWidth="1"/>
    <col min="7" max="7" width="17.875" style="85" customWidth="1"/>
    <col min="8" max="8" width="16.75" style="85" customWidth="1"/>
    <col min="9" max="9" width="17.625" style="85" customWidth="1" outlineLevel="1"/>
    <col min="10" max="10" width="15.875" style="85" customWidth="1" outlineLevel="1"/>
    <col min="11" max="11" width="15" style="85" customWidth="1" outlineLevel="1"/>
    <col min="12" max="13" width="16.5" style="85" customWidth="1" outlineLevel="1"/>
    <col min="14" max="14" width="15.25" style="85" customWidth="1" outlineLevel="1"/>
    <col min="15" max="15" width="31.75" style="85" customWidth="1" outlineLevel="1"/>
    <col min="16" max="16" width="15.875" style="85" customWidth="1" outlineLevel="1"/>
    <col min="17" max="17" width="21.875" style="85" customWidth="1" outlineLevel="1" collapsed="1"/>
    <col min="18" max="18" width="16.5" style="85" customWidth="1" outlineLevel="1"/>
    <col min="19" max="19" width="29.375" style="85" customWidth="1" outlineLevel="1"/>
    <col min="20" max="20" width="15.25" style="85" customWidth="1" outlineLevel="1"/>
    <col min="21" max="21" width="15.875" style="85" customWidth="1" outlineLevel="1" collapsed="1"/>
    <col min="22" max="22" width="17.75" style="85" customWidth="1" outlineLevel="1"/>
    <col min="23" max="23" width="18.375" style="85" customWidth="1" outlineLevel="1"/>
    <col min="24" max="24" width="14.75" style="85" customWidth="1" outlineLevel="1"/>
    <col min="25" max="25" width="19.5" style="85" customWidth="1"/>
    <col min="26" max="26" width="17" style="85" customWidth="1"/>
    <col min="27" max="27" width="22" style="85" bestFit="1" customWidth="1"/>
    <col min="28" max="28" width="17" style="85" customWidth="1"/>
    <col min="29" max="29" width="17.5" style="85" customWidth="1"/>
    <col min="30" max="30" width="14.125" style="85" customWidth="1"/>
    <col min="31" max="31" width="18.5" style="85" customWidth="1"/>
    <col min="32" max="32" width="17.125" style="85" customWidth="1"/>
    <col min="33" max="33" width="13.25" style="85" customWidth="1"/>
    <col min="34" max="34" width="3.625" style="85" customWidth="1"/>
    <col min="35" max="35" width="15.5" style="85" bestFit="1" customWidth="1"/>
    <col min="36" max="36" width="15.25" style="85" bestFit="1" customWidth="1"/>
    <col min="37" max="37" width="15.5" style="85" bestFit="1" customWidth="1"/>
    <col min="38" max="38" width="15.25" style="85" bestFit="1" customWidth="1"/>
    <col min="39" max="39" width="17.125" style="85" bestFit="1" customWidth="1"/>
    <col min="40" max="16384" width="9" style="85"/>
  </cols>
  <sheetData>
    <row r="1" spans="1:32" ht="14.25" thickBot="1">
      <c r="E1" s="87"/>
    </row>
    <row r="2" spans="1:32" ht="16.5" customHeight="1">
      <c r="B2" s="788" t="s">
        <v>278</v>
      </c>
      <c r="C2" s="782" t="s">
        <v>510</v>
      </c>
      <c r="D2" s="790" t="s">
        <v>279</v>
      </c>
      <c r="E2" s="788" t="s">
        <v>518</v>
      </c>
      <c r="F2" s="782" t="s">
        <v>517</v>
      </c>
      <c r="G2" s="782" t="s">
        <v>532</v>
      </c>
      <c r="H2" s="782" t="s">
        <v>533</v>
      </c>
      <c r="I2" s="784" t="s">
        <v>519</v>
      </c>
      <c r="J2" s="785"/>
      <c r="K2" s="785"/>
      <c r="L2" s="785"/>
      <c r="M2" s="785"/>
      <c r="N2" s="785"/>
      <c r="O2" s="785"/>
      <c r="P2" s="785"/>
      <c r="Q2" s="786" t="s">
        <v>520</v>
      </c>
      <c r="R2" s="785"/>
      <c r="S2" s="785"/>
      <c r="T2" s="787"/>
      <c r="U2" s="786" t="s">
        <v>521</v>
      </c>
      <c r="V2" s="785"/>
      <c r="W2" s="785"/>
      <c r="X2" s="787"/>
      <c r="Y2" s="786" t="s">
        <v>522</v>
      </c>
      <c r="Z2" s="785"/>
      <c r="AA2" s="785"/>
      <c r="AB2" s="787"/>
      <c r="AC2" s="785" t="s">
        <v>522</v>
      </c>
      <c r="AD2" s="785"/>
      <c r="AE2" s="785"/>
      <c r="AF2" s="787"/>
    </row>
    <row r="3" spans="1:32" ht="17.25" customHeight="1" thickBot="1">
      <c r="B3" s="789"/>
      <c r="C3" s="783"/>
      <c r="D3" s="791"/>
      <c r="E3" s="789"/>
      <c r="F3" s="783"/>
      <c r="G3" s="783"/>
      <c r="H3" s="783"/>
      <c r="I3" s="778" t="s">
        <v>523</v>
      </c>
      <c r="J3" s="781"/>
      <c r="K3" s="778" t="s">
        <v>524</v>
      </c>
      <c r="L3" s="781"/>
      <c r="M3" s="778" t="s">
        <v>525</v>
      </c>
      <c r="N3" s="792"/>
      <c r="O3" s="792"/>
      <c r="P3" s="792"/>
      <c r="Q3" s="780" t="s">
        <v>526</v>
      </c>
      <c r="R3" s="781"/>
      <c r="S3" s="778" t="s">
        <v>527</v>
      </c>
      <c r="T3" s="779"/>
      <c r="U3" s="780" t="s">
        <v>526</v>
      </c>
      <c r="V3" s="781"/>
      <c r="W3" s="778" t="s">
        <v>527</v>
      </c>
      <c r="X3" s="779"/>
      <c r="Y3" s="780" t="s">
        <v>528</v>
      </c>
      <c r="Z3" s="781"/>
      <c r="AA3" s="778" t="s">
        <v>529</v>
      </c>
      <c r="AB3" s="779"/>
      <c r="AC3" s="792" t="s">
        <v>528</v>
      </c>
      <c r="AD3" s="781"/>
      <c r="AE3" s="778" t="s">
        <v>529</v>
      </c>
      <c r="AF3" s="779"/>
    </row>
    <row r="4" spans="1:32" ht="17.25" customHeight="1" thickBot="1">
      <c r="B4" s="88"/>
      <c r="C4" s="89"/>
      <c r="D4" s="89"/>
      <c r="E4" s="76">
        <v>44561</v>
      </c>
      <c r="F4" s="76">
        <v>44834</v>
      </c>
      <c r="G4" s="90"/>
      <c r="H4" s="90"/>
      <c r="I4" s="91" t="s">
        <v>530</v>
      </c>
      <c r="J4" s="92" t="s">
        <v>531</v>
      </c>
      <c r="K4" s="91" t="s">
        <v>530</v>
      </c>
      <c r="L4" s="93" t="s">
        <v>531</v>
      </c>
      <c r="M4" s="94" t="s">
        <v>564</v>
      </c>
      <c r="N4" s="94" t="s">
        <v>566</v>
      </c>
      <c r="O4" s="94" t="s">
        <v>565</v>
      </c>
      <c r="P4" s="338" t="s">
        <v>567</v>
      </c>
      <c r="Q4" s="332" t="s">
        <v>530</v>
      </c>
      <c r="R4" s="95" t="s">
        <v>531</v>
      </c>
      <c r="S4" s="93" t="s">
        <v>530</v>
      </c>
      <c r="T4" s="98" t="s">
        <v>531</v>
      </c>
      <c r="U4" s="336" t="s">
        <v>530</v>
      </c>
      <c r="V4" s="95" t="s">
        <v>531</v>
      </c>
      <c r="W4" s="93" t="s">
        <v>530</v>
      </c>
      <c r="X4" s="337" t="s">
        <v>531</v>
      </c>
      <c r="Y4" s="332" t="s">
        <v>530</v>
      </c>
      <c r="Z4" s="97" t="s">
        <v>531</v>
      </c>
      <c r="AA4" s="96" t="s">
        <v>530</v>
      </c>
      <c r="AB4" s="98" t="s">
        <v>531</v>
      </c>
      <c r="AC4" s="94" t="s">
        <v>530</v>
      </c>
      <c r="AD4" s="97" t="s">
        <v>531</v>
      </c>
      <c r="AE4" s="96" t="s">
        <v>530</v>
      </c>
      <c r="AF4" s="98" t="s">
        <v>531</v>
      </c>
    </row>
    <row r="5" spans="1:32" ht="14.25" thickBot="1">
      <c r="B5" s="99" t="s">
        <v>282</v>
      </c>
      <c r="C5" s="100"/>
      <c r="D5" s="101"/>
      <c r="E5" s="102">
        <f>E6+E33</f>
        <v>944077517567</v>
      </c>
      <c r="F5" s="102">
        <f>F6+F33</f>
        <v>875918784205</v>
      </c>
      <c r="G5" s="102">
        <f>G6+G33</f>
        <v>-68158733362</v>
      </c>
      <c r="H5" s="102"/>
      <c r="I5" s="102"/>
      <c r="J5" s="102"/>
      <c r="K5" s="102"/>
      <c r="L5" s="102"/>
      <c r="M5" s="102"/>
      <c r="N5" s="102"/>
      <c r="O5" s="102"/>
      <c r="P5" s="330"/>
      <c r="Q5" s="333"/>
      <c r="R5" s="102"/>
      <c r="S5" s="102"/>
      <c r="T5" s="103"/>
      <c r="U5" s="333"/>
      <c r="V5" s="102"/>
      <c r="W5" s="102"/>
      <c r="X5" s="103"/>
      <c r="Y5" s="333"/>
      <c r="Z5" s="102"/>
      <c r="AA5" s="102"/>
      <c r="AB5" s="103"/>
      <c r="AC5" s="102"/>
      <c r="AD5" s="102"/>
      <c r="AE5" s="102"/>
      <c r="AF5" s="103"/>
    </row>
    <row r="6" spans="1:32" ht="14.25" thickBot="1">
      <c r="B6" s="104" t="s">
        <v>242</v>
      </c>
      <c r="C6" s="105"/>
      <c r="D6" s="106"/>
      <c r="E6" s="107">
        <f>SUM(E7:E32)</f>
        <v>815206318670</v>
      </c>
      <c r="F6" s="107">
        <f>SUM(F7:F32)</f>
        <v>704638658745</v>
      </c>
      <c r="G6" s="107">
        <f>SUM(G7:G32)</f>
        <v>-110567659925</v>
      </c>
      <c r="H6" s="107"/>
      <c r="I6" s="107"/>
      <c r="J6" s="107"/>
      <c r="K6" s="107"/>
      <c r="L6" s="107"/>
      <c r="M6" s="107"/>
      <c r="N6" s="107"/>
      <c r="O6" s="107"/>
      <c r="P6" s="331"/>
      <c r="Q6" s="334"/>
      <c r="R6" s="107"/>
      <c r="S6" s="107"/>
      <c r="T6" s="108"/>
      <c r="U6" s="334"/>
      <c r="V6" s="107"/>
      <c r="W6" s="107"/>
      <c r="X6" s="108"/>
      <c r="Y6" s="334"/>
      <c r="Z6" s="107"/>
      <c r="AA6" s="107"/>
      <c r="AB6" s="108"/>
      <c r="AC6" s="107"/>
      <c r="AD6" s="107"/>
      <c r="AE6" s="107"/>
      <c r="AF6" s="108"/>
    </row>
    <row r="7" spans="1:32">
      <c r="B7" s="109" t="s">
        <v>283</v>
      </c>
      <c r="C7" s="110" t="s">
        <v>508</v>
      </c>
      <c r="D7" s="111" t="s">
        <v>476</v>
      </c>
      <c r="E7" s="112">
        <f>BS_WTB!X6</f>
        <v>44572518747</v>
      </c>
      <c r="F7" s="112">
        <f>BS_WTB!AD6</f>
        <v>53003487568</v>
      </c>
      <c r="G7" s="113">
        <f>ROUND(F7-E7,)</f>
        <v>8430968821</v>
      </c>
      <c r="H7" s="113">
        <f>G7+(J7-L7+N7-P7+R7-T7+V7-X7+Z7-AB7+AD7-AF7)</f>
        <v>8058629106</v>
      </c>
      <c r="I7" s="117" t="s">
        <v>432</v>
      </c>
      <c r="J7" s="582">
        <f>IS_WTB!AD262</f>
        <v>701453</v>
      </c>
      <c r="K7" s="117" t="s">
        <v>562</v>
      </c>
      <c r="L7" s="582">
        <f>IS_WTB!AD245</f>
        <v>373041168</v>
      </c>
      <c r="M7" s="117"/>
      <c r="N7" s="117"/>
      <c r="O7" s="117"/>
      <c r="P7" s="307"/>
      <c r="Q7" s="335"/>
      <c r="R7" s="117"/>
      <c r="S7" s="117"/>
      <c r="T7" s="118"/>
      <c r="U7" s="335"/>
      <c r="V7" s="117"/>
      <c r="W7" s="117"/>
      <c r="X7" s="118"/>
      <c r="Y7" s="306"/>
      <c r="Z7" s="117"/>
      <c r="AA7" s="117"/>
      <c r="AB7" s="118"/>
      <c r="AC7" s="306"/>
      <c r="AD7" s="117"/>
      <c r="AE7" s="117"/>
      <c r="AF7" s="118"/>
    </row>
    <row r="8" spans="1:32">
      <c r="B8" s="109" t="s">
        <v>239</v>
      </c>
      <c r="C8" s="110" t="s">
        <v>509</v>
      </c>
      <c r="D8" s="111" t="s">
        <v>503</v>
      </c>
      <c r="E8" s="112">
        <f>BS_WTB!X11</f>
        <v>243622409706</v>
      </c>
      <c r="F8" s="115">
        <f>BS_WTB!AD11</f>
        <v>103520760872</v>
      </c>
      <c r="G8" s="113">
        <f>ROUND(F8-E8,)</f>
        <v>-140101648834</v>
      </c>
      <c r="H8" s="113">
        <f>G8+(J8-L8+N8-P8+R8-T8+V8-X8+Z8-AB8+AD8-AF8)</f>
        <v>4719565041</v>
      </c>
      <c r="I8" s="117" t="s">
        <v>860</v>
      </c>
      <c r="J8" s="583">
        <f>+IS_WTB!AD253</f>
        <v>7896068844</v>
      </c>
      <c r="K8" s="583" t="s">
        <v>1204</v>
      </c>
      <c r="L8" s="582">
        <f>IS_WTB!AD234</f>
        <v>0</v>
      </c>
      <c r="M8" s="583"/>
      <c r="N8" s="583"/>
      <c r="O8" s="583"/>
      <c r="P8" s="584"/>
      <c r="Q8" s="585" t="s">
        <v>906</v>
      </c>
      <c r="R8" s="583">
        <v>136925145031</v>
      </c>
      <c r="S8" s="583" t="s">
        <v>904</v>
      </c>
      <c r="T8" s="586"/>
      <c r="U8" s="585"/>
      <c r="V8" s="583"/>
      <c r="W8" s="583"/>
      <c r="X8" s="586"/>
      <c r="Y8" s="109" t="s">
        <v>1186</v>
      </c>
      <c r="Z8" s="117"/>
      <c r="AA8" s="117"/>
      <c r="AB8" s="118"/>
      <c r="AC8" s="306"/>
      <c r="AD8" s="117"/>
      <c r="AE8" s="117"/>
      <c r="AF8" s="118"/>
    </row>
    <row r="9" spans="1:32">
      <c r="B9" s="109"/>
      <c r="C9" s="110"/>
      <c r="D9" s="111"/>
      <c r="E9" s="112"/>
      <c r="F9" s="115"/>
      <c r="G9" s="113"/>
      <c r="H9" s="113">
        <f>G9+(J9-L9+N9-P9+R9-T9+V9-X9+Z9-AB9+AD9-AF9)</f>
        <v>-4719565041</v>
      </c>
      <c r="I9" s="117"/>
      <c r="J9" s="583"/>
      <c r="K9" s="583" t="s">
        <v>1311</v>
      </c>
      <c r="L9" s="582">
        <f>IS_WTB!AD238</f>
        <v>4719565041</v>
      </c>
      <c r="M9" s="583"/>
      <c r="N9" s="583"/>
      <c r="O9" s="583"/>
      <c r="P9" s="584"/>
      <c r="Q9" s="587"/>
      <c r="R9" s="589"/>
      <c r="S9" s="583"/>
      <c r="T9" s="586"/>
      <c r="U9" s="585"/>
      <c r="V9" s="583"/>
      <c r="W9" s="583"/>
      <c r="X9" s="586"/>
      <c r="Y9" s="109"/>
      <c r="Z9" s="111"/>
      <c r="AA9" s="111"/>
      <c r="AB9" s="329"/>
      <c r="AC9" s="306"/>
      <c r="AD9" s="117"/>
      <c r="AE9" s="117"/>
      <c r="AF9" s="118"/>
    </row>
    <row r="10" spans="1:32">
      <c r="B10" s="109" t="s">
        <v>771</v>
      </c>
      <c r="C10" s="110" t="s">
        <v>509</v>
      </c>
      <c r="D10" s="111" t="s">
        <v>857</v>
      </c>
      <c r="E10" s="112">
        <f>BS_WTB!X16</f>
        <v>0</v>
      </c>
      <c r="F10" s="115">
        <f>BS_WTB!AD16</f>
        <v>0</v>
      </c>
      <c r="G10" s="113">
        <f>ROUND(F10-E10,)</f>
        <v>0</v>
      </c>
      <c r="H10" s="113">
        <f t="shared" ref="H10:H12" si="0">G10+(J10-L10+N10-P10+R10-T10+V10-X10+Z10-AB10+AD10-AF10)</f>
        <v>0</v>
      </c>
      <c r="I10" s="117" t="s">
        <v>860</v>
      </c>
      <c r="J10" s="583"/>
      <c r="K10" s="583" t="s">
        <v>1204</v>
      </c>
      <c r="L10" s="583"/>
      <c r="M10" s="583"/>
      <c r="N10" s="583"/>
      <c r="O10" s="583"/>
      <c r="P10" s="584"/>
      <c r="Q10" s="585" t="s">
        <v>1190</v>
      </c>
      <c r="R10" s="583"/>
      <c r="S10" s="583" t="s">
        <v>902</v>
      </c>
      <c r="T10" s="586"/>
      <c r="U10" s="585"/>
      <c r="V10" s="583"/>
      <c r="W10" s="583"/>
      <c r="X10" s="586"/>
      <c r="Y10" s="335"/>
      <c r="Z10" s="117"/>
      <c r="AA10" s="117"/>
      <c r="AB10" s="118"/>
      <c r="AC10" s="306"/>
      <c r="AD10" s="117"/>
      <c r="AE10" s="117"/>
      <c r="AF10" s="118"/>
    </row>
    <row r="11" spans="1:32">
      <c r="B11" s="109"/>
      <c r="C11" s="110"/>
      <c r="D11" s="124"/>
      <c r="E11" s="125"/>
      <c r="F11" s="319"/>
      <c r="G11" s="320"/>
      <c r="H11" s="320">
        <f t="shared" si="0"/>
        <v>0</v>
      </c>
      <c r="I11" s="317"/>
      <c r="J11" s="591"/>
      <c r="K11" s="591" t="s">
        <v>411</v>
      </c>
      <c r="L11" s="591"/>
      <c r="M11" s="591"/>
      <c r="N11" s="591"/>
      <c r="O11" s="591"/>
      <c r="P11" s="592"/>
      <c r="Q11" s="593"/>
      <c r="R11" s="591"/>
      <c r="S11" s="591"/>
      <c r="T11" s="594"/>
      <c r="U11" s="595"/>
      <c r="V11" s="591"/>
      <c r="W11" s="591"/>
      <c r="X11" s="594"/>
      <c r="Y11" s="341"/>
      <c r="Z11" s="317"/>
      <c r="AA11" s="317"/>
      <c r="AB11" s="323"/>
      <c r="AC11" s="322"/>
      <c r="AD11" s="317"/>
      <c r="AE11" s="317"/>
      <c r="AF11" s="323"/>
    </row>
    <row r="12" spans="1:32">
      <c r="B12" s="109" t="s">
        <v>1183</v>
      </c>
      <c r="C12" s="110" t="s">
        <v>509</v>
      </c>
      <c r="D12" s="117" t="s">
        <v>1172</v>
      </c>
      <c r="E12" s="430">
        <f>BS_WTB!X18</f>
        <v>0</v>
      </c>
      <c r="F12" s="431">
        <f>BS_WTB!AD18</f>
        <v>0</v>
      </c>
      <c r="G12" s="113">
        <f>ROUND(F12-E12,)</f>
        <v>0</v>
      </c>
      <c r="H12" s="113">
        <f t="shared" si="0"/>
        <v>0</v>
      </c>
      <c r="I12" s="117"/>
      <c r="J12" s="583"/>
      <c r="K12" s="583" t="s">
        <v>1189</v>
      </c>
      <c r="L12" s="584">
        <v>0</v>
      </c>
      <c r="M12" s="583"/>
      <c r="N12" s="583"/>
      <c r="O12" s="583"/>
      <c r="P12" s="584"/>
      <c r="Q12" s="585"/>
      <c r="R12" s="583"/>
      <c r="S12" s="583"/>
      <c r="T12" s="586"/>
      <c r="U12" s="585"/>
      <c r="V12" s="583"/>
      <c r="W12" s="583"/>
      <c r="X12" s="586"/>
      <c r="Y12" s="335"/>
      <c r="Z12" s="117"/>
      <c r="AA12" s="117"/>
      <c r="AB12" s="118"/>
      <c r="AC12" s="306"/>
      <c r="AD12" s="117"/>
      <c r="AE12" s="306"/>
      <c r="AF12" s="118"/>
    </row>
    <row r="13" spans="1:32">
      <c r="B13" s="109"/>
      <c r="C13" s="110"/>
      <c r="D13" s="124"/>
      <c r="E13" s="125"/>
      <c r="F13" s="319"/>
      <c r="G13" s="428"/>
      <c r="H13" s="428"/>
      <c r="I13" s="124"/>
      <c r="J13" s="596"/>
      <c r="K13" s="596"/>
      <c r="L13" s="597"/>
      <c r="M13" s="596"/>
      <c r="N13" s="596"/>
      <c r="O13" s="596"/>
      <c r="P13" s="597"/>
      <c r="Q13" s="593"/>
      <c r="R13" s="596"/>
      <c r="S13" s="596"/>
      <c r="T13" s="598"/>
      <c r="U13" s="593"/>
      <c r="V13" s="596"/>
      <c r="W13" s="596"/>
      <c r="X13" s="598"/>
      <c r="Y13" s="123"/>
      <c r="Z13" s="124"/>
      <c r="AA13" s="124"/>
      <c r="AB13" s="324"/>
      <c r="AC13" s="126"/>
      <c r="AD13" s="124"/>
      <c r="AE13" s="126"/>
      <c r="AF13" s="323"/>
    </row>
    <row r="14" spans="1:32" s="119" customFormat="1">
      <c r="A14" s="116"/>
      <c r="B14" s="335" t="s">
        <v>218</v>
      </c>
      <c r="C14" s="429" t="s">
        <v>508</v>
      </c>
      <c r="D14" s="117" t="s">
        <v>504</v>
      </c>
      <c r="E14" s="430">
        <f>BS_WTB!X20</f>
        <v>1252219293</v>
      </c>
      <c r="F14" s="431">
        <f>BS_WTB!AD20</f>
        <v>44640410090</v>
      </c>
      <c r="G14" s="113">
        <f t="shared" ref="G14:G32" si="1">ROUND(F14-E14,)</f>
        <v>43388190797</v>
      </c>
      <c r="H14" s="113">
        <f t="shared" ref="H14:H32" si="2">G14+(J14-L14+N14-P14+R14-T14+V14-X14+Z14-AB14+AD14-AF14)</f>
        <v>0</v>
      </c>
      <c r="I14" s="117" t="s">
        <v>718</v>
      </c>
      <c r="J14" s="583"/>
      <c r="K14" s="583"/>
      <c r="L14" s="584"/>
      <c r="M14" s="583" t="s">
        <v>581</v>
      </c>
      <c r="N14" s="583"/>
      <c r="O14" s="583" t="s">
        <v>881</v>
      </c>
      <c r="P14" s="583">
        <v>43388190797</v>
      </c>
      <c r="Q14" s="585"/>
      <c r="R14" s="583"/>
      <c r="S14" s="583"/>
      <c r="T14" s="586"/>
      <c r="U14" s="585"/>
      <c r="V14" s="583"/>
      <c r="W14" s="583"/>
      <c r="X14" s="586"/>
      <c r="Y14" s="335"/>
      <c r="Z14" s="117"/>
      <c r="AA14" s="117" t="s">
        <v>1578</v>
      </c>
      <c r="AB14" s="118">
        <f>$Z$57</f>
        <v>0</v>
      </c>
      <c r="AC14" s="306"/>
      <c r="AD14" s="117"/>
      <c r="AE14" s="306"/>
      <c r="AF14" s="118"/>
    </row>
    <row r="15" spans="1:32">
      <c r="B15" s="109" t="s">
        <v>215</v>
      </c>
      <c r="C15" s="110" t="s">
        <v>508</v>
      </c>
      <c r="D15" s="111" t="s">
        <v>505</v>
      </c>
      <c r="E15" s="112">
        <f>BS_WTB!X25</f>
        <v>1829322541</v>
      </c>
      <c r="F15" s="115">
        <f>BS_WTB!AD25</f>
        <v>5204857738</v>
      </c>
      <c r="G15" s="113">
        <f t="shared" si="1"/>
        <v>3375535197</v>
      </c>
      <c r="H15" s="113">
        <f t="shared" si="2"/>
        <v>0</v>
      </c>
      <c r="I15" s="117"/>
      <c r="J15" s="583"/>
      <c r="K15" s="583"/>
      <c r="L15" s="583"/>
      <c r="M15" s="583" t="s">
        <v>582</v>
      </c>
      <c r="N15" s="583"/>
      <c r="O15" s="583" t="s">
        <v>882</v>
      </c>
      <c r="P15" s="584">
        <v>3375535197</v>
      </c>
      <c r="Q15" s="585"/>
      <c r="R15" s="583"/>
      <c r="S15" s="583"/>
      <c r="T15" s="586"/>
      <c r="U15" s="585"/>
      <c r="V15" s="583"/>
      <c r="W15" s="583"/>
      <c r="X15" s="586"/>
      <c r="Y15" s="335"/>
      <c r="Z15" s="117"/>
      <c r="AA15" s="117"/>
      <c r="AB15" s="118"/>
      <c r="AC15" s="328"/>
      <c r="AD15" s="111"/>
      <c r="AE15" s="117"/>
      <c r="AF15" s="118"/>
    </row>
    <row r="16" spans="1:32">
      <c r="B16" s="109" t="s">
        <v>236</v>
      </c>
      <c r="C16" s="110" t="s">
        <v>508</v>
      </c>
      <c r="D16" s="111" t="s">
        <v>477</v>
      </c>
      <c r="E16" s="112">
        <f>BS_WTB!X33</f>
        <v>27193879588</v>
      </c>
      <c r="F16" s="115">
        <f>BS_WTB!AD33</f>
        <v>21771205657</v>
      </c>
      <c r="G16" s="113">
        <f t="shared" si="1"/>
        <v>-5422673931</v>
      </c>
      <c r="H16" s="113">
        <f>G16+(J16-L16+N16-P16+R16-T16+V16-X16+Z16-AB16+AD16-AF16)</f>
        <v>0</v>
      </c>
      <c r="I16" s="117" t="s">
        <v>432</v>
      </c>
      <c r="J16" s="582">
        <f>IS_WTB!AD263</f>
        <v>10222087</v>
      </c>
      <c r="K16" s="583" t="s">
        <v>420</v>
      </c>
      <c r="L16" s="602">
        <f>+IS_WTB!AD246</f>
        <v>3853210</v>
      </c>
      <c r="M16" s="583" t="s">
        <v>684</v>
      </c>
      <c r="N16" s="584">
        <v>5416305054</v>
      </c>
      <c r="O16" s="583" t="s">
        <v>584</v>
      </c>
      <c r="P16" s="584"/>
      <c r="Q16" s="585"/>
      <c r="R16" s="583"/>
      <c r="S16" s="583"/>
      <c r="T16" s="586"/>
      <c r="U16" s="585"/>
      <c r="V16" s="583"/>
      <c r="W16" s="583"/>
      <c r="X16" s="586"/>
      <c r="Y16" s="649" t="s">
        <v>1313</v>
      </c>
      <c r="Z16" s="650">
        <f>+AB17</f>
        <v>0</v>
      </c>
      <c r="AA16" s="117"/>
      <c r="AB16" s="118"/>
      <c r="AC16" s="328"/>
      <c r="AD16" s="111"/>
      <c r="AE16" s="126"/>
      <c r="AF16" s="323"/>
    </row>
    <row r="17" spans="1:32">
      <c r="B17" s="109" t="s">
        <v>234</v>
      </c>
      <c r="C17" s="110" t="s">
        <v>508</v>
      </c>
      <c r="D17" s="111" t="s">
        <v>477</v>
      </c>
      <c r="E17" s="112">
        <f>BS_WTB!X38</f>
        <v>-200519888</v>
      </c>
      <c r="F17" s="115">
        <f>BS_WTB!AD38</f>
        <v>-223471619</v>
      </c>
      <c r="G17" s="113">
        <f t="shared" si="1"/>
        <v>-22951731</v>
      </c>
      <c r="H17" s="113">
        <f t="shared" si="2"/>
        <v>0</v>
      </c>
      <c r="I17" s="117" t="s">
        <v>534</v>
      </c>
      <c r="J17" s="582">
        <f>IS_WTB!AD178</f>
        <v>22951731</v>
      </c>
      <c r="K17" s="583"/>
      <c r="L17" s="583"/>
      <c r="M17" s="583"/>
      <c r="N17" s="583"/>
      <c r="O17" s="583"/>
      <c r="P17" s="584"/>
      <c r="Q17" s="585"/>
      <c r="R17" s="583"/>
      <c r="S17" s="583"/>
      <c r="T17" s="586"/>
      <c r="U17" s="585"/>
      <c r="V17" s="583"/>
      <c r="W17" s="583"/>
      <c r="X17" s="586"/>
      <c r="Y17" s="335"/>
      <c r="Z17" s="117"/>
      <c r="AA17" s="650" t="s">
        <v>1314</v>
      </c>
      <c r="AB17" s="651"/>
      <c r="AC17" s="328"/>
      <c r="AD17" s="117"/>
      <c r="AE17" s="306"/>
      <c r="AF17" s="118"/>
    </row>
    <row r="18" spans="1:32">
      <c r="B18" s="109" t="s">
        <v>232</v>
      </c>
      <c r="C18" s="110" t="s">
        <v>508</v>
      </c>
      <c r="D18" s="111" t="s">
        <v>478</v>
      </c>
      <c r="E18" s="112">
        <f>BS_WTB!X40</f>
        <v>488889010417</v>
      </c>
      <c r="F18" s="115">
        <f>BS_WTB!AD40</f>
        <v>431092568800</v>
      </c>
      <c r="G18" s="113">
        <f>ROUND(F18-E18,)</f>
        <v>-57796441617</v>
      </c>
      <c r="H18" s="113">
        <f>G18+(J18-L18+N18-P18+R18-T18+V18-X18+Z18-AB18+AD18-AF18)</f>
        <v>0</v>
      </c>
      <c r="I18" s="317"/>
      <c r="J18" s="591"/>
      <c r="K18" s="583" t="s">
        <v>418</v>
      </c>
      <c r="L18" s="584"/>
      <c r="M18" s="583" t="s">
        <v>883</v>
      </c>
      <c r="N18" s="583">
        <v>57796422027</v>
      </c>
      <c r="O18" s="588" t="s">
        <v>586</v>
      </c>
      <c r="P18" s="584"/>
      <c r="Q18" s="585"/>
      <c r="R18" s="583"/>
      <c r="S18" s="583"/>
      <c r="T18" s="586"/>
      <c r="U18" s="585"/>
      <c r="V18" s="583"/>
      <c r="W18" s="583"/>
      <c r="X18" s="586"/>
      <c r="Y18" s="335" t="s">
        <v>944</v>
      </c>
      <c r="Z18" s="117">
        <f>AB22</f>
        <v>19590</v>
      </c>
      <c r="AA18" s="117" t="s">
        <v>1315</v>
      </c>
      <c r="AB18" s="652">
        <f>Z22</f>
        <v>0</v>
      </c>
      <c r="AC18" s="306"/>
      <c r="AD18" s="117"/>
      <c r="AE18" s="306"/>
      <c r="AF18" s="118"/>
    </row>
    <row r="19" spans="1:32">
      <c r="B19" s="109"/>
      <c r="C19" s="110"/>
      <c r="D19" s="111"/>
      <c r="E19" s="112"/>
      <c r="F19" s="115"/>
      <c r="G19" s="113"/>
      <c r="H19" s="113">
        <f t="shared" si="2"/>
        <v>0</v>
      </c>
      <c r="I19" s="117" t="s">
        <v>541</v>
      </c>
      <c r="J19" s="582">
        <v>0</v>
      </c>
      <c r="K19" s="583"/>
      <c r="L19" s="583"/>
      <c r="M19" s="643" t="s">
        <v>945</v>
      </c>
      <c r="N19" s="583"/>
      <c r="O19" s="583" t="s">
        <v>1478</v>
      </c>
      <c r="P19" s="584">
        <v>0</v>
      </c>
      <c r="Q19" s="585"/>
      <c r="R19" s="583"/>
      <c r="S19" s="583"/>
      <c r="T19" s="586"/>
      <c r="U19" s="585"/>
      <c r="V19" s="583"/>
      <c r="W19" s="583"/>
      <c r="X19" s="586"/>
      <c r="Y19" s="335"/>
      <c r="Z19" s="117"/>
      <c r="AA19" s="117" t="s">
        <v>1381</v>
      </c>
      <c r="AB19" s="118"/>
      <c r="AC19" s="328"/>
      <c r="AD19" s="117"/>
      <c r="AE19" s="306"/>
      <c r="AF19" s="118"/>
    </row>
    <row r="20" spans="1:32" ht="14.25" thickBot="1">
      <c r="B20" s="109" t="s">
        <v>1380</v>
      </c>
      <c r="C20" s="110"/>
      <c r="D20" s="111" t="s">
        <v>1343</v>
      </c>
      <c r="E20" s="112">
        <f>BS_WTB!X57</f>
        <v>200000000</v>
      </c>
      <c r="F20" s="115">
        <f>BS_WTB!AD57</f>
        <v>200000000</v>
      </c>
      <c r="G20" s="113">
        <f>ROUND(F20-E20,)</f>
        <v>0</v>
      </c>
      <c r="H20" s="113">
        <f>G20+(J20-L20+N20-P20+R20-T20+V20-X20+Z20-AB20+AD20-AF20)</f>
        <v>0</v>
      </c>
      <c r="I20" s="317"/>
      <c r="J20" s="591"/>
      <c r="K20" s="583"/>
      <c r="L20" s="584"/>
      <c r="M20" s="583"/>
      <c r="N20" s="583"/>
      <c r="O20" s="588"/>
      <c r="P20" s="584"/>
      <c r="Q20" s="585"/>
      <c r="R20" s="583"/>
      <c r="S20" s="583"/>
      <c r="T20" s="586"/>
      <c r="U20" s="585"/>
      <c r="V20" s="583"/>
      <c r="W20" s="583"/>
      <c r="X20" s="586"/>
      <c r="Y20" s="335"/>
      <c r="Z20" s="117"/>
      <c r="AA20" s="117"/>
      <c r="AB20" s="118"/>
      <c r="AC20" s="306"/>
      <c r="AD20" s="117"/>
      <c r="AE20" s="306" t="s">
        <v>1382</v>
      </c>
      <c r="AF20" s="652"/>
    </row>
    <row r="21" spans="1:32" s="119" customFormat="1" ht="15" thickTop="1" thickBot="1">
      <c r="A21" s="116"/>
      <c r="B21" s="408" t="s">
        <v>776</v>
      </c>
      <c r="C21" s="409"/>
      <c r="D21" s="410"/>
      <c r="E21" s="411">
        <f>BS_WTB!X60</f>
        <v>1412021642</v>
      </c>
      <c r="F21" s="412">
        <f>BS_WTB!AD60</f>
        <v>67077931</v>
      </c>
      <c r="G21" s="413">
        <f t="shared" ref="G21" si="3">ROUND(F21-E21,)</f>
        <v>-1344943711</v>
      </c>
      <c r="H21" s="413">
        <f>G21+(J21-L21+N21-P21+R21-T21+V21-X21+Z21-AB21+AD21-AF21)</f>
        <v>0</v>
      </c>
      <c r="I21" s="410"/>
      <c r="J21" s="410"/>
      <c r="K21" s="410" t="s">
        <v>411</v>
      </c>
      <c r="L21" s="580">
        <f>IS_WTB!AD232</f>
        <v>15221501</v>
      </c>
      <c r="M21" s="410"/>
      <c r="N21" s="410"/>
      <c r="O21" s="410"/>
      <c r="P21" s="414"/>
      <c r="Q21" s="415" t="s">
        <v>1288</v>
      </c>
      <c r="R21" s="410">
        <v>996721950</v>
      </c>
      <c r="S21" s="410"/>
      <c r="T21" s="416"/>
      <c r="U21" s="415"/>
      <c r="V21" s="410"/>
      <c r="W21" s="410"/>
      <c r="X21" s="416"/>
      <c r="Y21" s="415" t="s">
        <v>1581</v>
      </c>
      <c r="Z21" s="410">
        <v>829143259</v>
      </c>
      <c r="AA21" s="410" t="s">
        <v>1206</v>
      </c>
      <c r="AB21" s="656">
        <v>465699997</v>
      </c>
      <c r="AC21" s="417"/>
      <c r="AD21" s="410"/>
      <c r="AE21" s="410" t="s">
        <v>1094</v>
      </c>
      <c r="AF21" s="663">
        <v>0</v>
      </c>
    </row>
    <row r="22" spans="1:32" ht="14.25" outlineLevel="1" thickTop="1">
      <c r="B22" s="109" t="s">
        <v>222</v>
      </c>
      <c r="C22" s="110" t="s">
        <v>508</v>
      </c>
      <c r="D22" s="111" t="s">
        <v>1153</v>
      </c>
      <c r="E22" s="112">
        <f>BS_WTB!X61</f>
        <v>-1856467196</v>
      </c>
      <c r="F22" s="115">
        <f>BS_WTB!AD61</f>
        <v>-1856461050</v>
      </c>
      <c r="G22" s="321">
        <f t="shared" si="1"/>
        <v>6146</v>
      </c>
      <c r="H22" s="419">
        <f>G22+(J22-L22+N22-P22+R22-T22+V22-X22+Z22-AB22+AD22-AF22)</f>
        <v>0</v>
      </c>
      <c r="I22" s="589" t="s">
        <v>1154</v>
      </c>
      <c r="J22" s="581">
        <f>IS_WTB!AD214+IS_WTB!AD215</f>
        <v>13444</v>
      </c>
      <c r="K22" s="599"/>
      <c r="L22" s="589"/>
      <c r="M22" s="589"/>
      <c r="N22" s="589"/>
      <c r="O22" s="589"/>
      <c r="P22" s="600"/>
      <c r="Q22" s="587"/>
      <c r="R22" s="589"/>
      <c r="S22" s="589"/>
      <c r="T22" s="590"/>
      <c r="U22" s="587"/>
      <c r="V22" s="589"/>
      <c r="W22" s="589"/>
      <c r="X22" s="590"/>
      <c r="Y22" s="109" t="s">
        <v>1312</v>
      </c>
      <c r="Z22" s="653"/>
      <c r="AA22" s="117" t="s">
        <v>944</v>
      </c>
      <c r="AB22" s="329">
        <v>19590</v>
      </c>
      <c r="AC22" s="328"/>
      <c r="AD22" s="111"/>
      <c r="AE22" s="111"/>
      <c r="AF22" s="329"/>
    </row>
    <row r="23" spans="1:32" s="119" customFormat="1" outlineLevel="1">
      <c r="A23" s="116"/>
      <c r="B23" s="109" t="s">
        <v>221</v>
      </c>
      <c r="C23" s="110" t="s">
        <v>508</v>
      </c>
      <c r="D23" s="111" t="s">
        <v>475</v>
      </c>
      <c r="E23" s="112">
        <f>BS_WTB!X63</f>
        <v>182042767</v>
      </c>
      <c r="F23" s="115">
        <f>BS_WTB!AD63</f>
        <v>692328766</v>
      </c>
      <c r="G23" s="321">
        <f t="shared" si="1"/>
        <v>510285999</v>
      </c>
      <c r="H23" s="113">
        <f t="shared" si="2"/>
        <v>-3619152</v>
      </c>
      <c r="I23" s="117"/>
      <c r="J23" s="117"/>
      <c r="K23" s="117" t="s">
        <v>535</v>
      </c>
      <c r="L23" s="582">
        <f>IS_WTB!AD229</f>
        <v>513905151</v>
      </c>
      <c r="M23" s="117"/>
      <c r="N23" s="307"/>
      <c r="O23" s="117" t="s">
        <v>884</v>
      </c>
      <c r="P23" s="307"/>
      <c r="Q23" s="335"/>
      <c r="R23" s="117"/>
      <c r="S23" s="117"/>
      <c r="T23" s="118"/>
      <c r="U23" s="335"/>
      <c r="V23" s="117"/>
      <c r="W23" s="117"/>
      <c r="X23" s="118"/>
      <c r="Y23" s="306" t="s">
        <v>1372</v>
      </c>
      <c r="Z23" s="654">
        <f>AB61</f>
        <v>0</v>
      </c>
      <c r="AA23" s="117"/>
      <c r="AB23" s="118"/>
      <c r="AC23" s="306"/>
      <c r="AD23" s="117"/>
      <c r="AE23" s="117"/>
      <c r="AF23" s="118"/>
    </row>
    <row r="24" spans="1:32" s="119" customFormat="1" outlineLevel="1">
      <c r="A24" s="116"/>
      <c r="B24" s="109"/>
      <c r="C24" s="110" t="s">
        <v>508</v>
      </c>
      <c r="D24" s="111"/>
      <c r="E24" s="112"/>
      <c r="F24" s="115"/>
      <c r="G24" s="113"/>
      <c r="H24" s="113">
        <f t="shared" si="2"/>
        <v>3619152</v>
      </c>
      <c r="I24" s="117"/>
      <c r="J24" s="117"/>
      <c r="K24" s="117" t="s">
        <v>1307</v>
      </c>
      <c r="L24" s="117"/>
      <c r="M24" s="117" t="s">
        <v>705</v>
      </c>
      <c r="N24" s="307">
        <f>G152</f>
        <v>3619152</v>
      </c>
      <c r="O24" s="117" t="s">
        <v>685</v>
      </c>
      <c r="P24" s="307"/>
      <c r="Q24" s="335"/>
      <c r="R24" s="117"/>
      <c r="S24" s="117"/>
      <c r="T24" s="118"/>
      <c r="U24" s="335"/>
      <c r="V24" s="117"/>
      <c r="W24" s="117"/>
      <c r="X24" s="118"/>
      <c r="Y24" s="335"/>
      <c r="Z24" s="117"/>
      <c r="AA24" s="117"/>
      <c r="AB24" s="118"/>
      <c r="AC24" s="306"/>
      <c r="AD24" s="117"/>
      <c r="AE24" s="117"/>
      <c r="AF24" s="118"/>
    </row>
    <row r="25" spans="1:32" outlineLevel="1">
      <c r="B25" s="109" t="s">
        <v>208</v>
      </c>
      <c r="C25" s="110" t="s">
        <v>508</v>
      </c>
      <c r="D25" s="111" t="s">
        <v>507</v>
      </c>
      <c r="E25" s="112">
        <f>BS_WTB!X66</f>
        <v>0</v>
      </c>
      <c r="F25" s="115">
        <f>BS_WTB!AD66</f>
        <v>0</v>
      </c>
      <c r="G25" s="113">
        <f t="shared" si="1"/>
        <v>0</v>
      </c>
      <c r="H25" s="113">
        <f t="shared" si="2"/>
        <v>0</v>
      </c>
      <c r="I25" s="117"/>
      <c r="J25" s="117"/>
      <c r="K25" s="117"/>
      <c r="L25" s="117"/>
      <c r="M25" s="117"/>
      <c r="N25" s="117"/>
      <c r="O25" s="317"/>
      <c r="P25" s="326"/>
      <c r="Q25" s="335"/>
      <c r="R25" s="117"/>
      <c r="S25" s="117"/>
      <c r="T25" s="118"/>
      <c r="U25" s="335"/>
      <c r="V25" s="117"/>
      <c r="W25" s="117"/>
      <c r="X25" s="118"/>
      <c r="Y25" s="335"/>
      <c r="Z25" s="117"/>
      <c r="AA25" s="117"/>
      <c r="AB25" s="118"/>
      <c r="AC25" s="306"/>
      <c r="AD25" s="117"/>
      <c r="AE25" s="117"/>
      <c r="AF25" s="118"/>
    </row>
    <row r="26" spans="1:32" outlineLevel="1">
      <c r="B26" s="109"/>
      <c r="C26" s="110"/>
      <c r="D26" s="111"/>
      <c r="E26" s="112"/>
      <c r="F26" s="115"/>
      <c r="G26" s="113"/>
      <c r="H26" s="113"/>
      <c r="I26" s="117"/>
      <c r="J26" s="117"/>
      <c r="K26" s="117"/>
      <c r="L26" s="117"/>
      <c r="M26" s="117"/>
      <c r="N26" s="307"/>
      <c r="O26" s="317"/>
      <c r="P26" s="326"/>
      <c r="Q26" s="335"/>
      <c r="R26" s="117"/>
      <c r="S26" s="117"/>
      <c r="T26" s="118"/>
      <c r="U26" s="335"/>
      <c r="V26" s="117"/>
      <c r="W26" s="117"/>
      <c r="X26" s="118"/>
      <c r="Y26" s="335"/>
      <c r="Z26" s="117"/>
      <c r="AA26" s="117"/>
      <c r="AB26" s="118"/>
      <c r="AC26" s="306"/>
      <c r="AD26" s="117"/>
      <c r="AE26" s="117"/>
      <c r="AF26" s="118"/>
    </row>
    <row r="27" spans="1:32" outlineLevel="1">
      <c r="B27" s="109" t="s">
        <v>1184</v>
      </c>
      <c r="C27" s="110" t="s">
        <v>1185</v>
      </c>
      <c r="D27" s="111" t="s">
        <v>1167</v>
      </c>
      <c r="E27" s="112">
        <f>BS_WTB!X68</f>
        <v>1145879900</v>
      </c>
      <c r="F27" s="115">
        <f>BS_WTB!AD68</f>
        <v>2532050000</v>
      </c>
      <c r="G27" s="113">
        <f t="shared" si="1"/>
        <v>1386170100</v>
      </c>
      <c r="H27" s="113">
        <f t="shared" si="2"/>
        <v>0</v>
      </c>
      <c r="I27" s="117"/>
      <c r="J27" s="117"/>
      <c r="K27" s="117"/>
      <c r="L27" s="117"/>
      <c r="M27" s="751" t="s">
        <v>1329</v>
      </c>
      <c r="N27" s="752">
        <v>1145879900</v>
      </c>
      <c r="O27" s="317"/>
      <c r="P27" s="326"/>
      <c r="Q27" s="335"/>
      <c r="R27" s="117"/>
      <c r="S27" s="117"/>
      <c r="T27" s="118"/>
      <c r="U27" s="335"/>
      <c r="V27" s="117"/>
      <c r="W27" s="117"/>
      <c r="X27" s="118"/>
      <c r="Y27" s="117"/>
      <c r="Z27" s="117"/>
      <c r="AA27" s="117" t="s">
        <v>1286</v>
      </c>
      <c r="AB27" s="118">
        <v>2532050000</v>
      </c>
      <c r="AC27" s="306"/>
      <c r="AD27" s="117"/>
      <c r="AE27" s="117"/>
      <c r="AF27" s="118"/>
    </row>
    <row r="28" spans="1:32" outlineLevel="1">
      <c r="B28" s="109"/>
      <c r="C28" s="110"/>
      <c r="D28" s="111"/>
      <c r="E28" s="112"/>
      <c r="F28" s="115"/>
      <c r="G28" s="113"/>
      <c r="H28" s="113"/>
      <c r="I28" s="117"/>
      <c r="J28" s="117"/>
      <c r="K28" s="117"/>
      <c r="L28" s="117"/>
      <c r="M28" s="117"/>
      <c r="N28" s="307"/>
      <c r="O28" s="317"/>
      <c r="P28" s="326"/>
      <c r="Q28" s="335"/>
      <c r="R28" s="117"/>
      <c r="S28" s="117"/>
      <c r="T28" s="118"/>
      <c r="U28" s="335"/>
      <c r="V28" s="117"/>
      <c r="W28" s="117"/>
      <c r="X28" s="118"/>
      <c r="Y28" s="335"/>
      <c r="Z28" s="117"/>
      <c r="AA28" s="117"/>
      <c r="AB28" s="118"/>
      <c r="AC28" s="306"/>
      <c r="AD28" s="117"/>
      <c r="AE28" s="117"/>
      <c r="AF28" s="118"/>
    </row>
    <row r="29" spans="1:32" outlineLevel="1">
      <c r="B29" s="109" t="s">
        <v>206</v>
      </c>
      <c r="C29" s="110" t="s">
        <v>508</v>
      </c>
      <c r="D29" s="111" t="s">
        <v>513</v>
      </c>
      <c r="E29" s="112">
        <f>BS_WTB!X72</f>
        <v>0</v>
      </c>
      <c r="F29" s="115">
        <f>BS_WTB!AD72</f>
        <v>0</v>
      </c>
      <c r="G29" s="113">
        <f t="shared" si="1"/>
        <v>0</v>
      </c>
      <c r="H29" s="113">
        <f t="shared" si="2"/>
        <v>0</v>
      </c>
      <c r="I29" s="117"/>
      <c r="J29" s="117"/>
      <c r="K29" s="117"/>
      <c r="L29" s="117"/>
      <c r="M29" s="117"/>
      <c r="N29" s="307"/>
      <c r="O29" s="117" t="s">
        <v>576</v>
      </c>
      <c r="P29" s="307"/>
      <c r="Q29" s="335"/>
      <c r="R29" s="117"/>
      <c r="S29" s="117"/>
      <c r="T29" s="118"/>
      <c r="U29" s="335"/>
      <c r="V29" s="117"/>
      <c r="W29" s="117"/>
      <c r="X29" s="118"/>
      <c r="Y29" s="335" t="s">
        <v>546</v>
      </c>
      <c r="Z29" s="117"/>
      <c r="AA29" s="117"/>
      <c r="AB29" s="118"/>
      <c r="AC29" s="306"/>
      <c r="AD29" s="117"/>
      <c r="AE29" s="117"/>
      <c r="AF29" s="118"/>
    </row>
    <row r="30" spans="1:32" s="119" customFormat="1" outlineLevel="1">
      <c r="A30" s="116"/>
      <c r="B30" s="109" t="s">
        <v>293</v>
      </c>
      <c r="C30" s="110" t="s">
        <v>508</v>
      </c>
      <c r="D30" s="111" t="s">
        <v>513</v>
      </c>
      <c r="E30" s="112">
        <f>BS_WTB!X75</f>
        <v>0</v>
      </c>
      <c r="F30" s="115">
        <f>BS_WTB!AD75</f>
        <v>0</v>
      </c>
      <c r="G30" s="113">
        <f t="shared" si="1"/>
        <v>0</v>
      </c>
      <c r="H30" s="113">
        <f t="shared" si="2"/>
        <v>0</v>
      </c>
      <c r="I30" s="117"/>
      <c r="J30" s="117"/>
      <c r="K30" s="117"/>
      <c r="L30" s="117"/>
      <c r="M30" s="117"/>
      <c r="N30" s="117"/>
      <c r="O30" s="317"/>
      <c r="P30" s="326"/>
      <c r="Q30" s="335"/>
      <c r="R30" s="117"/>
      <c r="S30" s="117"/>
      <c r="T30" s="118"/>
      <c r="U30" s="335"/>
      <c r="V30" s="117"/>
      <c r="W30" s="117"/>
      <c r="X30" s="118"/>
      <c r="Y30" s="335"/>
      <c r="Z30" s="117"/>
      <c r="AA30" s="117"/>
      <c r="AB30" s="118"/>
      <c r="AC30" s="306"/>
      <c r="AD30" s="117"/>
      <c r="AE30" s="117"/>
      <c r="AF30" s="118"/>
    </row>
    <row r="31" spans="1:32" s="119" customFormat="1" outlineLevel="1">
      <c r="A31" s="116"/>
      <c r="B31" s="109" t="s">
        <v>205</v>
      </c>
      <c r="C31" s="110" t="s">
        <v>508</v>
      </c>
      <c r="D31" s="111" t="s">
        <v>478</v>
      </c>
      <c r="E31" s="112">
        <f>BS_WTB!X77</f>
        <v>0</v>
      </c>
      <c r="F31" s="115">
        <f>BS_WTB!AD77</f>
        <v>0</v>
      </c>
      <c r="G31" s="113">
        <f t="shared" si="1"/>
        <v>0</v>
      </c>
      <c r="H31" s="113">
        <f t="shared" si="2"/>
        <v>0</v>
      </c>
      <c r="I31" s="117"/>
      <c r="J31" s="117"/>
      <c r="K31" s="117"/>
      <c r="L31" s="117"/>
      <c r="M31" s="317"/>
      <c r="N31" s="317"/>
      <c r="O31" s="117" t="s">
        <v>586</v>
      </c>
      <c r="P31" s="307"/>
      <c r="Q31" s="335"/>
      <c r="R31" s="117"/>
      <c r="S31" s="117"/>
      <c r="T31" s="118"/>
      <c r="U31" s="335"/>
      <c r="V31" s="117"/>
      <c r="W31" s="117"/>
      <c r="X31" s="118"/>
      <c r="Y31" s="335"/>
      <c r="Z31" s="117"/>
      <c r="AA31" s="117"/>
      <c r="AB31" s="118"/>
      <c r="AC31" s="306"/>
      <c r="AD31" s="117"/>
      <c r="AE31" s="117"/>
      <c r="AF31" s="118"/>
    </row>
    <row r="32" spans="1:32" ht="14.25" outlineLevel="1" thickBot="1">
      <c r="B32" s="109" t="s">
        <v>203</v>
      </c>
      <c r="C32" s="110" t="s">
        <v>508</v>
      </c>
      <c r="D32" s="111" t="s">
        <v>506</v>
      </c>
      <c r="E32" s="112">
        <f>BS_WTB!X79</f>
        <v>6964001153</v>
      </c>
      <c r="F32" s="115">
        <f>BS_WTB!AD79</f>
        <v>43993843992</v>
      </c>
      <c r="G32" s="113">
        <f t="shared" si="1"/>
        <v>37029842839</v>
      </c>
      <c r="H32" s="113">
        <f t="shared" si="2"/>
        <v>0</v>
      </c>
      <c r="I32" s="117"/>
      <c r="J32" s="117"/>
      <c r="K32" s="117"/>
      <c r="L32" s="117"/>
      <c r="M32" s="117" t="s">
        <v>716</v>
      </c>
      <c r="N32" s="117"/>
      <c r="O32" s="306" t="s">
        <v>1304</v>
      </c>
      <c r="P32" s="307">
        <v>37029842839</v>
      </c>
      <c r="Q32" s="335"/>
      <c r="R32" s="117"/>
      <c r="S32" s="117"/>
      <c r="T32" s="118"/>
      <c r="U32" s="335"/>
      <c r="V32" s="117"/>
      <c r="W32" s="117"/>
      <c r="X32" s="118"/>
      <c r="Y32" s="335"/>
      <c r="Z32" s="117"/>
      <c r="AA32" s="117"/>
      <c r="AB32" s="118"/>
      <c r="AC32" s="306"/>
      <c r="AD32" s="117"/>
      <c r="AE32" s="117"/>
      <c r="AF32" s="118"/>
    </row>
    <row r="33" spans="1:38" ht="14.25" outlineLevel="1" thickBot="1">
      <c r="B33" s="565" t="s">
        <v>200</v>
      </c>
      <c r="C33" s="566"/>
      <c r="D33" s="567"/>
      <c r="E33" s="435">
        <f>SUM(E34:E70)</f>
        <v>128871198897</v>
      </c>
      <c r="F33" s="435">
        <f>SUM(F34:F70)</f>
        <v>171280125460</v>
      </c>
      <c r="G33" s="435">
        <f>SUM(G34:G70)</f>
        <v>42408926563</v>
      </c>
      <c r="H33" s="435"/>
      <c r="I33" s="435"/>
      <c r="J33" s="435"/>
      <c r="K33" s="435"/>
      <c r="L33" s="435"/>
      <c r="M33" s="435"/>
      <c r="N33" s="435"/>
      <c r="O33" s="435"/>
      <c r="P33" s="563"/>
      <c r="Q33" s="511"/>
      <c r="R33" s="435"/>
      <c r="S33" s="435"/>
      <c r="T33" s="512"/>
      <c r="U33" s="511"/>
      <c r="V33" s="435"/>
      <c r="W33" s="435"/>
      <c r="X33" s="512"/>
      <c r="Y33" s="511"/>
      <c r="Z33" s="435"/>
      <c r="AA33" s="435"/>
      <c r="AB33" s="512"/>
      <c r="AC33" s="435"/>
      <c r="AD33" s="435"/>
      <c r="AE33" s="435"/>
      <c r="AF33" s="512"/>
    </row>
    <row r="34" spans="1:38" outlineLevel="1">
      <c r="B34" s="109" t="s">
        <v>680</v>
      </c>
      <c r="C34" s="110" t="s">
        <v>509</v>
      </c>
      <c r="D34" s="111" t="s">
        <v>680</v>
      </c>
      <c r="E34" s="112">
        <f>BS_WTB!X87</f>
        <v>2000000</v>
      </c>
      <c r="F34" s="115">
        <f>BS_WTB!AD87</f>
        <v>2000000</v>
      </c>
      <c r="G34" s="113">
        <f t="shared" ref="G34:G70" si="4">ROUND(F34-E34,)</f>
        <v>0</v>
      </c>
      <c r="H34" s="113">
        <f>G34+(J34-L34+N34-P34+R34-T34+V34-X34+Z34-AB34+AD34-AF34)</f>
        <v>0</v>
      </c>
      <c r="I34" s="317"/>
      <c r="J34" s="317"/>
      <c r="K34" s="117"/>
      <c r="L34" s="117"/>
      <c r="M34" s="117"/>
      <c r="N34" s="117"/>
      <c r="O34" s="117"/>
      <c r="P34" s="307"/>
      <c r="Q34" s="335" t="s">
        <v>1285</v>
      </c>
      <c r="R34" s="117"/>
      <c r="S34" s="119" t="s">
        <v>687</v>
      </c>
      <c r="T34" s="118">
        <v>0</v>
      </c>
      <c r="U34" s="335"/>
      <c r="V34" s="117"/>
      <c r="W34" s="117"/>
      <c r="X34" s="118"/>
      <c r="Y34" s="117" t="s">
        <v>1152</v>
      </c>
      <c r="Z34" s="111"/>
      <c r="AA34" s="117" t="s">
        <v>1152</v>
      </c>
      <c r="AB34" s="118"/>
      <c r="AC34" s="306"/>
      <c r="AD34" s="117"/>
      <c r="AE34" s="117"/>
      <c r="AF34" s="118"/>
    </row>
    <row r="35" spans="1:38" outlineLevel="1">
      <c r="B35" s="109" t="s">
        <v>487</v>
      </c>
      <c r="C35" s="110" t="s">
        <v>679</v>
      </c>
      <c r="D35" s="111" t="s">
        <v>199</v>
      </c>
      <c r="E35" s="112">
        <f>BS_WTB!X89</f>
        <v>6302129755</v>
      </c>
      <c r="F35" s="115">
        <f>BS_WTB!AD89</f>
        <v>0</v>
      </c>
      <c r="G35" s="113">
        <f t="shared" si="4"/>
        <v>-6302129755</v>
      </c>
      <c r="H35" s="316">
        <f>G35+(J35-L35+N35-P35+R35-T35+V35-X35+Z35-AB35+AD35-AF35)</f>
        <v>-4223891447</v>
      </c>
      <c r="I35" s="117" t="s">
        <v>1588</v>
      </c>
      <c r="J35" s="582">
        <f>IS_WTB!AD270-CF정산표!J110</f>
        <v>1875176567</v>
      </c>
      <c r="K35" s="306"/>
      <c r="L35" s="117"/>
      <c r="M35" s="117"/>
      <c r="N35" s="117"/>
      <c r="O35" s="117"/>
      <c r="P35" s="307"/>
      <c r="Q35" s="117" t="s">
        <v>1576</v>
      </c>
      <c r="R35" s="317">
        <v>203061741</v>
      </c>
      <c r="S35" s="117" t="s">
        <v>698</v>
      </c>
      <c r="T35" s="118">
        <v>0</v>
      </c>
      <c r="U35" s="335"/>
      <c r="V35" s="117"/>
      <c r="W35" s="117"/>
      <c r="X35" s="307"/>
      <c r="Y35" s="335" t="s">
        <v>863</v>
      </c>
      <c r="Z35" s="654">
        <f>AB110</f>
        <v>0</v>
      </c>
      <c r="AA35" s="640" t="s">
        <v>1474</v>
      </c>
      <c r="AB35" s="694">
        <f>+Z110</f>
        <v>0</v>
      </c>
      <c r="AC35" s="306"/>
      <c r="AD35" s="117"/>
      <c r="AE35" s="117"/>
      <c r="AF35" s="118"/>
    </row>
    <row r="36" spans="1:38" outlineLevel="1">
      <c r="B36" s="109"/>
      <c r="C36" s="110"/>
      <c r="D36" s="111"/>
      <c r="E36" s="112"/>
      <c r="F36" s="115"/>
      <c r="G36" s="113"/>
      <c r="H36" s="316">
        <f>G36+(J36-L36+N36-P36+R36-T36+V36-X36+Z36-AB36+AD36-AF36)</f>
        <v>4223891447</v>
      </c>
      <c r="I36" s="111" t="s">
        <v>719</v>
      </c>
      <c r="J36" s="581">
        <f>IS_WTB!AD269</f>
        <v>4223891447</v>
      </c>
      <c r="K36" s="306"/>
      <c r="L36" s="117"/>
      <c r="M36" s="117"/>
      <c r="N36" s="117"/>
      <c r="O36" s="117"/>
      <c r="P36" s="307"/>
      <c r="Q36" s="341"/>
      <c r="R36" s="326"/>
      <c r="S36" s="117"/>
      <c r="T36" s="118"/>
      <c r="U36" s="335"/>
      <c r="V36" s="117"/>
      <c r="W36" s="117"/>
      <c r="X36" s="307"/>
      <c r="Y36" s="335"/>
      <c r="Z36" s="117"/>
      <c r="AA36" s="117"/>
      <c r="AB36" s="118"/>
      <c r="AC36" s="306"/>
      <c r="AD36" s="117"/>
      <c r="AE36" s="117"/>
      <c r="AF36" s="118"/>
      <c r="AG36" s="85">
        <f>AF59-Z21</f>
        <v>3301316765</v>
      </c>
    </row>
    <row r="37" spans="1:38" outlineLevel="1">
      <c r="B37" s="109" t="s">
        <v>777</v>
      </c>
      <c r="C37" s="110" t="s">
        <v>679</v>
      </c>
      <c r="D37" s="111" t="s">
        <v>858</v>
      </c>
      <c r="E37" s="112">
        <f>BS_WTB!X91</f>
        <v>28149401906</v>
      </c>
      <c r="F37" s="115">
        <f>BS_WTB!AD91</f>
        <v>31165111996</v>
      </c>
      <c r="G37" s="113">
        <f t="shared" ref="G37" si="5">ROUND(F37-E37,)</f>
        <v>3015710090</v>
      </c>
      <c r="H37" s="523">
        <f t="shared" ref="H37:H67" si="6">G37+(J37-L37+N37-P37+R37-T37+V37-X37+Z37-AB37+AD37-AF37)</f>
        <v>0</v>
      </c>
      <c r="I37" s="111" t="s">
        <v>1283</v>
      </c>
      <c r="J37" s="111"/>
      <c r="K37" s="117" t="s">
        <v>1008</v>
      </c>
      <c r="L37" s="117">
        <f>IS_WTB!AD235</f>
        <v>3015710090</v>
      </c>
      <c r="M37" s="117"/>
      <c r="N37" s="117"/>
      <c r="O37" s="117"/>
      <c r="P37" s="307"/>
      <c r="Q37" s="335" t="s">
        <v>1229</v>
      </c>
      <c r="R37" s="307"/>
      <c r="S37" s="117" t="s">
        <v>1330</v>
      </c>
      <c r="T37" s="118">
        <v>0</v>
      </c>
      <c r="U37" s="335"/>
      <c r="V37" s="117"/>
      <c r="W37" s="117"/>
      <c r="X37" s="118"/>
      <c r="Y37" s="335"/>
      <c r="Z37" s="117"/>
      <c r="AA37" s="117"/>
      <c r="AB37" s="118"/>
      <c r="AC37" s="306"/>
      <c r="AD37" s="117"/>
      <c r="AE37" s="117" t="s">
        <v>1202</v>
      </c>
      <c r="AF37" s="118"/>
      <c r="AG37" s="85">
        <v>-4130460024</v>
      </c>
    </row>
    <row r="38" spans="1:38" outlineLevel="1">
      <c r="B38" s="109" t="s">
        <v>1342</v>
      </c>
      <c r="C38" s="110"/>
      <c r="D38" s="111" t="s">
        <v>1343</v>
      </c>
      <c r="E38" s="112">
        <f>BS_WTB!X95</f>
        <v>0</v>
      </c>
      <c r="F38" s="115">
        <f>BS_WTB!AD95</f>
        <v>0</v>
      </c>
      <c r="G38" s="113">
        <f t="shared" ref="G38" si="7">ROUND(F38-E38,)</f>
        <v>0</v>
      </c>
      <c r="H38" s="523">
        <f>G38+(J38-L38+N38-P38+R38-T38+V38-X38+Z38-AB38+AD38-AF38)</f>
        <v>0</v>
      </c>
      <c r="I38" s="117"/>
      <c r="J38" s="117"/>
      <c r="K38" s="117"/>
      <c r="L38" s="117"/>
      <c r="M38" s="317"/>
      <c r="N38" s="317"/>
      <c r="O38" s="117"/>
      <c r="P38" s="307"/>
      <c r="Q38" s="335"/>
      <c r="R38" s="117"/>
      <c r="S38" s="117" t="s">
        <v>1465</v>
      </c>
      <c r="T38" s="117">
        <v>0</v>
      </c>
      <c r="U38" s="335"/>
      <c r="V38" s="117"/>
      <c r="W38" s="117"/>
      <c r="X38" s="117"/>
      <c r="Y38" s="335"/>
      <c r="Z38" s="117"/>
      <c r="AA38" s="117"/>
      <c r="AB38" s="118"/>
      <c r="AC38" s="306" t="s">
        <v>1383</v>
      </c>
      <c r="AD38" s="654"/>
      <c r="AE38" s="117"/>
      <c r="AF38" s="118"/>
    </row>
    <row r="39" spans="1:38" outlineLevel="1">
      <c r="B39" s="109" t="s">
        <v>124</v>
      </c>
      <c r="C39" s="110" t="s">
        <v>508</v>
      </c>
      <c r="D39" s="111" t="s">
        <v>292</v>
      </c>
      <c r="E39" s="112">
        <f>BS_WTB!X96</f>
        <v>5128223089</v>
      </c>
      <c r="F39" s="115">
        <f>BS_WTB!AD96</f>
        <v>7522356638</v>
      </c>
      <c r="G39" s="113">
        <f t="shared" si="4"/>
        <v>2394133549</v>
      </c>
      <c r="H39" s="113">
        <f t="shared" si="6"/>
        <v>0</v>
      </c>
      <c r="I39" s="117"/>
      <c r="J39" s="117"/>
      <c r="K39" s="117" t="s">
        <v>411</v>
      </c>
      <c r="L39" s="577">
        <f>IS_WTB!AD230</f>
        <v>5108149</v>
      </c>
      <c r="M39" s="117" t="s">
        <v>909</v>
      </c>
      <c r="N39" s="117"/>
      <c r="O39" s="643" t="s">
        <v>1205</v>
      </c>
      <c r="P39" s="644">
        <v>2389025400</v>
      </c>
      <c r="Q39" s="335"/>
      <c r="R39" s="117"/>
      <c r="S39" s="117"/>
      <c r="T39" s="118"/>
      <c r="U39" s="335"/>
      <c r="V39" s="117"/>
      <c r="W39" s="117"/>
      <c r="X39" s="118"/>
      <c r="Y39" s="117" t="s">
        <v>1286</v>
      </c>
      <c r="Z39" s="117">
        <v>0</v>
      </c>
      <c r="AA39" s="117"/>
      <c r="AB39" s="118"/>
      <c r="AC39" s="306"/>
      <c r="AD39" s="117"/>
      <c r="AE39" s="117"/>
      <c r="AF39" s="118"/>
    </row>
    <row r="40" spans="1:38" ht="14.25" outlineLevel="1" thickBot="1">
      <c r="B40" s="109" t="s">
        <v>197</v>
      </c>
      <c r="C40" s="110" t="s">
        <v>508</v>
      </c>
      <c r="D40" s="111" t="s">
        <v>292</v>
      </c>
      <c r="E40" s="112">
        <f>BS_WTB!X99</f>
        <v>3059611800</v>
      </c>
      <c r="F40" s="319">
        <f>BS_WTB!AD99</f>
        <v>527561800</v>
      </c>
      <c r="G40" s="113">
        <f t="shared" si="4"/>
        <v>-2532050000</v>
      </c>
      <c r="H40" s="113">
        <f t="shared" si="6"/>
        <v>0</v>
      </c>
      <c r="I40" s="117"/>
      <c r="J40" s="117"/>
      <c r="K40" s="117"/>
      <c r="L40" s="117"/>
      <c r="M40" s="117"/>
      <c r="N40" s="117"/>
      <c r="O40" s="643" t="s">
        <v>908</v>
      </c>
      <c r="P40" s="644">
        <v>0</v>
      </c>
      <c r="Q40" s="335"/>
      <c r="R40" s="117"/>
      <c r="S40" s="117"/>
      <c r="T40" s="118"/>
      <c r="U40" s="335"/>
      <c r="V40" s="117"/>
      <c r="W40" s="117"/>
      <c r="X40" s="118"/>
      <c r="Y40" s="117" t="s">
        <v>1286</v>
      </c>
      <c r="Z40" s="117">
        <f>+AB27</f>
        <v>2532050000</v>
      </c>
      <c r="AA40" s="117"/>
      <c r="AB40" s="118"/>
      <c r="AC40" s="306"/>
      <c r="AD40" s="117"/>
      <c r="AE40" s="117"/>
      <c r="AF40" s="118"/>
      <c r="AI40" s="85" t="s">
        <v>274</v>
      </c>
      <c r="AJ40" s="85" t="s">
        <v>1589</v>
      </c>
      <c r="AK40" s="85" t="s">
        <v>1590</v>
      </c>
      <c r="AL40" s="85" t="s">
        <v>532</v>
      </c>
    </row>
    <row r="41" spans="1:38" outlineLevel="1">
      <c r="B41" s="109" t="s">
        <v>194</v>
      </c>
      <c r="C41" s="110" t="s">
        <v>509</v>
      </c>
      <c r="D41" s="111" t="s">
        <v>511</v>
      </c>
      <c r="E41" s="339">
        <f>BS_WTB!X102</f>
        <v>109341994</v>
      </c>
      <c r="F41" s="436">
        <f>BS_WTB!AD102</f>
        <v>109341994</v>
      </c>
      <c r="G41" s="325">
        <f t="shared" si="4"/>
        <v>0</v>
      </c>
      <c r="H41" s="113">
        <f t="shared" si="6"/>
        <v>0</v>
      </c>
      <c r="I41" s="117"/>
      <c r="J41" s="117"/>
      <c r="K41" s="117"/>
      <c r="L41" s="117"/>
      <c r="M41" s="117"/>
      <c r="N41" s="117"/>
      <c r="O41" s="111"/>
      <c r="P41" s="327"/>
      <c r="Q41" s="335"/>
      <c r="R41" s="117"/>
      <c r="S41" s="117" t="s">
        <v>691</v>
      </c>
      <c r="T41" s="118"/>
      <c r="U41" s="335"/>
      <c r="V41" s="117"/>
      <c r="W41" s="117"/>
      <c r="X41" s="118"/>
      <c r="Y41" s="335"/>
      <c r="Z41" s="117"/>
      <c r="AA41" s="117"/>
      <c r="AB41" s="118"/>
      <c r="AC41" s="306"/>
      <c r="AD41" s="117"/>
      <c r="AE41" s="117"/>
      <c r="AF41" s="118"/>
      <c r="AI41" s="85" t="s">
        <v>1591</v>
      </c>
      <c r="AJ41" s="732">
        <v>2421343800</v>
      </c>
      <c r="AK41" s="750">
        <v>2790209400</v>
      </c>
      <c r="AL41" s="85">
        <f>AJ41-AK41</f>
        <v>-368865600</v>
      </c>
    </row>
    <row r="42" spans="1:38" outlineLevel="1">
      <c r="B42" s="109" t="s">
        <v>193</v>
      </c>
      <c r="C42" s="110" t="s">
        <v>509</v>
      </c>
      <c r="D42" s="111" t="s">
        <v>511</v>
      </c>
      <c r="E42" s="339">
        <f>BS_WTB!X104</f>
        <v>1034099859</v>
      </c>
      <c r="F42" s="340">
        <f>BS_WTB!AD104</f>
        <v>1034099859</v>
      </c>
      <c r="G42" s="325">
        <f t="shared" si="4"/>
        <v>0</v>
      </c>
      <c r="H42" s="113">
        <f t="shared" si="6"/>
        <v>0</v>
      </c>
      <c r="I42" s="117"/>
      <c r="J42" s="117"/>
      <c r="K42" s="117"/>
      <c r="L42" s="117"/>
      <c r="M42" s="117"/>
      <c r="N42" s="117"/>
      <c r="O42" s="117"/>
      <c r="P42" s="307"/>
      <c r="Q42" s="335"/>
      <c r="R42" s="117"/>
      <c r="S42" s="117" t="s">
        <v>692</v>
      </c>
      <c r="T42" s="118"/>
      <c r="U42" s="335"/>
      <c r="V42" s="117"/>
      <c r="W42" s="117"/>
      <c r="X42" s="118"/>
      <c r="Y42" s="335"/>
      <c r="Z42" s="117"/>
      <c r="AA42" s="117"/>
      <c r="AB42" s="118"/>
      <c r="AC42" s="306"/>
      <c r="AD42" s="117"/>
      <c r="AE42" s="117"/>
      <c r="AF42" s="118"/>
      <c r="AI42" s="85" t="s">
        <v>1592</v>
      </c>
      <c r="AJ42" s="732">
        <v>38000000</v>
      </c>
      <c r="AK42" s="750">
        <v>34650000</v>
      </c>
      <c r="AL42" s="85">
        <f>AJ42-AK42</f>
        <v>3350000</v>
      </c>
    </row>
    <row r="43" spans="1:38" outlineLevel="1">
      <c r="B43" s="109" t="s">
        <v>192</v>
      </c>
      <c r="C43" s="110" t="s">
        <v>509</v>
      </c>
      <c r="D43" s="111" t="s">
        <v>511</v>
      </c>
      <c r="E43" s="339">
        <f>BS_WTB!X106</f>
        <v>-376235247</v>
      </c>
      <c r="F43" s="340">
        <f>BS_WTB!AD106</f>
        <v>-402549831</v>
      </c>
      <c r="G43" s="325">
        <f t="shared" si="4"/>
        <v>-26314584</v>
      </c>
      <c r="H43" s="316">
        <f t="shared" si="6"/>
        <v>0</v>
      </c>
      <c r="I43" s="117" t="s">
        <v>560</v>
      </c>
      <c r="J43" s="577">
        <f>IS_WTB!AD133</f>
        <v>26314584</v>
      </c>
      <c r="K43" s="306"/>
      <c r="L43" s="117"/>
      <c r="M43" s="117"/>
      <c r="N43" s="117"/>
      <c r="O43" s="117"/>
      <c r="P43" s="307"/>
      <c r="Q43" s="335"/>
      <c r="R43" s="117"/>
      <c r="S43" s="117"/>
      <c r="T43" s="118"/>
      <c r="U43" s="335"/>
      <c r="V43" s="117"/>
      <c r="W43" s="117"/>
      <c r="X43" s="118"/>
      <c r="Y43" s="335"/>
      <c r="Z43" s="117"/>
      <c r="AA43" s="117"/>
      <c r="AB43" s="118"/>
      <c r="AC43" s="306"/>
      <c r="AD43" s="117"/>
      <c r="AE43" s="117"/>
      <c r="AF43" s="118"/>
      <c r="AI43" s="85" t="s">
        <v>1602</v>
      </c>
      <c r="AJ43" s="85">
        <v>0</v>
      </c>
      <c r="AK43" s="750">
        <v>121000000</v>
      </c>
      <c r="AL43" s="85">
        <f>AJ43-AK43</f>
        <v>-121000000</v>
      </c>
    </row>
    <row r="44" spans="1:38" outlineLevel="1">
      <c r="B44" s="109" t="s">
        <v>464</v>
      </c>
      <c r="C44" s="110" t="s">
        <v>509</v>
      </c>
      <c r="D44" s="111" t="s">
        <v>511</v>
      </c>
      <c r="E44" s="339">
        <f>BS_WTB!X108</f>
        <v>0</v>
      </c>
      <c r="F44" s="340">
        <f>BS_WTB!AD108</f>
        <v>0</v>
      </c>
      <c r="G44" s="325">
        <f t="shared" si="4"/>
        <v>0</v>
      </c>
      <c r="H44" s="316">
        <f t="shared" si="6"/>
        <v>0</v>
      </c>
      <c r="I44" s="117"/>
      <c r="J44" s="117"/>
      <c r="K44" s="306"/>
      <c r="L44" s="117"/>
      <c r="M44" s="117"/>
      <c r="N44" s="117"/>
      <c r="O44" s="117"/>
      <c r="P44" s="307"/>
      <c r="Q44" s="335"/>
      <c r="R44" s="117"/>
      <c r="S44" s="117"/>
      <c r="T44" s="118"/>
      <c r="U44" s="335"/>
      <c r="V44" s="117"/>
      <c r="W44" s="117"/>
      <c r="X44" s="118"/>
      <c r="Y44" s="335"/>
      <c r="Z44" s="117"/>
      <c r="AA44" s="117"/>
      <c r="AB44" s="118"/>
      <c r="AC44" s="306"/>
      <c r="AD44" s="117"/>
      <c r="AE44" s="117"/>
      <c r="AF44" s="118"/>
    </row>
    <row r="45" spans="1:38" outlineLevel="1">
      <c r="B45" s="109" t="s">
        <v>502</v>
      </c>
      <c r="C45" s="110" t="s">
        <v>509</v>
      </c>
      <c r="D45" s="111" t="s">
        <v>511</v>
      </c>
      <c r="E45" s="339">
        <f>BS_WTB!X110</f>
        <v>0</v>
      </c>
      <c r="F45" s="340">
        <f>BS_WTB!AD110</f>
        <v>0</v>
      </c>
      <c r="G45" s="325">
        <f t="shared" si="4"/>
        <v>0</v>
      </c>
      <c r="H45" s="316">
        <f t="shared" si="6"/>
        <v>0</v>
      </c>
      <c r="I45" s="117" t="s">
        <v>560</v>
      </c>
      <c r="J45" s="117">
        <f>IS_WTB!AA134</f>
        <v>0</v>
      </c>
      <c r="K45" s="306"/>
      <c r="L45" s="117"/>
      <c r="M45" s="117"/>
      <c r="N45" s="117"/>
      <c r="O45" s="117"/>
      <c r="P45" s="307"/>
      <c r="Q45" s="341"/>
      <c r="R45" s="317"/>
      <c r="S45" s="317"/>
      <c r="T45" s="323"/>
      <c r="U45" s="335"/>
      <c r="V45" s="117"/>
      <c r="W45" s="117"/>
      <c r="X45" s="118"/>
      <c r="Y45" s="335"/>
      <c r="Z45" s="117"/>
      <c r="AA45" s="117"/>
      <c r="AB45" s="118"/>
      <c r="AC45" s="306"/>
      <c r="AD45" s="117"/>
      <c r="AE45" s="117"/>
      <c r="AF45" s="118"/>
    </row>
    <row r="46" spans="1:38" s="119" customFormat="1" outlineLevel="1">
      <c r="A46" s="116"/>
      <c r="B46" s="109" t="s">
        <v>187</v>
      </c>
      <c r="C46" s="110" t="s">
        <v>509</v>
      </c>
      <c r="D46" s="111" t="s">
        <v>511</v>
      </c>
      <c r="E46" s="339">
        <f>BS_WTB!X112</f>
        <v>92390281213</v>
      </c>
      <c r="F46" s="340">
        <f>BS_WTB!AD112</f>
        <v>97953587213</v>
      </c>
      <c r="G46" s="325">
        <f t="shared" si="4"/>
        <v>5563306000</v>
      </c>
      <c r="H46" s="113">
        <f>G46+(J46-L46+N46-P46+R46-T46+V46-X46+Z46-AB46+AD46-AF46)</f>
        <v>1000</v>
      </c>
      <c r="I46" s="117" t="s">
        <v>402</v>
      </c>
      <c r="J46" s="117"/>
      <c r="K46" s="117" t="s">
        <v>818</v>
      </c>
      <c r="L46" s="117">
        <v>27063000</v>
      </c>
      <c r="M46" s="117"/>
      <c r="N46" s="117"/>
      <c r="O46" s="117"/>
      <c r="P46" s="307"/>
      <c r="Q46" s="335" t="s">
        <v>569</v>
      </c>
      <c r="R46" s="117">
        <v>48795000</v>
      </c>
      <c r="S46" s="117" t="s">
        <v>690</v>
      </c>
      <c r="T46" s="118">
        <f>5216172400-1000</f>
        <v>5216171400</v>
      </c>
      <c r="U46" s="335"/>
      <c r="V46" s="117"/>
      <c r="W46" s="117"/>
      <c r="X46" s="118"/>
      <c r="Y46" s="335"/>
      <c r="Z46" s="117"/>
      <c r="AA46" s="117" t="s">
        <v>479</v>
      </c>
      <c r="AB46" s="652">
        <f>-AL41</f>
        <v>368865600</v>
      </c>
      <c r="AC46" s="306"/>
      <c r="AD46" s="307"/>
      <c r="AE46" s="117" t="s">
        <v>689</v>
      </c>
      <c r="AF46" s="652">
        <v>0</v>
      </c>
    </row>
    <row r="47" spans="1:38" s="119" customFormat="1" ht="14.25" outlineLevel="1" thickBot="1">
      <c r="A47" s="116"/>
      <c r="B47" s="123" t="s">
        <v>186</v>
      </c>
      <c r="C47" s="318" t="s">
        <v>509</v>
      </c>
      <c r="D47" s="124" t="s">
        <v>511</v>
      </c>
      <c r="E47" s="367">
        <f>BS_WTB!X114</f>
        <v>-73073164120</v>
      </c>
      <c r="F47" s="433">
        <f>BS_WTB!AD114</f>
        <v>-79091915645</v>
      </c>
      <c r="G47" s="368">
        <f t="shared" si="4"/>
        <v>-6018751525</v>
      </c>
      <c r="H47" s="369">
        <f>G47+(J47-L47+N47-P47+R47-T47+V47-X47+Z47-AB47+AD47-AF47)</f>
        <v>-1000</v>
      </c>
      <c r="I47" s="117" t="s">
        <v>560</v>
      </c>
      <c r="J47" s="577">
        <f>(IS_WTB!AA135)</f>
        <v>6040481525</v>
      </c>
      <c r="K47" s="322"/>
      <c r="L47" s="317"/>
      <c r="M47" s="317"/>
      <c r="N47" s="317"/>
      <c r="O47" s="317"/>
      <c r="P47" s="307"/>
      <c r="Q47" s="335" t="s">
        <v>569</v>
      </c>
      <c r="R47" s="117">
        <v>-21731000</v>
      </c>
      <c r="S47" s="117"/>
      <c r="T47" s="118"/>
      <c r="U47" s="335"/>
      <c r="V47" s="317"/>
      <c r="W47" s="317"/>
      <c r="X47" s="323"/>
      <c r="Y47" s="123"/>
      <c r="Z47" s="124"/>
      <c r="AA47" s="124"/>
      <c r="AB47" s="324"/>
      <c r="AC47" s="322"/>
      <c r="AD47" s="317"/>
      <c r="AE47" s="124"/>
      <c r="AF47" s="324"/>
    </row>
    <row r="48" spans="1:38" s="119" customFormat="1" ht="13.5" customHeight="1" outlineLevel="1" thickTop="1">
      <c r="A48" s="776" t="s">
        <v>1305</v>
      </c>
      <c r="B48" s="371" t="s">
        <v>445</v>
      </c>
      <c r="C48" s="372" t="s">
        <v>509</v>
      </c>
      <c r="D48" s="373" t="s">
        <v>511</v>
      </c>
      <c r="E48" s="374">
        <f>BS_WTB!X116</f>
        <v>1503842955</v>
      </c>
      <c r="F48" s="421">
        <f>BS_WTB!AD116</f>
        <v>1503842955</v>
      </c>
      <c r="G48" s="375">
        <f t="shared" si="4"/>
        <v>0</v>
      </c>
      <c r="H48" s="376">
        <f t="shared" si="6"/>
        <v>0</v>
      </c>
      <c r="I48" s="373"/>
      <c r="J48" s="373"/>
      <c r="K48" s="373"/>
      <c r="L48" s="373"/>
      <c r="M48" s="373"/>
      <c r="N48" s="373"/>
      <c r="O48" s="373"/>
      <c r="P48" s="377"/>
      <c r="Q48" s="378"/>
      <c r="R48" s="373"/>
      <c r="S48" s="373"/>
      <c r="T48" s="379"/>
      <c r="U48" s="378"/>
      <c r="V48" s="373"/>
      <c r="W48" s="373"/>
      <c r="X48" s="379"/>
      <c r="Y48" s="378"/>
      <c r="Z48" s="373"/>
      <c r="AA48" s="373"/>
      <c r="AB48" s="379"/>
      <c r="AC48" s="380"/>
      <c r="AD48" s="373"/>
      <c r="AE48" s="373" t="s">
        <v>1224</v>
      </c>
      <c r="AF48" s="381"/>
    </row>
    <row r="49" spans="1:38" s="119" customFormat="1" outlineLevel="1">
      <c r="A49" s="776"/>
      <c r="B49" s="382" t="s">
        <v>444</v>
      </c>
      <c r="C49" s="110" t="s">
        <v>509</v>
      </c>
      <c r="D49" s="111" t="s">
        <v>511</v>
      </c>
      <c r="E49" s="339">
        <f>BS_WTB!X118</f>
        <v>-1058826649</v>
      </c>
      <c r="F49" s="340">
        <f>BS_WTB!AD118</f>
        <v>-1265045671</v>
      </c>
      <c r="G49" s="325">
        <f t="shared" si="4"/>
        <v>-206219022</v>
      </c>
      <c r="H49" s="316">
        <f t="shared" si="6"/>
        <v>0</v>
      </c>
      <c r="I49" s="117" t="s">
        <v>560</v>
      </c>
      <c r="J49" s="117">
        <v>206219022</v>
      </c>
      <c r="K49" s="432"/>
      <c r="L49" s="317"/>
      <c r="M49" s="117"/>
      <c r="N49" s="117"/>
      <c r="O49" s="117"/>
      <c r="P49" s="307"/>
      <c r="Q49" s="335"/>
      <c r="R49" s="117"/>
      <c r="S49" s="317"/>
      <c r="T49" s="323"/>
      <c r="U49" s="335"/>
      <c r="V49" s="117"/>
      <c r="W49" s="117"/>
      <c r="X49" s="118"/>
      <c r="Y49" s="335"/>
      <c r="Z49" s="117"/>
      <c r="AA49" s="317"/>
      <c r="AB49" s="323"/>
      <c r="AC49" s="306"/>
      <c r="AD49" s="117"/>
      <c r="AE49" s="117"/>
      <c r="AF49" s="420"/>
    </row>
    <row r="50" spans="1:38" s="119" customFormat="1" outlineLevel="1">
      <c r="A50" s="776"/>
      <c r="B50" s="382" t="s">
        <v>180</v>
      </c>
      <c r="C50" s="110" t="s">
        <v>509</v>
      </c>
      <c r="D50" s="111" t="s">
        <v>511</v>
      </c>
      <c r="E50" s="339">
        <f>BS_WTB!X120</f>
        <v>14562289313</v>
      </c>
      <c r="F50" s="340">
        <f>BS_WTB!AD120</f>
        <v>16929760551</v>
      </c>
      <c r="G50" s="325">
        <f t="shared" si="4"/>
        <v>2367471238</v>
      </c>
      <c r="H50" s="316">
        <f t="shared" si="6"/>
        <v>55672267</v>
      </c>
      <c r="I50" s="117" t="s">
        <v>1163</v>
      </c>
      <c r="J50" s="117">
        <v>0</v>
      </c>
      <c r="K50" s="306" t="s">
        <v>818</v>
      </c>
      <c r="L50" s="117">
        <v>82533</v>
      </c>
      <c r="M50" s="306"/>
      <c r="N50" s="117"/>
      <c r="O50" s="117"/>
      <c r="P50" s="307"/>
      <c r="Q50" s="341" t="s">
        <v>700</v>
      </c>
      <c r="R50" s="317">
        <v>3466400</v>
      </c>
      <c r="S50" s="117" t="s">
        <v>1194</v>
      </c>
      <c r="T50" s="118">
        <v>2194182838</v>
      </c>
      <c r="U50" s="306"/>
      <c r="V50" s="117"/>
      <c r="W50" s="117"/>
      <c r="X50" s="118"/>
      <c r="Y50" s="335"/>
      <c r="Z50" s="307"/>
      <c r="AA50" s="117" t="s">
        <v>479</v>
      </c>
      <c r="AB50" s="652">
        <f>-$AL$43</f>
        <v>121000000</v>
      </c>
      <c r="AC50" s="306" t="s">
        <v>1158</v>
      </c>
      <c r="AD50" s="307"/>
      <c r="AE50" s="306" t="s">
        <v>689</v>
      </c>
      <c r="AF50" s="652">
        <v>0</v>
      </c>
    </row>
    <row r="51" spans="1:38" s="119" customFormat="1" ht="14.25" outlineLevel="1" thickBot="1">
      <c r="A51" s="776"/>
      <c r="B51" s="383" t="s">
        <v>177</v>
      </c>
      <c r="C51" s="384" t="s">
        <v>509</v>
      </c>
      <c r="D51" s="385" t="s">
        <v>511</v>
      </c>
      <c r="E51" s="386">
        <f>BS_WTB!X125</f>
        <v>-11191623880</v>
      </c>
      <c r="F51" s="422">
        <f>BS_WTB!AD125</f>
        <v>-12673528738</v>
      </c>
      <c r="G51" s="387">
        <f t="shared" si="4"/>
        <v>-1481904858</v>
      </c>
      <c r="H51" s="388">
        <f t="shared" si="6"/>
        <v>-55672267</v>
      </c>
      <c r="I51" s="390" t="s">
        <v>560</v>
      </c>
      <c r="J51" s="603">
        <f>(IS_WTB!AA136)-J49</f>
        <v>1426232591</v>
      </c>
      <c r="K51" s="389"/>
      <c r="L51" s="385"/>
      <c r="M51" s="390"/>
      <c r="N51" s="390"/>
      <c r="O51" s="390"/>
      <c r="P51" s="391"/>
      <c r="Q51" s="393" t="s">
        <v>1188</v>
      </c>
      <c r="R51" s="390"/>
      <c r="S51" s="390"/>
      <c r="T51" s="394"/>
      <c r="U51" s="393"/>
      <c r="V51" s="390"/>
      <c r="W51" s="390"/>
      <c r="X51" s="394"/>
      <c r="Y51" s="393"/>
      <c r="Z51" s="390"/>
      <c r="AA51" s="385" t="s">
        <v>1126</v>
      </c>
      <c r="AB51" s="392"/>
      <c r="AC51" s="395"/>
      <c r="AD51" s="390"/>
      <c r="AE51" s="385"/>
      <c r="AF51" s="396"/>
    </row>
    <row r="52" spans="1:38" ht="14.25" outlineLevel="1" thickTop="1">
      <c r="B52" s="109" t="s">
        <v>174</v>
      </c>
      <c r="C52" s="110" t="s">
        <v>509</v>
      </c>
      <c r="D52" s="111" t="s">
        <v>512</v>
      </c>
      <c r="E52" s="339">
        <f>BS_WTB!X128</f>
        <v>734464376</v>
      </c>
      <c r="F52" s="340">
        <f>BS_WTB!AD128</f>
        <v>612249569</v>
      </c>
      <c r="G52" s="325">
        <f t="shared" si="4"/>
        <v>-122214807</v>
      </c>
      <c r="H52" s="316">
        <f>G52+(J52-L52+N52-P52+R52-T52+V52-X52+Z52-AB52+AD52-AF52)</f>
        <v>0</v>
      </c>
      <c r="I52" s="117" t="s">
        <v>561</v>
      </c>
      <c r="J52" s="577">
        <f>IS_WTB!AD184</f>
        <v>137576557</v>
      </c>
      <c r="K52" s="306" t="s">
        <v>1228</v>
      </c>
      <c r="L52" s="117"/>
      <c r="M52" s="117"/>
      <c r="N52" s="117"/>
      <c r="O52" s="111"/>
      <c r="P52" s="327"/>
      <c r="Q52" s="109" t="s">
        <v>682</v>
      </c>
      <c r="R52" s="111"/>
      <c r="S52" s="111" t="s">
        <v>886</v>
      </c>
      <c r="T52" s="329">
        <v>15361750</v>
      </c>
      <c r="U52" s="335"/>
      <c r="V52" s="111"/>
      <c r="W52" s="111"/>
      <c r="X52" s="329"/>
      <c r="Y52" s="109"/>
      <c r="Z52" s="111"/>
      <c r="AA52" s="111" t="s">
        <v>1126</v>
      </c>
      <c r="AB52" s="329"/>
      <c r="AC52" s="328"/>
      <c r="AD52" s="111"/>
      <c r="AE52" s="111"/>
      <c r="AF52" s="118"/>
    </row>
    <row r="53" spans="1:38" ht="14.25" outlineLevel="1" thickBot="1">
      <c r="B53" s="123"/>
      <c r="C53" s="318"/>
      <c r="D53" s="124"/>
      <c r="E53" s="367"/>
      <c r="F53" s="433"/>
      <c r="G53" s="130"/>
      <c r="H53" s="320">
        <f t="shared" si="6"/>
        <v>0</v>
      </c>
      <c r="I53" s="117" t="s">
        <v>1193</v>
      </c>
      <c r="J53" s="117"/>
      <c r="K53" s="317"/>
      <c r="L53" s="317"/>
      <c r="M53" s="317"/>
      <c r="N53" s="317"/>
      <c r="O53" s="317"/>
      <c r="P53" s="326"/>
      <c r="Q53" s="341" t="s">
        <v>682</v>
      </c>
      <c r="R53" s="317"/>
      <c r="S53" s="317" t="s">
        <v>885</v>
      </c>
      <c r="T53" s="323"/>
      <c r="U53" s="341"/>
      <c r="V53" s="317"/>
      <c r="W53" s="317"/>
      <c r="X53" s="323"/>
      <c r="Y53" s="341"/>
      <c r="Z53" s="317"/>
      <c r="AA53" s="317"/>
      <c r="AB53" s="323"/>
      <c r="AC53" s="322"/>
      <c r="AD53" s="317"/>
      <c r="AE53" s="317"/>
      <c r="AF53" s="323"/>
    </row>
    <row r="54" spans="1:38" ht="14.25" outlineLevel="1" thickTop="1">
      <c r="B54" s="371" t="s">
        <v>173</v>
      </c>
      <c r="C54" s="372" t="s">
        <v>509</v>
      </c>
      <c r="D54" s="373" t="s">
        <v>512</v>
      </c>
      <c r="E54" s="374">
        <f>BS_WTB!X131</f>
        <v>1000</v>
      </c>
      <c r="F54" s="421">
        <f>BS_WTB!AD131</f>
        <v>1000</v>
      </c>
      <c r="G54" s="375">
        <f t="shared" si="4"/>
        <v>0</v>
      </c>
      <c r="H54" s="376">
        <f t="shared" si="6"/>
        <v>0</v>
      </c>
      <c r="I54" s="373" t="s">
        <v>561</v>
      </c>
      <c r="J54" s="578">
        <f>IS_WTB!AA185</f>
        <v>0</v>
      </c>
      <c r="K54" s="373"/>
      <c r="L54" s="373"/>
      <c r="M54" s="373"/>
      <c r="N54" s="373"/>
      <c r="O54" s="373"/>
      <c r="P54" s="377"/>
      <c r="Q54" s="378"/>
      <c r="R54" s="373"/>
      <c r="S54" s="373"/>
      <c r="T54" s="379"/>
      <c r="U54" s="378"/>
      <c r="V54" s="373"/>
      <c r="W54" s="373"/>
      <c r="X54" s="379"/>
      <c r="Y54" s="378"/>
      <c r="Z54" s="373"/>
      <c r="AA54" s="373"/>
      <c r="AB54" s="379"/>
      <c r="AC54" s="380"/>
      <c r="AD54" s="373"/>
      <c r="AE54" s="373"/>
      <c r="AF54" s="381"/>
    </row>
    <row r="55" spans="1:38" outlineLevel="1">
      <c r="B55" s="382" t="s">
        <v>1160</v>
      </c>
      <c r="C55" s="110" t="s">
        <v>509</v>
      </c>
      <c r="D55" s="111" t="s">
        <v>512</v>
      </c>
      <c r="E55" s="339">
        <f>BS_WTB!X134</f>
        <v>1772136324</v>
      </c>
      <c r="F55" s="340">
        <f>BS_WTB!AD134</f>
        <v>3461341324</v>
      </c>
      <c r="G55" s="325">
        <f t="shared" si="4"/>
        <v>1689205000</v>
      </c>
      <c r="H55" s="113">
        <f t="shared" si="6"/>
        <v>0</v>
      </c>
      <c r="I55" s="117" t="s">
        <v>561</v>
      </c>
      <c r="J55" s="577">
        <f>IS_WTB!AA186</f>
        <v>0</v>
      </c>
      <c r="K55" s="306" t="s">
        <v>900</v>
      </c>
      <c r="L55" s="117"/>
      <c r="M55" s="117"/>
      <c r="N55" s="117"/>
      <c r="O55" s="117"/>
      <c r="P55" s="307"/>
      <c r="Q55" s="335" t="s">
        <v>946</v>
      </c>
      <c r="R55" s="117"/>
      <c r="S55" s="317" t="s">
        <v>701</v>
      </c>
      <c r="T55" s="323">
        <v>1689205000</v>
      </c>
      <c r="U55" s="335"/>
      <c r="V55" s="117"/>
      <c r="W55" s="117"/>
      <c r="X55" s="118"/>
      <c r="Y55" s="335"/>
      <c r="Z55" s="117"/>
      <c r="AA55" s="117"/>
      <c r="AB55" s="118"/>
      <c r="AC55" s="306"/>
      <c r="AD55" s="117"/>
      <c r="AE55" s="117"/>
      <c r="AF55" s="513"/>
    </row>
    <row r="56" spans="1:38" s="119" customFormat="1" ht="14.25" outlineLevel="1" thickBot="1">
      <c r="A56" s="116"/>
      <c r="B56" s="383" t="s">
        <v>1161</v>
      </c>
      <c r="C56" s="384" t="s">
        <v>509</v>
      </c>
      <c r="D56" s="385" t="s">
        <v>512</v>
      </c>
      <c r="E56" s="386">
        <f>BS_WTB!X138</f>
        <v>17817543049</v>
      </c>
      <c r="F56" s="422">
        <f>BS_WTB!AD138</f>
        <v>14038602193</v>
      </c>
      <c r="G56" s="387">
        <f t="shared" si="4"/>
        <v>-3778940856</v>
      </c>
      <c r="H56" s="434">
        <f>G56+(J56-L56+N56-P56+R56-T56+V56-X56+Z56-AB56+AD56-AF56)</f>
        <v>0</v>
      </c>
      <c r="I56" s="390" t="s">
        <v>561</v>
      </c>
      <c r="J56" s="579">
        <f>IS_WTB!AA187</f>
        <v>5747460856</v>
      </c>
      <c r="K56" s="395"/>
      <c r="L56" s="390"/>
      <c r="M56" s="390"/>
      <c r="N56" s="390"/>
      <c r="O56" s="390"/>
      <c r="P56" s="391"/>
      <c r="Q56" s="393" t="s">
        <v>889</v>
      </c>
      <c r="R56" s="390"/>
      <c r="S56" s="317" t="s">
        <v>681</v>
      </c>
      <c r="T56" s="323">
        <v>1462470000</v>
      </c>
      <c r="U56" s="341"/>
      <c r="V56" s="390"/>
      <c r="W56" s="390"/>
      <c r="X56" s="394"/>
      <c r="Y56" s="393"/>
      <c r="Z56" s="390"/>
      <c r="AA56" s="390" t="s">
        <v>165</v>
      </c>
      <c r="AB56" s="659">
        <f>-AL42</f>
        <v>-3350000</v>
      </c>
      <c r="AC56" s="395"/>
      <c r="AD56" s="390"/>
      <c r="AE56" s="390" t="s">
        <v>689</v>
      </c>
      <c r="AF56" s="664">
        <v>509400000</v>
      </c>
    </row>
    <row r="57" spans="1:38" s="119" customFormat="1" ht="15" outlineLevel="1" thickTop="1" thickBot="1">
      <c r="A57" s="116"/>
      <c r="B57" s="109" t="s">
        <v>168</v>
      </c>
      <c r="C57" s="110" t="s">
        <v>509</v>
      </c>
      <c r="D57" s="111" t="s">
        <v>511</v>
      </c>
      <c r="E57" s="339">
        <f>BS_WTB!X141</f>
        <v>738466416</v>
      </c>
      <c r="F57" s="423">
        <f>BS_WTB!AD141</f>
        <v>2122064455</v>
      </c>
      <c r="G57" s="370">
        <f t="shared" si="4"/>
        <v>1383598039</v>
      </c>
      <c r="H57" s="321">
        <f>G57+(J57-L57+N57-P57+R57-T57+V57-X57+Z57-AB57+AD57-AF57)</f>
        <v>0</v>
      </c>
      <c r="I57" s="117" t="s">
        <v>1163</v>
      </c>
      <c r="J57" s="117"/>
      <c r="K57" s="111"/>
      <c r="L57" s="111"/>
      <c r="M57" s="111"/>
      <c r="N57" s="111"/>
      <c r="O57" s="111"/>
      <c r="P57" s="327"/>
      <c r="Q57" s="109"/>
      <c r="R57" s="111"/>
      <c r="S57" s="373" t="s">
        <v>536</v>
      </c>
      <c r="T57" s="379">
        <v>1892998039</v>
      </c>
      <c r="U57" s="378"/>
      <c r="V57" s="111"/>
      <c r="W57" s="111"/>
      <c r="X57" s="329"/>
      <c r="Y57" s="109" t="s">
        <v>1577</v>
      </c>
      <c r="Z57" s="111">
        <v>0</v>
      </c>
      <c r="AA57" s="111" t="s">
        <v>165</v>
      </c>
      <c r="AB57" s="660"/>
      <c r="AC57" s="328" t="s">
        <v>688</v>
      </c>
      <c r="AD57" s="653">
        <f>AF56+AF50+AF46</f>
        <v>509400000</v>
      </c>
      <c r="AE57" s="111" t="s">
        <v>1159</v>
      </c>
      <c r="AF57" s="329"/>
    </row>
    <row r="58" spans="1:38" s="119" customFormat="1" ht="14.25" outlineLevel="1" thickBot="1">
      <c r="A58" s="116"/>
      <c r="B58" s="123"/>
      <c r="C58" s="318"/>
      <c r="D58" s="124"/>
      <c r="E58" s="125"/>
      <c r="F58" s="319"/>
      <c r="G58" s="320">
        <f t="shared" si="4"/>
        <v>0</v>
      </c>
      <c r="H58" s="320">
        <f t="shared" si="6"/>
        <v>0</v>
      </c>
      <c r="I58" s="317" t="s">
        <v>711</v>
      </c>
      <c r="J58" s="317"/>
      <c r="K58" s="317"/>
      <c r="L58" s="317"/>
      <c r="M58" s="317"/>
      <c r="N58" s="317"/>
      <c r="O58" s="317"/>
      <c r="P58" s="326"/>
      <c r="Q58" s="341"/>
      <c r="R58" s="317"/>
      <c r="S58" s="317"/>
      <c r="T58" s="323"/>
      <c r="U58" s="341"/>
      <c r="V58" s="317"/>
      <c r="W58" s="317"/>
      <c r="X58" s="323"/>
      <c r="Y58" s="341"/>
      <c r="Z58" s="317"/>
      <c r="AA58" s="317"/>
      <c r="AB58" s="323"/>
      <c r="AC58" s="126"/>
      <c r="AD58" s="124"/>
      <c r="AE58" s="317"/>
      <c r="AF58" s="323"/>
      <c r="AJ58" s="731"/>
    </row>
    <row r="59" spans="1:38" s="119" customFormat="1" ht="14.25" outlineLevel="1" thickTop="1">
      <c r="A59" s="116"/>
      <c r="B59" s="371" t="s">
        <v>784</v>
      </c>
      <c r="C59" s="372"/>
      <c r="D59" s="373" t="s">
        <v>848</v>
      </c>
      <c r="E59" s="552">
        <f>BS_WTB!X148</f>
        <v>37196334598</v>
      </c>
      <c r="F59" s="553">
        <f>BS_WTB!AD148</f>
        <v>52892270023</v>
      </c>
      <c r="G59" s="376">
        <f t="shared" si="4"/>
        <v>15695935425</v>
      </c>
      <c r="H59" s="376">
        <f t="shared" si="6"/>
        <v>-2371117216</v>
      </c>
      <c r="I59" s="373" t="s">
        <v>1216</v>
      </c>
      <c r="J59" s="373">
        <v>288444000</v>
      </c>
      <c r="K59" s="373" t="s">
        <v>1579</v>
      </c>
      <c r="L59" s="373">
        <f>7136351-L100</f>
        <v>-70283314</v>
      </c>
      <c r="M59" s="373"/>
      <c r="N59" s="373"/>
      <c r="O59" s="373"/>
      <c r="P59" s="377"/>
      <c r="Q59" s="378"/>
      <c r="R59" s="373"/>
      <c r="S59" s="373"/>
      <c r="T59" s="379"/>
      <c r="U59" s="378"/>
      <c r="V59" s="373"/>
      <c r="W59" s="373"/>
      <c r="X59" s="373"/>
      <c r="Y59" s="564" t="s">
        <v>1580</v>
      </c>
      <c r="Z59" s="665">
        <f>AB21</f>
        <v>465699997</v>
      </c>
      <c r="AA59" s="380" t="s">
        <v>1230</v>
      </c>
      <c r="AB59" s="658">
        <v>18735905770</v>
      </c>
      <c r="AC59" s="380" t="s">
        <v>1324</v>
      </c>
      <c r="AD59" s="662">
        <f>3974885842</f>
        <v>3974885842</v>
      </c>
      <c r="AE59" s="373" t="s">
        <v>1325</v>
      </c>
      <c r="AF59" s="661">
        <v>4130460024</v>
      </c>
      <c r="AJ59" s="731"/>
    </row>
    <row r="60" spans="1:38" s="119" customFormat="1" outlineLevel="1">
      <c r="A60" s="116"/>
      <c r="B60" s="382" t="s">
        <v>788</v>
      </c>
      <c r="C60" s="216"/>
      <c r="D60" s="111" t="s">
        <v>847</v>
      </c>
      <c r="E60" s="112">
        <f>BS_WTB!X152</f>
        <v>-23106337825</v>
      </c>
      <c r="F60" s="115">
        <f>BS_WTB!AD152</f>
        <v>-29550334047</v>
      </c>
      <c r="G60" s="113">
        <f t="shared" si="4"/>
        <v>-6443996222</v>
      </c>
      <c r="H60" s="113">
        <f t="shared" si="6"/>
        <v>2371117216</v>
      </c>
      <c r="I60" s="117" t="s">
        <v>560</v>
      </c>
      <c r="J60" s="577">
        <f>IS_WTB!AD137</f>
        <v>7868569982</v>
      </c>
      <c r="K60" s="117"/>
      <c r="L60" s="117"/>
      <c r="M60" s="117"/>
      <c r="N60" s="117"/>
      <c r="O60" s="117"/>
      <c r="P60" s="307"/>
      <c r="Q60" s="335"/>
      <c r="R60" s="117"/>
      <c r="S60" s="117"/>
      <c r="T60" s="118"/>
      <c r="U60" s="335"/>
      <c r="V60" s="117"/>
      <c r="W60" s="117"/>
      <c r="X60" s="307"/>
      <c r="Y60" s="335" t="s">
        <v>1352</v>
      </c>
      <c r="Z60" s="654">
        <f>1697532198-77419665</f>
        <v>1620112533</v>
      </c>
      <c r="AA60" s="306" t="s">
        <v>1583</v>
      </c>
      <c r="AB60" s="118">
        <f>+Z21</f>
        <v>829143259</v>
      </c>
      <c r="AC60" s="306" t="s">
        <v>1325</v>
      </c>
      <c r="AD60" s="654">
        <f>AF59</f>
        <v>4130460024</v>
      </c>
      <c r="AE60" s="117" t="s">
        <v>1324</v>
      </c>
      <c r="AF60" s="657">
        <f>AD59</f>
        <v>3974885842</v>
      </c>
      <c r="AJ60" s="731">
        <f>AB59-Z59</f>
        <v>18270205773</v>
      </c>
      <c r="AL60" s="119">
        <f>AJ60+AK60</f>
        <v>18270205773</v>
      </c>
    </row>
    <row r="61" spans="1:38" s="119" customFormat="1" outlineLevel="1">
      <c r="A61" s="116"/>
      <c r="B61" s="382"/>
      <c r="C61" s="216"/>
      <c r="D61" s="111"/>
      <c r="E61" s="112"/>
      <c r="F61" s="115"/>
      <c r="G61" s="113"/>
      <c r="H61" s="113">
        <f t="shared" si="6"/>
        <v>0</v>
      </c>
      <c r="I61" s="117"/>
      <c r="J61" s="577"/>
      <c r="K61" s="117"/>
      <c r="L61" s="117"/>
      <c r="M61" s="117"/>
      <c r="N61" s="117"/>
      <c r="O61" s="117"/>
      <c r="P61" s="307"/>
      <c r="Q61" s="335"/>
      <c r="R61" s="117"/>
      <c r="S61" s="117"/>
      <c r="T61" s="118"/>
      <c r="U61" s="335"/>
      <c r="V61" s="117"/>
      <c r="W61" s="117"/>
      <c r="X61" s="307"/>
      <c r="Y61" s="335" t="s">
        <v>1371</v>
      </c>
      <c r="Z61" s="666">
        <f>AB73</f>
        <v>0</v>
      </c>
      <c r="AA61" s="306" t="s">
        <v>1372</v>
      </c>
      <c r="AB61" s="652">
        <v>0</v>
      </c>
      <c r="AC61" s="306"/>
      <c r="AD61" s="117"/>
      <c r="AE61" s="117"/>
      <c r="AF61" s="420"/>
      <c r="AJ61" s="731"/>
      <c r="AL61" s="119">
        <f>AJ61+AK61</f>
        <v>0</v>
      </c>
    </row>
    <row r="62" spans="1:38" s="119" customFormat="1" outlineLevel="1">
      <c r="A62" s="116"/>
      <c r="B62" s="382" t="s">
        <v>785</v>
      </c>
      <c r="C62" s="110"/>
      <c r="D62" s="111" t="s">
        <v>847</v>
      </c>
      <c r="E62" s="112">
        <f>BS_WTB!X149</f>
        <v>690397828</v>
      </c>
      <c r="F62" s="115">
        <f>BS_WTB!AD149</f>
        <v>793791347</v>
      </c>
      <c r="G62" s="113">
        <f t="shared" si="4"/>
        <v>103393519</v>
      </c>
      <c r="H62" s="113">
        <f>G62+(J62-L62+N62-P62+R62-T62+V62-X62+Z62-AB62+AD62-AF62)</f>
        <v>-32823992</v>
      </c>
      <c r="I62" s="117" t="s">
        <v>1216</v>
      </c>
      <c r="J62" s="117"/>
      <c r="K62" s="117" t="s">
        <v>1231</v>
      </c>
      <c r="L62" s="117">
        <v>1182819.0000000037</v>
      </c>
      <c r="M62" s="117"/>
      <c r="N62" s="117"/>
      <c r="O62" s="117"/>
      <c r="P62" s="307"/>
      <c r="Q62" s="335"/>
      <c r="R62" s="117"/>
      <c r="S62" s="117"/>
      <c r="T62" s="118"/>
      <c r="U62" s="335"/>
      <c r="V62" s="117"/>
      <c r="W62" s="117"/>
      <c r="X62" s="118"/>
      <c r="Y62" s="335"/>
      <c r="Z62" s="117"/>
      <c r="AA62" s="117" t="s">
        <v>1230</v>
      </c>
      <c r="AB62" s="118">
        <v>245042446</v>
      </c>
      <c r="AC62" s="306" t="s">
        <v>1351</v>
      </c>
      <c r="AD62" s="640">
        <f>AF63</f>
        <v>110007754</v>
      </c>
      <c r="AE62" s="117" t="s">
        <v>1306</v>
      </c>
      <c r="AF62" s="657"/>
    </row>
    <row r="63" spans="1:38" s="119" customFormat="1" outlineLevel="1">
      <c r="A63" s="116"/>
      <c r="B63" s="382" t="s">
        <v>789</v>
      </c>
      <c r="C63" s="110"/>
      <c r="D63" s="111" t="s">
        <v>847</v>
      </c>
      <c r="E63" s="112">
        <f>BS_WTB!X153</f>
        <v>-309800893</v>
      </c>
      <c r="F63" s="115">
        <f>BS_WTB!AD153</f>
        <v>-410470762</v>
      </c>
      <c r="G63" s="113">
        <f t="shared" si="4"/>
        <v>-100669869</v>
      </c>
      <c r="H63" s="113">
        <f t="shared" si="6"/>
        <v>32823992</v>
      </c>
      <c r="I63" s="117" t="s">
        <v>383</v>
      </c>
      <c r="J63" s="577">
        <f>IS_WTB!AD139</f>
        <v>215943230</v>
      </c>
      <c r="K63" s="117"/>
      <c r="L63" s="117"/>
      <c r="M63" s="117"/>
      <c r="N63" s="117"/>
      <c r="O63" s="117"/>
      <c r="P63" s="307"/>
      <c r="Q63" s="335"/>
      <c r="R63" s="117"/>
      <c r="S63" s="117"/>
      <c r="T63" s="118"/>
      <c r="U63" s="335"/>
      <c r="V63" s="117"/>
      <c r="W63" s="117"/>
      <c r="X63" s="118"/>
      <c r="Y63" s="335" t="s">
        <v>1352</v>
      </c>
      <c r="Z63" s="117">
        <f>32823992-5265607</f>
        <v>27558385</v>
      </c>
      <c r="AA63" s="117"/>
      <c r="AB63" s="118"/>
      <c r="AC63" s="306" t="s">
        <v>1582</v>
      </c>
      <c r="AD63" s="117"/>
      <c r="AE63" s="117" t="s">
        <v>1351</v>
      </c>
      <c r="AF63" s="729">
        <f>110007754</f>
        <v>110007754</v>
      </c>
    </row>
    <row r="64" spans="1:38" s="119" customFormat="1" outlineLevel="1">
      <c r="A64" s="116"/>
      <c r="B64" s="382" t="s">
        <v>786</v>
      </c>
      <c r="C64" s="110"/>
      <c r="D64" s="111" t="s">
        <v>847</v>
      </c>
      <c r="E64" s="112">
        <f>BS_WTB!X150</f>
        <v>161265231</v>
      </c>
      <c r="F64" s="115">
        <f>BS_WTB!AD150</f>
        <v>202856499</v>
      </c>
      <c r="G64" s="113">
        <f t="shared" si="4"/>
        <v>41591268</v>
      </c>
      <c r="H64" s="113">
        <f t="shared" si="6"/>
        <v>0</v>
      </c>
      <c r="I64" s="117"/>
      <c r="J64" s="117"/>
      <c r="K64" s="117"/>
      <c r="L64" s="117"/>
      <c r="M64" s="117"/>
      <c r="N64" s="117"/>
      <c r="O64" s="117"/>
      <c r="P64" s="307"/>
      <c r="Q64" s="335"/>
      <c r="R64" s="117"/>
      <c r="S64" s="117"/>
      <c r="T64" s="118"/>
      <c r="U64" s="335"/>
      <c r="V64" s="117"/>
      <c r="W64" s="117"/>
      <c r="X64" s="118"/>
      <c r="Y64" s="335"/>
      <c r="Z64" s="117"/>
      <c r="AA64" s="117" t="s">
        <v>871</v>
      </c>
      <c r="AB64" s="118"/>
      <c r="AC64" s="306"/>
      <c r="AD64" s="117"/>
      <c r="AE64" s="117" t="s">
        <v>1306</v>
      </c>
      <c r="AF64" s="657">
        <v>41591268</v>
      </c>
    </row>
    <row r="65" spans="1:32" s="119" customFormat="1" ht="14.25" outlineLevel="1" thickBot="1">
      <c r="A65" s="116"/>
      <c r="B65" s="383" t="s">
        <v>790</v>
      </c>
      <c r="C65" s="384"/>
      <c r="D65" s="385" t="s">
        <v>847</v>
      </c>
      <c r="E65" s="554">
        <f>BS_WTB!X154</f>
        <v>-27700308</v>
      </c>
      <c r="F65" s="555">
        <f>BS_WTB!AD154</f>
        <v>-57195269</v>
      </c>
      <c r="G65" s="434">
        <f t="shared" si="4"/>
        <v>-29494961</v>
      </c>
      <c r="H65" s="434">
        <f t="shared" si="6"/>
        <v>0</v>
      </c>
      <c r="I65" s="390" t="s">
        <v>383</v>
      </c>
      <c r="J65" s="579">
        <f>IS_WTB!AD138</f>
        <v>29494961</v>
      </c>
      <c r="K65" s="390"/>
      <c r="L65" s="390"/>
      <c r="M65" s="390"/>
      <c r="N65" s="390"/>
      <c r="O65" s="390"/>
      <c r="P65" s="391"/>
      <c r="Q65" s="393"/>
      <c r="R65" s="390"/>
      <c r="S65" s="390"/>
      <c r="T65" s="394"/>
      <c r="U65" s="393"/>
      <c r="V65" s="390"/>
      <c r="W65" s="390"/>
      <c r="X65" s="394"/>
      <c r="Y65" s="393"/>
      <c r="Z65" s="390"/>
      <c r="AA65" s="390"/>
      <c r="AB65" s="394"/>
      <c r="AC65" s="395"/>
      <c r="AD65" s="390"/>
      <c r="AE65" s="390"/>
      <c r="AF65" s="556"/>
    </row>
    <row r="66" spans="1:32" s="119" customFormat="1" ht="15" outlineLevel="1" thickTop="1" thickBot="1">
      <c r="A66" s="116"/>
      <c r="B66" s="123"/>
      <c r="C66" s="318"/>
      <c r="D66" s="124"/>
      <c r="E66" s="125"/>
      <c r="F66" s="319"/>
      <c r="G66" s="428">
        <f t="shared" si="4"/>
        <v>0</v>
      </c>
      <c r="H66" s="428">
        <f t="shared" si="6"/>
        <v>0</v>
      </c>
      <c r="I66" s="124"/>
      <c r="J66" s="124"/>
      <c r="K66" s="124"/>
      <c r="L66" s="124"/>
      <c r="M66" s="124"/>
      <c r="N66" s="124"/>
      <c r="O66" s="124"/>
      <c r="P66" s="438"/>
      <c r="Q66" s="123"/>
      <c r="R66" s="124"/>
      <c r="S66" s="124"/>
      <c r="T66" s="324"/>
      <c r="U66" s="123"/>
      <c r="V66" s="124"/>
      <c r="W66" s="124"/>
      <c r="X66" s="324"/>
      <c r="Y66" s="123"/>
      <c r="Z66" s="124"/>
      <c r="AA66" s="124"/>
      <c r="AB66" s="324"/>
      <c r="AC66" s="126"/>
      <c r="AD66" s="124"/>
      <c r="AE66" s="124"/>
      <c r="AF66" s="324"/>
    </row>
    <row r="67" spans="1:32" s="119" customFormat="1" ht="15" thickTop="1" thickBot="1">
      <c r="A67" s="116"/>
      <c r="B67" s="408" t="s">
        <v>780</v>
      </c>
      <c r="C67" s="409"/>
      <c r="D67" s="410" t="s">
        <v>847</v>
      </c>
      <c r="E67" s="411">
        <f>BS_WTB!X156</f>
        <v>0</v>
      </c>
      <c r="F67" s="412">
        <f>BS_WTB!AD156</f>
        <v>0</v>
      </c>
      <c r="G67" s="413">
        <f t="shared" si="4"/>
        <v>0</v>
      </c>
      <c r="H67" s="413">
        <f t="shared" si="6"/>
        <v>0</v>
      </c>
      <c r="I67" s="410"/>
      <c r="J67" s="410"/>
      <c r="K67" s="410"/>
      <c r="L67" s="410"/>
      <c r="M67" s="410"/>
      <c r="N67" s="410"/>
      <c r="O67" s="410"/>
      <c r="P67" s="414"/>
      <c r="Q67" s="415"/>
      <c r="R67" s="410"/>
      <c r="S67" s="410"/>
      <c r="T67" s="416"/>
      <c r="U67" s="415"/>
      <c r="V67" s="410"/>
      <c r="W67" s="410"/>
      <c r="X67" s="416"/>
      <c r="Y67" s="415" t="s">
        <v>870</v>
      </c>
      <c r="Z67" s="410"/>
      <c r="AA67" s="410" t="s">
        <v>1207</v>
      </c>
      <c r="AB67" s="416"/>
      <c r="AC67" s="417" t="s">
        <v>1094</v>
      </c>
      <c r="AD67" s="655">
        <f>AF21</f>
        <v>0</v>
      </c>
      <c r="AE67" s="410"/>
      <c r="AF67" s="418"/>
    </row>
    <row r="68" spans="1:32" s="119" customFormat="1" ht="14.25" thickTop="1">
      <c r="A68" s="116"/>
      <c r="B68" s="109" t="s">
        <v>544</v>
      </c>
      <c r="C68" s="110" t="s">
        <v>508</v>
      </c>
      <c r="D68" s="111" t="s">
        <v>513</v>
      </c>
      <c r="E68" s="112">
        <f>BS_WTB!X157</f>
        <v>26663057113</v>
      </c>
      <c r="F68" s="115">
        <f>BS_WTB!AD157</f>
        <v>63860326007</v>
      </c>
      <c r="G68" s="113">
        <f t="shared" si="4"/>
        <v>37197268894</v>
      </c>
      <c r="H68" s="113">
        <f>G68+(J68-L68+N68-P68+R68-T68+V68-X68+Z68-AB68+AD68-AF68)</f>
        <v>0</v>
      </c>
      <c r="I68" s="117" t="s">
        <v>541</v>
      </c>
      <c r="J68" s="582">
        <f>IS_WTB!AD274-J19+J70</f>
        <v>-36830173936</v>
      </c>
      <c r="K68" s="117"/>
      <c r="L68" s="117"/>
      <c r="M68" s="117" t="s">
        <v>695</v>
      </c>
      <c r="N68" s="117"/>
      <c r="O68" s="117" t="s">
        <v>576</v>
      </c>
      <c r="P68" s="307">
        <v>925204296</v>
      </c>
      <c r="Q68" s="335"/>
      <c r="R68" s="117"/>
      <c r="S68" s="117"/>
      <c r="T68" s="118"/>
      <c r="U68" s="335"/>
      <c r="V68" s="117"/>
      <c r="W68" s="117"/>
      <c r="X68" s="118"/>
      <c r="Y68" s="335" t="s">
        <v>1292</v>
      </c>
      <c r="Z68" s="117"/>
      <c r="AA68" s="113"/>
      <c r="AB68" s="129"/>
      <c r="AC68" s="325" t="s">
        <v>1290</v>
      </c>
      <c r="AD68" s="113"/>
      <c r="AE68" s="695" t="s">
        <v>331</v>
      </c>
      <c r="AF68" s="697">
        <f>ROUND((AD94+AD96)*0.242,0)+404</f>
        <v>-558109338</v>
      </c>
    </row>
    <row r="69" spans="1:32" s="119" customFormat="1">
      <c r="A69" s="122"/>
      <c r="B69" s="128"/>
      <c r="C69" s="110"/>
      <c r="D69" s="113"/>
      <c r="E69" s="113"/>
      <c r="F69" s="113"/>
      <c r="G69" s="113">
        <f t="shared" si="4"/>
        <v>0</v>
      </c>
      <c r="H69" s="113">
        <f>G69+(J69-L69+N69-P69+R69-T69+V69-X69+Z69-AB69+AD69-AF69)</f>
        <v>0</v>
      </c>
      <c r="I69" s="113"/>
      <c r="J69" s="113"/>
      <c r="K69" s="113"/>
      <c r="L69" s="113"/>
      <c r="M69" s="113"/>
      <c r="N69" s="113"/>
      <c r="O69" s="113"/>
      <c r="P69" s="316"/>
      <c r="Q69" s="128"/>
      <c r="R69" s="113"/>
      <c r="S69" s="113"/>
      <c r="T69" s="129"/>
      <c r="U69" s="128"/>
      <c r="V69" s="113"/>
      <c r="W69" s="113"/>
      <c r="X69" s="129"/>
      <c r="Y69" s="128" t="s">
        <v>1295</v>
      </c>
      <c r="Z69" s="113"/>
      <c r="AA69" s="113"/>
      <c r="AB69" s="129"/>
      <c r="AC69" s="325"/>
      <c r="AD69" s="113"/>
      <c r="AE69" s="117"/>
      <c r="AF69" s="118"/>
    </row>
    <row r="70" spans="1:32" s="119" customFormat="1" ht="14.25" thickBot="1">
      <c r="A70" s="122"/>
      <c r="B70" s="123"/>
      <c r="C70" s="110"/>
      <c r="D70" s="124"/>
      <c r="E70" s="125"/>
      <c r="F70" s="125"/>
      <c r="G70" s="130">
        <f t="shared" si="4"/>
        <v>0</v>
      </c>
      <c r="H70" s="113">
        <f>G70+(J70-L70+N70-P70+R70-T70+V70-X70+Z70-AB70+AD70-AF70)</f>
        <v>0</v>
      </c>
      <c r="I70" s="126"/>
      <c r="J70" s="126"/>
      <c r="K70" s="126"/>
      <c r="L70" s="126"/>
      <c r="M70" s="126"/>
      <c r="N70" s="126"/>
      <c r="O70" s="126"/>
      <c r="P70" s="216"/>
      <c r="Q70" s="123"/>
      <c r="R70" s="126"/>
      <c r="S70" s="126"/>
      <c r="T70" s="127"/>
      <c r="U70" s="123"/>
      <c r="V70" s="126"/>
      <c r="W70" s="126"/>
      <c r="X70" s="127"/>
      <c r="Y70" s="123" t="s">
        <v>1296</v>
      </c>
      <c r="Z70" s="126"/>
      <c r="AA70" s="126"/>
      <c r="AB70" s="127"/>
      <c r="AC70" s="126"/>
      <c r="AD70" s="126"/>
      <c r="AE70" s="126"/>
      <c r="AF70" s="127"/>
    </row>
    <row r="71" spans="1:32" ht="14.25" thickBot="1">
      <c r="B71" s="565" t="s">
        <v>303</v>
      </c>
      <c r="C71" s="566"/>
      <c r="D71" s="567"/>
      <c r="E71" s="435">
        <f t="shared" ref="E71:F71" si="8">E72+E87</f>
        <v>579249086926</v>
      </c>
      <c r="F71" s="435">
        <f t="shared" si="8"/>
        <v>588242153690</v>
      </c>
      <c r="G71" s="435">
        <f>G72+G87</f>
        <v>8993066764</v>
      </c>
      <c r="H71" s="107"/>
      <c r="I71" s="435"/>
      <c r="J71" s="435"/>
      <c r="K71" s="435"/>
      <c r="L71" s="435"/>
      <c r="M71" s="435"/>
      <c r="N71" s="435"/>
      <c r="O71" s="435"/>
      <c r="P71" s="563"/>
      <c r="Q71" s="511"/>
      <c r="R71" s="435"/>
      <c r="S71" s="435"/>
      <c r="T71" s="512"/>
      <c r="U71" s="511"/>
      <c r="V71" s="435"/>
      <c r="W71" s="435"/>
      <c r="X71" s="512"/>
      <c r="Y71" s="511"/>
      <c r="Z71" s="435"/>
      <c r="AA71" s="435"/>
      <c r="AB71" s="512"/>
      <c r="AC71" s="435"/>
      <c r="AD71" s="435"/>
      <c r="AE71" s="435"/>
      <c r="AF71" s="512"/>
    </row>
    <row r="72" spans="1:32" ht="14.25" thickBot="1">
      <c r="B72" s="565" t="s">
        <v>304</v>
      </c>
      <c r="C72" s="566"/>
      <c r="D72" s="567"/>
      <c r="E72" s="435">
        <f t="shared" ref="E72:F72" si="9">SUM(E73:E86)</f>
        <v>554679579696</v>
      </c>
      <c r="F72" s="435">
        <f t="shared" si="9"/>
        <v>556527525899</v>
      </c>
      <c r="G72" s="435">
        <f>SUM(G73:G86)</f>
        <v>1847946203</v>
      </c>
      <c r="H72" s="107"/>
      <c r="I72" s="435"/>
      <c r="J72" s="435"/>
      <c r="K72" s="435"/>
      <c r="L72" s="435"/>
      <c r="M72" s="435"/>
      <c r="N72" s="435"/>
      <c r="O72" s="435"/>
      <c r="P72" s="563"/>
      <c r="Q72" s="511"/>
      <c r="R72" s="435"/>
      <c r="S72" s="435"/>
      <c r="T72" s="512"/>
      <c r="U72" s="511"/>
      <c r="V72" s="435"/>
      <c r="W72" s="435"/>
      <c r="X72" s="512"/>
      <c r="Y72" s="511"/>
      <c r="Z72" s="435"/>
      <c r="AA72" s="435"/>
      <c r="AB72" s="512"/>
      <c r="AC72" s="435"/>
      <c r="AD72" s="435"/>
      <c r="AE72" s="435"/>
      <c r="AF72" s="512"/>
    </row>
    <row r="73" spans="1:32" s="119" customFormat="1">
      <c r="A73" s="116"/>
      <c r="B73" s="109" t="s">
        <v>165</v>
      </c>
      <c r="C73" s="110" t="s">
        <v>508</v>
      </c>
      <c r="D73" s="111" t="s">
        <v>479</v>
      </c>
      <c r="E73" s="112">
        <f>BS_WTB!X161</f>
        <v>104977868839</v>
      </c>
      <c r="F73" s="115">
        <f>BS_WTB!AD161</f>
        <v>100978997065</v>
      </c>
      <c r="G73" s="113">
        <f t="shared" ref="G73:G86" si="10">ROUND(F73-E73,)</f>
        <v>-3998871774</v>
      </c>
      <c r="H73" s="113">
        <f>G73-(J73-L73+N73-P73+R73-T73+V73-X73+Z73-AB73+AD73-AF73)</f>
        <v>334965374</v>
      </c>
      <c r="I73" s="117" t="s">
        <v>432</v>
      </c>
      <c r="J73" s="582">
        <f>IS_WTB!AD261</f>
        <v>3014080</v>
      </c>
      <c r="K73" s="117" t="s">
        <v>562</v>
      </c>
      <c r="L73" s="582">
        <f>IS_WTB!AD244</f>
        <v>236633</v>
      </c>
      <c r="M73" s="117" t="s">
        <v>577</v>
      </c>
      <c r="N73" s="117"/>
      <c r="O73" s="117" t="s">
        <v>891</v>
      </c>
      <c r="P73" s="307">
        <v>4823130195</v>
      </c>
      <c r="Q73" s="335"/>
      <c r="R73" s="117"/>
      <c r="S73" s="117"/>
      <c r="T73" s="118"/>
      <c r="U73" s="335"/>
      <c r="V73" s="117"/>
      <c r="W73" s="117"/>
      <c r="X73" s="118"/>
      <c r="Y73" s="335" t="s">
        <v>548</v>
      </c>
      <c r="Z73" s="654">
        <f>AB46+AB50+AB56+AB57</f>
        <v>486515600</v>
      </c>
      <c r="AA73" s="117" t="s">
        <v>1371</v>
      </c>
      <c r="AB73" s="652">
        <v>0</v>
      </c>
      <c r="AC73" s="618" t="s">
        <v>1323</v>
      </c>
      <c r="AD73" s="619"/>
      <c r="AE73" s="306"/>
      <c r="AF73" s="118"/>
    </row>
    <row r="74" spans="1:32" s="119" customFormat="1">
      <c r="A74" s="116"/>
      <c r="B74" s="109"/>
      <c r="C74" s="110"/>
      <c r="D74" s="111"/>
      <c r="E74" s="112"/>
      <c r="F74" s="115"/>
      <c r="G74" s="113"/>
      <c r="H74" s="113">
        <f t="shared" ref="H74:H86" si="11">G74-(J74-L74+N74-P74+R74-T74+V74-X74+Z74-AB74+AD74-AF74)</f>
        <v>-334965374</v>
      </c>
      <c r="I74" s="117" t="s">
        <v>1162</v>
      </c>
      <c r="J74" s="117">
        <v>334965374</v>
      </c>
      <c r="K74" s="117"/>
      <c r="L74" s="117"/>
      <c r="M74" s="117"/>
      <c r="N74" s="117"/>
      <c r="O74" s="117" t="s">
        <v>1135</v>
      </c>
      <c r="P74" s="118"/>
      <c r="Q74" s="335"/>
      <c r="R74" s="117"/>
      <c r="S74" s="117"/>
      <c r="T74" s="118"/>
      <c r="U74" s="335"/>
      <c r="V74" s="117"/>
      <c r="W74" s="117" t="s">
        <v>890</v>
      </c>
      <c r="X74" s="118"/>
      <c r="Y74" s="335"/>
      <c r="Z74" s="117"/>
      <c r="AA74" s="117" t="s">
        <v>1560</v>
      </c>
      <c r="AB74" s="118">
        <f>$Z$112</f>
        <v>0</v>
      </c>
      <c r="AC74" s="328"/>
      <c r="AD74" s="111"/>
      <c r="AE74" s="117"/>
      <c r="AF74" s="118"/>
    </row>
    <row r="75" spans="1:32">
      <c r="B75" s="109" t="s">
        <v>306</v>
      </c>
      <c r="C75" s="110" t="s">
        <v>508</v>
      </c>
      <c r="D75" s="111" t="s">
        <v>513</v>
      </c>
      <c r="E75" s="112">
        <f>BS_WTB!X173</f>
        <v>0</v>
      </c>
      <c r="F75" s="115">
        <f>BS_WTB!AD173</f>
        <v>0</v>
      </c>
      <c r="G75" s="113">
        <f t="shared" si="10"/>
        <v>0</v>
      </c>
      <c r="H75" s="113">
        <f t="shared" si="11"/>
        <v>0</v>
      </c>
      <c r="I75" s="117"/>
      <c r="J75" s="117"/>
      <c r="K75" s="117"/>
      <c r="L75" s="117"/>
      <c r="M75" s="117"/>
      <c r="N75" s="117"/>
      <c r="O75" s="117"/>
      <c r="P75" s="118"/>
      <c r="Q75" s="335"/>
      <c r="R75" s="117"/>
      <c r="S75" s="117"/>
      <c r="T75" s="118"/>
      <c r="U75" s="335"/>
      <c r="V75" s="117"/>
      <c r="W75" s="117"/>
      <c r="X75" s="118"/>
      <c r="Y75" s="335"/>
      <c r="Z75" s="117"/>
      <c r="AA75" s="117"/>
      <c r="AB75" s="118"/>
      <c r="AC75" s="306"/>
      <c r="AD75" s="111"/>
      <c r="AE75" s="117"/>
      <c r="AF75" s="118"/>
    </row>
    <row r="76" spans="1:32" s="119" customFormat="1">
      <c r="A76" s="116"/>
      <c r="B76" s="109" t="s">
        <v>160</v>
      </c>
      <c r="C76" s="110" t="s">
        <v>508</v>
      </c>
      <c r="D76" s="111" t="s">
        <v>545</v>
      </c>
      <c r="E76" s="112">
        <f>BS_WTB!X175</f>
        <v>32165358786</v>
      </c>
      <c r="F76" s="115">
        <f>BS_WTB!AD175</f>
        <v>33765791394</v>
      </c>
      <c r="G76" s="113">
        <f t="shared" si="10"/>
        <v>1600432608</v>
      </c>
      <c r="H76" s="113">
        <f t="shared" si="11"/>
        <v>-120882</v>
      </c>
      <c r="I76" s="117" t="s">
        <v>425</v>
      </c>
      <c r="J76" s="117">
        <v>120882</v>
      </c>
      <c r="K76" s="117"/>
      <c r="L76" s="117"/>
      <c r="M76" s="117" t="s">
        <v>578</v>
      </c>
      <c r="N76" s="117">
        <v>1600432608</v>
      </c>
      <c r="O76" s="117" t="s">
        <v>869</v>
      </c>
      <c r="P76" s="118"/>
      <c r="Q76" s="335"/>
      <c r="R76" s="117"/>
      <c r="S76" s="117"/>
      <c r="T76" s="118"/>
      <c r="U76" s="335"/>
      <c r="V76" s="117"/>
      <c r="W76" s="117"/>
      <c r="X76" s="118"/>
      <c r="Y76" s="335"/>
      <c r="Z76" s="117"/>
      <c r="AA76" s="117" t="s">
        <v>1326</v>
      </c>
      <c r="AB76" s="652"/>
      <c r="AC76" s="306"/>
      <c r="AD76" s="117"/>
      <c r="AE76" s="117"/>
      <c r="AF76" s="118"/>
    </row>
    <row r="77" spans="1:32" s="119" customFormat="1">
      <c r="A77" s="116"/>
      <c r="B77" s="109"/>
      <c r="C77" s="110"/>
      <c r="D77" s="111"/>
      <c r="E77" s="112"/>
      <c r="F77" s="115"/>
      <c r="G77" s="113"/>
      <c r="H77" s="113">
        <f>G77-(J77-L77+N77-P77+R77-T77+V77-X77+Z77-AB77+AD77-AF77)</f>
        <v>120882</v>
      </c>
      <c r="I77" s="117"/>
      <c r="J77" s="117"/>
      <c r="K77" s="117"/>
      <c r="L77" s="117"/>
      <c r="M77" s="117"/>
      <c r="N77" s="117"/>
      <c r="O77" s="117" t="s">
        <v>1203</v>
      </c>
      <c r="P77" s="118">
        <f>J76</f>
        <v>120882</v>
      </c>
      <c r="Q77" s="335"/>
      <c r="R77" s="117"/>
      <c r="S77" s="117"/>
      <c r="T77" s="118"/>
      <c r="U77" s="335"/>
      <c r="V77" s="117"/>
      <c r="W77" s="117"/>
      <c r="X77" s="118"/>
      <c r="Y77" s="335"/>
      <c r="Z77" s="117"/>
      <c r="AA77" s="117"/>
      <c r="AB77" s="118"/>
      <c r="AC77" s="306"/>
      <c r="AD77" s="117"/>
      <c r="AE77" s="117"/>
      <c r="AF77" s="118"/>
    </row>
    <row r="78" spans="1:32" s="119" customFormat="1">
      <c r="A78" s="116"/>
      <c r="B78" s="109" t="s">
        <v>157</v>
      </c>
      <c r="C78" s="110" t="s">
        <v>508</v>
      </c>
      <c r="D78" s="111" t="s">
        <v>480</v>
      </c>
      <c r="E78" s="112">
        <f>BS_WTB!X181</f>
        <v>393967987573</v>
      </c>
      <c r="F78" s="115">
        <f>BS_WTB!AD181</f>
        <v>398917214066</v>
      </c>
      <c r="G78" s="113">
        <f t="shared" si="10"/>
        <v>4949226493</v>
      </c>
      <c r="H78" s="113">
        <f t="shared" si="11"/>
        <v>0</v>
      </c>
      <c r="I78" s="117"/>
      <c r="J78" s="117"/>
      <c r="K78" s="117"/>
      <c r="L78" s="117"/>
      <c r="M78" s="117" t="s">
        <v>693</v>
      </c>
      <c r="N78" s="117">
        <v>4949226493</v>
      </c>
      <c r="O78" s="117" t="s">
        <v>587</v>
      </c>
      <c r="P78" s="118"/>
      <c r="Q78" s="335"/>
      <c r="R78" s="117"/>
      <c r="S78" s="117"/>
      <c r="T78" s="118"/>
      <c r="U78" s="335"/>
      <c r="V78" s="117"/>
      <c r="W78" s="117"/>
      <c r="X78" s="118"/>
      <c r="Y78" s="335"/>
      <c r="Z78" s="117"/>
      <c r="AA78" s="117"/>
      <c r="AB78" s="118"/>
      <c r="AC78" s="306"/>
      <c r="AD78" s="117"/>
      <c r="AE78" s="117"/>
      <c r="AF78" s="118"/>
    </row>
    <row r="79" spans="1:32">
      <c r="B79" s="109" t="s">
        <v>139</v>
      </c>
      <c r="C79" s="110" t="s">
        <v>508</v>
      </c>
      <c r="D79" s="111"/>
      <c r="E79" s="112">
        <f>BS_WTB!X217</f>
        <v>6266882543</v>
      </c>
      <c r="F79" s="115">
        <f>BS_WTB!AD217</f>
        <v>3468970144</v>
      </c>
      <c r="G79" s="113">
        <f t="shared" si="10"/>
        <v>-2797912399</v>
      </c>
      <c r="H79" s="113">
        <f t="shared" si="11"/>
        <v>0</v>
      </c>
      <c r="I79" s="117"/>
      <c r="J79" s="117"/>
      <c r="K79" s="117"/>
      <c r="L79" s="117"/>
      <c r="M79" s="611" t="s">
        <v>1355</v>
      </c>
      <c r="N79" s="117"/>
      <c r="O79" s="611" t="s">
        <v>1561</v>
      </c>
      <c r="P79" s="118">
        <v>2797912399</v>
      </c>
      <c r="Q79" s="335"/>
      <c r="R79" s="117"/>
      <c r="S79" s="117"/>
      <c r="T79" s="118"/>
      <c r="U79" s="335"/>
      <c r="V79" s="117"/>
      <c r="W79" s="117"/>
      <c r="X79" s="118"/>
      <c r="Y79" s="335"/>
      <c r="Z79" s="117"/>
      <c r="AA79" s="117"/>
      <c r="AB79" s="118"/>
      <c r="AC79" s="306"/>
      <c r="AD79" s="117"/>
      <c r="AE79" s="117"/>
      <c r="AF79" s="118"/>
    </row>
    <row r="80" spans="1:32">
      <c r="B80" s="109" t="s">
        <v>136</v>
      </c>
      <c r="C80" s="110" t="s">
        <v>508</v>
      </c>
      <c r="D80" s="111"/>
      <c r="E80" s="112">
        <f>BS_WTB!X220</f>
        <v>0</v>
      </c>
      <c r="F80" s="115">
        <f>BS_WTB!AD220</f>
        <v>0</v>
      </c>
      <c r="G80" s="113">
        <f t="shared" si="10"/>
        <v>0</v>
      </c>
      <c r="H80" s="113">
        <f t="shared" si="11"/>
        <v>0</v>
      </c>
      <c r="I80" s="117"/>
      <c r="J80" s="117"/>
      <c r="K80" s="117"/>
      <c r="L80" s="117"/>
      <c r="M80" s="117"/>
      <c r="N80" s="117"/>
      <c r="O80" s="117"/>
      <c r="P80" s="118"/>
      <c r="Q80" s="335"/>
      <c r="R80" s="117"/>
      <c r="S80" s="117"/>
      <c r="T80" s="118"/>
      <c r="U80" s="335"/>
      <c r="V80" s="117"/>
      <c r="W80" s="117"/>
      <c r="X80" s="118"/>
      <c r="Y80" s="335"/>
      <c r="Z80" s="117"/>
      <c r="AA80" s="117"/>
      <c r="AB80" s="118"/>
      <c r="AC80" s="306"/>
      <c r="AD80" s="117"/>
      <c r="AE80" s="117"/>
      <c r="AF80" s="118"/>
    </row>
    <row r="81" spans="1:32" s="119" customFormat="1">
      <c r="A81" s="116"/>
      <c r="B81" s="109" t="s">
        <v>131</v>
      </c>
      <c r="C81" s="110" t="s">
        <v>508</v>
      </c>
      <c r="D81" s="111"/>
      <c r="E81" s="112">
        <f>BS_WTB!X231</f>
        <v>852655984</v>
      </c>
      <c r="F81" s="115">
        <f>BS_WTB!AD231</f>
        <v>1253822743</v>
      </c>
      <c r="G81" s="113">
        <f t="shared" si="10"/>
        <v>401166759</v>
      </c>
      <c r="H81" s="113">
        <f t="shared" si="11"/>
        <v>0</v>
      </c>
      <c r="I81" s="117"/>
      <c r="J81" s="117"/>
      <c r="K81" s="117"/>
      <c r="L81" s="307"/>
      <c r="M81" s="117" t="s">
        <v>887</v>
      </c>
      <c r="N81" s="117">
        <v>401166759</v>
      </c>
      <c r="O81" s="306" t="s">
        <v>1157</v>
      </c>
      <c r="P81" s="307"/>
      <c r="Q81" s="335"/>
      <c r="R81" s="117"/>
      <c r="S81" s="117"/>
      <c r="T81" s="118"/>
      <c r="U81" s="335"/>
      <c r="V81" s="117"/>
      <c r="W81" s="117"/>
      <c r="X81" s="118"/>
      <c r="Y81" s="335"/>
      <c r="Z81" s="117"/>
      <c r="AA81" s="117"/>
      <c r="AB81" s="118"/>
      <c r="AC81" s="306"/>
      <c r="AD81" s="117"/>
      <c r="AE81" s="117"/>
      <c r="AF81" s="118"/>
    </row>
    <row r="82" spans="1:32" s="119" customFormat="1">
      <c r="A82" s="116"/>
      <c r="B82" s="109" t="s">
        <v>127</v>
      </c>
      <c r="C82" s="110" t="s">
        <v>508</v>
      </c>
      <c r="D82" s="111"/>
      <c r="E82" s="112">
        <f>BS_WTB!X235</f>
        <v>110323897</v>
      </c>
      <c r="F82" s="115">
        <f>BS_WTB!AD235</f>
        <v>136661033</v>
      </c>
      <c r="G82" s="113">
        <f t="shared" si="10"/>
        <v>26337136</v>
      </c>
      <c r="H82" s="113">
        <f t="shared" si="11"/>
        <v>0</v>
      </c>
      <c r="I82" s="117"/>
      <c r="J82" s="117"/>
      <c r="K82" s="117"/>
      <c r="L82" s="307"/>
      <c r="M82" s="317" t="s">
        <v>873</v>
      </c>
      <c r="N82" s="317">
        <v>26337136</v>
      </c>
      <c r="O82" s="306" t="s">
        <v>1328</v>
      </c>
      <c r="P82" s="307"/>
      <c r="Q82" s="335"/>
      <c r="R82" s="117"/>
      <c r="S82" s="117"/>
      <c r="T82" s="118"/>
      <c r="U82" s="335"/>
      <c r="V82" s="117"/>
      <c r="W82" s="117"/>
      <c r="X82" s="118"/>
      <c r="Y82" s="335"/>
      <c r="Z82" s="117"/>
      <c r="AA82" s="117"/>
      <c r="AB82" s="118"/>
      <c r="AC82" s="306"/>
      <c r="AD82" s="117"/>
      <c r="AE82" s="117"/>
      <c r="AF82" s="118"/>
    </row>
    <row r="83" spans="1:32" ht="14.25" thickBot="1">
      <c r="B83" s="123" t="s">
        <v>1129</v>
      </c>
      <c r="C83" s="318"/>
      <c r="D83" s="124"/>
      <c r="E83" s="125">
        <f>BS_WTB!X229</f>
        <v>931395381</v>
      </c>
      <c r="F83" s="319">
        <f>BS_WTB!AD229</f>
        <v>931395381</v>
      </c>
      <c r="G83" s="320">
        <f t="shared" ref="G83" si="12">ROUND(F83-E83,)</f>
        <v>0</v>
      </c>
      <c r="H83" s="320">
        <f t="shared" ref="H83" si="13">G83-(J83-L83+N83-P83+R83-T83+V83-X83+Z83-AB83+AD83-AF83)</f>
        <v>0</v>
      </c>
      <c r="I83" s="317"/>
      <c r="J83" s="317"/>
      <c r="K83" s="317"/>
      <c r="L83" s="317"/>
      <c r="M83" s="647" t="s">
        <v>1297</v>
      </c>
      <c r="N83" s="647"/>
      <c r="O83" s="647" t="s">
        <v>1327</v>
      </c>
      <c r="P83" s="648">
        <v>0</v>
      </c>
      <c r="Q83" s="341"/>
      <c r="R83" s="317"/>
      <c r="S83" s="317"/>
      <c r="T83" s="323"/>
      <c r="U83" s="341"/>
      <c r="V83" s="317"/>
      <c r="W83" s="317"/>
      <c r="X83" s="323"/>
      <c r="Y83" s="341" t="s">
        <v>1127</v>
      </c>
      <c r="Z83" s="317">
        <v>0</v>
      </c>
      <c r="AA83" s="317"/>
      <c r="AB83" s="323"/>
      <c r="AC83" s="322"/>
      <c r="AD83" s="317"/>
      <c r="AE83" s="317"/>
      <c r="AF83" s="323"/>
    </row>
    <row r="84" spans="1:32" s="119" customFormat="1" ht="15" thickTop="1" thickBot="1">
      <c r="A84" s="116"/>
      <c r="B84" s="408" t="s">
        <v>797</v>
      </c>
      <c r="C84" s="409"/>
      <c r="D84" s="410" t="s">
        <v>849</v>
      </c>
      <c r="E84" s="411">
        <f>BS_WTB!X241</f>
        <v>11582857466</v>
      </c>
      <c r="F84" s="412">
        <f>BS_WTB!AD241</f>
        <v>13250424846</v>
      </c>
      <c r="G84" s="413">
        <f t="shared" ref="G84" si="14">ROUND(F84-E84,)</f>
        <v>1667567380</v>
      </c>
      <c r="H84" s="413">
        <f>G84-(J84-L84+N84-P84+R84-T84+V84-X84+Z84-AB84+AD84-AF84)</f>
        <v>0</v>
      </c>
      <c r="I84" s="410" t="s">
        <v>425</v>
      </c>
      <c r="J84" s="580">
        <f>IS_WTB!AD251</f>
        <v>501304155</v>
      </c>
      <c r="K84" s="410"/>
      <c r="L84" s="410"/>
      <c r="M84" s="410"/>
      <c r="N84" s="410"/>
      <c r="O84" s="410"/>
      <c r="P84" s="414"/>
      <c r="Q84" s="415"/>
      <c r="R84" s="410"/>
      <c r="S84" s="410"/>
      <c r="T84" s="416"/>
      <c r="U84" s="415" t="s">
        <v>1191</v>
      </c>
      <c r="V84" s="410"/>
      <c r="W84" s="410" t="s">
        <v>901</v>
      </c>
      <c r="X84" s="416">
        <v>11744713730</v>
      </c>
      <c r="Y84" s="415" t="s">
        <v>872</v>
      </c>
      <c r="Z84" s="655">
        <f>AB90</f>
        <v>12910976955</v>
      </c>
      <c r="AA84" s="417"/>
      <c r="AB84" s="416"/>
      <c r="AC84" s="417" t="s">
        <v>1208</v>
      </c>
      <c r="AD84" s="728"/>
      <c r="AE84" s="410" t="s">
        <v>1351</v>
      </c>
      <c r="AF84" s="730"/>
    </row>
    <row r="85" spans="1:32" ht="14.25" outlineLevel="1" thickTop="1">
      <c r="B85" s="109" t="s">
        <v>1359</v>
      </c>
      <c r="C85" s="110" t="s">
        <v>1185</v>
      </c>
      <c r="D85" s="111"/>
      <c r="E85" s="112">
        <f>BS_WTB!X243</f>
        <v>3824249227</v>
      </c>
      <c r="F85" s="115">
        <f>BS_WTB!AD243</f>
        <v>3824249227</v>
      </c>
      <c r="G85" s="321">
        <f t="shared" ref="G85" si="15">ROUND(F85-E85,)</f>
        <v>0</v>
      </c>
      <c r="H85" s="321">
        <f>G85-(J85-L85+N85-P85+R85-T85+V85-X85+Z85-AB85+AD85-AF85)</f>
        <v>0</v>
      </c>
      <c r="I85" s="111"/>
      <c r="J85" s="111"/>
      <c r="K85" s="111"/>
      <c r="L85" s="111"/>
      <c r="M85" s="111"/>
      <c r="N85" s="111"/>
      <c r="O85" s="111"/>
      <c r="P85" s="327"/>
      <c r="Q85" s="109"/>
      <c r="R85" s="111"/>
      <c r="S85" s="111"/>
      <c r="T85" s="329"/>
      <c r="U85" s="109"/>
      <c r="V85" s="111"/>
      <c r="W85" s="111"/>
      <c r="X85" s="329"/>
      <c r="Y85" s="109"/>
      <c r="Z85" s="111"/>
      <c r="AA85" s="111"/>
      <c r="AB85" s="329"/>
      <c r="AC85" s="328" t="s">
        <v>1367</v>
      </c>
      <c r="AD85" s="653">
        <f>+AF98</f>
        <v>0</v>
      </c>
      <c r="AE85" s="111"/>
      <c r="AF85" s="329"/>
    </row>
    <row r="86" spans="1:32" ht="14.25" outlineLevel="1" thickBot="1">
      <c r="B86" s="109" t="s">
        <v>316</v>
      </c>
      <c r="C86" s="110" t="s">
        <v>508</v>
      </c>
      <c r="D86" s="111"/>
      <c r="E86" s="112">
        <f>BS_WTB!X244</f>
        <v>0</v>
      </c>
      <c r="F86" s="115">
        <f>BS_WTB!AD244</f>
        <v>0</v>
      </c>
      <c r="G86" s="113">
        <f t="shared" si="10"/>
        <v>0</v>
      </c>
      <c r="H86" s="113">
        <f t="shared" si="11"/>
        <v>0</v>
      </c>
      <c r="I86" s="117"/>
      <c r="J86" s="117"/>
      <c r="K86" s="117"/>
      <c r="L86" s="117"/>
      <c r="M86" s="117"/>
      <c r="N86" s="117"/>
      <c r="O86" s="117"/>
      <c r="P86" s="307"/>
      <c r="Q86" s="335"/>
      <c r="R86" s="117"/>
      <c r="S86" s="117"/>
      <c r="T86" s="118"/>
      <c r="U86" s="335"/>
      <c r="V86" s="117"/>
      <c r="W86" s="117"/>
      <c r="X86" s="118"/>
      <c r="Y86" s="335"/>
      <c r="Z86" s="117"/>
      <c r="AA86" s="117"/>
      <c r="AB86" s="118"/>
      <c r="AC86" s="306"/>
      <c r="AD86" s="117"/>
      <c r="AE86" s="117"/>
      <c r="AF86" s="118"/>
    </row>
    <row r="87" spans="1:32" ht="14.25" outlineLevel="1" thickBot="1">
      <c r="B87" s="565" t="s">
        <v>319</v>
      </c>
      <c r="C87" s="566"/>
      <c r="D87" s="567"/>
      <c r="E87" s="435">
        <f>SUM(E88:E100)</f>
        <v>24569507230</v>
      </c>
      <c r="F87" s="435">
        <f>SUM(F88:F100)</f>
        <v>31714627791</v>
      </c>
      <c r="G87" s="435">
        <f>SUM(G88:G100)</f>
        <v>7145120561</v>
      </c>
      <c r="H87" s="107"/>
      <c r="I87" s="435"/>
      <c r="J87" s="435"/>
      <c r="K87" s="435"/>
      <c r="L87" s="435"/>
      <c r="M87" s="435"/>
      <c r="N87" s="435"/>
      <c r="O87" s="435"/>
      <c r="P87" s="435"/>
      <c r="Q87" s="511"/>
      <c r="R87" s="435"/>
      <c r="S87" s="435"/>
      <c r="T87" s="512"/>
      <c r="U87" s="511"/>
      <c r="V87" s="435"/>
      <c r="W87" s="435"/>
      <c r="X87" s="512"/>
      <c r="Y87" s="511"/>
      <c r="Z87" s="435"/>
      <c r="AA87" s="435"/>
      <c r="AB87" s="512"/>
      <c r="AC87" s="435"/>
      <c r="AD87" s="435"/>
      <c r="AE87" s="435"/>
      <c r="AF87" s="512"/>
    </row>
    <row r="88" spans="1:32" outlineLevel="1">
      <c r="B88" s="109" t="s">
        <v>126</v>
      </c>
      <c r="C88" s="110" t="s">
        <v>508</v>
      </c>
      <c r="D88" s="111"/>
      <c r="E88" s="112">
        <f>BS_WTB!X247</f>
        <v>2696938658</v>
      </c>
      <c r="F88" s="115">
        <f>BS_WTB!AD247</f>
        <v>2590942602</v>
      </c>
      <c r="G88" s="113">
        <f t="shared" ref="G88:G100" si="16">ROUND(F88-E88,)</f>
        <v>-105996056</v>
      </c>
      <c r="H88" s="113">
        <f>G88-(J88-L88+N88-P88+R88-T88+V88-X88+Z88-AB88+AD88-AF88)</f>
        <v>0</v>
      </c>
      <c r="I88" s="117"/>
      <c r="J88" s="117"/>
      <c r="K88" s="117"/>
      <c r="L88" s="307"/>
      <c r="M88" s="111" t="s">
        <v>579</v>
      </c>
      <c r="N88" s="111"/>
      <c r="O88" s="111" t="s">
        <v>866</v>
      </c>
      <c r="P88" s="327">
        <v>105996056</v>
      </c>
      <c r="Q88" s="335"/>
      <c r="R88" s="117"/>
      <c r="S88" s="117"/>
      <c r="T88" s="118"/>
      <c r="U88" s="335"/>
      <c r="V88" s="117"/>
      <c r="W88" s="117"/>
      <c r="X88" s="118"/>
      <c r="Y88" s="335"/>
      <c r="Z88" s="117"/>
      <c r="AA88" s="317"/>
      <c r="AB88" s="323"/>
      <c r="AC88" s="306"/>
      <c r="AD88" s="117"/>
      <c r="AE88" s="117"/>
      <c r="AF88" s="118"/>
    </row>
    <row r="89" spans="1:32" ht="14.25" outlineLevel="1" thickBot="1">
      <c r="B89" s="123"/>
      <c r="C89" s="318"/>
      <c r="D89" s="124"/>
      <c r="E89" s="125"/>
      <c r="F89" s="319"/>
      <c r="G89" s="320"/>
      <c r="H89" s="320">
        <f t="shared" ref="H89:H100" si="17">G89-(J89-L89+N89-P89+R89-T89+V89-X89+Z89-AB89+AD89-AF89)</f>
        <v>0</v>
      </c>
      <c r="I89" s="317"/>
      <c r="J89" s="317"/>
      <c r="K89" s="317"/>
      <c r="L89" s="317"/>
      <c r="M89" s="124"/>
      <c r="N89" s="124"/>
      <c r="O89" s="124"/>
      <c r="P89" s="438"/>
      <c r="Q89" s="341"/>
      <c r="R89" s="317"/>
      <c r="S89" s="317"/>
      <c r="T89" s="323"/>
      <c r="U89" s="341"/>
      <c r="V89" s="317"/>
      <c r="W89" s="317"/>
      <c r="X89" s="323"/>
      <c r="Y89" s="341"/>
      <c r="Z89" s="317"/>
      <c r="AA89" s="317"/>
      <c r="AB89" s="323"/>
      <c r="AC89" s="322"/>
      <c r="AD89" s="317"/>
      <c r="AE89" s="317"/>
      <c r="AF89" s="323"/>
    </row>
    <row r="90" spans="1:32" s="119" customFormat="1" ht="15" thickTop="1" thickBot="1">
      <c r="A90" s="116"/>
      <c r="B90" s="408" t="s">
        <v>799</v>
      </c>
      <c r="C90" s="409"/>
      <c r="D90" s="410" t="s">
        <v>850</v>
      </c>
      <c r="E90" s="411">
        <f>BS_WTB!X251</f>
        <v>7413753254</v>
      </c>
      <c r="F90" s="412">
        <f>BS_WTB!AD251</f>
        <v>11877025200</v>
      </c>
      <c r="G90" s="413">
        <f t="shared" ref="G90" si="18">ROUND(F90-E90,)</f>
        <v>4463271946</v>
      </c>
      <c r="H90" s="413">
        <f t="shared" si="17"/>
        <v>0</v>
      </c>
      <c r="I90" s="410" t="s">
        <v>1216</v>
      </c>
      <c r="J90" s="410"/>
      <c r="K90" s="410" t="s">
        <v>1231</v>
      </c>
      <c r="L90" s="410">
        <v>619664.99999999627</v>
      </c>
      <c r="M90" s="410"/>
      <c r="N90" s="410"/>
      <c r="O90" s="410"/>
      <c r="P90" s="414"/>
      <c r="Q90" s="415"/>
      <c r="R90" s="410"/>
      <c r="S90" s="410"/>
      <c r="T90" s="416"/>
      <c r="U90" s="415"/>
      <c r="V90" s="410"/>
      <c r="W90" s="410"/>
      <c r="X90" s="416"/>
      <c r="Y90" s="415"/>
      <c r="Z90" s="410"/>
      <c r="AA90" s="410" t="s">
        <v>872</v>
      </c>
      <c r="AB90" s="656">
        <v>12910976955</v>
      </c>
      <c r="AC90" s="417" t="s">
        <v>1208</v>
      </c>
      <c r="AD90" s="655">
        <f>AB59+AB62+AF64-AD84</f>
        <v>19022539484</v>
      </c>
      <c r="AE90" s="410" t="s">
        <v>1352</v>
      </c>
      <c r="AF90" s="730">
        <f>Z60+Z63</f>
        <v>1647670918</v>
      </c>
    </row>
    <row r="91" spans="1:32" ht="14.25" thickTop="1">
      <c r="B91" s="109"/>
      <c r="C91" s="110"/>
      <c r="D91" s="111"/>
      <c r="E91" s="112"/>
      <c r="F91" s="115"/>
      <c r="G91" s="321"/>
      <c r="H91" s="321"/>
      <c r="I91" s="111"/>
      <c r="J91" s="111"/>
      <c r="K91" s="111"/>
      <c r="L91" s="111"/>
      <c r="M91" s="111"/>
      <c r="N91" s="111"/>
      <c r="O91" s="111"/>
      <c r="P91" s="327"/>
      <c r="Q91" s="109"/>
      <c r="R91" s="111"/>
      <c r="S91" s="111"/>
      <c r="T91" s="329"/>
      <c r="U91" s="109"/>
      <c r="V91" s="111"/>
      <c r="W91" s="111"/>
      <c r="X91" s="329"/>
      <c r="Y91" s="109"/>
      <c r="Z91" s="111"/>
      <c r="AA91" s="111"/>
      <c r="AB91" s="329"/>
      <c r="AC91" s="328"/>
      <c r="AD91" s="111"/>
      <c r="AE91" s="111"/>
      <c r="AF91" s="329"/>
    </row>
    <row r="92" spans="1:32">
      <c r="B92" s="109" t="s">
        <v>292</v>
      </c>
      <c r="C92" s="110" t="s">
        <v>508</v>
      </c>
      <c r="D92" s="111"/>
      <c r="E92" s="112">
        <f>BS_WTB!X252</f>
        <v>0</v>
      </c>
      <c r="F92" s="115">
        <f>BS_WTB!AD252</f>
        <v>0</v>
      </c>
      <c r="G92" s="113">
        <f t="shared" si="16"/>
        <v>0</v>
      </c>
      <c r="H92" s="113">
        <f t="shared" si="17"/>
        <v>0</v>
      </c>
      <c r="I92" s="117"/>
      <c r="J92" s="117"/>
      <c r="K92" s="117"/>
      <c r="L92" s="117"/>
      <c r="M92" s="117" t="s">
        <v>696</v>
      </c>
      <c r="N92" s="117"/>
      <c r="O92" s="317" t="s">
        <v>1233</v>
      </c>
      <c r="P92" s="326"/>
      <c r="Q92" s="335"/>
      <c r="R92" s="117"/>
      <c r="S92" s="117"/>
      <c r="T92" s="118"/>
      <c r="U92" s="335"/>
      <c r="V92" s="117"/>
      <c r="W92" s="117"/>
      <c r="X92" s="118"/>
      <c r="Y92" s="335"/>
      <c r="Z92" s="117"/>
      <c r="AA92" s="117" t="s">
        <v>1128</v>
      </c>
      <c r="AB92" s="118">
        <f>+Z83</f>
        <v>0</v>
      </c>
      <c r="AC92" s="306"/>
      <c r="AD92" s="117"/>
      <c r="AE92" s="117"/>
      <c r="AF92" s="118"/>
    </row>
    <row r="93" spans="1:32" s="119" customFormat="1">
      <c r="A93" s="116"/>
      <c r="B93" s="109" t="s">
        <v>122</v>
      </c>
      <c r="C93" s="110" t="s">
        <v>592</v>
      </c>
      <c r="D93" s="111"/>
      <c r="E93" s="112">
        <f>BS_WTB!X255</f>
        <v>42617454219</v>
      </c>
      <c r="F93" s="115">
        <f>BS_WTB!AD255</f>
        <v>40905215807</v>
      </c>
      <c r="G93" s="113">
        <f t="shared" si="16"/>
        <v>-1712238412</v>
      </c>
      <c r="H93" s="113">
        <f t="shared" si="17"/>
        <v>-2655232266</v>
      </c>
      <c r="I93" s="117" t="s">
        <v>87</v>
      </c>
      <c r="J93" s="117">
        <f>4972795713+772396581</f>
        <v>5745192294</v>
      </c>
      <c r="K93" s="117"/>
      <c r="L93" s="117"/>
      <c r="M93" s="117"/>
      <c r="N93" s="307"/>
      <c r="O93" s="640" t="s">
        <v>1135</v>
      </c>
      <c r="P93" s="307">
        <f>4802198440-P74</f>
        <v>4802198440</v>
      </c>
      <c r="Q93" s="335"/>
      <c r="R93" s="117"/>
      <c r="S93" s="117"/>
      <c r="T93" s="118"/>
      <c r="U93" s="335"/>
      <c r="V93" s="117"/>
      <c r="W93" s="117"/>
      <c r="X93" s="118"/>
      <c r="Y93" s="335"/>
      <c r="Z93" s="117"/>
      <c r="AA93" s="117"/>
      <c r="AB93" s="329"/>
      <c r="AC93" s="306"/>
      <c r="AD93" s="117"/>
      <c r="AE93" s="117"/>
      <c r="AF93" s="118"/>
    </row>
    <row r="94" spans="1:32" s="119" customFormat="1">
      <c r="A94" s="116"/>
      <c r="B94" s="109"/>
      <c r="C94" s="110"/>
      <c r="D94" s="111"/>
      <c r="E94" s="112"/>
      <c r="F94" s="115"/>
      <c r="G94" s="113"/>
      <c r="H94" s="113">
        <f t="shared" si="17"/>
        <v>2655232266</v>
      </c>
      <c r="I94" s="117"/>
      <c r="J94" s="117"/>
      <c r="K94" s="117"/>
      <c r="L94" s="117"/>
      <c r="M94" s="117"/>
      <c r="N94" s="117"/>
      <c r="O94" s="640" t="s">
        <v>1156</v>
      </c>
      <c r="P94" s="307">
        <f>979429910-694224845</f>
        <v>285205065</v>
      </c>
      <c r="Q94" s="335"/>
      <c r="R94" s="117"/>
      <c r="S94" s="117"/>
      <c r="T94" s="118"/>
      <c r="U94" s="335"/>
      <c r="V94" s="117"/>
      <c r="W94" s="117"/>
      <c r="X94" s="118"/>
      <c r="Y94" s="335"/>
      <c r="Z94" s="117"/>
      <c r="AA94" s="117"/>
      <c r="AB94" s="118"/>
      <c r="AC94" s="696" t="s">
        <v>1291</v>
      </c>
      <c r="AD94" s="695">
        <v>-2370027201</v>
      </c>
      <c r="AE94" s="117" t="s">
        <v>868</v>
      </c>
      <c r="AF94" s="652"/>
    </row>
    <row r="95" spans="1:32" s="119" customFormat="1">
      <c r="A95" s="116"/>
      <c r="B95" s="109" t="s">
        <v>119</v>
      </c>
      <c r="C95" s="110" t="s">
        <v>508</v>
      </c>
      <c r="D95" s="111"/>
      <c r="E95" s="112">
        <f>BS_WTB!X258</f>
        <v>-41028203586</v>
      </c>
      <c r="F95" s="115">
        <f>BS_WTB!AD258</f>
        <v>-36552456311</v>
      </c>
      <c r="G95" s="113">
        <f t="shared" si="16"/>
        <v>4475747275</v>
      </c>
      <c r="H95" s="113">
        <f t="shared" si="17"/>
        <v>5151192102</v>
      </c>
      <c r="I95" s="117" t="s">
        <v>87</v>
      </c>
      <c r="J95" s="117">
        <f>-739141113+63696286</f>
        <v>-675444827</v>
      </c>
      <c r="K95" s="117"/>
      <c r="L95" s="117"/>
      <c r="M95" s="117" t="s">
        <v>1317</v>
      </c>
      <c r="N95" s="117"/>
      <c r="O95" s="117" t="s">
        <v>1370</v>
      </c>
      <c r="P95" s="307">
        <v>0</v>
      </c>
      <c r="Q95" s="335"/>
      <c r="R95" s="117"/>
      <c r="S95" s="117"/>
      <c r="T95" s="118"/>
      <c r="U95" s="335"/>
      <c r="V95" s="117"/>
      <c r="W95" s="117"/>
      <c r="X95" s="118"/>
      <c r="Y95" s="335"/>
      <c r="Z95" s="117"/>
      <c r="AA95" s="117"/>
      <c r="AB95" s="118"/>
      <c r="AC95" s="306" t="s">
        <v>1293</v>
      </c>
      <c r="AD95" s="654"/>
      <c r="AE95" s="117" t="s">
        <v>1384</v>
      </c>
      <c r="AF95" s="118"/>
    </row>
    <row r="96" spans="1:32" s="119" customFormat="1">
      <c r="A96" s="116"/>
      <c r="B96" s="109"/>
      <c r="C96" s="110"/>
      <c r="D96" s="111"/>
      <c r="E96" s="112"/>
      <c r="F96" s="115"/>
      <c r="G96" s="113"/>
      <c r="H96" s="113">
        <f t="shared" si="17"/>
        <v>-4865987037</v>
      </c>
      <c r="I96" s="117"/>
      <c r="J96" s="117"/>
      <c r="K96" s="117"/>
      <c r="L96" s="117"/>
      <c r="M96" s="117"/>
      <c r="N96" s="117"/>
      <c r="O96" s="317" t="s">
        <v>1135</v>
      </c>
      <c r="P96" s="326">
        <v>-4802198440</v>
      </c>
      <c r="Q96" s="335"/>
      <c r="R96" s="117"/>
      <c r="S96" s="117"/>
      <c r="T96" s="118"/>
      <c r="U96" s="335"/>
      <c r="V96" s="117"/>
      <c r="W96" s="117"/>
      <c r="X96" s="118"/>
      <c r="Y96" s="335"/>
      <c r="Z96" s="117"/>
      <c r="AA96" s="117"/>
      <c r="AB96" s="118"/>
      <c r="AC96" s="696" t="s">
        <v>1368</v>
      </c>
      <c r="AD96" s="695">
        <v>63788597</v>
      </c>
      <c r="AE96" s="117" t="s">
        <v>1369</v>
      </c>
      <c r="AF96" s="118"/>
    </row>
    <row r="97" spans="1:32" s="119" customFormat="1">
      <c r="A97" s="116"/>
      <c r="B97" s="109"/>
      <c r="C97" s="110"/>
      <c r="D97" s="111"/>
      <c r="E97" s="112"/>
      <c r="F97" s="115"/>
      <c r="G97" s="113"/>
      <c r="H97" s="113">
        <f t="shared" si="17"/>
        <v>-285205065</v>
      </c>
      <c r="I97" s="117"/>
      <c r="J97" s="117"/>
      <c r="K97" s="117"/>
      <c r="L97" s="117"/>
      <c r="M97" s="117"/>
      <c r="N97" s="307"/>
      <c r="O97" s="117" t="s">
        <v>1155</v>
      </c>
      <c r="P97" s="307">
        <v>-285205065</v>
      </c>
      <c r="Q97" s="335"/>
      <c r="R97" s="117"/>
      <c r="S97" s="117"/>
      <c r="T97" s="118"/>
      <c r="U97" s="335"/>
      <c r="V97" s="117"/>
      <c r="W97" s="117"/>
      <c r="X97" s="118"/>
      <c r="Y97" s="335"/>
      <c r="Z97" s="117"/>
      <c r="AA97" s="117"/>
      <c r="AB97" s="118"/>
      <c r="AC97" s="328"/>
      <c r="AD97" s="117"/>
      <c r="AE97" s="317"/>
      <c r="AF97" s="323"/>
    </row>
    <row r="98" spans="1:32" s="119" customFormat="1">
      <c r="A98" s="116"/>
      <c r="B98" s="109" t="s">
        <v>1223</v>
      </c>
      <c r="C98" s="110" t="s">
        <v>1185</v>
      </c>
      <c r="D98" s="111"/>
      <c r="E98" s="112">
        <f>BS_WTB!X263</f>
        <v>10924750773</v>
      </c>
      <c r="F98" s="115">
        <f>BS_WTB!AD263</f>
        <v>10924750773</v>
      </c>
      <c r="G98" s="113">
        <f t="shared" si="16"/>
        <v>0</v>
      </c>
      <c r="H98" s="113">
        <f>G98-(J98-L98+N98-P98+R98-T98+V98-X98+Z98-AB98+AD98-AF98)</f>
        <v>0</v>
      </c>
      <c r="I98" s="317" t="s">
        <v>1218</v>
      </c>
      <c r="J98" s="317">
        <f>+IS_WTB!AD265</f>
        <v>0</v>
      </c>
      <c r="K98" s="117"/>
      <c r="L98" s="117"/>
      <c r="N98" s="307"/>
      <c r="O98" s="111"/>
      <c r="P98" s="327"/>
      <c r="Q98" s="335"/>
      <c r="R98" s="117"/>
      <c r="S98" s="117"/>
      <c r="T98" s="118"/>
      <c r="U98" s="335"/>
      <c r="V98" s="117"/>
      <c r="W98" s="117"/>
      <c r="X98" s="118"/>
      <c r="Y98" s="335"/>
      <c r="Z98" s="117"/>
      <c r="AA98" s="117"/>
      <c r="AB98" s="118"/>
      <c r="AC98" s="328"/>
      <c r="AD98" s="117"/>
      <c r="AE98" s="317" t="s">
        <v>1366</v>
      </c>
      <c r="AF98" s="667">
        <v>0</v>
      </c>
    </row>
    <row r="99" spans="1:32">
      <c r="B99" s="109" t="s">
        <v>323</v>
      </c>
      <c r="C99" s="110" t="s">
        <v>508</v>
      </c>
      <c r="D99" s="111"/>
      <c r="E99" s="112">
        <f>BS_WTB!X261</f>
        <v>0</v>
      </c>
      <c r="F99" s="115">
        <f>BS_WTB!AD261</f>
        <v>0</v>
      </c>
      <c r="G99" s="113">
        <f t="shared" si="16"/>
        <v>0</v>
      </c>
      <c r="H99" s="113">
        <f t="shared" si="17"/>
        <v>0</v>
      </c>
      <c r="I99" s="317"/>
      <c r="J99" s="317"/>
      <c r="K99" s="117"/>
      <c r="L99" s="117"/>
      <c r="M99" s="117"/>
      <c r="N99" s="117"/>
      <c r="O99" s="111"/>
      <c r="P99" s="327"/>
      <c r="Q99" s="335"/>
      <c r="R99" s="117"/>
      <c r="S99" s="117"/>
      <c r="T99" s="118"/>
      <c r="U99" s="335"/>
      <c r="V99" s="117"/>
      <c r="W99" s="117"/>
      <c r="X99" s="118"/>
      <c r="Y99" s="335"/>
      <c r="Z99" s="117"/>
      <c r="AA99" s="117"/>
      <c r="AB99" s="118"/>
      <c r="AC99" s="306"/>
      <c r="AD99" s="117"/>
      <c r="AE99" s="317"/>
      <c r="AF99" s="323"/>
    </row>
    <row r="100" spans="1:32" s="119" customFormat="1" ht="14.25" thickBot="1">
      <c r="A100" s="116"/>
      <c r="B100" s="109" t="s">
        <v>318</v>
      </c>
      <c r="C100" s="110" t="s">
        <v>508</v>
      </c>
      <c r="D100" s="111"/>
      <c r="E100" s="112">
        <f>BS_WTB!X265</f>
        <v>1944813912</v>
      </c>
      <c r="F100" s="115">
        <f>BS_WTB!AD265</f>
        <v>1969149720</v>
      </c>
      <c r="G100" s="113">
        <f t="shared" si="16"/>
        <v>24335808</v>
      </c>
      <c r="H100" s="316">
        <f t="shared" si="17"/>
        <v>0</v>
      </c>
      <c r="I100" s="117" t="s">
        <v>425</v>
      </c>
      <c r="J100" s="117">
        <f>IS_WTB!AD249-CF정산표!J76</f>
        <v>101755473</v>
      </c>
      <c r="K100" s="306" t="s">
        <v>1231</v>
      </c>
      <c r="L100" s="117">
        <v>77419665</v>
      </c>
      <c r="M100" s="117"/>
      <c r="N100" s="117"/>
      <c r="O100" s="640"/>
      <c r="P100" s="307"/>
      <c r="Q100" s="335"/>
      <c r="R100" s="117"/>
      <c r="S100" s="117"/>
      <c r="T100" s="118"/>
      <c r="U100" s="335"/>
      <c r="V100" s="117"/>
      <c r="W100" s="117"/>
      <c r="X100" s="118"/>
      <c r="Y100" s="335"/>
      <c r="Z100" s="117"/>
      <c r="AA100" s="117"/>
      <c r="AB100" s="118"/>
      <c r="AC100" s="306" t="s">
        <v>1224</v>
      </c>
      <c r="AD100" s="117"/>
      <c r="AE100" s="306"/>
      <c r="AF100" s="118"/>
    </row>
    <row r="101" spans="1:32" ht="14.25" thickBot="1">
      <c r="B101" s="565" t="s">
        <v>450</v>
      </c>
      <c r="C101" s="566"/>
      <c r="D101" s="567"/>
      <c r="E101" s="435">
        <f>SUM(E102:E113)</f>
        <v>364828430641</v>
      </c>
      <c r="F101" s="435">
        <f>SUM(F102:F113)</f>
        <v>287676630515</v>
      </c>
      <c r="G101" s="435">
        <f>SUM(G102:G113)</f>
        <v>-77151800126</v>
      </c>
      <c r="H101" s="107"/>
      <c r="I101" s="435"/>
      <c r="J101" s="435"/>
      <c r="K101" s="435"/>
      <c r="L101" s="435"/>
      <c r="M101" s="435"/>
      <c r="N101" s="435"/>
      <c r="O101" s="435"/>
      <c r="P101" s="563"/>
      <c r="Q101" s="511"/>
      <c r="R101" s="435"/>
      <c r="S101" s="435"/>
      <c r="T101" s="512"/>
      <c r="U101" s="511"/>
      <c r="V101" s="435"/>
      <c r="W101" s="435"/>
      <c r="X101" s="512"/>
      <c r="Y101" s="511"/>
      <c r="Z101" s="435"/>
      <c r="AA101" s="435"/>
      <c r="AB101" s="512"/>
      <c r="AC101" s="435"/>
      <c r="AD101" s="435"/>
      <c r="AE101" s="435"/>
      <c r="AF101" s="512"/>
    </row>
    <row r="102" spans="1:32">
      <c r="B102" s="109" t="s">
        <v>115</v>
      </c>
      <c r="C102" s="110" t="s">
        <v>593</v>
      </c>
      <c r="D102" s="111"/>
      <c r="E102" s="112">
        <f>BS_WTB!X268</f>
        <v>4191965500</v>
      </c>
      <c r="F102" s="112">
        <f>BS_WTB!AD268</f>
        <v>4191965500</v>
      </c>
      <c r="G102" s="113">
        <f t="shared" ref="G102:G113" si="19">ROUND(F102-E102,)</f>
        <v>0</v>
      </c>
      <c r="H102" s="113">
        <f t="shared" ref="H102:H113" si="20">G102-(J102-L102+N102-P102+R102-T102+V102-X102+Z102-AB102+AD102-AF102)</f>
        <v>0</v>
      </c>
      <c r="I102" s="117"/>
      <c r="J102" s="117"/>
      <c r="K102" s="117"/>
      <c r="L102" s="117"/>
      <c r="M102" s="117"/>
      <c r="N102" s="117"/>
      <c r="O102" s="117"/>
      <c r="P102" s="307"/>
      <c r="Q102" s="335"/>
      <c r="R102" s="117"/>
      <c r="S102" s="117"/>
      <c r="T102" s="118"/>
      <c r="U102" s="335"/>
      <c r="V102" s="117"/>
      <c r="W102" s="117"/>
      <c r="X102" s="118"/>
      <c r="Y102" s="335"/>
      <c r="Z102" s="117"/>
      <c r="AA102" s="117"/>
      <c r="AB102" s="118"/>
      <c r="AC102" s="306"/>
      <c r="AD102" s="117"/>
      <c r="AE102" s="117"/>
      <c r="AF102" s="118"/>
    </row>
    <row r="103" spans="1:32">
      <c r="B103" s="109" t="s">
        <v>489</v>
      </c>
      <c r="C103" s="110" t="s">
        <v>593</v>
      </c>
      <c r="D103" s="111"/>
      <c r="E103" s="112">
        <f>BS_WTB!X270</f>
        <v>931546500</v>
      </c>
      <c r="F103" s="112">
        <f>BS_WTB!AD270</f>
        <v>931546500</v>
      </c>
      <c r="G103" s="113">
        <f t="shared" si="19"/>
        <v>0</v>
      </c>
      <c r="H103" s="113">
        <f t="shared" si="20"/>
        <v>0</v>
      </c>
      <c r="I103" s="117"/>
      <c r="J103" s="117"/>
      <c r="K103" s="117"/>
      <c r="L103" s="117"/>
      <c r="M103" s="117"/>
      <c r="N103" s="117"/>
      <c r="O103" s="117"/>
      <c r="P103" s="307"/>
      <c r="Q103" s="335"/>
      <c r="R103" s="117"/>
      <c r="S103" s="117"/>
      <c r="T103" s="118"/>
      <c r="U103" s="335" t="s">
        <v>708</v>
      </c>
      <c r="V103" s="117"/>
      <c r="W103" s="117"/>
      <c r="X103" s="118"/>
      <c r="Y103" s="335"/>
      <c r="Z103" s="117"/>
      <c r="AA103" s="117"/>
      <c r="AB103" s="118"/>
      <c r="AC103" s="306"/>
      <c r="AD103" s="117"/>
      <c r="AE103" s="117"/>
      <c r="AF103" s="118"/>
    </row>
    <row r="104" spans="1:32">
      <c r="B104" s="109" t="s">
        <v>113</v>
      </c>
      <c r="C104" s="110" t="s">
        <v>593</v>
      </c>
      <c r="D104" s="111"/>
      <c r="E104" s="112">
        <f>BS_WTB!X272</f>
        <v>293655072713</v>
      </c>
      <c r="F104" s="115">
        <f>BS_WTB!AD272</f>
        <v>293655072713</v>
      </c>
      <c r="G104" s="113">
        <f t="shared" si="19"/>
        <v>0</v>
      </c>
      <c r="H104" s="113">
        <f t="shared" si="20"/>
        <v>0</v>
      </c>
      <c r="I104" s="117"/>
      <c r="J104" s="117"/>
      <c r="K104" s="117"/>
      <c r="L104" s="117"/>
      <c r="M104" s="117"/>
      <c r="N104" s="117"/>
      <c r="O104" s="117"/>
      <c r="P104" s="307"/>
      <c r="Q104" s="335"/>
      <c r="R104" s="117"/>
      <c r="S104" s="117"/>
      <c r="T104" s="118"/>
      <c r="U104" s="335" t="s">
        <v>708</v>
      </c>
      <c r="V104" s="117"/>
      <c r="W104" s="117" t="s">
        <v>709</v>
      </c>
      <c r="X104" s="118"/>
      <c r="Y104" s="335"/>
      <c r="Z104" s="117"/>
      <c r="AA104" s="117"/>
      <c r="AB104" s="118"/>
      <c r="AC104" s="306"/>
      <c r="AD104" s="117"/>
      <c r="AE104" s="306" t="s">
        <v>1322</v>
      </c>
      <c r="AF104" s="652">
        <v>0</v>
      </c>
    </row>
    <row r="105" spans="1:32">
      <c r="B105" s="109" t="s">
        <v>802</v>
      </c>
      <c r="C105" s="110" t="s">
        <v>851</v>
      </c>
      <c r="D105" s="111"/>
      <c r="E105" s="112">
        <f>BS_WTB!X275</f>
        <v>2561756000</v>
      </c>
      <c r="F105" s="115">
        <f>BS_WTB!AD275</f>
        <v>2561756000</v>
      </c>
      <c r="G105" s="113">
        <f t="shared" si="19"/>
        <v>0</v>
      </c>
      <c r="H105" s="113">
        <f t="shared" si="20"/>
        <v>0</v>
      </c>
      <c r="I105" s="117"/>
      <c r="J105" s="117"/>
      <c r="K105" s="117"/>
      <c r="L105" s="117"/>
      <c r="M105" s="117"/>
      <c r="N105" s="117"/>
      <c r="O105" s="117"/>
      <c r="P105" s="307"/>
      <c r="Q105" s="335"/>
      <c r="R105" s="117"/>
      <c r="S105" s="117"/>
      <c r="T105" s="118"/>
      <c r="U105" s="335"/>
      <c r="V105" s="117"/>
      <c r="W105" s="117"/>
      <c r="X105" s="118"/>
      <c r="Y105" s="335" t="s">
        <v>706</v>
      </c>
      <c r="Z105" s="654">
        <v>0</v>
      </c>
      <c r="AA105" s="117"/>
      <c r="AB105" s="118"/>
      <c r="AC105" s="306"/>
      <c r="AD105" s="117"/>
      <c r="AE105" s="117"/>
      <c r="AF105" s="118"/>
    </row>
    <row r="106" spans="1:32">
      <c r="B106" s="109" t="s">
        <v>1151</v>
      </c>
      <c r="C106" s="110" t="s">
        <v>593</v>
      </c>
      <c r="D106" s="111"/>
      <c r="E106" s="112">
        <f>BS_WTB!X276</f>
        <v>1000000000</v>
      </c>
      <c r="F106" s="112">
        <f>BS_WTB!AD276</f>
        <v>1000000000</v>
      </c>
      <c r="G106" s="113">
        <f t="shared" si="19"/>
        <v>0</v>
      </c>
      <c r="H106" s="113">
        <f t="shared" si="20"/>
        <v>0</v>
      </c>
      <c r="I106" s="117"/>
      <c r="J106" s="117"/>
      <c r="K106" s="117"/>
      <c r="L106" s="117"/>
      <c r="M106" s="117"/>
      <c r="N106" s="117"/>
      <c r="O106" s="117"/>
      <c r="P106" s="307"/>
      <c r="Q106" s="335"/>
      <c r="R106" s="117"/>
      <c r="S106" s="117"/>
      <c r="T106" s="118"/>
      <c r="U106" s="335"/>
      <c r="V106" s="117"/>
      <c r="W106" s="117"/>
      <c r="X106" s="118"/>
      <c r="Y106" s="335" t="s">
        <v>1151</v>
      </c>
      <c r="Z106" s="117"/>
      <c r="AA106" s="117"/>
      <c r="AB106" s="118"/>
      <c r="AC106" s="306"/>
      <c r="AD106" s="117"/>
      <c r="AE106" s="317"/>
      <c r="AF106" s="323"/>
    </row>
    <row r="107" spans="1:32">
      <c r="B107" s="109" t="s">
        <v>1144</v>
      </c>
      <c r="C107" s="110" t="s">
        <v>593</v>
      </c>
      <c r="D107" s="111"/>
      <c r="E107" s="112">
        <f>BS_WTB!X277</f>
        <v>1300000000</v>
      </c>
      <c r="F107" s="115">
        <f>BS_WTB!AD277</f>
        <v>1300000000</v>
      </c>
      <c r="G107" s="113">
        <f t="shared" si="19"/>
        <v>0</v>
      </c>
      <c r="H107" s="113">
        <f t="shared" si="20"/>
        <v>0</v>
      </c>
      <c r="I107" s="117"/>
      <c r="J107" s="117"/>
      <c r="K107" s="117"/>
      <c r="L107" s="117"/>
      <c r="M107" s="117"/>
      <c r="N107" s="117"/>
      <c r="O107" s="117"/>
      <c r="P107" s="307"/>
      <c r="Q107" s="335"/>
      <c r="R107" s="117"/>
      <c r="S107" s="117"/>
      <c r="T107" s="118"/>
      <c r="U107" s="335"/>
      <c r="V107" s="117"/>
      <c r="W107" s="117"/>
      <c r="X107" s="118"/>
      <c r="Y107" s="335" t="s">
        <v>1144</v>
      </c>
      <c r="Z107" s="117"/>
      <c r="AA107" s="117"/>
      <c r="AB107" s="118"/>
      <c r="AC107" s="306"/>
      <c r="AD107" s="117"/>
      <c r="AE107" s="317"/>
      <c r="AF107" s="323"/>
    </row>
    <row r="108" spans="1:32" s="119" customFormat="1">
      <c r="A108" s="116"/>
      <c r="B108" s="109" t="s">
        <v>112</v>
      </c>
      <c r="C108" s="110" t="s">
        <v>593</v>
      </c>
      <c r="D108" s="111"/>
      <c r="E108" s="112">
        <f>BS_WTB!X278</f>
        <v>-42575729077</v>
      </c>
      <c r="F108" s="115">
        <f>BS_WTB!AD278</f>
        <v>-42575729077</v>
      </c>
      <c r="G108" s="113">
        <f t="shared" si="19"/>
        <v>0</v>
      </c>
      <c r="H108" s="113">
        <f>G108-(J108-L108+N108-P108+R108-T108+V108-X108+Z108-AB108+AD108-AF108)</f>
        <v>0</v>
      </c>
      <c r="I108" s="117"/>
      <c r="J108" s="117"/>
      <c r="K108" s="117"/>
      <c r="L108" s="117"/>
      <c r="M108" s="117"/>
      <c r="N108" s="117"/>
      <c r="O108" s="117"/>
      <c r="P108" s="307"/>
      <c r="Q108" s="335"/>
      <c r="R108" s="117"/>
      <c r="S108" s="117"/>
      <c r="T108" s="118"/>
      <c r="U108" s="335"/>
      <c r="V108" s="117"/>
      <c r="W108" s="117" t="s">
        <v>707</v>
      </c>
      <c r="X108" s="118"/>
      <c r="Y108" s="335"/>
      <c r="Z108" s="117"/>
      <c r="AA108" s="117"/>
      <c r="AB108" s="118"/>
      <c r="AC108" s="306"/>
      <c r="AD108" s="117"/>
      <c r="AE108" s="317"/>
      <c r="AF108" s="323"/>
    </row>
    <row r="109" spans="1:32" s="119" customFormat="1">
      <c r="A109" s="116"/>
      <c r="B109" s="109" t="s">
        <v>1349</v>
      </c>
      <c r="C109" s="110" t="s">
        <v>593</v>
      </c>
      <c r="D109" s="111"/>
      <c r="E109" s="112">
        <f>BS_WTB!X280</f>
        <v>1097860647</v>
      </c>
      <c r="F109" s="112">
        <f>BS_WTB!AD280</f>
        <v>2779373521</v>
      </c>
      <c r="G109" s="113">
        <f t="shared" ref="G109" si="21">ROUND(F109-E109,)</f>
        <v>1681512874</v>
      </c>
      <c r="H109" s="113">
        <f>G109-(J109-L109+N109-P109+R109-T109+V109-X109+Z109-AB109+AD109-AF109)</f>
        <v>0</v>
      </c>
      <c r="I109" s="117" t="s">
        <v>1350</v>
      </c>
      <c r="J109" s="117">
        <f>IS_WTB!AD44</f>
        <v>1681512874</v>
      </c>
      <c r="K109" s="117"/>
      <c r="L109" s="117"/>
      <c r="M109" s="117"/>
      <c r="N109" s="117"/>
      <c r="O109" s="117"/>
      <c r="P109" s="307"/>
      <c r="Q109" s="335"/>
      <c r="R109" s="117"/>
      <c r="S109" s="117"/>
      <c r="T109" s="118"/>
      <c r="U109" s="335"/>
      <c r="V109" s="117"/>
      <c r="W109" s="117"/>
      <c r="X109" s="118"/>
      <c r="Y109" s="335"/>
      <c r="Z109" s="117"/>
      <c r="AA109" s="117"/>
      <c r="AB109" s="118"/>
      <c r="AC109" s="306"/>
      <c r="AD109" s="117"/>
      <c r="AE109" s="317"/>
      <c r="AF109" s="323"/>
    </row>
    <row r="110" spans="1:32" s="119" customFormat="1">
      <c r="A110" s="116"/>
      <c r="B110" s="109" t="s">
        <v>852</v>
      </c>
      <c r="C110" s="110" t="s">
        <v>593</v>
      </c>
      <c r="D110" s="111"/>
      <c r="E110" s="112">
        <f>BS_WTB!X282</f>
        <v>-8903015</v>
      </c>
      <c r="F110" s="112">
        <f>BS_WTB!AD282</f>
        <v>0</v>
      </c>
      <c r="G110" s="113">
        <f t="shared" si="19"/>
        <v>8903015</v>
      </c>
      <c r="H110" s="325">
        <f>G110-(J110-L110+N110-P110+R110-T110+V110-X110+Z110-AB110+AD110-AF110)</f>
        <v>0</v>
      </c>
      <c r="I110" s="117" t="s">
        <v>1588</v>
      </c>
      <c r="J110" s="117">
        <v>8903015</v>
      </c>
      <c r="K110" s="117"/>
      <c r="L110" s="117"/>
      <c r="M110" s="117"/>
      <c r="N110" s="117"/>
      <c r="O110" s="117"/>
      <c r="P110" s="307"/>
      <c r="Q110" s="335"/>
      <c r="R110" s="117"/>
      <c r="S110" s="117" t="s">
        <v>1088</v>
      </c>
      <c r="T110" s="118"/>
      <c r="U110" s="335"/>
      <c r="V110" s="117"/>
      <c r="W110" s="117"/>
      <c r="X110" s="118"/>
      <c r="Y110" s="693" t="s">
        <v>1473</v>
      </c>
      <c r="Z110" s="640">
        <v>0</v>
      </c>
      <c r="AA110" s="117" t="s">
        <v>862</v>
      </c>
      <c r="AB110" s="652">
        <v>0</v>
      </c>
      <c r="AC110" s="306"/>
      <c r="AD110" s="117"/>
      <c r="AE110" s="317"/>
      <c r="AF110" s="323"/>
    </row>
    <row r="111" spans="1:32" s="119" customFormat="1">
      <c r="A111" s="116"/>
      <c r="B111" s="109"/>
      <c r="C111" s="110"/>
      <c r="D111" s="111"/>
      <c r="E111" s="112"/>
      <c r="F111" s="112"/>
      <c r="G111" s="113"/>
      <c r="H111" s="325">
        <f>G111-(J111-L111+N111-P111+R111-T111+V111-X111+Z111-AB111+AD111-AF111)</f>
        <v>0</v>
      </c>
      <c r="I111" s="117"/>
      <c r="J111" s="117"/>
      <c r="K111" s="117"/>
      <c r="L111" s="117"/>
      <c r="M111" s="117"/>
      <c r="N111" s="117"/>
      <c r="O111" s="117"/>
      <c r="P111" s="307"/>
      <c r="Q111" s="335"/>
      <c r="R111" s="117"/>
      <c r="S111" s="117"/>
      <c r="T111" s="118"/>
      <c r="U111" s="335"/>
      <c r="V111" s="117"/>
      <c r="W111" s="117"/>
      <c r="X111" s="118"/>
      <c r="Y111" s="335" t="s">
        <v>1303</v>
      </c>
      <c r="Z111" s="117"/>
      <c r="AA111" s="117" t="s">
        <v>863</v>
      </c>
      <c r="AB111" s="118"/>
      <c r="AC111" s="306"/>
      <c r="AD111" s="117"/>
      <c r="AE111" s="317"/>
      <c r="AF111" s="323"/>
    </row>
    <row r="112" spans="1:32" s="119" customFormat="1">
      <c r="A112" s="116"/>
      <c r="B112" s="109" t="s">
        <v>327</v>
      </c>
      <c r="C112" s="110" t="s">
        <v>593</v>
      </c>
      <c r="D112" s="111"/>
      <c r="E112" s="112">
        <f>BS_WTB!X286</f>
        <v>102674861373</v>
      </c>
      <c r="F112" s="115">
        <f>BS_WTB!AD286</f>
        <v>23832645358</v>
      </c>
      <c r="G112" s="113">
        <f t="shared" si="19"/>
        <v>-78842216015</v>
      </c>
      <c r="H112" s="233">
        <f>G112-(J112-L112+N112-P112+R112-T112+V112-X112+Z112-AB112+AD112-AF112)</f>
        <v>0</v>
      </c>
      <c r="I112" s="117" t="s">
        <v>329</v>
      </c>
      <c r="J112" s="640">
        <f>IS_WTB!AD276</f>
        <v>-75590345281</v>
      </c>
      <c r="K112" s="117" t="s">
        <v>329</v>
      </c>
      <c r="L112" s="117"/>
      <c r="M112" s="117"/>
      <c r="N112" s="117"/>
      <c r="O112" s="117"/>
      <c r="P112" s="307"/>
      <c r="Q112" s="335"/>
      <c r="R112" s="117"/>
      <c r="S112" s="117"/>
      <c r="T112" s="118"/>
      <c r="U112" s="335"/>
      <c r="V112" s="117"/>
      <c r="W112" s="117" t="s">
        <v>890</v>
      </c>
      <c r="X112" s="118">
        <v>5000000000</v>
      </c>
      <c r="Y112" s="335" t="s">
        <v>1559</v>
      </c>
      <c r="Z112" s="117"/>
      <c r="AA112" s="117" t="s">
        <v>1294</v>
      </c>
      <c r="AB112" s="652">
        <f>Z105</f>
        <v>0</v>
      </c>
      <c r="AC112" s="306" t="s">
        <v>1321</v>
      </c>
      <c r="AD112" s="654">
        <f>AF104</f>
        <v>0</v>
      </c>
      <c r="AE112" s="695" t="s">
        <v>1475</v>
      </c>
      <c r="AF112" s="697">
        <f>AD96+AD94-AF68</f>
        <v>-1748129266</v>
      </c>
    </row>
    <row r="113" spans="2:32" ht="14.25" thickBot="1">
      <c r="B113" s="109" t="s">
        <v>331</v>
      </c>
      <c r="C113" s="110" t="s">
        <v>593</v>
      </c>
      <c r="D113" s="111"/>
      <c r="E113" s="112">
        <f>BS_WTB!X290</f>
        <v>0</v>
      </c>
      <c r="F113" s="115">
        <f>BS_WTB!AD290</f>
        <v>0</v>
      </c>
      <c r="G113" s="113">
        <f t="shared" si="19"/>
        <v>0</v>
      </c>
      <c r="H113" s="233">
        <f t="shared" si="20"/>
        <v>0</v>
      </c>
      <c r="I113" s="117"/>
      <c r="J113" s="117"/>
      <c r="K113" s="117"/>
      <c r="L113" s="117"/>
      <c r="M113" s="117"/>
      <c r="N113" s="117"/>
      <c r="O113" s="117"/>
      <c r="P113" s="307"/>
      <c r="Q113" s="335"/>
      <c r="R113" s="117"/>
      <c r="S113" s="117"/>
      <c r="T113" s="118"/>
      <c r="U113" s="335"/>
      <c r="V113" s="117"/>
      <c r="W113" s="117"/>
      <c r="X113" s="118"/>
      <c r="Y113" s="335"/>
      <c r="Z113" s="117"/>
      <c r="AA113" s="117"/>
      <c r="AB113" s="118"/>
      <c r="AC113" s="306"/>
      <c r="AD113" s="307"/>
      <c r="AE113" s="117"/>
      <c r="AF113" s="118"/>
    </row>
    <row r="114" spans="2:32" ht="14.25" thickBot="1">
      <c r="B114" s="104" t="s">
        <v>335</v>
      </c>
      <c r="C114" s="105"/>
      <c r="D114" s="106"/>
      <c r="E114" s="107">
        <f>E101+E71</f>
        <v>944077517567</v>
      </c>
      <c r="F114" s="107">
        <f>F101+F71</f>
        <v>875918784205</v>
      </c>
      <c r="G114" s="107">
        <f>G101+G71</f>
        <v>-68158733362</v>
      </c>
      <c r="H114" s="107"/>
      <c r="I114" s="107"/>
      <c r="J114" s="107"/>
      <c r="K114" s="107"/>
      <c r="L114" s="107"/>
      <c r="M114" s="107"/>
      <c r="N114" s="107"/>
      <c r="O114" s="107"/>
      <c r="P114" s="331"/>
      <c r="Q114" s="334"/>
      <c r="R114" s="107"/>
      <c r="S114" s="107"/>
      <c r="T114" s="108"/>
      <c r="U114" s="334"/>
      <c r="V114" s="107"/>
      <c r="W114" s="107"/>
      <c r="X114" s="108"/>
      <c r="Y114" s="334"/>
      <c r="Z114" s="107"/>
      <c r="AA114" s="107"/>
      <c r="AB114" s="108"/>
      <c r="AC114" s="107"/>
      <c r="AD114" s="107"/>
      <c r="AE114" s="107"/>
      <c r="AF114" s="108"/>
    </row>
    <row r="115" spans="2:32" s="119" customFormat="1" ht="14.25" thickBot="1">
      <c r="B115" s="114"/>
      <c r="C115" s="131"/>
      <c r="D115" s="132"/>
      <c r="E115" s="133" t="b">
        <f>E114=E5</f>
        <v>1</v>
      </c>
      <c r="F115" s="133" t="b">
        <f>F114=F5</f>
        <v>1</v>
      </c>
      <c r="G115" s="133" t="b">
        <f>G114=G5</f>
        <v>1</v>
      </c>
      <c r="H115" s="119">
        <f>SUM(H8:H114)</f>
        <v>0</v>
      </c>
    </row>
    <row r="116" spans="2:32" ht="14.25" thickBot="1">
      <c r="E116" s="85" t="b">
        <f>E114=BS_WTB!X4</f>
        <v>1</v>
      </c>
      <c r="F116" s="85" t="b">
        <f>F114=BS_WTB!AD4</f>
        <v>1</v>
      </c>
      <c r="H116" s="85">
        <f>H115+D151</f>
        <v>0</v>
      </c>
      <c r="I116" s="134"/>
      <c r="J116" s="135">
        <f>SUM(J7:J114)</f>
        <v>-68703433016</v>
      </c>
      <c r="K116" s="136"/>
      <c r="L116" s="137">
        <f>SUM(L7:L114)</f>
        <v>8682725311</v>
      </c>
      <c r="M116" s="138"/>
      <c r="N116" s="135">
        <f>SUM(N7:N114)</f>
        <v>71339389129</v>
      </c>
      <c r="O116" s="139"/>
      <c r="P116" s="137">
        <f>SUM(P7:P114)</f>
        <v>94834958061</v>
      </c>
      <c r="Q116" s="134"/>
      <c r="R116" s="135">
        <f>SUM(R7:R114)</f>
        <v>138155459122</v>
      </c>
      <c r="S116" s="136"/>
      <c r="T116" s="137">
        <f>SUM(T7:T114)</f>
        <v>12470389027</v>
      </c>
      <c r="U116" s="134"/>
      <c r="V116" s="135">
        <f>SUM(V7:V114)</f>
        <v>0</v>
      </c>
      <c r="W116" s="136"/>
      <c r="X116" s="137">
        <f>SUM(X7:X114)</f>
        <v>16744713730</v>
      </c>
      <c r="Y116" s="134"/>
      <c r="Z116" s="135">
        <f>SUM(Z7:Z114)</f>
        <v>18872076319</v>
      </c>
      <c r="AA116" s="136"/>
      <c r="AB116" s="137">
        <f>SUM(AB7:AB114)</f>
        <v>36205353617</v>
      </c>
      <c r="AC116" s="134"/>
      <c r="AD116" s="135">
        <f>SUM(AD7:AD114)</f>
        <v>25441054500</v>
      </c>
      <c r="AE116" s="136"/>
      <c r="AF116" s="137">
        <f>SUM(AF7:AF114)</f>
        <v>8107777202</v>
      </c>
    </row>
    <row r="117" spans="2:32" ht="14.25" thickBot="1">
      <c r="B117" s="140" t="s">
        <v>549</v>
      </c>
      <c r="C117" s="141" t="s">
        <v>550</v>
      </c>
      <c r="D117" s="141" t="s">
        <v>551</v>
      </c>
      <c r="E117" s="142" t="s">
        <v>552</v>
      </c>
      <c r="I117" s="143"/>
      <c r="J117" s="144"/>
      <c r="K117" s="144"/>
      <c r="L117" s="145">
        <f>J116-L116</f>
        <v>-77386158327</v>
      </c>
      <c r="M117" s="143"/>
      <c r="N117" s="144"/>
      <c r="O117" s="144"/>
      <c r="P117" s="145">
        <f>N116-P116</f>
        <v>-23495568932</v>
      </c>
      <c r="Q117" s="143"/>
      <c r="R117" s="144"/>
      <c r="S117" s="144"/>
      <c r="T117" s="145">
        <f>R116-T116</f>
        <v>125685070095</v>
      </c>
      <c r="U117" s="143"/>
      <c r="V117" s="144"/>
      <c r="W117" s="144"/>
      <c r="X117" s="145">
        <f>V116-X116</f>
        <v>-16744713730</v>
      </c>
      <c r="Y117" s="143"/>
      <c r="Z117" s="144"/>
      <c r="AA117" s="144"/>
      <c r="AB117" s="145">
        <f>Z116-AB116</f>
        <v>-17333277298</v>
      </c>
      <c r="AC117" s="143"/>
      <c r="AD117" s="144"/>
      <c r="AE117" s="144"/>
      <c r="AF117" s="145">
        <f>AD116-AF116</f>
        <v>17333277298</v>
      </c>
    </row>
    <row r="118" spans="2:32">
      <c r="B118" s="698" t="s">
        <v>87</v>
      </c>
      <c r="C118" s="699">
        <f>IS_WTB!AD45</f>
        <v>5404712841</v>
      </c>
      <c r="D118" s="709">
        <f>SUMIF($I$6:$I$113,B118,$J$6:$J$113)-SUMIF($K$6:$K$113,B118,$L$6:$L$113)</f>
        <v>5404712841</v>
      </c>
      <c r="E118" s="620" t="b">
        <f>C118=D118</f>
        <v>1</v>
      </c>
      <c r="F118" s="85">
        <f t="shared" ref="F118:F144" si="22">C118-D118</f>
        <v>0</v>
      </c>
      <c r="N118" s="85" t="b">
        <f>N116=N150</f>
        <v>1</v>
      </c>
      <c r="P118" s="85" t="b">
        <f>P116=P150</f>
        <v>1</v>
      </c>
      <c r="R118" s="85" t="b">
        <f>R116=R150</f>
        <v>1</v>
      </c>
      <c r="T118" s="85" t="b">
        <f>T116=T150</f>
        <v>1</v>
      </c>
      <c r="V118" s="85" t="b">
        <f>V116=V150</f>
        <v>1</v>
      </c>
      <c r="X118" s="85" t="b">
        <f>X116=X150</f>
        <v>1</v>
      </c>
      <c r="AF118" s="85">
        <f>+AF117+AB117</f>
        <v>0</v>
      </c>
    </row>
    <row r="119" spans="2:32">
      <c r="B119" s="698" t="s">
        <v>1350</v>
      </c>
      <c r="C119" s="699">
        <f>IS_WTB!AD44</f>
        <v>1681512874</v>
      </c>
      <c r="D119" s="709">
        <f>SUMIF($I$6:$I$113,B119,$J$6:$J$113)-SUMIF($K$6:$K$113,B119,$L$6:$L$113)</f>
        <v>1681512874</v>
      </c>
      <c r="E119" s="620" t="b">
        <f>C119=D119</f>
        <v>1</v>
      </c>
      <c r="F119" s="85">
        <f t="shared" si="22"/>
        <v>0</v>
      </c>
      <c r="P119" s="85">
        <f>P116-P150</f>
        <v>0</v>
      </c>
      <c r="R119" s="85">
        <f>R116-R150</f>
        <v>0</v>
      </c>
      <c r="T119" s="85">
        <f>T116-T150</f>
        <v>0</v>
      </c>
      <c r="V119" s="85">
        <f>V116-V150</f>
        <v>0</v>
      </c>
      <c r="X119" s="85">
        <f>X116-X150</f>
        <v>0</v>
      </c>
    </row>
    <row r="120" spans="2:32" ht="14.25" thickBot="1">
      <c r="B120" s="698" t="s">
        <v>384</v>
      </c>
      <c r="C120" s="699">
        <f>IS_WTB!AA132</f>
        <v>15813255895</v>
      </c>
      <c r="D120" s="709">
        <f>SUMIF($I$6:$I$113,B120,$J$6:$J$113)-SUMIF($K$6:$K$113,B120,$L$6:$L$113)</f>
        <v>15813255895</v>
      </c>
      <c r="E120" s="620" t="b">
        <f t="shared" ref="E120:E130" si="23">C120=D120</f>
        <v>1</v>
      </c>
      <c r="F120" s="85">
        <f t="shared" si="22"/>
        <v>0</v>
      </c>
      <c r="M120" s="777" t="s">
        <v>594</v>
      </c>
      <c r="N120" s="777"/>
      <c r="O120" s="777"/>
      <c r="P120" s="777"/>
      <c r="Q120" s="777" t="s">
        <v>595</v>
      </c>
      <c r="R120" s="777"/>
      <c r="S120" s="777"/>
      <c r="T120" s="777"/>
      <c r="U120" s="777" t="s">
        <v>596</v>
      </c>
      <c r="V120" s="777"/>
      <c r="W120" s="777"/>
      <c r="X120" s="777"/>
    </row>
    <row r="121" spans="2:32">
      <c r="B121" s="698" t="s">
        <v>561</v>
      </c>
      <c r="C121" s="699">
        <f>IS_WTB!AA183</f>
        <v>5885037413</v>
      </c>
      <c r="D121" s="709">
        <f>SUMIF($I$6:$I$113,B121,$J$6:$J$113)-SUMIF($K$6:$K$113,B121,$L$6:$L$113)</f>
        <v>5885037413</v>
      </c>
      <c r="E121" s="620" t="b">
        <f t="shared" si="23"/>
        <v>1</v>
      </c>
      <c r="F121" s="85">
        <f t="shared" si="22"/>
        <v>0</v>
      </c>
      <c r="M121" s="148" t="s">
        <v>580</v>
      </c>
      <c r="N121" s="712">
        <f t="shared" ref="N121:N149" si="24">SUMIF($M$6:$M$114,M121,$N$6:$N$114)</f>
        <v>0</v>
      </c>
      <c r="O121" s="149" t="s">
        <v>583</v>
      </c>
      <c r="P121" s="711">
        <f t="shared" ref="P121:P149" si="25">SUMIF($O$6:$O$114,O121,$P$6:$P$114)</f>
        <v>0</v>
      </c>
      <c r="Q121" s="150" t="s">
        <v>905</v>
      </c>
      <c r="R121" s="707">
        <f t="shared" ref="R121:R149" si="26">SUMIF($Q$6:$Q$114,Q121,$R$6:$R$114)</f>
        <v>136925145031</v>
      </c>
      <c r="S121" s="151" t="s">
        <v>907</v>
      </c>
      <c r="T121" s="712">
        <f t="shared" ref="T121:T149" si="27">SUMIF($S$6:$S$114,S121,$T$6:$T$114)</f>
        <v>1462470000</v>
      </c>
      <c r="U121" s="152" t="s">
        <v>708</v>
      </c>
      <c r="V121" s="82">
        <f t="shared" ref="V121:V128" si="28">SUMIF($U$6:$U$114,U121,$V$6:$V$114)</f>
        <v>0</v>
      </c>
      <c r="W121" s="153" t="s">
        <v>707</v>
      </c>
      <c r="X121" s="82">
        <f t="shared" ref="X121:X128" si="29">SUMIF($W$6:$W$114,W121,$X$6:$X$114)</f>
        <v>0</v>
      </c>
      <c r="AD121" s="85">
        <f>+AD96+AD94+Z88</f>
        <v>-2306238604</v>
      </c>
      <c r="AE121" s="85">
        <f>+AF112+AF68</f>
        <v>-2306238604</v>
      </c>
      <c r="AF121" s="85">
        <f>+AD121-AE121</f>
        <v>0</v>
      </c>
    </row>
    <row r="122" spans="2:32">
      <c r="B122" s="146" t="s">
        <v>553</v>
      </c>
      <c r="C122" s="147">
        <f>IS_WTB!AD228</f>
        <v>534234801</v>
      </c>
      <c r="D122" s="709">
        <f>-(SUMIF($I$6:$I$113,B122,$J$6:$J$113)-SUMIF($K$6:$K$113,B122,$L$6:$L$113))</f>
        <v>534234801</v>
      </c>
      <c r="E122" s="620" t="b">
        <f>C122=D122</f>
        <v>1</v>
      </c>
      <c r="F122" s="85">
        <f t="shared" si="22"/>
        <v>0</v>
      </c>
      <c r="M122" s="154" t="s">
        <v>571</v>
      </c>
      <c r="N122" s="78">
        <f t="shared" si="24"/>
        <v>0</v>
      </c>
      <c r="O122" s="155" t="s">
        <v>585</v>
      </c>
      <c r="P122" s="711">
        <f t="shared" si="25"/>
        <v>0</v>
      </c>
      <c r="Q122" s="160" t="s">
        <v>569</v>
      </c>
      <c r="R122" s="707">
        <f t="shared" si="26"/>
        <v>27064000</v>
      </c>
      <c r="S122" s="160" t="s">
        <v>588</v>
      </c>
      <c r="T122" s="712">
        <f t="shared" si="27"/>
        <v>1892998039</v>
      </c>
      <c r="U122" s="158" t="s">
        <v>710</v>
      </c>
      <c r="V122" s="83">
        <f>SUMIF($U$6:$U$114,U122,$V$6:$V$114)</f>
        <v>0</v>
      </c>
      <c r="W122" s="159" t="s">
        <v>709</v>
      </c>
      <c r="X122" s="83">
        <f t="shared" si="29"/>
        <v>0</v>
      </c>
    </row>
    <row r="123" spans="2:32">
      <c r="B123" s="698" t="s">
        <v>554</v>
      </c>
      <c r="C123" s="699">
        <f>IS_WTB!AD217</f>
        <v>0</v>
      </c>
      <c r="D123" s="709">
        <f>(SUMIF($I$6:$I$113,B123,$J$6:$J$113)-SUMIF($K$6:$K$113,B123,$L$6:$L$113))</f>
        <v>0</v>
      </c>
      <c r="E123" s="620" t="b">
        <f t="shared" si="23"/>
        <v>1</v>
      </c>
      <c r="F123" s="85">
        <f t="shared" si="22"/>
        <v>0</v>
      </c>
      <c r="M123" s="154" t="s">
        <v>705</v>
      </c>
      <c r="N123" s="707">
        <f t="shared" si="24"/>
        <v>3619152</v>
      </c>
      <c r="O123" s="155" t="s">
        <v>568</v>
      </c>
      <c r="P123" s="156">
        <f t="shared" si="25"/>
        <v>925204296</v>
      </c>
      <c r="Q123" s="160" t="s">
        <v>570</v>
      </c>
      <c r="R123" s="77">
        <f t="shared" si="26"/>
        <v>0</v>
      </c>
      <c r="S123" s="160" t="s">
        <v>701</v>
      </c>
      <c r="T123" s="77">
        <f t="shared" si="27"/>
        <v>1689205000</v>
      </c>
      <c r="U123" s="158"/>
      <c r="V123" s="83">
        <f t="shared" si="28"/>
        <v>0</v>
      </c>
      <c r="W123" s="159" t="s">
        <v>890</v>
      </c>
      <c r="X123" s="83">
        <f t="shared" si="29"/>
        <v>5000000000</v>
      </c>
    </row>
    <row r="124" spans="2:32">
      <c r="B124" s="698" t="s">
        <v>711</v>
      </c>
      <c r="C124" s="699">
        <f>IS_WTB!AD218</f>
        <v>0</v>
      </c>
      <c r="D124" s="709">
        <f>(SUMIF($I$6:$I$113,B124,$J$6:$J$113)-SUMIF($K$6:$K$113,B124,$L$6:$L$113))</f>
        <v>0</v>
      </c>
      <c r="E124" s="620" t="b">
        <f t="shared" si="23"/>
        <v>1</v>
      </c>
      <c r="F124" s="85">
        <f t="shared" si="22"/>
        <v>0</v>
      </c>
      <c r="G124" s="85" t="s">
        <v>713</v>
      </c>
      <c r="M124" s="154" t="s">
        <v>573</v>
      </c>
      <c r="N124" s="78">
        <f t="shared" si="24"/>
        <v>0</v>
      </c>
      <c r="O124" s="155" t="s">
        <v>574</v>
      </c>
      <c r="P124" s="641">
        <f t="shared" si="25"/>
        <v>0</v>
      </c>
      <c r="Q124" s="160" t="s">
        <v>572</v>
      </c>
      <c r="R124" s="77">
        <f t="shared" si="26"/>
        <v>0</v>
      </c>
      <c r="S124" s="160" t="s">
        <v>904</v>
      </c>
      <c r="T124" s="77">
        <f t="shared" si="27"/>
        <v>0</v>
      </c>
      <c r="U124" s="158"/>
      <c r="V124" s="83">
        <f t="shared" si="28"/>
        <v>0</v>
      </c>
      <c r="W124" s="159" t="s">
        <v>901</v>
      </c>
      <c r="X124" s="83">
        <f t="shared" si="29"/>
        <v>11744713730</v>
      </c>
      <c r="Z124" s="190"/>
    </row>
    <row r="125" spans="2:32">
      <c r="B125" s="698" t="s">
        <v>434</v>
      </c>
      <c r="C125" s="699">
        <f>IS_WTB!AD260</f>
        <v>13937620</v>
      </c>
      <c r="D125" s="709">
        <f>SUMIF($I$6:$I$113,B125,$J$6:$J$113)-SUMIF($K$6:$K$113,B125,$L$6:$L$113)</f>
        <v>13937620</v>
      </c>
      <c r="E125" s="620" t="b">
        <f t="shared" si="23"/>
        <v>1</v>
      </c>
      <c r="F125" s="85">
        <f t="shared" si="22"/>
        <v>0</v>
      </c>
      <c r="G125" s="188">
        <f>C125-D125</f>
        <v>0</v>
      </c>
      <c r="M125" s="154" t="s">
        <v>575</v>
      </c>
      <c r="N125" s="78">
        <f t="shared" si="24"/>
        <v>0</v>
      </c>
      <c r="O125" s="646" t="s">
        <v>908</v>
      </c>
      <c r="P125" s="711">
        <f t="shared" si="25"/>
        <v>0</v>
      </c>
      <c r="Q125" s="160" t="s">
        <v>682</v>
      </c>
      <c r="R125" s="77">
        <f t="shared" si="26"/>
        <v>0</v>
      </c>
      <c r="S125" s="160" t="s">
        <v>686</v>
      </c>
      <c r="T125" s="712">
        <f t="shared" si="27"/>
        <v>0</v>
      </c>
      <c r="U125" s="158"/>
      <c r="V125" s="83">
        <f t="shared" si="28"/>
        <v>0</v>
      </c>
      <c r="W125" s="159"/>
      <c r="X125" s="83">
        <f t="shared" si="29"/>
        <v>0</v>
      </c>
      <c r="Z125" s="190"/>
    </row>
    <row r="126" spans="2:32">
      <c r="B126" s="146" t="s">
        <v>420</v>
      </c>
      <c r="C126" s="147">
        <f>IS_WTB!AD243</f>
        <v>377131011</v>
      </c>
      <c r="D126" s="709">
        <f>-(SUMIF($I$6:$I$113,B126,$J$6:$J$113)-SUMIF($K$6:$K$113,B126,$L$6:$L$113))</f>
        <v>377131011</v>
      </c>
      <c r="E126" s="620" t="b">
        <f>C126=D126</f>
        <v>1</v>
      </c>
      <c r="F126" s="85">
        <f t="shared" si="22"/>
        <v>0</v>
      </c>
      <c r="G126" s="189">
        <f>C126-D126</f>
        <v>0</v>
      </c>
      <c r="M126" s="154" t="s">
        <v>716</v>
      </c>
      <c r="N126" s="78">
        <f t="shared" si="24"/>
        <v>0</v>
      </c>
      <c r="O126" s="155" t="s">
        <v>714</v>
      </c>
      <c r="P126" s="156">
        <f t="shared" si="25"/>
        <v>0</v>
      </c>
      <c r="Q126" s="160" t="s">
        <v>700</v>
      </c>
      <c r="R126" s="707">
        <f t="shared" si="26"/>
        <v>3466400</v>
      </c>
      <c r="S126" s="160" t="s">
        <v>697</v>
      </c>
      <c r="T126" s="712">
        <f t="shared" si="27"/>
        <v>0</v>
      </c>
      <c r="U126" s="158"/>
      <c r="V126" s="83">
        <f t="shared" si="28"/>
        <v>0</v>
      </c>
      <c r="W126" s="161"/>
      <c r="X126" s="83">
        <f t="shared" si="29"/>
        <v>0</v>
      </c>
    </row>
    <row r="127" spans="2:32">
      <c r="B127" s="700" t="s">
        <v>563</v>
      </c>
      <c r="C127" s="701">
        <f>IS_WTB!AD177</f>
        <v>22951731</v>
      </c>
      <c r="D127" s="710">
        <f>SUMIF($I$6:$I$113,B127,$J$6:$J$113)-SUMIF($K$6:$K$113,B127,$L$6:$L$113)</f>
        <v>22951731</v>
      </c>
      <c r="E127" s="620" t="b">
        <f t="shared" si="23"/>
        <v>1</v>
      </c>
      <c r="F127" s="85">
        <f t="shared" si="22"/>
        <v>0</v>
      </c>
      <c r="M127" s="154" t="s">
        <v>577</v>
      </c>
      <c r="N127" s="712">
        <f t="shared" si="24"/>
        <v>0</v>
      </c>
      <c r="O127" s="155" t="s">
        <v>715</v>
      </c>
      <c r="P127" s="711">
        <f t="shared" si="25"/>
        <v>0</v>
      </c>
      <c r="Q127" s="160" t="s">
        <v>903</v>
      </c>
      <c r="R127" s="77">
        <f t="shared" si="26"/>
        <v>0</v>
      </c>
      <c r="S127" s="160" t="s">
        <v>702</v>
      </c>
      <c r="T127" s="77">
        <f t="shared" si="27"/>
        <v>0</v>
      </c>
      <c r="U127" s="158"/>
      <c r="V127" s="83">
        <f t="shared" si="28"/>
        <v>0</v>
      </c>
      <c r="W127" s="161"/>
      <c r="X127" s="83">
        <f t="shared" si="29"/>
        <v>0</v>
      </c>
    </row>
    <row r="128" spans="2:32">
      <c r="B128" s="700" t="s">
        <v>719</v>
      </c>
      <c r="C128" s="701">
        <f>IS_WTB!AD269</f>
        <v>4223891447</v>
      </c>
      <c r="D128" s="710">
        <f>SUMIF($I$6:$I$113,B128,$J$6:$J$113)-SUMIF($K$6:$K$113,B128,$L$6:$L$113)</f>
        <v>4223891447</v>
      </c>
      <c r="E128" s="620" t="b">
        <f t="shared" si="23"/>
        <v>1</v>
      </c>
      <c r="F128" s="85">
        <f t="shared" si="22"/>
        <v>0</v>
      </c>
      <c r="K128" s="85">
        <f>SUM(D118:D143)</f>
        <v>15569637576</v>
      </c>
      <c r="M128" s="154" t="s">
        <v>578</v>
      </c>
      <c r="N128" s="78">
        <f t="shared" si="24"/>
        <v>1600432608</v>
      </c>
      <c r="O128" s="155" t="s">
        <v>717</v>
      </c>
      <c r="P128" s="711">
        <f t="shared" si="25"/>
        <v>0</v>
      </c>
      <c r="Q128" s="160" t="s">
        <v>946</v>
      </c>
      <c r="R128" s="77">
        <f t="shared" si="26"/>
        <v>0</v>
      </c>
      <c r="S128" s="160" t="s">
        <v>703</v>
      </c>
      <c r="T128" s="77">
        <f t="shared" si="27"/>
        <v>0</v>
      </c>
      <c r="U128" s="158"/>
      <c r="V128" s="83">
        <f t="shared" si="28"/>
        <v>0</v>
      </c>
      <c r="W128" s="161"/>
      <c r="X128" s="83">
        <f t="shared" si="29"/>
        <v>0</v>
      </c>
    </row>
    <row r="129" spans="2:24">
      <c r="B129" s="700" t="s">
        <v>1090</v>
      </c>
      <c r="C129" s="701">
        <f>IS_WTB!AD271</f>
        <v>0</v>
      </c>
      <c r="D129" s="710">
        <f>SUMIF($I$6:$I$113,B129,$J$6:$J$113)-SUMIF($K$6:$K$113,B129,$L$6:$L$113)</f>
        <v>0</v>
      </c>
      <c r="E129" s="620" t="b">
        <f t="shared" si="23"/>
        <v>1</v>
      </c>
      <c r="F129" s="85">
        <f t="shared" si="22"/>
        <v>0</v>
      </c>
      <c r="K129" s="85">
        <f>D143+D126+D122</f>
        <v>5630930853</v>
      </c>
      <c r="M129" s="154" t="s">
        <v>892</v>
      </c>
      <c r="N129" s="78">
        <f t="shared" si="24"/>
        <v>57796422027</v>
      </c>
      <c r="O129" s="155" t="s">
        <v>894</v>
      </c>
      <c r="P129" s="708">
        <f t="shared" si="25"/>
        <v>4823130195</v>
      </c>
      <c r="Q129" s="160" t="s">
        <v>1575</v>
      </c>
      <c r="R129" s="77">
        <f t="shared" si="26"/>
        <v>203061741</v>
      </c>
      <c r="S129" s="160" t="s">
        <v>897</v>
      </c>
      <c r="T129" s="712">
        <f t="shared" si="27"/>
        <v>5216171400</v>
      </c>
      <c r="U129" s="158"/>
      <c r="V129" s="83"/>
      <c r="W129" s="161"/>
      <c r="X129" s="83"/>
    </row>
    <row r="130" spans="2:24">
      <c r="B130" s="700" t="s">
        <v>718</v>
      </c>
      <c r="C130" s="701">
        <f>IS_WTB!AD213</f>
        <v>13444</v>
      </c>
      <c r="D130" s="710">
        <f>SUMIF($I$6:$I$113,B130,$J$6:$J$113)-SUMIF($K$6:$K$113,B130,$L$6:$L$113)</f>
        <v>13444</v>
      </c>
      <c r="E130" s="620" t="b">
        <f t="shared" si="23"/>
        <v>1</v>
      </c>
      <c r="F130" s="85">
        <f t="shared" si="22"/>
        <v>0</v>
      </c>
      <c r="K130" s="85">
        <f>K128-K129</f>
        <v>9938706723</v>
      </c>
      <c r="L130" s="85">
        <f>+P125+P138-N143</f>
        <v>1243145500</v>
      </c>
      <c r="M130" s="154" t="s">
        <v>887</v>
      </c>
      <c r="N130" s="712">
        <f t="shared" si="24"/>
        <v>401166759</v>
      </c>
      <c r="O130" s="155" t="s">
        <v>895</v>
      </c>
      <c r="P130" s="156">
        <f t="shared" si="25"/>
        <v>43388190797</v>
      </c>
      <c r="Q130" s="160" t="s">
        <v>1188</v>
      </c>
      <c r="R130" s="77">
        <f t="shared" si="26"/>
        <v>0</v>
      </c>
      <c r="S130" s="160" t="s">
        <v>885</v>
      </c>
      <c r="T130" s="712">
        <f t="shared" si="27"/>
        <v>15361750</v>
      </c>
      <c r="U130" s="158"/>
      <c r="V130" s="83"/>
      <c r="W130" s="161"/>
      <c r="X130" s="83"/>
    </row>
    <row r="131" spans="2:24">
      <c r="B131" s="162" t="s">
        <v>859</v>
      </c>
      <c r="C131" s="163">
        <f>IS_WTB!AD234</f>
        <v>0</v>
      </c>
      <c r="D131" s="572">
        <f>-SUMIF($I$6:$I$113,B131,$J$6:$J$113)+SUMIF($K$6:$K$113,B131,$L$6:$L$113)</f>
        <v>0</v>
      </c>
      <c r="E131" s="620" t="b">
        <f t="shared" ref="E131:E137" si="30">C131=D131</f>
        <v>1</v>
      </c>
      <c r="F131" s="85">
        <f t="shared" si="22"/>
        <v>0</v>
      </c>
      <c r="M131" s="154" t="s">
        <v>893</v>
      </c>
      <c r="N131" s="712">
        <f t="shared" si="24"/>
        <v>0</v>
      </c>
      <c r="O131" s="155" t="s">
        <v>896</v>
      </c>
      <c r="P131" s="711">
        <f t="shared" si="25"/>
        <v>3375535197</v>
      </c>
      <c r="Q131" s="160" t="s">
        <v>1190</v>
      </c>
      <c r="R131" s="77">
        <f t="shared" si="26"/>
        <v>0</v>
      </c>
      <c r="S131" s="160" t="s">
        <v>1465</v>
      </c>
      <c r="T131" s="712">
        <f t="shared" si="27"/>
        <v>0</v>
      </c>
      <c r="U131" s="158"/>
      <c r="V131" s="83"/>
      <c r="W131" s="161"/>
      <c r="X131" s="83"/>
    </row>
    <row r="132" spans="2:24">
      <c r="B132" s="700" t="s">
        <v>860</v>
      </c>
      <c r="C132" s="701">
        <f>IS_WTB!AD253</f>
        <v>7896068844</v>
      </c>
      <c r="D132" s="710">
        <f>SUMIF($I$6:$I$113,B132,$J$6:$J$113)+SUMIF($K$6:$K$113,B132,$L$6:$L$113)</f>
        <v>7896068844</v>
      </c>
      <c r="E132" s="620" t="b">
        <f>C132=D132</f>
        <v>1</v>
      </c>
      <c r="F132" s="85">
        <f t="shared" si="22"/>
        <v>0</v>
      </c>
      <c r="M132" s="154" t="s">
        <v>683</v>
      </c>
      <c r="N132" s="78">
        <f t="shared" si="24"/>
        <v>5416305054</v>
      </c>
      <c r="O132" s="155" t="s">
        <v>1156</v>
      </c>
      <c r="P132" s="156">
        <f t="shared" si="25"/>
        <v>0</v>
      </c>
      <c r="Q132" s="160" t="s">
        <v>1192</v>
      </c>
      <c r="R132" s="77">
        <f t="shared" si="26"/>
        <v>0</v>
      </c>
      <c r="S132" s="160" t="s">
        <v>699</v>
      </c>
      <c r="T132" s="712">
        <f t="shared" si="27"/>
        <v>2194182838</v>
      </c>
      <c r="U132" s="158"/>
      <c r="V132" s="83">
        <f t="shared" ref="V132:V149" si="31">SUMIF($U$6:$U$114,U132,$V$6:$V$114)</f>
        <v>0</v>
      </c>
      <c r="W132" s="161"/>
      <c r="X132" s="83">
        <f t="shared" ref="X132:X149" si="32">SUMIF($W$6:$W$114,W132,$X$6:$X$114)</f>
        <v>0</v>
      </c>
    </row>
    <row r="133" spans="2:24">
      <c r="B133" s="162" t="s">
        <v>834</v>
      </c>
      <c r="C133" s="163">
        <f>IS_WTB!AD235</f>
        <v>3015710090</v>
      </c>
      <c r="D133" s="710">
        <f>SUMIF($I$6:$I$113,B133,$J$6:$J$113)+SUMIF($K$6:$K$113,B133,$L$6:$L$113)</f>
        <v>3015710090</v>
      </c>
      <c r="E133" s="620" t="b">
        <f>C133=D133</f>
        <v>1</v>
      </c>
      <c r="F133" s="85">
        <f t="shared" si="22"/>
        <v>0</v>
      </c>
      <c r="M133" s="154" t="s">
        <v>693</v>
      </c>
      <c r="N133" s="712">
        <f t="shared" si="24"/>
        <v>4949226493</v>
      </c>
      <c r="O133" s="155" t="s">
        <v>861</v>
      </c>
      <c r="P133" s="156">
        <f t="shared" si="25"/>
        <v>0</v>
      </c>
      <c r="Q133" s="160" t="s">
        <v>1229</v>
      </c>
      <c r="R133" s="77">
        <f t="shared" si="26"/>
        <v>0</v>
      </c>
      <c r="S133" s="160" t="s">
        <v>902</v>
      </c>
      <c r="T133" s="707">
        <f t="shared" si="27"/>
        <v>0</v>
      </c>
      <c r="U133" s="158"/>
      <c r="V133" s="83">
        <f t="shared" si="31"/>
        <v>0</v>
      </c>
      <c r="W133" s="161"/>
      <c r="X133" s="83">
        <f t="shared" si="32"/>
        <v>0</v>
      </c>
    </row>
    <row r="134" spans="2:24">
      <c r="B134" s="162" t="s">
        <v>1170</v>
      </c>
      <c r="C134" s="163">
        <f>IS_WTB!AD236</f>
        <v>0</v>
      </c>
      <c r="D134" s="572">
        <f>-SUMIF($I$6:$I$113,B134,$J$6:$J$113)+SUMIF($K$6:$K$113,B134,$L$6:$L$113)</f>
        <v>0</v>
      </c>
      <c r="E134" s="620" t="b">
        <f t="shared" si="30"/>
        <v>1</v>
      </c>
      <c r="F134" s="85">
        <f>C134-D134</f>
        <v>0</v>
      </c>
      <c r="M134" s="154" t="s">
        <v>704</v>
      </c>
      <c r="N134" s="78">
        <f t="shared" si="24"/>
        <v>0</v>
      </c>
      <c r="O134" s="155" t="s">
        <v>865</v>
      </c>
      <c r="P134" s="708">
        <f t="shared" si="25"/>
        <v>105996056</v>
      </c>
      <c r="Q134" s="160" t="s">
        <v>1298</v>
      </c>
      <c r="R134" s="77">
        <f t="shared" si="26"/>
        <v>0</v>
      </c>
      <c r="S134" s="160" t="s">
        <v>864</v>
      </c>
      <c r="T134" s="77">
        <f t="shared" si="27"/>
        <v>0</v>
      </c>
      <c r="U134" s="158"/>
      <c r="V134" s="83">
        <f t="shared" si="31"/>
        <v>0</v>
      </c>
      <c r="W134" s="161"/>
      <c r="X134" s="83">
        <f t="shared" si="32"/>
        <v>0</v>
      </c>
    </row>
    <row r="135" spans="2:24">
      <c r="B135" s="700" t="s">
        <v>1225</v>
      </c>
      <c r="C135" s="701">
        <f>IS_WTB!AD265</f>
        <v>0</v>
      </c>
      <c r="D135" s="710">
        <f>SUMIF($I$6:$I$113,B135,$J$6:$J$113)+SUMIF($K$6:$K$113,B135,$L$6:$L$113)</f>
        <v>0</v>
      </c>
      <c r="E135" s="620" t="b">
        <f t="shared" si="30"/>
        <v>1</v>
      </c>
      <c r="F135" s="85">
        <f t="shared" si="22"/>
        <v>0</v>
      </c>
      <c r="M135" s="154" t="s">
        <v>695</v>
      </c>
      <c r="N135" s="78">
        <f t="shared" si="24"/>
        <v>0</v>
      </c>
      <c r="O135" s="155" t="s">
        <v>869</v>
      </c>
      <c r="P135" s="711">
        <f t="shared" si="25"/>
        <v>0</v>
      </c>
      <c r="Q135" s="160" t="s">
        <v>1289</v>
      </c>
      <c r="R135" s="707">
        <f t="shared" si="26"/>
        <v>996721950</v>
      </c>
      <c r="S135" s="160" t="s">
        <v>1091</v>
      </c>
      <c r="T135" s="77">
        <f t="shared" si="27"/>
        <v>0</v>
      </c>
      <c r="U135" s="159"/>
      <c r="V135" s="83">
        <f t="shared" si="31"/>
        <v>0</v>
      </c>
      <c r="W135" s="161"/>
      <c r="X135" s="83">
        <f t="shared" si="32"/>
        <v>0</v>
      </c>
    </row>
    <row r="136" spans="2:24">
      <c r="B136" s="162" t="s">
        <v>867</v>
      </c>
      <c r="C136" s="163">
        <f>IS_WTB!AD201</f>
        <v>27145533</v>
      </c>
      <c r="D136" s="710">
        <f>-SUMIF($I$6:$I$113,B136,$J$6:$J$113)+SUMIF($K$6:$K$113,B136,$L$6:$L$113)</f>
        <v>27145533</v>
      </c>
      <c r="E136" s="620" t="b">
        <f t="shared" si="30"/>
        <v>1</v>
      </c>
      <c r="F136" s="85">
        <f t="shared" si="22"/>
        <v>0</v>
      </c>
      <c r="M136" s="154" t="s">
        <v>696</v>
      </c>
      <c r="N136" s="78">
        <f t="shared" si="24"/>
        <v>0</v>
      </c>
      <c r="O136" s="155" t="s">
        <v>704</v>
      </c>
      <c r="P136" s="708">
        <f t="shared" si="25"/>
        <v>120882</v>
      </c>
      <c r="Q136" s="160"/>
      <c r="R136" s="77">
        <f t="shared" si="26"/>
        <v>0</v>
      </c>
      <c r="S136" s="160" t="s">
        <v>1187</v>
      </c>
      <c r="T136" s="77">
        <f t="shared" si="27"/>
        <v>0</v>
      </c>
      <c r="U136" s="158"/>
      <c r="V136" s="83">
        <f t="shared" si="31"/>
        <v>0</v>
      </c>
      <c r="W136" s="161"/>
      <c r="X136" s="83">
        <f t="shared" si="32"/>
        <v>0</v>
      </c>
    </row>
    <row r="137" spans="2:24">
      <c r="B137" s="700" t="s">
        <v>425</v>
      </c>
      <c r="C137" s="701">
        <f>IS_WTB!AD248</f>
        <v>603180510</v>
      </c>
      <c r="D137" s="710">
        <f>SUMIF($I$6:$I$113,B137,$J$6:$J$113)-SUMIF($K$6:$K$113,B137,$L$6:$L$113)</f>
        <v>603180510</v>
      </c>
      <c r="E137" s="164" t="b">
        <f t="shared" si="30"/>
        <v>1</v>
      </c>
      <c r="F137" s="85">
        <f t="shared" si="22"/>
        <v>0</v>
      </c>
      <c r="H137" s="732"/>
      <c r="M137" s="154" t="s">
        <v>910</v>
      </c>
      <c r="N137" s="78">
        <f t="shared" si="24"/>
        <v>0</v>
      </c>
      <c r="O137" s="155" t="s">
        <v>1157</v>
      </c>
      <c r="P137" s="156">
        <f t="shared" si="25"/>
        <v>0</v>
      </c>
      <c r="Q137" s="160"/>
      <c r="R137" s="77">
        <f t="shared" si="26"/>
        <v>0</v>
      </c>
      <c r="S137" s="160"/>
      <c r="T137" s="77">
        <f t="shared" si="27"/>
        <v>0</v>
      </c>
      <c r="U137" s="158"/>
      <c r="V137" s="83">
        <f t="shared" si="31"/>
        <v>0</v>
      </c>
      <c r="W137" s="161"/>
      <c r="X137" s="83">
        <f t="shared" si="32"/>
        <v>0</v>
      </c>
    </row>
    <row r="138" spans="2:24">
      <c r="B138" s="162" t="s">
        <v>900</v>
      </c>
      <c r="C138" s="163">
        <f>IS_WTB!AD202</f>
        <v>0</v>
      </c>
      <c r="D138" s="572">
        <f>-SUMIF($I$6:$I$113,B138,$J$6:$J$113)+SUMIF($K$6:$K$113,B138,$L$6:$L$113)</f>
        <v>0</v>
      </c>
      <c r="E138" s="164" t="b">
        <f t="shared" ref="E138:E139" si="33">C138=D138</f>
        <v>1</v>
      </c>
      <c r="F138" s="85">
        <f t="shared" si="22"/>
        <v>0</v>
      </c>
      <c r="M138" s="154" t="s">
        <v>873</v>
      </c>
      <c r="N138" s="711">
        <f t="shared" si="24"/>
        <v>26337136</v>
      </c>
      <c r="O138" s="646" t="s">
        <v>1209</v>
      </c>
      <c r="P138" s="711">
        <f t="shared" si="25"/>
        <v>2389025400</v>
      </c>
      <c r="Q138" s="157"/>
      <c r="R138" s="77">
        <f t="shared" si="26"/>
        <v>0</v>
      </c>
      <c r="S138" s="160"/>
      <c r="T138" s="77">
        <f t="shared" si="27"/>
        <v>0</v>
      </c>
      <c r="U138" s="158"/>
      <c r="V138" s="83">
        <f t="shared" si="31"/>
        <v>0</v>
      </c>
      <c r="W138" s="161"/>
      <c r="X138" s="83">
        <f t="shared" si="32"/>
        <v>0</v>
      </c>
    </row>
    <row r="139" spans="2:24">
      <c r="B139" s="162" t="s">
        <v>1231</v>
      </c>
      <c r="C139" s="163">
        <f>IS_WTB!AD204</f>
        <v>8938835</v>
      </c>
      <c r="D139" s="733">
        <f>-SUMIF($I$6:$I$113,B139,$J$6:$J$113)+SUMIF($K$6:$K$113,B139,$L$6:$L$113)</f>
        <v>8938835</v>
      </c>
      <c r="E139" s="164" t="b">
        <f t="shared" si="33"/>
        <v>1</v>
      </c>
      <c r="F139" s="85">
        <f t="shared" si="22"/>
        <v>0</v>
      </c>
      <c r="M139" s="154" t="s">
        <v>1089</v>
      </c>
      <c r="N139" s="78">
        <f t="shared" si="24"/>
        <v>0</v>
      </c>
      <c r="O139" s="155" t="s">
        <v>1299</v>
      </c>
      <c r="P139" s="156">
        <f t="shared" si="25"/>
        <v>0</v>
      </c>
      <c r="Q139" s="157"/>
      <c r="R139" s="77">
        <f t="shared" si="26"/>
        <v>0</v>
      </c>
      <c r="S139" s="160"/>
      <c r="T139" s="77">
        <f t="shared" si="27"/>
        <v>0</v>
      </c>
      <c r="U139" s="158"/>
      <c r="V139" s="83">
        <f t="shared" si="31"/>
        <v>0</v>
      </c>
      <c r="W139" s="161"/>
      <c r="X139" s="83">
        <f t="shared" si="32"/>
        <v>0</v>
      </c>
    </row>
    <row r="140" spans="2:24">
      <c r="B140" s="700" t="s">
        <v>1232</v>
      </c>
      <c r="C140" s="701">
        <f>IS_WTB!AD220</f>
        <v>288444000</v>
      </c>
      <c r="D140" s="710">
        <f>SUMIF($I$6:$I$113,B140,$J$6:$J$113)+SUMIF($K$6:$K$113,B140,$L$6:$L$113)</f>
        <v>288444000</v>
      </c>
      <c r="E140" s="164" t="b">
        <f>C140=D140</f>
        <v>1</v>
      </c>
      <c r="F140" s="85">
        <f t="shared" si="22"/>
        <v>0</v>
      </c>
      <c r="G140" s="85" t="s">
        <v>1477</v>
      </c>
      <c r="M140" s="154" t="s">
        <v>1297</v>
      </c>
      <c r="N140" s="78">
        <f t="shared" si="24"/>
        <v>0</v>
      </c>
      <c r="O140" s="155" t="s">
        <v>1304</v>
      </c>
      <c r="P140" s="711">
        <f t="shared" si="25"/>
        <v>37029842839</v>
      </c>
      <c r="Q140" s="157"/>
      <c r="R140" s="77">
        <f t="shared" si="26"/>
        <v>0</v>
      </c>
      <c r="S140" s="160"/>
      <c r="T140" s="77">
        <f t="shared" si="27"/>
        <v>0</v>
      </c>
      <c r="U140" s="158"/>
      <c r="V140" s="83">
        <f t="shared" si="31"/>
        <v>0</v>
      </c>
      <c r="W140" s="161"/>
      <c r="X140" s="83">
        <f t="shared" si="32"/>
        <v>0</v>
      </c>
    </row>
    <row r="141" spans="2:24">
      <c r="B141" s="700" t="s">
        <v>1588</v>
      </c>
      <c r="C141" s="701">
        <f>IS_WTB!AA270</f>
        <v>1884079582</v>
      </c>
      <c r="D141" s="710">
        <f>SUMIF($I$6:$I$113,B141,$J$6:$J$113)+SUMIF($K$6:$K$113,B141,$L$6:$L$113)</f>
        <v>1884079582</v>
      </c>
      <c r="E141" s="164" t="b">
        <f>C141=D141</f>
        <v>1</v>
      </c>
      <c r="M141" s="154"/>
      <c r="N141" s="78"/>
      <c r="O141" s="155" t="s">
        <v>1603</v>
      </c>
      <c r="P141" s="711">
        <f t="shared" si="25"/>
        <v>0</v>
      </c>
      <c r="Q141" s="157"/>
      <c r="R141" s="77"/>
      <c r="S141" s="160"/>
      <c r="T141" s="77"/>
      <c r="U141" s="158"/>
      <c r="V141" s="83"/>
      <c r="W141" s="161"/>
      <c r="X141" s="83"/>
    </row>
    <row r="142" spans="2:24">
      <c r="B142" s="162" t="s">
        <v>541</v>
      </c>
      <c r="C142" s="163">
        <f>IS_WTB!AD273</f>
        <v>-36830173936</v>
      </c>
      <c r="D142" s="710">
        <f>SUMIF($I$6:$I$113,B142,$J$6:$J$113)-SUMIF($K$6:$K$113,B142,$L$6:$L$113)</f>
        <v>-36830173936</v>
      </c>
      <c r="E142" s="164" t="b">
        <f>C142=D142</f>
        <v>1</v>
      </c>
      <c r="F142" s="85">
        <f t="shared" si="22"/>
        <v>0</v>
      </c>
      <c r="M142" s="154" t="s">
        <v>1317</v>
      </c>
      <c r="N142" s="78">
        <f t="shared" si="24"/>
        <v>0</v>
      </c>
      <c r="O142" s="155" t="s">
        <v>685</v>
      </c>
      <c r="P142" s="156">
        <f t="shared" si="25"/>
        <v>0</v>
      </c>
      <c r="Q142" s="157"/>
      <c r="R142" s="77">
        <f t="shared" si="26"/>
        <v>0</v>
      </c>
      <c r="S142" s="160"/>
      <c r="T142" s="77">
        <f t="shared" si="27"/>
        <v>0</v>
      </c>
      <c r="U142" s="158"/>
      <c r="V142" s="83">
        <f t="shared" si="31"/>
        <v>0</v>
      </c>
      <c r="W142" s="161"/>
      <c r="X142" s="83">
        <f t="shared" si="32"/>
        <v>0</v>
      </c>
    </row>
    <row r="143" spans="2:24">
      <c r="B143" s="162" t="s">
        <v>1311</v>
      </c>
      <c r="C143" s="163">
        <f>IS_WTB!AD238</f>
        <v>4719565041</v>
      </c>
      <c r="D143" s="710">
        <f>-SUMIF($I$6:$I$113,B143,$J$6:$J$113)+SUMIF($K$6:$K$113,B143,$L$6:$L$113)</f>
        <v>4719565041</v>
      </c>
      <c r="E143" s="164" t="b">
        <f>C143=D143</f>
        <v>1</v>
      </c>
      <c r="F143" s="85">
        <f t="shared" si="22"/>
        <v>0</v>
      </c>
      <c r="G143" s="85" t="s">
        <v>1476</v>
      </c>
      <c r="M143" s="645" t="s">
        <v>1329</v>
      </c>
      <c r="N143" s="712">
        <f t="shared" si="24"/>
        <v>1145879900</v>
      </c>
      <c r="O143" s="155" t="s">
        <v>1328</v>
      </c>
      <c r="P143" s="156">
        <f t="shared" si="25"/>
        <v>0</v>
      </c>
      <c r="Q143" s="157"/>
      <c r="R143" s="77">
        <f t="shared" si="26"/>
        <v>0</v>
      </c>
      <c r="S143" s="160"/>
      <c r="T143" s="77">
        <f t="shared" si="27"/>
        <v>0</v>
      </c>
      <c r="U143" s="158"/>
      <c r="V143" s="83">
        <f t="shared" si="31"/>
        <v>0</v>
      </c>
      <c r="W143" s="161"/>
      <c r="X143" s="83">
        <f t="shared" si="32"/>
        <v>0</v>
      </c>
    </row>
    <row r="144" spans="2:24" ht="14.25" thickBot="1">
      <c r="B144" s="702" t="s">
        <v>1287</v>
      </c>
      <c r="C144" s="703">
        <f>IS_WTB!AA254</f>
        <v>0</v>
      </c>
      <c r="D144" s="704">
        <f>SUMIF($I$6:$I$113,B144,$J$6:$J$113)-SUMIF($K$6:$K$113,B144,$L$6:$L$113)</f>
        <v>0</v>
      </c>
      <c r="E144" s="621" t="b">
        <f>C144=D144</f>
        <v>1</v>
      </c>
      <c r="F144" s="85">
        <f t="shared" si="22"/>
        <v>0</v>
      </c>
      <c r="M144" s="154" t="s">
        <v>1356</v>
      </c>
      <c r="N144" s="712">
        <f t="shared" si="24"/>
        <v>0</v>
      </c>
      <c r="O144" s="642" t="s">
        <v>1327</v>
      </c>
      <c r="P144" s="711">
        <f t="shared" si="25"/>
        <v>0</v>
      </c>
      <c r="Q144" s="157"/>
      <c r="R144" s="77">
        <f t="shared" si="26"/>
        <v>0</v>
      </c>
      <c r="S144" s="160"/>
      <c r="T144" s="77">
        <f t="shared" si="27"/>
        <v>0</v>
      </c>
      <c r="U144" s="158"/>
      <c r="V144" s="83">
        <f t="shared" si="31"/>
        <v>0</v>
      </c>
      <c r="W144" s="161"/>
      <c r="X144" s="83">
        <f t="shared" si="32"/>
        <v>0</v>
      </c>
    </row>
    <row r="145" spans="2:24" ht="14.25" thickBot="1">
      <c r="B145" s="165"/>
      <c r="C145" s="166"/>
      <c r="D145" s="167">
        <f>SUM(D118:D144)-(J116+L116-J112)</f>
        <v>0</v>
      </c>
      <c r="E145" s="165">
        <f>D145/2</f>
        <v>0</v>
      </c>
      <c r="M145" s="154"/>
      <c r="N145" s="78">
        <f t="shared" si="24"/>
        <v>0</v>
      </c>
      <c r="O145" s="155" t="s">
        <v>1562</v>
      </c>
      <c r="P145" s="156">
        <f t="shared" si="25"/>
        <v>2797912399</v>
      </c>
      <c r="Q145" s="157"/>
      <c r="R145" s="77">
        <f t="shared" si="26"/>
        <v>0</v>
      </c>
      <c r="S145" s="160"/>
      <c r="T145" s="77">
        <f t="shared" si="27"/>
        <v>0</v>
      </c>
      <c r="U145" s="158"/>
      <c r="V145" s="83">
        <f t="shared" si="31"/>
        <v>0</v>
      </c>
      <c r="W145" s="161"/>
      <c r="X145" s="83">
        <f t="shared" si="32"/>
        <v>0</v>
      </c>
    </row>
    <row r="146" spans="2:24">
      <c r="B146" s="168" t="s">
        <v>555</v>
      </c>
      <c r="C146" s="169"/>
      <c r="D146" s="170">
        <f>SUM(J117:AF117)</f>
        <v>8058629106</v>
      </c>
      <c r="E146" s="166"/>
      <c r="F146" s="134" t="s">
        <v>591</v>
      </c>
      <c r="G146" s="171"/>
      <c r="M146" s="154"/>
      <c r="N146" s="78">
        <f t="shared" si="24"/>
        <v>0</v>
      </c>
      <c r="O146" s="155"/>
      <c r="P146" s="156">
        <f t="shared" si="25"/>
        <v>0</v>
      </c>
      <c r="Q146" s="157"/>
      <c r="R146" s="77">
        <f t="shared" si="26"/>
        <v>0</v>
      </c>
      <c r="S146" s="160"/>
      <c r="T146" s="77">
        <f t="shared" si="27"/>
        <v>0</v>
      </c>
      <c r="U146" s="158"/>
      <c r="V146" s="83">
        <f t="shared" si="31"/>
        <v>0</v>
      </c>
      <c r="W146" s="161"/>
      <c r="X146" s="83">
        <f t="shared" si="32"/>
        <v>0</v>
      </c>
    </row>
    <row r="147" spans="2:24" ht="14.25" thickBot="1">
      <c r="B147" s="172" t="s">
        <v>556</v>
      </c>
      <c r="C147" s="165"/>
      <c r="D147" s="173">
        <f>E7</f>
        <v>44572518747</v>
      </c>
      <c r="E147" s="166"/>
      <c r="F147" s="143" t="s">
        <v>590</v>
      </c>
      <c r="G147" s="174">
        <f>SUMIF($AA$5:$AA$114,F147,AB5:AB114)</f>
        <v>486515600</v>
      </c>
      <c r="M147" s="154"/>
      <c r="N147" s="78">
        <f t="shared" si="24"/>
        <v>0</v>
      </c>
      <c r="O147" s="155"/>
      <c r="P147" s="156">
        <f t="shared" si="25"/>
        <v>0</v>
      </c>
      <c r="Q147" s="157"/>
      <c r="R147" s="77">
        <f t="shared" si="26"/>
        <v>0</v>
      </c>
      <c r="S147" s="160"/>
      <c r="T147" s="77">
        <f t="shared" si="27"/>
        <v>0</v>
      </c>
      <c r="U147" s="158"/>
      <c r="V147" s="83">
        <f t="shared" si="31"/>
        <v>0</v>
      </c>
      <c r="W147" s="161"/>
      <c r="X147" s="83">
        <f t="shared" si="32"/>
        <v>0</v>
      </c>
    </row>
    <row r="148" spans="2:24">
      <c r="B148" s="172" t="s">
        <v>557</v>
      </c>
      <c r="C148" s="165"/>
      <c r="D148" s="173">
        <f>-J7+L7</f>
        <v>372339715</v>
      </c>
      <c r="E148" s="166"/>
      <c r="F148" s="165"/>
      <c r="G148" s="165"/>
      <c r="M148" s="154"/>
      <c r="N148" s="78">
        <f t="shared" si="24"/>
        <v>0</v>
      </c>
      <c r="O148" s="155"/>
      <c r="P148" s="156">
        <f t="shared" si="25"/>
        <v>0</v>
      </c>
      <c r="Q148" s="157"/>
      <c r="R148" s="77">
        <f t="shared" si="26"/>
        <v>0</v>
      </c>
      <c r="S148" s="160"/>
      <c r="T148" s="77">
        <f t="shared" si="27"/>
        <v>0</v>
      </c>
      <c r="U148" s="158"/>
      <c r="V148" s="83">
        <f t="shared" si="31"/>
        <v>0</v>
      </c>
      <c r="W148" s="161"/>
      <c r="X148" s="83">
        <f t="shared" si="32"/>
        <v>0</v>
      </c>
    </row>
    <row r="149" spans="2:24" ht="14.25" thickBot="1">
      <c r="B149" s="172" t="s">
        <v>558</v>
      </c>
      <c r="C149" s="165"/>
      <c r="D149" s="173">
        <f>SUM(D146:D148)</f>
        <v>53003487568</v>
      </c>
      <c r="E149" s="175"/>
      <c r="F149" s="175" t="s">
        <v>764</v>
      </c>
      <c r="G149" s="175"/>
      <c r="M149" s="154" t="s">
        <v>712</v>
      </c>
      <c r="N149" s="78">
        <f t="shared" si="24"/>
        <v>0</v>
      </c>
      <c r="O149" s="155"/>
      <c r="P149" s="156">
        <f t="shared" si="25"/>
        <v>0</v>
      </c>
      <c r="Q149" s="157"/>
      <c r="R149" s="77">
        <f t="shared" si="26"/>
        <v>0</v>
      </c>
      <c r="S149" s="160"/>
      <c r="T149" s="77">
        <f t="shared" si="27"/>
        <v>0</v>
      </c>
      <c r="U149" s="158"/>
      <c r="V149" s="83">
        <f t="shared" si="31"/>
        <v>0</v>
      </c>
      <c r="W149" s="161"/>
      <c r="X149" s="83">
        <f t="shared" si="32"/>
        <v>0</v>
      </c>
    </row>
    <row r="150" spans="2:24" ht="14.25" thickBot="1">
      <c r="B150" s="172" t="s">
        <v>559</v>
      </c>
      <c r="C150" s="165"/>
      <c r="D150" s="173">
        <f>F7</f>
        <v>53003487568</v>
      </c>
      <c r="E150" s="175"/>
      <c r="F150" s="439" t="s">
        <v>538</v>
      </c>
      <c r="G150" s="440">
        <f>BS_WTB!AE64</f>
        <v>510285999</v>
      </c>
      <c r="H150" s="308" t="s">
        <v>539</v>
      </c>
      <c r="I150" s="309"/>
      <c r="J150" s="85" t="s">
        <v>547</v>
      </c>
      <c r="M150" s="179" t="s">
        <v>589</v>
      </c>
      <c r="N150" s="180">
        <f>SUM(N121:N149)</f>
        <v>71339389129</v>
      </c>
      <c r="O150" s="179" t="s">
        <v>589</v>
      </c>
      <c r="P150" s="180">
        <f>SUM(P121:P149)</f>
        <v>94834958061</v>
      </c>
      <c r="Q150" s="179" t="s">
        <v>589</v>
      </c>
      <c r="R150" s="180">
        <f>SUM(R121:R149)</f>
        <v>138155459122</v>
      </c>
      <c r="S150" s="179" t="s">
        <v>589</v>
      </c>
      <c r="T150" s="180">
        <f>SUM(T121:T149)</f>
        <v>12470389027</v>
      </c>
      <c r="U150" s="179" t="s">
        <v>589</v>
      </c>
      <c r="V150" s="180">
        <f>SUM(V121:V149)</f>
        <v>0</v>
      </c>
      <c r="W150" s="179" t="s">
        <v>589</v>
      </c>
      <c r="X150" s="180">
        <f>SUM(X121:X149)</f>
        <v>16744713730</v>
      </c>
    </row>
    <row r="151" spans="2:24" ht="14.25" thickBot="1">
      <c r="B151" s="176"/>
      <c r="C151" s="177"/>
      <c r="D151" s="178">
        <f>D149-D150</f>
        <v>0</v>
      </c>
      <c r="E151" s="175"/>
      <c r="F151" s="441"/>
      <c r="G151" s="198"/>
      <c r="H151" s="120" t="s">
        <v>535</v>
      </c>
      <c r="I151" s="310">
        <f>IS_WTB!AD229</f>
        <v>513905151</v>
      </c>
    </row>
    <row r="152" spans="2:24">
      <c r="F152" s="441" t="s">
        <v>537</v>
      </c>
      <c r="G152" s="198">
        <f>I151-G150</f>
        <v>3619152</v>
      </c>
      <c r="H152" s="120" t="s">
        <v>537</v>
      </c>
      <c r="I152" s="310"/>
    </row>
    <row r="153" spans="2:24">
      <c r="B153" s="85" t="s">
        <v>853</v>
      </c>
      <c r="F153" s="437"/>
      <c r="G153" s="216">
        <f>SUM(G150:G152)</f>
        <v>513905151</v>
      </c>
      <c r="H153" s="121"/>
      <c r="I153" s="312">
        <f>SUM(I150:I152)</f>
        <v>513905151</v>
      </c>
      <c r="N153" s="85">
        <f>N150-P150</f>
        <v>-23495568932</v>
      </c>
      <c r="R153" s="85">
        <f>R150-T150</f>
        <v>125685070095</v>
      </c>
      <c r="V153" s="85">
        <f>V150-X150</f>
        <v>-16744713730</v>
      </c>
    </row>
    <row r="154" spans="2:24">
      <c r="B154" s="120" t="s">
        <v>854</v>
      </c>
      <c r="C154" s="120" t="b">
        <f>F5=BS_WTB!AD4</f>
        <v>1</v>
      </c>
      <c r="D154" s="120">
        <f>F5-BS_WTB!AD4</f>
        <v>0</v>
      </c>
      <c r="F154" s="311"/>
      <c r="G154" s="121"/>
      <c r="H154" s="121"/>
      <c r="I154" s="312"/>
      <c r="N154" s="85">
        <f>N143-P138-P125</f>
        <v>-1243145500</v>
      </c>
    </row>
    <row r="155" spans="2:24" ht="14.25" thickBot="1">
      <c r="B155" s="120" t="s">
        <v>855</v>
      </c>
      <c r="C155" s="209" t="b">
        <f>F71=BS_WTB!AD159</f>
        <v>1</v>
      </c>
      <c r="D155" s="120">
        <f>F71-BS_WTB!AD159</f>
        <v>0</v>
      </c>
      <c r="F155" s="313"/>
      <c r="G155" s="314"/>
      <c r="H155" s="314"/>
      <c r="I155" s="315">
        <f>I153-G153</f>
        <v>0</v>
      </c>
    </row>
    <row r="156" spans="2:24">
      <c r="B156" s="120" t="s">
        <v>856</v>
      </c>
      <c r="C156" s="209" t="b">
        <f>F101=BS_WTB!AD267</f>
        <v>1</v>
      </c>
      <c r="D156" s="120">
        <f>F101-BS_WTB!AD267</f>
        <v>0</v>
      </c>
    </row>
    <row r="158" spans="2:24" ht="14.25" thickBot="1">
      <c r="F158" s="175" t="s">
        <v>765</v>
      </c>
    </row>
    <row r="159" spans="2:24">
      <c r="F159" s="191" t="s">
        <v>766</v>
      </c>
      <c r="G159" s="192"/>
      <c r="H159" s="192" t="s">
        <v>767</v>
      </c>
      <c r="I159" s="193"/>
    </row>
    <row r="160" spans="2:24">
      <c r="B160" s="217" t="s">
        <v>898</v>
      </c>
      <c r="C160" s="218">
        <f>SUM(D118:D121,D123:D125,D127:D130,D137,D142)</f>
        <v>-3181680161</v>
      </c>
      <c r="D160" s="219"/>
      <c r="F160" s="194" t="s">
        <v>425</v>
      </c>
      <c r="G160" s="120">
        <f>J76</f>
        <v>120882</v>
      </c>
      <c r="H160" s="198"/>
      <c r="I160" s="442"/>
    </row>
    <row r="161" spans="2:12">
      <c r="B161" s="220" t="s">
        <v>899</v>
      </c>
      <c r="C161" s="221">
        <f>-SUM(D122,D126,D131,D136,D138)</f>
        <v>-938511345</v>
      </c>
      <c r="D161" s="222"/>
      <c r="F161" s="197" t="s">
        <v>537</v>
      </c>
      <c r="G161" s="198"/>
      <c r="H161" s="198" t="s">
        <v>537</v>
      </c>
      <c r="I161" s="442">
        <v>284420</v>
      </c>
    </row>
    <row r="162" spans="2:12">
      <c r="F162" s="195"/>
      <c r="G162" s="121">
        <f>SUM(G159:G161)</f>
        <v>120882</v>
      </c>
      <c r="H162" s="216"/>
      <c r="I162" s="127">
        <f>SUM(I159:I161)</f>
        <v>284420</v>
      </c>
    </row>
    <row r="163" spans="2:12">
      <c r="F163" s="195"/>
      <c r="G163" s="121"/>
      <c r="H163" s="121"/>
      <c r="I163" s="196"/>
      <c r="L163" s="85" t="s">
        <v>1586</v>
      </c>
    </row>
    <row r="164" spans="2:12" ht="14.25" thickBot="1">
      <c r="F164" s="143"/>
      <c r="G164" s="144"/>
      <c r="H164" s="144"/>
      <c r="I164" s="174">
        <f>I162-G162</f>
        <v>163538</v>
      </c>
    </row>
    <row r="166" spans="2:12" ht="14.25" thickBot="1">
      <c r="F166" s="175" t="s">
        <v>768</v>
      </c>
    </row>
    <row r="167" spans="2:12">
      <c r="F167" s="134"/>
      <c r="G167" s="136"/>
      <c r="H167" s="136"/>
      <c r="I167" s="171"/>
    </row>
    <row r="168" spans="2:12">
      <c r="F168" s="195"/>
      <c r="G168" s="121"/>
      <c r="H168" s="121"/>
      <c r="I168" s="196"/>
    </row>
    <row r="169" spans="2:12">
      <c r="F169" s="195"/>
      <c r="G169" s="121"/>
      <c r="H169" s="121"/>
      <c r="I169" s="196"/>
    </row>
    <row r="170" spans="2:12" ht="14.25" thickBot="1">
      <c r="F170" s="143"/>
      <c r="G170" s="144"/>
      <c r="H170" s="144"/>
      <c r="I170" s="174"/>
    </row>
  </sheetData>
  <mergeCells count="27">
    <mergeCell ref="F2:F3"/>
    <mergeCell ref="Y2:AB2"/>
    <mergeCell ref="Y3:Z3"/>
    <mergeCell ref="AA3:AB3"/>
    <mergeCell ref="AC2:AF2"/>
    <mergeCell ref="I3:J3"/>
    <mergeCell ref="K3:L3"/>
    <mergeCell ref="M3:P3"/>
    <mergeCell ref="Q3:R3"/>
    <mergeCell ref="AE3:AF3"/>
    <mergeCell ref="AC3:AD3"/>
    <mergeCell ref="A48:A51"/>
    <mergeCell ref="M120:P120"/>
    <mergeCell ref="Q120:T120"/>
    <mergeCell ref="U120:X120"/>
    <mergeCell ref="S3:T3"/>
    <mergeCell ref="U3:V3"/>
    <mergeCell ref="W3:X3"/>
    <mergeCell ref="H2:H3"/>
    <mergeCell ref="I2:P2"/>
    <mergeCell ref="Q2:T2"/>
    <mergeCell ref="U2:X2"/>
    <mergeCell ref="G2:G3"/>
    <mergeCell ref="B2:B3"/>
    <mergeCell ref="C2:C3"/>
    <mergeCell ref="D2:D3"/>
    <mergeCell ref="E2:E3"/>
  </mergeCells>
  <phoneticPr fontId="2" type="noConversion"/>
  <conditionalFormatting sqref="Y118:XFD119 Y120:Z121 A30:H32 A1:XFD6 Y124:Z131 U123:U141 W123:W141 V123:V149 C154:J154 B146:J153 B155:J159 B160:D161 F160:J161 K145:K171 B162:J166 A60:B61 AG7:XFD15 M151:Z155 M150:T150 B167:E171 AN16:XFD28 Y136:Z150 M156 P156:Z156 K23:M23 O24:AH24 AG16:AH22 Z132:Z135 M137 I24:M24 A23:G24 A25:AH26 A28:AH28 A27:X27 AC27:AH27 M157:Z1048576 AA55:AB55 K58:AB58 T35:AF36 Y37:AB37 W37 K57:R57 V57:AA57 X122:X149 AA56 A88:H100 A71:G72 A33:G33 A101:G101 A114:AD114 A12:A13 D13:H13 B172:K1048576 N98 M97:N97 A87:G87 A139:C141 AA120:XFD120 L145:L1048576 A39:H48 Q138 S130 Q139:T141 Q119:Q121 B134:E137 AD121:XFD125 B49:H51 A142:A1048576 B142:E145 A7:H11 A102:H113 M120:M122 S121 M131:M132 O121:O122 A52:H59 I52:J53 A62:H70 I68:AF72 Y60:Z60 Y61 AB61 O23:X23 Z23:AH23 AA126:XFD1048576 A14:H18 D60:H61 A73:H86 AE123:AF143 A134:A138 A118:E131 A21:H22 A19:A20 AA121:AB125 A132:C133 E132:E133 G120:L133 G119:M119 G118:T118 F118:F144 A115:XFD117 AG95:XFD114 AK94:XFD94 AG94:AI94 I62:AF66 F134:L144 AG30:XFD40 AG44:XFD93 AG42:AH43 AG41:AI41 AJ41:XFD43">
    <cfRule type="containsText" dxfId="240" priority="353" operator="containsText" text="false">
      <formula>NOT(ISERROR(SEARCH("false",A1)))</formula>
    </cfRule>
  </conditionalFormatting>
  <conditionalFormatting sqref="M145:T149 M144 Q142:T144">
    <cfRule type="containsText" dxfId="239" priority="352" operator="containsText" text="false">
      <formula>NOT(ISERROR(SEARCH("false",M142)))</formula>
    </cfRule>
  </conditionalFormatting>
  <conditionalFormatting sqref="A118:A137">
    <cfRule type="containsText" dxfId="238" priority="351" operator="containsText" text="비">
      <formula>NOT(ISERROR(SEARCH("비",A118)))</formula>
    </cfRule>
  </conditionalFormatting>
  <conditionalFormatting sqref="U119 U121:X121 U118:X118 U150:X150 U122 W122">
    <cfRule type="containsText" dxfId="237" priority="350" operator="containsText" text="false">
      <formula>NOT(ISERROR(SEARCH("false",U118)))</formula>
    </cfRule>
  </conditionalFormatting>
  <conditionalFormatting sqref="U142:U149 W142:W149">
    <cfRule type="containsText" dxfId="236" priority="349" operator="containsText" text="false">
      <formula>NOT(ISERROR(SEARCH("false",U142)))</formula>
    </cfRule>
  </conditionalFormatting>
  <conditionalFormatting sqref="U120">
    <cfRule type="containsText" dxfId="235" priority="348" operator="containsText" text="false">
      <formula>NOT(ISERROR(SEARCH("false",U120)))</formula>
    </cfRule>
  </conditionalFormatting>
  <conditionalFormatting sqref="A34:F36 A37:D38">
    <cfRule type="containsText" dxfId="234" priority="347" operator="containsText" text="false">
      <formula>NOT(ISERROR(SEARCH("false",A34)))</formula>
    </cfRule>
  </conditionalFormatting>
  <conditionalFormatting sqref="G35:G36">
    <cfRule type="containsText" dxfId="233" priority="344" operator="containsText" text="false">
      <formula>NOT(ISERROR(SEARCH("false",G35)))</formula>
    </cfRule>
  </conditionalFormatting>
  <conditionalFormatting sqref="G34">
    <cfRule type="containsText" dxfId="232" priority="343" operator="containsText" text="false">
      <formula>NOT(ISERROR(SEARCH("false",G34)))</formula>
    </cfRule>
  </conditionalFormatting>
  <conditionalFormatting sqref="H35:H36">
    <cfRule type="containsText" dxfId="231" priority="342" operator="containsText" text="false">
      <formula>NOT(ISERROR(SEARCH("false",H35)))</formula>
    </cfRule>
  </conditionalFormatting>
  <conditionalFormatting sqref="H34">
    <cfRule type="containsText" dxfId="230" priority="341" operator="containsText" text="false">
      <formula>NOT(ISERROR(SEARCH("false",H34)))</formula>
    </cfRule>
  </conditionalFormatting>
  <conditionalFormatting sqref="H30:H32 H25:H28 H88:H100 H34:H36 H7:H11 H102:H114 H13:H18 H39:H70 H73:H86 H21:H22">
    <cfRule type="cellIs" dxfId="229" priority="340" operator="equal">
      <formula>0</formula>
    </cfRule>
  </conditionalFormatting>
  <conditionalFormatting sqref="E37:F37">
    <cfRule type="containsText" dxfId="228" priority="339" operator="containsText" text="false">
      <formula>NOT(ISERROR(SEARCH("false",E37)))</formula>
    </cfRule>
  </conditionalFormatting>
  <conditionalFormatting sqref="G37">
    <cfRule type="containsText" dxfId="227" priority="338" operator="containsText" text="false">
      <formula>NOT(ISERROR(SEARCH("false",G37)))</formula>
    </cfRule>
  </conditionalFormatting>
  <conditionalFormatting sqref="H37">
    <cfRule type="containsText" dxfId="226" priority="337" operator="containsText" text="false">
      <formula>NOT(ISERROR(SEARCH("false",H37)))</formula>
    </cfRule>
  </conditionalFormatting>
  <conditionalFormatting sqref="H37">
    <cfRule type="cellIs" dxfId="225" priority="336" operator="equal">
      <formula>0</formula>
    </cfRule>
  </conditionalFormatting>
  <conditionalFormatting sqref="AN29:XFD29 A29:H29 AG29:AH29">
    <cfRule type="containsText" dxfId="224" priority="334" operator="containsText" text="false">
      <formula>NOT(ISERROR(SEARCH("false",A29)))</formula>
    </cfRule>
  </conditionalFormatting>
  <conditionalFormatting sqref="H29">
    <cfRule type="cellIs" dxfId="223" priority="333" operator="equal">
      <formula>0</formula>
    </cfRule>
  </conditionalFormatting>
  <conditionalFormatting sqref="X122">
    <cfRule type="containsText" dxfId="222" priority="331" operator="containsText" text="false">
      <formula>NOT(ISERROR(SEARCH("false",X122)))</formula>
    </cfRule>
  </conditionalFormatting>
  <conditionalFormatting sqref="B138:C138">
    <cfRule type="containsText" dxfId="221" priority="330" operator="containsText" text="false">
      <formula>NOT(ISERROR(SEARCH("false",B138)))</formula>
    </cfRule>
  </conditionalFormatting>
  <conditionalFormatting sqref="D138:D141">
    <cfRule type="containsText" dxfId="220" priority="329" operator="containsText" text="false">
      <formula>NOT(ISERROR(SEARCH("false",D138)))</formula>
    </cfRule>
  </conditionalFormatting>
  <conditionalFormatting sqref="X124">
    <cfRule type="containsText" dxfId="219" priority="328" operator="containsText" text="false">
      <formula>NOT(ISERROR(SEARCH("false",X124)))</formula>
    </cfRule>
  </conditionalFormatting>
  <conditionalFormatting sqref="E138:E141">
    <cfRule type="containsText" dxfId="218" priority="312" operator="containsText" text="false">
      <formula>NOT(ISERROR(SEARCH("false",E138)))</formula>
    </cfRule>
  </conditionalFormatting>
  <conditionalFormatting sqref="M50:P50 I77:J77 K42:AF44 Q39:R39 K48:AA48 V47:AA47 V46:W46 AC47:AE49 I108:W109 I105:Y107 AA105:AF107 AD56 I91:AF91 AE90:AF90 I30:N30 Q30:AF30 I31:AF33 I40:L41 O41:AF41 I92:AB92 AE92:AF92 I81:L83 O81:AF83 K45:W45 AD45:AD46 K46:O47 K52:AF53 X55:Z56 AC55:AE55 AC55:AC56 AC57:AF58 I73:M73 Q76:AF76 L77:AF77 I78:L78 Q78:AF78 I21:Z21 I113:AF113 AC50:AD50 I74:AF75 I7:X7 T39:Y39 AA39:AF39 K55:Z55 K56:R56 Q73:X73 K54:AE54 S50 T51:AF51 K49:P49 S49:AA49 K51:O51 V56:W56 Y108:AF109 AC7:AF7 O73 U50:Z50 AC21:AE21 J67:Z67 AC67 AA73:AF73 AE67:AF67 I110:AA112 AD112:AF112 K60:X61 K59 AA60:AF61 I85:AF89 I79:AF80 M59:AF59 I90:X90 Q40:AF40 I100:AF104">
    <cfRule type="containsText" dxfId="217" priority="305" operator="containsText" text="false">
      <formula>NOT(ISERROR(SEARCH("false",I7)))</formula>
    </cfRule>
  </conditionalFormatting>
  <conditionalFormatting sqref="K36:R36 I37:R38 U37:AF38 K35:P35 R35">
    <cfRule type="containsText" dxfId="216" priority="304" operator="containsText" text="false">
      <formula>NOT(ISERROR(SEARCH("false",I35)))</formula>
    </cfRule>
  </conditionalFormatting>
  <conditionalFormatting sqref="S39">
    <cfRule type="containsText" dxfId="215" priority="303" operator="containsText" text="false">
      <formula>NOT(ISERROR(SEARCH("false",S39)))</formula>
    </cfRule>
  </conditionalFormatting>
  <conditionalFormatting sqref="S35:S36">
    <cfRule type="containsText" dxfId="214" priority="302" operator="containsText" text="false">
      <formula>NOT(ISERROR(SEARCH("false",S35)))</formula>
    </cfRule>
  </conditionalFormatting>
  <conditionalFormatting sqref="K77">
    <cfRule type="containsText" dxfId="213" priority="301" operator="containsText" text="false">
      <formula>NOT(ISERROR(SEARCH("false",K77)))</formula>
    </cfRule>
  </conditionalFormatting>
  <conditionalFormatting sqref="I29:N29 Q29:X29 AA29:AF29">
    <cfRule type="containsText" dxfId="212" priority="300" operator="containsText" text="false">
      <formula>NOT(ISERROR(SEARCH("false",I29)))</formula>
    </cfRule>
  </conditionalFormatting>
  <conditionalFormatting sqref="M39:N41">
    <cfRule type="containsText" dxfId="211" priority="264" operator="containsText" text="false">
      <formula>NOT(ISERROR(SEARCH("false",M39)))</formula>
    </cfRule>
  </conditionalFormatting>
  <conditionalFormatting sqref="K39">
    <cfRule type="containsText" dxfId="210" priority="265" operator="containsText" text="false">
      <formula>NOT(ISERROR(SEARCH("false",K39)))</formula>
    </cfRule>
  </conditionalFormatting>
  <conditionalFormatting sqref="AB47:AB49">
    <cfRule type="containsText" dxfId="209" priority="292" operator="containsText" text="false">
      <formula>NOT(ISERROR(SEARCH("false",AB47)))</formula>
    </cfRule>
  </conditionalFormatting>
  <conditionalFormatting sqref="AF47:AF49">
    <cfRule type="containsText" dxfId="208" priority="291" operator="containsText" text="false">
      <formula>NOT(ISERROR(SEARCH("false",AF47)))</formula>
    </cfRule>
  </conditionalFormatting>
  <conditionalFormatting sqref="AB93">
    <cfRule type="containsText" dxfId="207" priority="258" operator="containsText" text="false">
      <formula>NOT(ISERROR(SEARCH("false",AB93)))</formula>
    </cfRule>
  </conditionalFormatting>
  <conditionalFormatting sqref="I23:J23">
    <cfRule type="containsText" dxfId="206" priority="273" operator="containsText" text="false">
      <formula>NOT(ISERROR(SEARCH("false",I23)))</formula>
    </cfRule>
  </conditionalFormatting>
  <conditionalFormatting sqref="I39:J39">
    <cfRule type="containsText" dxfId="205" priority="285" operator="containsText" text="false">
      <formula>NOT(ISERROR(SEARCH("false",I39)))</formula>
    </cfRule>
  </conditionalFormatting>
  <conditionalFormatting sqref="Z106">
    <cfRule type="containsText" dxfId="204" priority="247" operator="containsText" text="false">
      <formula>NOT(ISERROR(SEARCH("false",Z106)))</formula>
    </cfRule>
  </conditionalFormatting>
  <conditionalFormatting sqref="I84:X84 AA84:AB84 AE84:AF84">
    <cfRule type="containsText" dxfId="203" priority="282" operator="containsText" text="false">
      <formula>NOT(ISERROR(SEARCH("false",I84)))</formula>
    </cfRule>
  </conditionalFormatting>
  <conditionalFormatting sqref="Q95:AA96 I99:AC99 Q93:AA93 I93:N93 Q94:AB94 I96:L98 K94:L95 Q97:AC98 AE97:AF99">
    <cfRule type="containsText" dxfId="202" priority="281" operator="containsText" text="false">
      <formula>NOT(ISERROR(SEARCH("false",I93)))</formula>
    </cfRule>
  </conditionalFormatting>
  <conditionalFormatting sqref="AC92:AD92">
    <cfRule type="containsText" dxfId="201" priority="259" operator="containsText" text="false">
      <formula>NOT(ISERROR(SEARCH("false",AC92)))</formula>
    </cfRule>
  </conditionalFormatting>
  <conditionalFormatting sqref="AB95">
    <cfRule type="containsText" dxfId="200" priority="278" operator="containsText" text="false">
      <formula>NOT(ISERROR(SEARCH("false",AB95)))</formula>
    </cfRule>
  </conditionalFormatting>
  <conditionalFormatting sqref="O93:P93">
    <cfRule type="containsText" dxfId="199" priority="257" operator="containsText" text="false">
      <formula>NOT(ISERROR(SEARCH("false",O93)))</formula>
    </cfRule>
  </conditionalFormatting>
  <conditionalFormatting sqref="N23:N24">
    <cfRule type="containsText" dxfId="198" priority="272" operator="containsText" text="false">
      <formula>NOT(ISERROR(SEARCH("false",N23)))</formula>
    </cfRule>
  </conditionalFormatting>
  <conditionalFormatting sqref="O29:P30">
    <cfRule type="containsText" dxfId="197" priority="270" operator="containsText" text="false">
      <formula>NOT(ISERROR(SEARCH("false",O29)))</formula>
    </cfRule>
  </conditionalFormatting>
  <conditionalFormatting sqref="T37">
    <cfRule type="containsText" dxfId="196" priority="267" operator="containsText" text="false">
      <formula>NOT(ISERROR(SEARCH("false",T37)))</formula>
    </cfRule>
  </conditionalFormatting>
  <conditionalFormatting sqref="S37">
    <cfRule type="containsText" dxfId="195" priority="266" operator="containsText" text="false">
      <formula>NOT(ISERROR(SEARCH("false",S37)))</formula>
    </cfRule>
  </conditionalFormatting>
  <conditionalFormatting sqref="O39:P40">
    <cfRule type="containsText" dxfId="194" priority="263" operator="containsText" text="false">
      <formula>NOT(ISERROR(SEARCH("false",O39)))</formula>
    </cfRule>
  </conditionalFormatting>
  <conditionalFormatting sqref="X108:X109">
    <cfRule type="containsText" dxfId="193" priority="262" operator="containsText" text="false">
      <formula>NOT(ISERROR(SEARCH("false",X108)))</formula>
    </cfRule>
  </conditionalFormatting>
  <conditionalFormatting sqref="M94:P96">
    <cfRule type="containsText" dxfId="192" priority="256" operator="containsText" text="false">
      <formula>NOT(ISERROR(SEARCH("false",M94)))</formula>
    </cfRule>
  </conditionalFormatting>
  <conditionalFormatting sqref="O97:P98">
    <cfRule type="containsText" dxfId="191" priority="254" operator="containsText" text="false">
      <formula>NOT(ISERROR(SEARCH("false",O97)))</formula>
    </cfRule>
  </conditionalFormatting>
  <conditionalFormatting sqref="I94:J95">
    <cfRule type="containsText" dxfId="190" priority="253" operator="containsText" text="false">
      <formula>NOT(ISERROR(SEARCH("false",I94)))</formula>
    </cfRule>
  </conditionalFormatting>
  <conditionalFormatting sqref="AE96:AF96 AC94:AF95 AC93:AE93">
    <cfRule type="containsText" dxfId="189" priority="252" operator="containsText" text="false">
      <formula>NOT(ISERROR(SEARCH("false",AC93)))</formula>
    </cfRule>
  </conditionalFormatting>
  <conditionalFormatting sqref="AD96">
    <cfRule type="containsText" dxfId="188" priority="251" operator="containsText" text="false">
      <formula>NOT(ISERROR(SEARCH("false",AD96)))</formula>
    </cfRule>
  </conditionalFormatting>
  <conditionalFormatting sqref="AB96">
    <cfRule type="containsText" dxfId="187" priority="250" operator="containsText" text="false">
      <formula>NOT(ISERROR(SEARCH("false",AB96)))</formula>
    </cfRule>
  </conditionalFormatting>
  <conditionalFormatting sqref="AC96">
    <cfRule type="containsText" dxfId="186" priority="249" operator="containsText" text="false">
      <formula>NOT(ISERROR(SEARCH("false",AC96)))</formula>
    </cfRule>
  </conditionalFormatting>
  <conditionalFormatting sqref="Z105">
    <cfRule type="containsText" dxfId="185" priority="248" operator="containsText" text="false">
      <formula>NOT(ISERROR(SEARCH("false",Z105)))</formula>
    </cfRule>
  </conditionalFormatting>
  <conditionalFormatting sqref="Z107">
    <cfRule type="containsText" dxfId="184" priority="246" operator="containsText" text="false">
      <formula>NOT(ISERROR(SEARCH("false",Z107)))</formula>
    </cfRule>
  </conditionalFormatting>
  <conditionalFormatting sqref="AB110:AB111">
    <cfRule type="containsText" dxfId="183" priority="245" operator="containsText" text="false">
      <formula>NOT(ISERROR(SEARCH("false",AB110)))</formula>
    </cfRule>
  </conditionalFormatting>
  <conditionalFormatting sqref="M82:N83">
    <cfRule type="containsText" dxfId="182" priority="244" operator="containsText" text="false">
      <formula>NOT(ISERROR(SEARCH("false",M82)))</formula>
    </cfRule>
  </conditionalFormatting>
  <conditionalFormatting sqref="X45:AC45 X46:AA46 AC46">
    <cfRule type="containsText" dxfId="181" priority="243" operator="containsText" text="false">
      <formula>NOT(ISERROR(SEARCH("false",X45)))</formula>
    </cfRule>
  </conditionalFormatting>
  <conditionalFormatting sqref="AE45:AF46">
    <cfRule type="containsText" dxfId="180" priority="242" operator="containsText" text="false">
      <formula>NOT(ISERROR(SEARCH("false",AE45)))</formula>
    </cfRule>
  </conditionalFormatting>
  <conditionalFormatting sqref="P46 U46">
    <cfRule type="containsText" dxfId="179" priority="241" operator="containsText" text="false">
      <formula>NOT(ISERROR(SEARCH("false",P46)))</formula>
    </cfRule>
  </conditionalFormatting>
  <conditionalFormatting sqref="P47:U47">
    <cfRule type="containsText" dxfId="178" priority="240" operator="containsText" text="false">
      <formula>NOT(ISERROR(SEARCH("false",P47)))</formula>
    </cfRule>
  </conditionalFormatting>
  <conditionalFormatting sqref="X56:Z56 AC56">
    <cfRule type="containsText" dxfId="177" priority="238" operator="containsText" text="false">
      <formula>NOT(ISERROR(SEARCH("false",X56)))</formula>
    </cfRule>
  </conditionalFormatting>
  <conditionalFormatting sqref="X55:Z55 AC55">
    <cfRule type="containsText" dxfId="176" priority="237" operator="containsText" text="false">
      <formula>NOT(ISERROR(SEARCH("false",X55)))</formula>
    </cfRule>
  </conditionalFormatting>
  <conditionalFormatting sqref="I67">
    <cfRule type="containsText" dxfId="175" priority="232" operator="containsText" text="false">
      <formula>NOT(ISERROR(SEARCH("false",I67)))</formula>
    </cfRule>
  </conditionalFormatting>
  <conditionalFormatting sqref="P73">
    <cfRule type="containsText" dxfId="174" priority="231" operator="containsText" text="false">
      <formula>NOT(ISERROR(SEARCH("false",P73)))</formula>
    </cfRule>
  </conditionalFormatting>
  <conditionalFormatting sqref="I76:P76">
    <cfRule type="containsText" dxfId="173" priority="228" operator="containsText" text="false">
      <formula>NOT(ISERROR(SEARCH("false",I76)))</formula>
    </cfRule>
  </conditionalFormatting>
  <conditionalFormatting sqref="M78:P78">
    <cfRule type="containsText" dxfId="172" priority="227" operator="containsText" text="false">
      <formula>NOT(ISERROR(SEARCH("false",M78)))</formula>
    </cfRule>
  </conditionalFormatting>
  <conditionalFormatting sqref="AE56:AF56">
    <cfRule type="containsText" dxfId="171" priority="225" operator="containsText" text="false">
      <formula>NOT(ISERROR(SEARCH("false",AE56)))</formula>
    </cfRule>
  </conditionalFormatting>
  <conditionalFormatting sqref="AE50:AF50">
    <cfRule type="containsText" dxfId="170" priority="224" operator="containsText" text="false">
      <formula>NOT(ISERROR(SEARCH("false",AE50)))</formula>
    </cfRule>
  </conditionalFormatting>
  <conditionalFormatting sqref="N156:O156">
    <cfRule type="containsText" dxfId="169" priority="223" operator="containsText" text="false">
      <formula>NOT(ISERROR(SEARCH("false",N156)))</formula>
    </cfRule>
  </conditionalFormatting>
  <conditionalFormatting sqref="Y132:Y135">
    <cfRule type="containsText" dxfId="168" priority="222" operator="containsText" text="false">
      <formula>NOT(ISERROR(SEARCH("false",Y132)))</formula>
    </cfRule>
  </conditionalFormatting>
  <conditionalFormatting sqref="AE114:AF114">
    <cfRule type="containsText" dxfId="167" priority="221" operator="containsText" text="false">
      <formula>NOT(ISERROR(SEARCH("false",AE114)))</formula>
    </cfRule>
  </conditionalFormatting>
  <conditionalFormatting sqref="AF54:AF55">
    <cfRule type="containsText" dxfId="166" priority="215" operator="containsText" text="false">
      <formula>NOT(ISERROR(SEARCH("false",AF54)))</formula>
    </cfRule>
  </conditionalFormatting>
  <conditionalFormatting sqref="H23">
    <cfRule type="containsText" dxfId="165" priority="214" operator="containsText" text="false">
      <formula>NOT(ISERROR(SEARCH("false",H23)))</formula>
    </cfRule>
  </conditionalFormatting>
  <conditionalFormatting sqref="H23">
    <cfRule type="cellIs" dxfId="164" priority="213" operator="equal">
      <formula>0</formula>
    </cfRule>
  </conditionalFormatting>
  <conditionalFormatting sqref="H24">
    <cfRule type="containsText" dxfId="163" priority="212" operator="containsText" text="false">
      <formula>NOT(ISERROR(SEARCH("false",H24)))</formula>
    </cfRule>
  </conditionalFormatting>
  <conditionalFormatting sqref="H24">
    <cfRule type="cellIs" dxfId="162" priority="211" operator="equal">
      <formula>0</formula>
    </cfRule>
  </conditionalFormatting>
  <conditionalFormatting sqref="Z39">
    <cfRule type="containsText" dxfId="161" priority="209" operator="containsText" text="false">
      <formula>NOT(ISERROR(SEARCH("false",Z39)))</formula>
    </cfRule>
  </conditionalFormatting>
  <conditionalFormatting sqref="Y27">
    <cfRule type="containsText" dxfId="160" priority="206" operator="containsText" text="false">
      <formula>NOT(ISERROR(SEARCH("false",Y27)))</formula>
    </cfRule>
  </conditionalFormatting>
  <conditionalFormatting sqref="Z27">
    <cfRule type="containsText" dxfId="159" priority="205" operator="containsText" text="false">
      <formula>NOT(ISERROR(SEARCH("false",Z27)))</formula>
    </cfRule>
  </conditionalFormatting>
  <conditionalFormatting sqref="AA27">
    <cfRule type="containsText" dxfId="158" priority="204" operator="containsText" text="false">
      <formula>NOT(ISERROR(SEARCH("false",AA27)))</formula>
    </cfRule>
  </conditionalFormatting>
  <conditionalFormatting sqref="AB27">
    <cfRule type="containsText" dxfId="157" priority="202" operator="containsText" text="false">
      <formula>NOT(ISERROR(SEARCH("false",AB27)))</formula>
    </cfRule>
  </conditionalFormatting>
  <conditionalFormatting sqref="AA50">
    <cfRule type="containsText" dxfId="156" priority="199" operator="containsText" text="false">
      <formula>NOT(ISERROR(SEARCH("false",AA50)))</formula>
    </cfRule>
  </conditionalFormatting>
  <conditionalFormatting sqref="I34:R34 T34:X34 AC34:AF34 Z34">
    <cfRule type="containsText" dxfId="155" priority="197" operator="containsText" text="false">
      <formula>NOT(ISERROR(SEARCH("false",I34)))</formula>
    </cfRule>
  </conditionalFormatting>
  <conditionalFormatting sqref="AA34:AB34">
    <cfRule type="containsText" dxfId="154" priority="196" operator="containsText" text="false">
      <formula>NOT(ISERROR(SEARCH("false",AA34)))</formula>
    </cfRule>
  </conditionalFormatting>
  <conditionalFormatting sqref="Y34">
    <cfRule type="containsText" dxfId="153" priority="195" operator="containsText" text="false">
      <formula>NOT(ISERROR(SEARCH("false",Y34)))</formula>
    </cfRule>
  </conditionalFormatting>
  <conditionalFormatting sqref="Y29:Z29">
    <cfRule type="containsText" dxfId="152" priority="193" operator="containsText" text="false">
      <formula>NOT(ISERROR(SEARCH("false",Y29)))</formula>
    </cfRule>
  </conditionalFormatting>
  <conditionalFormatting sqref="I35:J36">
    <cfRule type="containsText" dxfId="151" priority="188" operator="containsText" text="false">
      <formula>NOT(ISERROR(SEARCH("false",I35)))</formula>
    </cfRule>
  </conditionalFormatting>
  <conditionalFormatting sqref="I42:J47">
    <cfRule type="containsText" dxfId="150" priority="186" operator="containsText" text="false">
      <formula>NOT(ISERROR(SEARCH("false",I42)))</formula>
    </cfRule>
  </conditionalFormatting>
  <conditionalFormatting sqref="I49:J50">
    <cfRule type="containsText" dxfId="149" priority="185" operator="containsText" text="false">
      <formula>NOT(ISERROR(SEARCH("false",I49)))</formula>
    </cfRule>
  </conditionalFormatting>
  <conditionalFormatting sqref="I55:J55 I57:J61">
    <cfRule type="containsText" dxfId="148" priority="184" operator="containsText" text="false">
      <formula>NOT(ISERROR(SEARCH("false",I55)))</formula>
    </cfRule>
  </conditionalFormatting>
  <conditionalFormatting sqref="K50:L50">
    <cfRule type="containsText" dxfId="147" priority="182" operator="containsText" text="false">
      <formula>NOT(ISERROR(SEARCH("false",K50)))</formula>
    </cfRule>
  </conditionalFormatting>
  <conditionalFormatting sqref="R51:S51">
    <cfRule type="containsText" dxfId="146" priority="178" operator="containsText" text="false">
      <formula>NOT(ISERROR(SEARCH("false",R51)))</formula>
    </cfRule>
  </conditionalFormatting>
  <conditionalFormatting sqref="Q49:R50">
    <cfRule type="containsText" dxfId="145" priority="177" operator="containsText" text="false">
      <formula>NOT(ISERROR(SEARCH("false",Q49)))</formula>
    </cfRule>
  </conditionalFormatting>
  <conditionalFormatting sqref="P51:Q51">
    <cfRule type="containsText" dxfId="144" priority="174" operator="containsText" text="false">
      <formula>NOT(ISERROR(SEARCH("false",P51)))</formula>
    </cfRule>
  </conditionalFormatting>
  <conditionalFormatting sqref="S56:S57 U56:U57">
    <cfRule type="containsText" dxfId="143" priority="173" operator="containsText" text="false">
      <formula>NOT(ISERROR(SEARCH("false",S56)))</formula>
    </cfRule>
  </conditionalFormatting>
  <conditionalFormatting sqref="Y7:AB7">
    <cfRule type="containsText" dxfId="142" priority="172" operator="containsText" text="false">
      <formula>NOT(ISERROR(SEARCH("false",Y7)))</formula>
    </cfRule>
  </conditionalFormatting>
  <conditionalFormatting sqref="V122">
    <cfRule type="containsText" dxfId="141" priority="162" operator="containsText" text="false">
      <formula>NOT(ISERROR(SEARCH("false",V122)))</formula>
    </cfRule>
  </conditionalFormatting>
  <conditionalFormatting sqref="N73">
    <cfRule type="containsText" dxfId="140" priority="161" operator="containsText" text="false">
      <formula>NOT(ISERROR(SEARCH("false",N73)))</formula>
    </cfRule>
  </conditionalFormatting>
  <conditionalFormatting sqref="T50">
    <cfRule type="containsText" dxfId="139" priority="159" operator="containsText" text="false">
      <formula>NOT(ISERROR(SEARCH("false",T50)))</formula>
    </cfRule>
  </conditionalFormatting>
  <conditionalFormatting sqref="T56:T57">
    <cfRule type="containsText" dxfId="138" priority="158" operator="containsText" text="false">
      <formula>NOT(ISERROR(SEARCH("false",T56)))</formula>
    </cfRule>
  </conditionalFormatting>
  <conditionalFormatting sqref="AA21:AB21">
    <cfRule type="containsText" dxfId="137" priority="157" operator="containsText" text="false">
      <formula>NOT(ISERROR(SEARCH("false",AA21)))</formula>
    </cfRule>
  </conditionalFormatting>
  <conditionalFormatting sqref="AB46">
    <cfRule type="containsText" dxfId="136" priority="156" operator="containsText" text="false">
      <formula>NOT(ISERROR(SEARCH("false",AB46)))</formula>
    </cfRule>
  </conditionalFormatting>
  <conditionalFormatting sqref="AB50">
    <cfRule type="containsText" dxfId="135" priority="155" operator="containsText" text="false">
      <formula>NOT(ISERROR(SEARCH("false",AB50)))</formula>
    </cfRule>
  </conditionalFormatting>
  <conditionalFormatting sqref="AB56:AB57">
    <cfRule type="containsText" dxfId="134" priority="154" operator="containsText" text="false">
      <formula>NOT(ISERROR(SEARCH("false",AB56)))</formula>
    </cfRule>
  </conditionalFormatting>
  <conditionalFormatting sqref="AA67:AB67">
    <cfRule type="containsText" dxfId="133" priority="153" operator="containsText" text="false">
      <formula>NOT(ISERROR(SEARCH("false",AA67)))</formula>
    </cfRule>
  </conditionalFormatting>
  <conditionalFormatting sqref="Y73:Z73">
    <cfRule type="containsText" dxfId="132" priority="152" operator="containsText" text="false">
      <formula>NOT(ISERROR(SEARCH("false",Y73)))</formula>
    </cfRule>
  </conditionalFormatting>
  <conditionalFormatting sqref="Y84">
    <cfRule type="containsText" dxfId="131" priority="151" operator="containsText" text="false">
      <formula>NOT(ISERROR(SEARCH("false",Y84)))</formula>
    </cfRule>
  </conditionalFormatting>
  <conditionalFormatting sqref="Z84">
    <cfRule type="containsText" dxfId="130" priority="150" operator="containsText" text="false">
      <formula>NOT(ISERROR(SEARCH("false",Z84)))</formula>
    </cfRule>
  </conditionalFormatting>
  <conditionalFormatting sqref="Y90:AA90">
    <cfRule type="containsText" dxfId="129" priority="149" operator="containsText" text="false">
      <formula>NOT(ISERROR(SEARCH("false",Y90)))</formula>
    </cfRule>
  </conditionalFormatting>
  <conditionalFormatting sqref="AB90">
    <cfRule type="containsText" dxfId="128" priority="148" operator="containsText" text="false">
      <formula>NOT(ISERROR(SEARCH("false",AB90)))</formula>
    </cfRule>
  </conditionalFormatting>
  <conditionalFormatting sqref="AC90:AD90">
    <cfRule type="containsText" dxfId="127" priority="147" operator="containsText" text="false">
      <formula>NOT(ISERROR(SEARCH("false",AC90)))</formula>
    </cfRule>
  </conditionalFormatting>
  <conditionalFormatting sqref="AC84:AD84">
    <cfRule type="containsText" dxfId="126" priority="146" operator="containsText" text="false">
      <formula>NOT(ISERROR(SEARCH("false",AC84)))</formula>
    </cfRule>
  </conditionalFormatting>
  <conditionalFormatting sqref="AD67">
    <cfRule type="containsText" dxfId="125" priority="145" operator="containsText" text="false">
      <formula>NOT(ISERROR(SEARCH("false",AD67)))</formula>
    </cfRule>
  </conditionalFormatting>
  <conditionalFormatting sqref="AF21">
    <cfRule type="containsText" dxfId="124" priority="144" operator="containsText" text="false">
      <formula>NOT(ISERROR(SEARCH("false",AF21)))</formula>
    </cfRule>
  </conditionalFormatting>
  <conditionalFormatting sqref="H87">
    <cfRule type="containsText" dxfId="123" priority="143" operator="containsText" text="false">
      <formula>NOT(ISERROR(SEARCH("false",H87)))</formula>
    </cfRule>
  </conditionalFormatting>
  <conditionalFormatting sqref="H71:H72">
    <cfRule type="containsText" dxfId="122" priority="142" operator="containsText" text="false">
      <formula>NOT(ISERROR(SEARCH("false",H71)))</formula>
    </cfRule>
  </conditionalFormatting>
  <conditionalFormatting sqref="H101">
    <cfRule type="containsText" dxfId="121" priority="140" operator="containsText" text="false">
      <formula>NOT(ISERROR(SEARCH("false",H101)))</formula>
    </cfRule>
  </conditionalFormatting>
  <conditionalFormatting sqref="D12:H12">
    <cfRule type="containsText" dxfId="120" priority="139" operator="containsText" text="false">
      <formula>NOT(ISERROR(SEARCH("false",D12)))</formula>
    </cfRule>
  </conditionalFormatting>
  <conditionalFormatting sqref="H12">
    <cfRule type="cellIs" dxfId="119" priority="138" operator="equal">
      <formula>0</formula>
    </cfRule>
  </conditionalFormatting>
  <conditionalFormatting sqref="B12:C13">
    <cfRule type="containsText" dxfId="118" priority="134" operator="containsText" text="false">
      <formula>NOT(ISERROR(SEARCH("false",B12)))</formula>
    </cfRule>
  </conditionalFormatting>
  <conditionalFormatting sqref="M81:N81">
    <cfRule type="containsText" dxfId="117" priority="126" operator="containsText" text="false">
      <formula>NOT(ISERROR(SEARCH("false",M81)))</formula>
    </cfRule>
  </conditionalFormatting>
  <conditionalFormatting sqref="E142:E143">
    <cfRule type="containsText" dxfId="116" priority="124" operator="containsText" text="false">
      <formula>NOT(ISERROR(SEARCH("false",E142)))</formula>
    </cfRule>
  </conditionalFormatting>
  <conditionalFormatting sqref="I54:J54">
    <cfRule type="containsText" dxfId="115" priority="123" operator="containsText" text="false">
      <formula>NOT(ISERROR(SEARCH("false",I54)))</formula>
    </cfRule>
  </conditionalFormatting>
  <conditionalFormatting sqref="I56:J56">
    <cfRule type="containsText" dxfId="114" priority="122" operator="containsText" text="false">
      <formula>NOT(ISERROR(SEARCH("false",I56)))</formula>
    </cfRule>
  </conditionalFormatting>
  <conditionalFormatting sqref="I48:J48">
    <cfRule type="containsText" dxfId="113" priority="121" operator="containsText" text="false">
      <formula>NOT(ISERROR(SEARCH("false",I48)))</formula>
    </cfRule>
  </conditionalFormatting>
  <conditionalFormatting sqref="I51:J51">
    <cfRule type="containsText" dxfId="112" priority="120" operator="containsText" text="false">
      <formula>NOT(ISERROR(SEARCH("false",I51)))</formula>
    </cfRule>
  </conditionalFormatting>
  <conditionalFormatting sqref="AC110:AD111">
    <cfRule type="containsText" dxfId="111" priority="119" operator="containsText" text="false">
      <formula>NOT(ISERROR(SEARCH("false",AC110)))</formula>
    </cfRule>
  </conditionalFormatting>
  <conditionalFormatting sqref="AE110:AF111">
    <cfRule type="containsText" dxfId="110" priority="118" operator="containsText" text="false">
      <formula>NOT(ISERROR(SEARCH("false",AE110)))</formula>
    </cfRule>
  </conditionalFormatting>
  <conditionalFormatting sqref="S123:T123 S122 S124">
    <cfRule type="containsText" dxfId="109" priority="117" operator="containsText" text="false">
      <formula>NOT(ISERROR(SEARCH("false",S122)))</formula>
    </cfRule>
  </conditionalFormatting>
  <conditionalFormatting sqref="S128:T128 S125:S127 S129">
    <cfRule type="containsText" dxfId="108" priority="116" operator="containsText" text="false">
      <formula>NOT(ISERROR(SEARCH("false",S125)))</formula>
    </cfRule>
  </conditionalFormatting>
  <conditionalFormatting sqref="S131:S133">
    <cfRule type="containsText" dxfId="107" priority="115" operator="containsText" text="false">
      <formula>NOT(ISERROR(SEARCH("false",S131)))</formula>
    </cfRule>
  </conditionalFormatting>
  <conditionalFormatting sqref="S137:T138 S134:S136">
    <cfRule type="containsText" dxfId="106" priority="114" operator="containsText" text="false">
      <formula>NOT(ISERROR(SEARCH("false",S134)))</formula>
    </cfRule>
  </conditionalFormatting>
  <conditionalFormatting sqref="Q123:R124 Q122">
    <cfRule type="containsText" dxfId="105" priority="113" operator="containsText" text="false">
      <formula>NOT(ISERROR(SEARCH("false",Q122)))</formula>
    </cfRule>
  </conditionalFormatting>
  <conditionalFormatting sqref="Q125:R129">
    <cfRule type="containsText" dxfId="104" priority="112" operator="containsText" text="false">
      <formula>NOT(ISERROR(SEARCH("false",Q125)))</formula>
    </cfRule>
  </conditionalFormatting>
  <conditionalFormatting sqref="Q130:R132">
    <cfRule type="containsText" dxfId="103" priority="111" operator="containsText" text="false">
      <formula>NOT(ISERROR(SEARCH("false",Q130)))</formula>
    </cfRule>
  </conditionalFormatting>
  <conditionalFormatting sqref="Q133:Q137">
    <cfRule type="containsText" dxfId="102" priority="110" operator="containsText" text="false">
      <formula>NOT(ISERROR(SEARCH("false",Q133)))</formula>
    </cfRule>
  </conditionalFormatting>
  <conditionalFormatting sqref="O123">
    <cfRule type="containsText" dxfId="101" priority="109" operator="containsText" text="false">
      <formula>NOT(ISERROR(SEARCH("false",O123)))</formula>
    </cfRule>
  </conditionalFormatting>
  <conditionalFormatting sqref="O124:O129">
    <cfRule type="containsText" dxfId="100" priority="108" operator="containsText" text="false">
      <formula>NOT(ISERROR(SEARCH("false",O124)))</formula>
    </cfRule>
  </conditionalFormatting>
  <conditionalFormatting sqref="O130">
    <cfRule type="containsText" dxfId="99" priority="107" operator="containsText" text="false">
      <formula>NOT(ISERROR(SEARCH("false",O130)))</formula>
    </cfRule>
  </conditionalFormatting>
  <conditionalFormatting sqref="O131:P131 O132:O136">
    <cfRule type="containsText" dxfId="98" priority="106" operator="containsText" text="false">
      <formula>NOT(ISERROR(SEARCH("false",O131)))</formula>
    </cfRule>
  </conditionalFormatting>
  <conditionalFormatting sqref="O137">
    <cfRule type="containsText" dxfId="97" priority="105" operator="containsText" text="false">
      <formula>NOT(ISERROR(SEARCH("false",O137)))</formula>
    </cfRule>
  </conditionalFormatting>
  <conditionalFormatting sqref="O144:P144 O138:O142">
    <cfRule type="containsText" dxfId="96" priority="104" operator="containsText" text="false">
      <formula>NOT(ISERROR(SEARCH("false",O138)))</formula>
    </cfRule>
  </conditionalFormatting>
  <conditionalFormatting sqref="M123:M126">
    <cfRule type="containsText" dxfId="95" priority="103" operator="containsText" text="false">
      <formula>NOT(ISERROR(SEARCH("false",M123)))</formula>
    </cfRule>
  </conditionalFormatting>
  <conditionalFormatting sqref="M127:M130">
    <cfRule type="containsText" dxfId="94" priority="102" operator="containsText" text="false">
      <formula>NOT(ISERROR(SEARCH("false",M127)))</formula>
    </cfRule>
  </conditionalFormatting>
  <conditionalFormatting sqref="M133:M136">
    <cfRule type="containsText" dxfId="93" priority="101" operator="containsText" text="false">
      <formula>NOT(ISERROR(SEARCH("false",M133)))</formula>
    </cfRule>
  </conditionalFormatting>
  <conditionalFormatting sqref="M139:N143 N144">
    <cfRule type="containsText" dxfId="92" priority="100" operator="containsText" text="false">
      <formula>NOT(ISERROR(SEARCH("false",M139)))</formula>
    </cfRule>
  </conditionalFormatting>
  <conditionalFormatting sqref="AC121:AC125">
    <cfRule type="containsText" dxfId="91" priority="97" operator="containsText" text="false">
      <formula>NOT(ISERROR(SEARCH("false",AC121)))</formula>
    </cfRule>
  </conditionalFormatting>
  <conditionalFormatting sqref="H33">
    <cfRule type="containsText" dxfId="90" priority="96" operator="containsText" text="false">
      <formula>NOT(ISERROR(SEARCH("false",H33)))</formula>
    </cfRule>
  </conditionalFormatting>
  <conditionalFormatting sqref="Q46:T46">
    <cfRule type="containsText" dxfId="89" priority="93" operator="containsText" text="false">
      <formula>NOT(ISERROR(SEARCH("false",Q46)))</formula>
    </cfRule>
  </conditionalFormatting>
  <conditionalFormatting sqref="L39">
    <cfRule type="containsText" dxfId="88" priority="92" operator="containsText" text="false">
      <formula>NOT(ISERROR(SEARCH("false",L39)))</formula>
    </cfRule>
  </conditionalFormatting>
  <conditionalFormatting sqref="AE9:AF9 I11:AF11 M9:AC9 I9:J10 M10:AF10 I13:AE13 I18:AD18 I17:AC17 I14:AF15 I16:AD16">
    <cfRule type="containsText" dxfId="87" priority="89" operator="containsText" text="false">
      <formula>NOT(ISERROR(SEARCH("false",I9)))</formula>
    </cfRule>
  </conditionalFormatting>
  <conditionalFormatting sqref="AD97:AD99">
    <cfRule type="containsText" dxfId="86" priority="90" operator="containsText" text="false">
      <formula>NOT(ISERROR(SEARCH("false",AD97)))</formula>
    </cfRule>
  </conditionalFormatting>
  <conditionalFormatting sqref="I8:R8 AE8:AF8 U8:W8 AC8">
    <cfRule type="containsText" dxfId="85" priority="88" operator="containsText" text="false">
      <formula>NOT(ISERROR(SEARCH("false",I8)))</formula>
    </cfRule>
  </conditionalFormatting>
  <conditionalFormatting sqref="AD9">
    <cfRule type="containsText" dxfId="84" priority="87" operator="containsText" text="false">
      <formula>NOT(ISERROR(SEARCH("false",AD9)))</formula>
    </cfRule>
  </conditionalFormatting>
  <conditionalFormatting sqref="AD8">
    <cfRule type="containsText" dxfId="83" priority="86" operator="containsText" text="false">
      <formula>NOT(ISERROR(SEARCH("false",AD8)))</formula>
    </cfRule>
  </conditionalFormatting>
  <conditionalFormatting sqref="S8:T8">
    <cfRule type="containsText" dxfId="82" priority="85" operator="containsText" text="false">
      <formula>NOT(ISERROR(SEARCH("false",S8)))</formula>
    </cfRule>
  </conditionalFormatting>
  <conditionalFormatting sqref="AA8:AB8">
    <cfRule type="containsText" dxfId="81" priority="84" operator="containsText" text="false">
      <formula>NOT(ISERROR(SEARCH("false",AA8)))</formula>
    </cfRule>
  </conditionalFormatting>
  <conditionalFormatting sqref="Z8">
    <cfRule type="containsText" dxfId="80" priority="83" operator="containsText" text="false">
      <formula>NOT(ISERROR(SEARCH("false",Z8)))</formula>
    </cfRule>
  </conditionalFormatting>
  <conditionalFormatting sqref="K9:L9">
    <cfRule type="containsText" dxfId="79" priority="82" operator="containsText" text="false">
      <formula>NOT(ISERROR(SEARCH("false",K9)))</formula>
    </cfRule>
  </conditionalFormatting>
  <conditionalFormatting sqref="K10:L10">
    <cfRule type="containsText" dxfId="78" priority="81" operator="containsText" text="false">
      <formula>NOT(ISERROR(SEARCH("false",K10)))</formula>
    </cfRule>
  </conditionalFormatting>
  <conditionalFormatting sqref="X8:Y8">
    <cfRule type="containsText" dxfId="77" priority="80" operator="containsText" text="false">
      <formula>NOT(ISERROR(SEARCH("false",X8)))</formula>
    </cfRule>
  </conditionalFormatting>
  <conditionalFormatting sqref="I12:AE12">
    <cfRule type="containsText" dxfId="76" priority="79" operator="containsText" text="false">
      <formula>NOT(ISERROR(SEARCH("false",I12)))</formula>
    </cfRule>
  </conditionalFormatting>
  <conditionalFormatting sqref="AF12:AF13">
    <cfRule type="containsText" dxfId="75" priority="78" operator="containsText" text="false">
      <formula>NOT(ISERROR(SEARCH("false",AF12)))</formula>
    </cfRule>
  </conditionalFormatting>
  <conditionalFormatting sqref="AE16 AF17">
    <cfRule type="containsText" dxfId="74" priority="77" operator="containsText" text="false">
      <formula>NOT(ISERROR(SEARCH("false",AE16)))</formula>
    </cfRule>
  </conditionalFormatting>
  <conditionalFormatting sqref="AF16">
    <cfRule type="containsText" dxfId="73" priority="76" operator="containsText" text="false">
      <formula>NOT(ISERROR(SEARCH("false",AF16)))</formula>
    </cfRule>
  </conditionalFormatting>
  <conditionalFormatting sqref="AD17:AE17">
    <cfRule type="containsText" dxfId="72" priority="75" operator="containsText" text="false">
      <formula>NOT(ISERROR(SEARCH("false",AD17)))</formula>
    </cfRule>
  </conditionalFormatting>
  <conditionalFormatting sqref="K22:AF22">
    <cfRule type="containsText" dxfId="71" priority="74" operator="containsText" text="false">
      <formula>NOT(ISERROR(SEARCH("false",K22)))</formula>
    </cfRule>
  </conditionalFormatting>
  <conditionalFormatting sqref="I22:J22">
    <cfRule type="containsText" dxfId="70" priority="73" operator="containsText" text="false">
      <formula>NOT(ISERROR(SEARCH("false",I22)))</formula>
    </cfRule>
  </conditionalFormatting>
  <conditionalFormatting sqref="E38:F38">
    <cfRule type="containsText" dxfId="69" priority="72" operator="containsText" text="false">
      <formula>NOT(ISERROR(SEARCH("false",E38)))</formula>
    </cfRule>
  </conditionalFormatting>
  <conditionalFormatting sqref="G38">
    <cfRule type="containsText" dxfId="68" priority="71" operator="containsText" text="false">
      <formula>NOT(ISERROR(SEARCH("false",G38)))</formula>
    </cfRule>
  </conditionalFormatting>
  <conditionalFormatting sqref="H38">
    <cfRule type="containsText" dxfId="67" priority="70" operator="containsText" text="false">
      <formula>NOT(ISERROR(SEARCH("false",H38)))</formula>
    </cfRule>
  </conditionalFormatting>
  <conditionalFormatting sqref="H38">
    <cfRule type="cellIs" dxfId="66" priority="69" operator="equal">
      <formula>0</formula>
    </cfRule>
  </conditionalFormatting>
  <conditionalFormatting sqref="W38">
    <cfRule type="containsText" dxfId="65" priority="68" operator="containsText" text="false">
      <formula>NOT(ISERROR(SEARCH("false",W38)))</formula>
    </cfRule>
  </conditionalFormatting>
  <conditionalFormatting sqref="S38:T38">
    <cfRule type="containsText" dxfId="64" priority="66" operator="containsText" text="false">
      <formula>NOT(ISERROR(SEARCH("false",S38)))</formula>
    </cfRule>
  </conditionalFormatting>
  <conditionalFormatting sqref="S38">
    <cfRule type="containsText" dxfId="63" priority="65" operator="containsText" text="false">
      <formula>NOT(ISERROR(SEARCH("false",S38)))</formula>
    </cfRule>
  </conditionalFormatting>
  <conditionalFormatting sqref="P128:P130">
    <cfRule type="containsText" dxfId="62" priority="63" operator="containsText" text="false">
      <formula>NOT(ISERROR(SEARCH("false",P128)))</formula>
    </cfRule>
  </conditionalFormatting>
  <conditionalFormatting sqref="P122:P124">
    <cfRule type="containsText" dxfId="61" priority="62" operator="containsText" text="false">
      <formula>NOT(ISERROR(SEARCH("false",P122)))</formula>
    </cfRule>
  </conditionalFormatting>
  <conditionalFormatting sqref="P125:P127">
    <cfRule type="containsText" dxfId="60" priority="61" operator="containsText" text="false">
      <formula>NOT(ISERROR(SEARCH("false",P125)))</formula>
    </cfRule>
  </conditionalFormatting>
  <conditionalFormatting sqref="P142">
    <cfRule type="containsText" dxfId="59" priority="60" operator="containsText" text="false">
      <formula>NOT(ISERROR(SEARCH("false",P142)))</formula>
    </cfRule>
  </conditionalFormatting>
  <conditionalFormatting sqref="P138:P141">
    <cfRule type="containsText" dxfId="58" priority="59" operator="containsText" text="false">
      <formula>NOT(ISERROR(SEARCH("false",P138)))</formula>
    </cfRule>
  </conditionalFormatting>
  <conditionalFormatting sqref="P132:P134">
    <cfRule type="containsText" dxfId="57" priority="58" operator="containsText" text="false">
      <formula>NOT(ISERROR(SEARCH("false",P132)))</formula>
    </cfRule>
  </conditionalFormatting>
  <conditionalFormatting sqref="P135:P137">
    <cfRule type="containsText" dxfId="56" priority="57" operator="containsText" text="false">
      <formula>NOT(ISERROR(SEARCH("false",P135)))</formula>
    </cfRule>
  </conditionalFormatting>
  <conditionalFormatting sqref="P146">
    <cfRule type="containsText" dxfId="55" priority="56" operator="containsText" text="false">
      <formula>NOT(ISERROR(SEARCH("false",P146)))</formula>
    </cfRule>
  </conditionalFormatting>
  <conditionalFormatting sqref="P144:P145">
    <cfRule type="containsText" dxfId="54" priority="55" operator="containsText" text="false">
      <formula>NOT(ISERROR(SEARCH("false",P144)))</formula>
    </cfRule>
  </conditionalFormatting>
  <conditionalFormatting sqref="P136:P138">
    <cfRule type="containsText" dxfId="53" priority="54" operator="containsText" text="false">
      <formula>NOT(ISERROR(SEARCH("false",P136)))</formula>
    </cfRule>
  </conditionalFormatting>
  <conditionalFormatting sqref="P139:P142">
    <cfRule type="containsText" dxfId="52" priority="53" operator="containsText" text="false">
      <formula>NOT(ISERROR(SEARCH("false",P139)))</formula>
    </cfRule>
  </conditionalFormatting>
  <conditionalFormatting sqref="R123:R124">
    <cfRule type="containsText" dxfId="51" priority="52" operator="containsText" text="false">
      <formula>NOT(ISERROR(SEARCH("false",R123)))</formula>
    </cfRule>
  </conditionalFormatting>
  <conditionalFormatting sqref="R125:R127">
    <cfRule type="containsText" dxfId="50" priority="51" operator="containsText" text="false">
      <formula>NOT(ISERROR(SEARCH("false",R125)))</formula>
    </cfRule>
  </conditionalFormatting>
  <conditionalFormatting sqref="R133:R135">
    <cfRule type="containsText" dxfId="49" priority="50" operator="containsText" text="false">
      <formula>NOT(ISERROR(SEARCH("false",R133)))</formula>
    </cfRule>
  </conditionalFormatting>
  <conditionalFormatting sqref="R136:R138">
    <cfRule type="containsText" dxfId="48" priority="49" operator="containsText" text="false">
      <formula>NOT(ISERROR(SEARCH("false",R136)))</formula>
    </cfRule>
  </conditionalFormatting>
  <conditionalFormatting sqref="R133:R135">
    <cfRule type="containsText" dxfId="47" priority="48" operator="containsText" text="false">
      <formula>NOT(ISERROR(SEARCH("false",R133)))</formula>
    </cfRule>
  </conditionalFormatting>
  <conditionalFormatting sqref="R136:R138">
    <cfRule type="containsText" dxfId="46" priority="47" operator="containsText" text="false">
      <formula>NOT(ISERROR(SEARCH("false",R136)))</formula>
    </cfRule>
  </conditionalFormatting>
  <conditionalFormatting sqref="T121:T122">
    <cfRule type="containsText" dxfId="45" priority="46" operator="containsText" text="false">
      <formula>NOT(ISERROR(SEARCH("false",T121)))</formula>
    </cfRule>
  </conditionalFormatting>
  <conditionalFormatting sqref="T124:T125">
    <cfRule type="containsText" dxfId="44" priority="45" operator="containsText" text="false">
      <formula>NOT(ISERROR(SEARCH("false",T124)))</formula>
    </cfRule>
  </conditionalFormatting>
  <conditionalFormatting sqref="T126:T127">
    <cfRule type="containsText" dxfId="43" priority="44" operator="containsText" text="false">
      <formula>NOT(ISERROR(SEARCH("false",T126)))</formula>
    </cfRule>
  </conditionalFormatting>
  <conditionalFormatting sqref="T129:T130">
    <cfRule type="containsText" dxfId="42" priority="43" operator="containsText" text="false">
      <formula>NOT(ISERROR(SEARCH("false",T129)))</formula>
    </cfRule>
  </conditionalFormatting>
  <conditionalFormatting sqref="T131:T132">
    <cfRule type="containsText" dxfId="41" priority="42" operator="containsText" text="false">
      <formula>NOT(ISERROR(SEARCH("false",T131)))</formula>
    </cfRule>
  </conditionalFormatting>
  <conditionalFormatting sqref="T133:T134">
    <cfRule type="containsText" dxfId="40" priority="41" operator="containsText" text="false">
      <formula>NOT(ISERROR(SEARCH("false",T133)))</formula>
    </cfRule>
  </conditionalFormatting>
  <conditionalFormatting sqref="T135:T136">
    <cfRule type="containsText" dxfId="39" priority="40" operator="containsText" text="false">
      <formula>NOT(ISERROR(SEARCH("false",T135)))</formula>
    </cfRule>
  </conditionalFormatting>
  <conditionalFormatting sqref="R121:R122">
    <cfRule type="containsText" dxfId="38" priority="39" operator="containsText" text="false">
      <formula>NOT(ISERROR(SEARCH("false",R121)))</formula>
    </cfRule>
  </conditionalFormatting>
  <conditionalFormatting sqref="R121:R122">
    <cfRule type="containsText" dxfId="37" priority="38" operator="containsText" text="false">
      <formula>NOT(ISERROR(SEARCH("false",R121)))</formula>
    </cfRule>
  </conditionalFormatting>
  <conditionalFormatting sqref="P121">
    <cfRule type="containsText" dxfId="36" priority="37" operator="containsText" text="false">
      <formula>NOT(ISERROR(SEARCH("false",P121)))</formula>
    </cfRule>
  </conditionalFormatting>
  <conditionalFormatting sqref="N128:N130">
    <cfRule type="containsText" dxfId="35" priority="36" operator="containsText" text="false">
      <formula>NOT(ISERROR(SEARCH("false",N128)))</formula>
    </cfRule>
  </conditionalFormatting>
  <conditionalFormatting sqref="N131">
    <cfRule type="containsText" dxfId="34" priority="35" operator="containsText" text="false">
      <formula>NOT(ISERROR(SEARCH("false",N131)))</formula>
    </cfRule>
  </conditionalFormatting>
  <conditionalFormatting sqref="N132:N134">
    <cfRule type="containsText" dxfId="33" priority="34" operator="containsText" text="false">
      <formula>NOT(ISERROR(SEARCH("false",N132)))</formula>
    </cfRule>
  </conditionalFormatting>
  <conditionalFormatting sqref="N135">
    <cfRule type="containsText" dxfId="32" priority="33" operator="containsText" text="false">
      <formula>NOT(ISERROR(SEARCH("false",N135)))</formula>
    </cfRule>
  </conditionalFormatting>
  <conditionalFormatting sqref="N136:N137">
    <cfRule type="containsText" dxfId="31" priority="32" operator="containsText" text="false">
      <formula>NOT(ISERROR(SEARCH("false",N136)))</formula>
    </cfRule>
  </conditionalFormatting>
  <conditionalFormatting sqref="N137 N139">
    <cfRule type="containsText" dxfId="30" priority="31" operator="containsText" text="false">
      <formula>NOT(ISERROR(SEARCH("false",N137)))</formula>
    </cfRule>
  </conditionalFormatting>
  <conditionalFormatting sqref="N140:N141">
    <cfRule type="containsText" dxfId="29" priority="30" operator="containsText" text="false">
      <formula>NOT(ISERROR(SEARCH("false",N140)))</formula>
    </cfRule>
  </conditionalFormatting>
  <conditionalFormatting sqref="N142:N144">
    <cfRule type="containsText" dxfId="28" priority="29" operator="containsText" text="false">
      <formula>NOT(ISERROR(SEARCH("false",N142)))</formula>
    </cfRule>
  </conditionalFormatting>
  <conditionalFormatting sqref="N123:N127">
    <cfRule type="containsText" dxfId="27" priority="28" operator="containsText" text="false">
      <formula>NOT(ISERROR(SEARCH("false",N123)))</formula>
    </cfRule>
  </conditionalFormatting>
  <conditionalFormatting sqref="N121:N122">
    <cfRule type="containsText" dxfId="26" priority="27" operator="containsText" text="false">
      <formula>NOT(ISERROR(SEARCH("false",N121)))</formula>
    </cfRule>
  </conditionalFormatting>
  <conditionalFormatting sqref="N121:N123">
    <cfRule type="containsText" dxfId="25" priority="26" operator="containsText" text="false">
      <formula>NOT(ISERROR(SEARCH("false",N121)))</formula>
    </cfRule>
  </conditionalFormatting>
  <conditionalFormatting sqref="N124">
    <cfRule type="containsText" dxfId="24" priority="25" operator="containsText" text="false">
      <formula>NOT(ISERROR(SEARCH("false",N124)))</formula>
    </cfRule>
  </conditionalFormatting>
  <conditionalFormatting sqref="N125:N127">
    <cfRule type="containsText" dxfId="23" priority="24" operator="containsText" text="false">
      <formula>NOT(ISERROR(SEARCH("false",N125)))</formula>
    </cfRule>
  </conditionalFormatting>
  <conditionalFormatting sqref="Y23">
    <cfRule type="containsText" dxfId="22" priority="23" operator="containsText" text="false">
      <formula>NOT(ISERROR(SEARCH("false",Y23)))</formula>
    </cfRule>
  </conditionalFormatting>
  <conditionalFormatting sqref="D132:D133">
    <cfRule type="containsText" dxfId="21" priority="22" operator="containsText" text="false">
      <formula>NOT(ISERROR(SEARCH("false",D132)))</formula>
    </cfRule>
  </conditionalFormatting>
  <conditionalFormatting sqref="M138">
    <cfRule type="containsText" dxfId="20" priority="21" operator="containsText" text="false">
      <formula>NOT(ISERROR(SEARCH("false",M138)))</formula>
    </cfRule>
  </conditionalFormatting>
  <conditionalFormatting sqref="O143">
    <cfRule type="containsText" dxfId="19" priority="18" operator="containsText" text="false">
      <formula>NOT(ISERROR(SEARCH("false",O143)))</formula>
    </cfRule>
  </conditionalFormatting>
  <conditionalFormatting sqref="P143">
    <cfRule type="containsText" dxfId="18" priority="17" operator="containsText" text="false">
      <formula>NOT(ISERROR(SEARCH("false",P143)))</formula>
    </cfRule>
  </conditionalFormatting>
  <conditionalFormatting sqref="P143">
    <cfRule type="containsText" dxfId="17" priority="16" operator="containsText" text="false">
      <formula>NOT(ISERROR(SEARCH("false",P143)))</formula>
    </cfRule>
  </conditionalFormatting>
  <conditionalFormatting sqref="N138">
    <cfRule type="containsText" dxfId="16" priority="15" operator="containsText" text="false">
      <formula>NOT(ISERROR(SEARCH("false",N138)))</formula>
    </cfRule>
  </conditionalFormatting>
  <conditionalFormatting sqref="N138">
    <cfRule type="containsText" dxfId="15" priority="14" operator="containsText" text="false">
      <formula>NOT(ISERROR(SEARCH("false",N138)))</formula>
    </cfRule>
  </conditionalFormatting>
  <conditionalFormatting sqref="B19:H19 B20:C20 E20:H20">
    <cfRule type="containsText" dxfId="14" priority="13" operator="containsText" text="false">
      <formula>NOT(ISERROR(SEARCH("false",B19)))</formula>
    </cfRule>
  </conditionalFormatting>
  <conditionalFormatting sqref="H19:H20">
    <cfRule type="cellIs" dxfId="13" priority="12" operator="equal">
      <formula>0</formula>
    </cfRule>
  </conditionalFormatting>
  <conditionalFormatting sqref="I20:AF20 I19:AC19">
    <cfRule type="containsText" dxfId="12" priority="11" operator="containsText" text="false">
      <formula>NOT(ISERROR(SEARCH("false",I19)))</formula>
    </cfRule>
  </conditionalFormatting>
  <conditionalFormatting sqref="AF19">
    <cfRule type="containsText" dxfId="11" priority="10" operator="containsText" text="false">
      <formula>NOT(ISERROR(SEARCH("false",AF19)))</formula>
    </cfRule>
  </conditionalFormatting>
  <conditionalFormatting sqref="AD19:AE19">
    <cfRule type="containsText" dxfId="10" priority="9" operator="containsText" text="false">
      <formula>NOT(ISERROR(SEARCH("false",AD19)))</formula>
    </cfRule>
  </conditionalFormatting>
  <conditionalFormatting sqref="D20">
    <cfRule type="containsText" dxfId="9" priority="8" operator="containsText" text="false">
      <formula>NOT(ISERROR(SEARCH("false",D20)))</formula>
    </cfRule>
  </conditionalFormatting>
  <conditionalFormatting sqref="AB112">
    <cfRule type="containsText" dxfId="8" priority="7" operator="containsText" text="false">
      <formula>NOT(ISERROR(SEARCH("false",AB112)))</formula>
    </cfRule>
  </conditionalFormatting>
  <conditionalFormatting sqref="AC112">
    <cfRule type="containsText" dxfId="7" priority="6" operator="containsText" text="false">
      <formula>NOT(ISERROR(SEARCH("false",AC112)))</formula>
    </cfRule>
  </conditionalFormatting>
  <conditionalFormatting sqref="AF93">
    <cfRule type="containsText" dxfId="6" priority="5" operator="containsText" text="false">
      <formula>NOT(ISERROR(SEARCH("false",AF93)))</formula>
    </cfRule>
  </conditionalFormatting>
  <conditionalFormatting sqref="AF18">
    <cfRule type="containsText" dxfId="5" priority="4" operator="containsText" text="false">
      <formula>NOT(ISERROR(SEARCH("false",AF18)))</formula>
    </cfRule>
  </conditionalFormatting>
  <conditionalFormatting sqref="AE18">
    <cfRule type="containsText" dxfId="4" priority="3" operator="containsText" text="false">
      <formula>NOT(ISERROR(SEARCH("false",AE18)))</formula>
    </cfRule>
  </conditionalFormatting>
  <conditionalFormatting sqref="Q35">
    <cfRule type="containsText" dxfId="3" priority="2" operator="containsText" text="false">
      <formula>NOT(ISERROR(SEARCH("false",Q35)))</formula>
    </cfRule>
  </conditionalFormatting>
  <conditionalFormatting sqref="L59">
    <cfRule type="containsText" dxfId="2" priority="1" operator="containsText" text="false">
      <formula>NOT(ISERROR(SEARCH("false",L59)))</formula>
    </cfRule>
  </conditionalFormatting>
  <pageMargins left="0.7" right="0.7" top="0.75" bottom="0.75" header="0.3" footer="0.3"/>
  <pageSetup paperSize="9" scale="13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BDDD-726E-480B-8838-FA3C80A7EBB4}">
  <dimension ref="B2:I71"/>
  <sheetViews>
    <sheetView topLeftCell="A46" workbookViewId="0">
      <selection activeCell="H47" sqref="H47"/>
    </sheetView>
  </sheetViews>
  <sheetFormatPr defaultRowHeight="16.5"/>
  <cols>
    <col min="1" max="1" width="9" style="630"/>
    <col min="2" max="2" width="41.875" style="630" customWidth="1"/>
    <col min="3" max="4" width="17.75" style="630" bestFit="1" customWidth="1"/>
    <col min="5" max="6" width="15.875" style="630" customWidth="1"/>
    <col min="7" max="7" width="9" style="630"/>
    <col min="8" max="8" width="13" style="630" bestFit="1" customWidth="1"/>
    <col min="9" max="9" width="15.625" style="630" bestFit="1" customWidth="1"/>
    <col min="10" max="16384" width="9" style="630"/>
  </cols>
  <sheetData>
    <row r="2" spans="2:6">
      <c r="B2" s="342" t="s">
        <v>1389</v>
      </c>
      <c r="C2" s="793" t="s">
        <v>1390</v>
      </c>
      <c r="D2" s="794"/>
      <c r="E2" s="793" t="s">
        <v>1430</v>
      </c>
      <c r="F2" s="795"/>
    </row>
    <row r="3" spans="2:6">
      <c r="B3" s="343" t="s">
        <v>1431</v>
      </c>
      <c r="C3" s="682"/>
      <c r="D3" s="682">
        <f>+C4+C8+C9+C10</f>
        <v>-99956522963</v>
      </c>
      <c r="E3" s="344"/>
      <c r="F3" s="676">
        <v>65499228</v>
      </c>
    </row>
    <row r="4" spans="2:6">
      <c r="B4" s="343" t="s">
        <v>1432</v>
      </c>
      <c r="C4" s="682">
        <f>SUM(C5:C7)</f>
        <v>-99960021233</v>
      </c>
      <c r="D4" s="682"/>
      <c r="E4" s="345">
        <v>60688966</v>
      </c>
      <c r="F4" s="681"/>
    </row>
    <row r="5" spans="2:6">
      <c r="B5" s="343" t="s">
        <v>1433</v>
      </c>
      <c r="C5" s="682">
        <f>+CF정산표!$J$112</f>
        <v>-75590345281</v>
      </c>
      <c r="D5" s="682"/>
      <c r="E5" s="345">
        <v>-29622730</v>
      </c>
      <c r="F5" s="681"/>
    </row>
    <row r="6" spans="2:6">
      <c r="B6" s="343" t="s">
        <v>1434</v>
      </c>
      <c r="C6" s="682">
        <f>+CF정산표!$L$117-CF정산표!$J$112</f>
        <v>-1795813046</v>
      </c>
      <c r="D6" s="682"/>
      <c r="E6" s="345">
        <v>58706161</v>
      </c>
      <c r="F6" s="681"/>
    </row>
    <row r="7" spans="2:6">
      <c r="B7" s="343" t="s">
        <v>1435</v>
      </c>
      <c r="C7" s="682">
        <f>+CF정산표!N150-CF정산표!P150-CF정산표!N123-CF정산표!N134+CF정산표!P136+CF정산표!P123</f>
        <v>-22573862906</v>
      </c>
      <c r="D7" s="682"/>
      <c r="E7" s="345">
        <v>31605535</v>
      </c>
      <c r="F7" s="681"/>
    </row>
    <row r="8" spans="2:6">
      <c r="B8" s="343" t="s">
        <v>1436</v>
      </c>
      <c r="C8" s="682">
        <f>+CF정산표!$N$123</f>
        <v>3619152</v>
      </c>
      <c r="D8" s="682"/>
      <c r="E8" s="345">
        <v>6106586</v>
      </c>
      <c r="F8" s="681"/>
    </row>
    <row r="9" spans="2:6">
      <c r="B9" s="343" t="s">
        <v>1437</v>
      </c>
      <c r="C9" s="682">
        <f>-CF정산표!$P$136</f>
        <v>-120882</v>
      </c>
      <c r="D9" s="682"/>
      <c r="E9" s="344">
        <v>-429</v>
      </c>
      <c r="F9" s="681"/>
    </row>
    <row r="10" spans="2:6">
      <c r="B10" s="343" t="s">
        <v>1438</v>
      </c>
      <c r="C10" s="682">
        <v>0</v>
      </c>
      <c r="D10" s="682"/>
      <c r="E10" s="345">
        <v>-1295895</v>
      </c>
      <c r="F10" s="681"/>
    </row>
    <row r="11" spans="2:6">
      <c r="B11" s="343" t="s">
        <v>1439</v>
      </c>
      <c r="C11" s="682"/>
      <c r="D11" s="682">
        <f>+C12+C19</f>
        <v>127171213354</v>
      </c>
      <c r="E11" s="344"/>
      <c r="F11" s="676">
        <v>-71644045</v>
      </c>
    </row>
    <row r="12" spans="2:6">
      <c r="B12" s="343" t="s">
        <v>1440</v>
      </c>
      <c r="C12" s="682">
        <f>SUM(C13:C18)</f>
        <v>137952397381</v>
      </c>
      <c r="D12" s="682"/>
      <c r="E12" s="345">
        <v>60020965</v>
      </c>
      <c r="F12" s="681"/>
    </row>
    <row r="13" spans="2:6">
      <c r="B13" s="343" t="s">
        <v>1441</v>
      </c>
      <c r="C13" s="682">
        <f>+CF정산표!$R$121</f>
        <v>136925145031</v>
      </c>
      <c r="D13" s="682"/>
      <c r="E13" s="345">
        <v>22300000</v>
      </c>
      <c r="F13" s="681"/>
    </row>
    <row r="14" spans="2:6">
      <c r="B14" s="343" t="s">
        <v>1442</v>
      </c>
      <c r="C14" s="682">
        <v>0</v>
      </c>
      <c r="D14" s="682"/>
      <c r="E14" s="345">
        <v>34648365</v>
      </c>
      <c r="F14" s="681"/>
    </row>
    <row r="15" spans="2:6">
      <c r="B15" s="343" t="s">
        <v>1443</v>
      </c>
      <c r="C15" s="682">
        <f>+CF정산표!$R$126+CF정산표!$R$122</f>
        <v>30530400</v>
      </c>
      <c r="D15" s="682"/>
      <c r="E15" s="345">
        <v>224010</v>
      </c>
      <c r="F15" s="681"/>
    </row>
    <row r="16" spans="2:6">
      <c r="B16" s="343" t="s">
        <v>1444</v>
      </c>
      <c r="C16" s="682">
        <v>0</v>
      </c>
      <c r="D16" s="682"/>
      <c r="E16" s="345">
        <v>37600</v>
      </c>
      <c r="F16" s="681"/>
    </row>
    <row r="17" spans="2:8">
      <c r="B17" s="343" t="s">
        <v>1445</v>
      </c>
      <c r="C17" s="682">
        <v>0</v>
      </c>
      <c r="D17" s="682"/>
      <c r="E17" s="345">
        <v>30000</v>
      </c>
      <c r="F17" s="681"/>
    </row>
    <row r="18" spans="2:8">
      <c r="B18" s="343" t="s">
        <v>1446</v>
      </c>
      <c r="C18" s="682">
        <f>+CF정산표!$R$135</f>
        <v>996721950</v>
      </c>
      <c r="D18" s="682"/>
      <c r="E18" s="345">
        <v>2780990</v>
      </c>
      <c r="F18" s="681"/>
    </row>
    <row r="19" spans="2:8">
      <c r="B19" s="343" t="s">
        <v>1447</v>
      </c>
      <c r="C19" s="682">
        <f>-SUM(C20:C25)</f>
        <v>-10781184027</v>
      </c>
      <c r="D19" s="682"/>
      <c r="E19" s="345">
        <v>-131665010</v>
      </c>
      <c r="F19" s="681"/>
    </row>
    <row r="20" spans="2:8">
      <c r="B20" s="343" t="s">
        <v>1448</v>
      </c>
      <c r="C20" s="682">
        <f>+CF정산표!$T$125</f>
        <v>0</v>
      </c>
      <c r="D20" s="682"/>
      <c r="E20" s="345">
        <v>112092622</v>
      </c>
      <c r="F20" s="681"/>
    </row>
    <row r="21" spans="2:8">
      <c r="B21" s="683" t="s">
        <v>1449</v>
      </c>
      <c r="C21" s="684">
        <f>+CF정산표!$T$131</f>
        <v>0</v>
      </c>
      <c r="D21" s="684"/>
      <c r="E21" s="685"/>
      <c r="F21" s="686"/>
    </row>
    <row r="22" spans="2:8">
      <c r="B22" s="343" t="s">
        <v>1450</v>
      </c>
      <c r="C22" s="682">
        <f>+CF정산표!$T$126</f>
        <v>0</v>
      </c>
      <c r="D22" s="682"/>
      <c r="E22" s="345">
        <v>9979965</v>
      </c>
      <c r="F22" s="681"/>
    </row>
    <row r="23" spans="2:8">
      <c r="B23" s="343" t="s">
        <v>1451</v>
      </c>
      <c r="C23" s="682">
        <f>+CF정산표!$T$133</f>
        <v>0</v>
      </c>
      <c r="D23" s="682"/>
      <c r="E23" s="344" t="s">
        <v>1452</v>
      </c>
      <c r="F23" s="681"/>
    </row>
    <row r="24" spans="2:8">
      <c r="B24" s="343" t="s">
        <v>1453</v>
      </c>
      <c r="C24" s="682">
        <f>+CF정산표!$T$122+CF정산표!$T$129+CF정산표!$T$132</f>
        <v>9303352277</v>
      </c>
      <c r="D24" s="682"/>
      <c r="E24" s="345">
        <v>6256633</v>
      </c>
      <c r="F24" s="681"/>
    </row>
    <row r="25" spans="2:8">
      <c r="B25" s="343" t="s">
        <v>1454</v>
      </c>
      <c r="C25" s="682">
        <f>+CF정산표!$T$121+CF정산표!$T$130</f>
        <v>1477831750</v>
      </c>
      <c r="D25" s="682"/>
      <c r="E25" s="345">
        <v>3335790</v>
      </c>
      <c r="F25" s="681"/>
    </row>
    <row r="26" spans="2:8">
      <c r="B26" s="343" t="s">
        <v>1455</v>
      </c>
      <c r="C26" s="682"/>
      <c r="D26" s="682">
        <f>+C27+C28</f>
        <v>-16744713730</v>
      </c>
      <c r="E26" s="344"/>
      <c r="F26" s="676">
        <v>-18059057</v>
      </c>
    </row>
    <row r="27" spans="2:8">
      <c r="B27" s="343" t="s">
        <v>1456</v>
      </c>
      <c r="C27" s="682">
        <v>0</v>
      </c>
      <c r="D27" s="682"/>
      <c r="E27" s="344" t="s">
        <v>1452</v>
      </c>
      <c r="F27" s="681"/>
    </row>
    <row r="28" spans="2:8">
      <c r="B28" s="343" t="s">
        <v>1457</v>
      </c>
      <c r="C28" s="682">
        <f>-SUM(C29:C31)</f>
        <v>-16744713730</v>
      </c>
      <c r="D28" s="682"/>
      <c r="E28" s="345">
        <v>-18059057</v>
      </c>
      <c r="F28" s="681"/>
    </row>
    <row r="29" spans="2:8">
      <c r="B29" s="343" t="s">
        <v>1458</v>
      </c>
      <c r="C29" s="682">
        <f>+CF정산표!$X$123</f>
        <v>5000000000</v>
      </c>
      <c r="D29" s="682"/>
      <c r="E29" s="345">
        <v>5000000</v>
      </c>
      <c r="F29" s="681"/>
    </row>
    <row r="30" spans="2:8">
      <c r="B30" s="343" t="s">
        <v>1459</v>
      </c>
      <c r="C30" s="682"/>
      <c r="D30" s="682"/>
      <c r="E30" s="344" t="s">
        <v>1452</v>
      </c>
      <c r="F30" s="681"/>
    </row>
    <row r="31" spans="2:8">
      <c r="B31" s="343" t="s">
        <v>1460</v>
      </c>
      <c r="C31" s="682">
        <f>+CF정산표!$X$124</f>
        <v>11744713730</v>
      </c>
      <c r="D31" s="682"/>
      <c r="E31" s="345">
        <v>13059057</v>
      </c>
      <c r="F31" s="681"/>
    </row>
    <row r="32" spans="2:8">
      <c r="B32" s="343" t="s">
        <v>1461</v>
      </c>
      <c r="C32" s="682">
        <f>+D26+D11+D3</f>
        <v>10469976661</v>
      </c>
      <c r="D32" s="682"/>
      <c r="E32" s="344"/>
      <c r="F32" s="676">
        <v>-24203874</v>
      </c>
      <c r="H32" s="351"/>
    </row>
    <row r="33" spans="2:9">
      <c r="B33" s="343" t="s">
        <v>1462</v>
      </c>
      <c r="C33" s="682">
        <f>+CF정산표!$E$7</f>
        <v>44572518747</v>
      </c>
      <c r="D33" s="682"/>
      <c r="E33" s="344"/>
      <c r="F33" s="676">
        <v>93060172</v>
      </c>
      <c r="H33" s="351"/>
      <c r="I33" s="17"/>
    </row>
    <row r="34" spans="2:9">
      <c r="B34" s="343" t="s">
        <v>1463</v>
      </c>
      <c r="C34" s="682">
        <f>+CF정산표!$D$148</f>
        <v>372339715</v>
      </c>
      <c r="D34" s="682"/>
      <c r="E34" s="344"/>
      <c r="F34" s="676">
        <v>-384769</v>
      </c>
    </row>
    <row r="35" spans="2:9">
      <c r="B35" s="349" t="s">
        <v>1464</v>
      </c>
      <c r="C35" s="687">
        <f>+CF정산표!$F$7</f>
        <v>53003487568</v>
      </c>
      <c r="D35" s="687"/>
      <c r="E35" s="350"/>
      <c r="F35" s="678">
        <v>68471529</v>
      </c>
    </row>
    <row r="36" spans="2:9">
      <c r="C36" s="705" t="b">
        <f>+C32+C33+C34=C35</f>
        <v>0</v>
      </c>
      <c r="D36" s="17"/>
    </row>
    <row r="38" spans="2:9">
      <c r="B38" s="342" t="s">
        <v>1389</v>
      </c>
      <c r="C38" s="793" t="s">
        <v>1390</v>
      </c>
      <c r="D38" s="794"/>
      <c r="E38" s="793" t="s">
        <v>1430</v>
      </c>
      <c r="F38" s="795"/>
    </row>
    <row r="39" spans="2:9">
      <c r="B39" s="343" t="s">
        <v>1431</v>
      </c>
      <c r="C39" s="682"/>
      <c r="D39" s="682">
        <f>ROUND(D3/1000,0)</f>
        <v>-99956523</v>
      </c>
      <c r="E39" s="344"/>
      <c r="F39" s="676">
        <v>65499228</v>
      </c>
    </row>
    <row r="40" spans="2:9">
      <c r="B40" s="343" t="s">
        <v>1432</v>
      </c>
      <c r="C40" s="682">
        <f t="shared" ref="C40:D40" si="0">ROUND(C4/1000,0)</f>
        <v>-99960021</v>
      </c>
      <c r="D40" s="682">
        <f t="shared" si="0"/>
        <v>0</v>
      </c>
      <c r="E40" s="345">
        <v>60688966</v>
      </c>
      <c r="F40" s="681"/>
    </row>
    <row r="41" spans="2:9">
      <c r="B41" s="343" t="s">
        <v>1433</v>
      </c>
      <c r="C41" s="682">
        <f t="shared" ref="C41:D41" si="1">ROUND(C5/1000,0)</f>
        <v>-75590345</v>
      </c>
      <c r="D41" s="682">
        <f t="shared" si="1"/>
        <v>0</v>
      </c>
      <c r="E41" s="345">
        <v>-29622730</v>
      </c>
      <c r="F41" s="681"/>
    </row>
    <row r="42" spans="2:9">
      <c r="B42" s="343" t="s">
        <v>1434</v>
      </c>
      <c r="C42" s="682">
        <f t="shared" ref="C42:D42" si="2">ROUND(C6/1000,0)</f>
        <v>-1795813</v>
      </c>
      <c r="D42" s="682">
        <f t="shared" si="2"/>
        <v>0</v>
      </c>
      <c r="E42" s="345">
        <v>58706161</v>
      </c>
      <c r="F42" s="681"/>
    </row>
    <row r="43" spans="2:9">
      <c r="B43" s="343" t="s">
        <v>1435</v>
      </c>
      <c r="C43" s="682">
        <f t="shared" ref="C43:D43" si="3">ROUND(C7/1000,0)</f>
        <v>-22573863</v>
      </c>
      <c r="D43" s="682">
        <f t="shared" si="3"/>
        <v>0</v>
      </c>
      <c r="E43" s="345">
        <v>31605535</v>
      </c>
      <c r="F43" s="681"/>
    </row>
    <row r="44" spans="2:9">
      <c r="B44" s="343" t="s">
        <v>1436</v>
      </c>
      <c r="C44" s="682">
        <f t="shared" ref="C44:D44" si="4">ROUND(C8/1000,0)</f>
        <v>3619</v>
      </c>
      <c r="D44" s="682">
        <f t="shared" si="4"/>
        <v>0</v>
      </c>
      <c r="E44" s="345">
        <v>6106586</v>
      </c>
      <c r="F44" s="681"/>
    </row>
    <row r="45" spans="2:9">
      <c r="B45" s="343" t="s">
        <v>1437</v>
      </c>
      <c r="C45" s="682">
        <f t="shared" ref="C45:D45" si="5">ROUND(C9/1000,0)</f>
        <v>-121</v>
      </c>
      <c r="D45" s="682">
        <f t="shared" si="5"/>
        <v>0</v>
      </c>
      <c r="E45" s="344">
        <v>-429</v>
      </c>
      <c r="F45" s="681"/>
    </row>
    <row r="46" spans="2:9">
      <c r="B46" s="343" t="s">
        <v>1438</v>
      </c>
      <c r="C46" s="682">
        <f t="shared" ref="C46:D46" si="6">ROUND(C10/1000,0)</f>
        <v>0</v>
      </c>
      <c r="D46" s="682">
        <f t="shared" si="6"/>
        <v>0</v>
      </c>
      <c r="E46" s="345">
        <v>-1295895</v>
      </c>
      <c r="F46" s="681"/>
    </row>
    <row r="47" spans="2:9">
      <c r="B47" s="343" t="s">
        <v>1439</v>
      </c>
      <c r="C47" s="682">
        <f t="shared" ref="C47" si="7">ROUND(C11/1000,0)</f>
        <v>0</v>
      </c>
      <c r="D47" s="682">
        <f>+C48+C55</f>
        <v>149079819</v>
      </c>
      <c r="E47" s="344"/>
      <c r="F47" s="676">
        <v>-71644045</v>
      </c>
      <c r="H47" s="17">
        <f>C48+C55</f>
        <v>149079819</v>
      </c>
    </row>
    <row r="48" spans="2:9">
      <c r="B48" s="343" t="s">
        <v>1440</v>
      </c>
      <c r="C48" s="684">
        <v>159861003</v>
      </c>
      <c r="D48" s="682">
        <f t="shared" ref="D48" si="8">ROUND(D12/1000,0)</f>
        <v>0</v>
      </c>
      <c r="E48" s="345">
        <v>60020965</v>
      </c>
      <c r="F48" s="681"/>
    </row>
    <row r="49" spans="2:6">
      <c r="B49" s="343" t="s">
        <v>1441</v>
      </c>
      <c r="C49" s="682">
        <f t="shared" ref="C49:D49" si="9">ROUND(C13/1000,0)</f>
        <v>136925145</v>
      </c>
      <c r="D49" s="682">
        <f t="shared" si="9"/>
        <v>0</v>
      </c>
      <c r="E49" s="345">
        <v>22300000</v>
      </c>
      <c r="F49" s="681"/>
    </row>
    <row r="50" spans="2:6">
      <c r="B50" s="343" t="s">
        <v>1442</v>
      </c>
      <c r="C50" s="682">
        <f t="shared" ref="C50:D50" si="10">ROUND(C14/1000,0)</f>
        <v>0</v>
      </c>
      <c r="D50" s="682">
        <f t="shared" si="10"/>
        <v>0</v>
      </c>
      <c r="E50" s="345">
        <v>34648365</v>
      </c>
      <c r="F50" s="681"/>
    </row>
    <row r="51" spans="2:6">
      <c r="B51" s="343" t="s">
        <v>1443</v>
      </c>
      <c r="C51" s="682">
        <f t="shared" ref="C51:D51" si="11">ROUND(C15/1000,0)</f>
        <v>30530</v>
      </c>
      <c r="D51" s="682">
        <f t="shared" si="11"/>
        <v>0</v>
      </c>
      <c r="E51" s="345">
        <v>224010</v>
      </c>
      <c r="F51" s="681"/>
    </row>
    <row r="52" spans="2:6">
      <c r="B52" s="343" t="s">
        <v>1444</v>
      </c>
      <c r="C52" s="682">
        <f t="shared" ref="C52:D52" si="12">ROUND(C16/1000,0)</f>
        <v>0</v>
      </c>
      <c r="D52" s="682">
        <f t="shared" si="12"/>
        <v>0</v>
      </c>
      <c r="E52" s="345">
        <v>37600</v>
      </c>
      <c r="F52" s="681"/>
    </row>
    <row r="53" spans="2:6">
      <c r="B53" s="343" t="s">
        <v>1445</v>
      </c>
      <c r="C53" s="682">
        <f t="shared" ref="C53:D54" si="13">ROUND(C17/1000,0)</f>
        <v>0</v>
      </c>
      <c r="D53" s="682">
        <f t="shared" si="13"/>
        <v>0</v>
      </c>
      <c r="E53" s="345">
        <v>30000</v>
      </c>
      <c r="F53" s="681"/>
    </row>
    <row r="54" spans="2:6">
      <c r="B54" s="343" t="s">
        <v>1446</v>
      </c>
      <c r="C54" s="682">
        <f t="shared" si="13"/>
        <v>996722</v>
      </c>
      <c r="D54" s="682">
        <f t="shared" ref="D54" si="14">ROUND(D18/1000,0)</f>
        <v>0</v>
      </c>
      <c r="E54" s="345">
        <v>2780990</v>
      </c>
      <c r="F54" s="681"/>
    </row>
    <row r="55" spans="2:6">
      <c r="B55" s="343" t="s">
        <v>1447</v>
      </c>
      <c r="C55" s="682">
        <f t="shared" ref="C55:D55" si="15">ROUND(C19/1000,0)</f>
        <v>-10781184</v>
      </c>
      <c r="D55" s="682">
        <f t="shared" si="15"/>
        <v>0</v>
      </c>
      <c r="E55" s="345">
        <v>-131665010</v>
      </c>
      <c r="F55" s="681"/>
    </row>
    <row r="56" spans="2:6">
      <c r="B56" s="343" t="s">
        <v>1448</v>
      </c>
      <c r="C56" s="682">
        <f t="shared" ref="C56:D56" si="16">ROUND(C20/1000,0)</f>
        <v>0</v>
      </c>
      <c r="D56" s="682">
        <f t="shared" si="16"/>
        <v>0</v>
      </c>
      <c r="E56" s="345">
        <v>112092622</v>
      </c>
      <c r="F56" s="681"/>
    </row>
    <row r="57" spans="2:6">
      <c r="B57" s="683" t="s">
        <v>1466</v>
      </c>
      <c r="C57" s="684">
        <f t="shared" ref="C57:D57" si="17">ROUND(C21/1000,0)</f>
        <v>0</v>
      </c>
      <c r="D57" s="684">
        <f t="shared" si="17"/>
        <v>0</v>
      </c>
      <c r="E57" s="685"/>
      <c r="F57" s="686"/>
    </row>
    <row r="58" spans="2:6">
      <c r="B58" s="343" t="s">
        <v>1450</v>
      </c>
      <c r="C58" s="682">
        <f t="shared" ref="C58:D58" si="18">ROUND(C22/1000,0)</f>
        <v>0</v>
      </c>
      <c r="D58" s="682">
        <f t="shared" si="18"/>
        <v>0</v>
      </c>
      <c r="E58" s="345">
        <v>9979965</v>
      </c>
      <c r="F58" s="681"/>
    </row>
    <row r="59" spans="2:6">
      <c r="B59" s="343" t="s">
        <v>1451</v>
      </c>
      <c r="C59" s="682">
        <f t="shared" ref="C59:D59" si="19">ROUND(C23/1000,0)</f>
        <v>0</v>
      </c>
      <c r="D59" s="682">
        <f t="shared" si="19"/>
        <v>0</v>
      </c>
      <c r="E59" s="344" t="s">
        <v>1452</v>
      </c>
      <c r="F59" s="681"/>
    </row>
    <row r="60" spans="2:6">
      <c r="B60" s="343" t="s">
        <v>1453</v>
      </c>
      <c r="C60" s="682">
        <f t="shared" ref="C60:D60" si="20">ROUND(C24/1000,0)</f>
        <v>9303352</v>
      </c>
      <c r="D60" s="682">
        <f t="shared" si="20"/>
        <v>0</v>
      </c>
      <c r="E60" s="345">
        <v>6256633</v>
      </c>
      <c r="F60" s="681"/>
    </row>
    <row r="61" spans="2:6">
      <c r="B61" s="343" t="s">
        <v>1454</v>
      </c>
      <c r="C61" s="682">
        <f t="shared" ref="C61:D61" si="21">ROUND(C25/1000,0)</f>
        <v>1477832</v>
      </c>
      <c r="D61" s="682">
        <f t="shared" si="21"/>
        <v>0</v>
      </c>
      <c r="E61" s="345">
        <v>3335790</v>
      </c>
      <c r="F61" s="681"/>
    </row>
    <row r="62" spans="2:6">
      <c r="B62" s="343" t="s">
        <v>1455</v>
      </c>
      <c r="C62" s="682">
        <f t="shared" ref="C62:D62" si="22">ROUND(C26/1000,0)</f>
        <v>0</v>
      </c>
      <c r="D62" s="682">
        <f t="shared" si="22"/>
        <v>-16744714</v>
      </c>
      <c r="E62" s="344"/>
      <c r="F62" s="676">
        <v>-18059057</v>
      </c>
    </row>
    <row r="63" spans="2:6">
      <c r="B63" s="343" t="s">
        <v>1456</v>
      </c>
      <c r="C63" s="682">
        <f t="shared" ref="C63:D63" si="23">ROUND(C27/1000,0)</f>
        <v>0</v>
      </c>
      <c r="D63" s="682">
        <f t="shared" si="23"/>
        <v>0</v>
      </c>
      <c r="E63" s="344" t="s">
        <v>1452</v>
      </c>
      <c r="F63" s="681"/>
    </row>
    <row r="64" spans="2:6">
      <c r="B64" s="343" t="s">
        <v>1457</v>
      </c>
      <c r="C64" s="682">
        <f t="shared" ref="C64:D64" si="24">ROUND(C28/1000,0)</f>
        <v>-16744714</v>
      </c>
      <c r="D64" s="682">
        <f t="shared" si="24"/>
        <v>0</v>
      </c>
      <c r="E64" s="345">
        <v>-18059057</v>
      </c>
      <c r="F64" s="681"/>
    </row>
    <row r="65" spans="2:6">
      <c r="B65" s="343" t="s">
        <v>1458</v>
      </c>
      <c r="C65" s="682">
        <f t="shared" ref="C65:D65" si="25">ROUND(C29/1000,0)</f>
        <v>5000000</v>
      </c>
      <c r="D65" s="682">
        <f t="shared" si="25"/>
        <v>0</v>
      </c>
      <c r="E65" s="345">
        <v>5000000</v>
      </c>
      <c r="F65" s="681"/>
    </row>
    <row r="66" spans="2:6">
      <c r="B66" s="343" t="s">
        <v>1459</v>
      </c>
      <c r="C66" s="682">
        <f t="shared" ref="C66:D66" si="26">ROUND(C30/1000,0)</f>
        <v>0</v>
      </c>
      <c r="D66" s="682">
        <f t="shared" si="26"/>
        <v>0</v>
      </c>
      <c r="E66" s="344" t="s">
        <v>1452</v>
      </c>
      <c r="F66" s="681"/>
    </row>
    <row r="67" spans="2:6">
      <c r="B67" s="343" t="s">
        <v>1460</v>
      </c>
      <c r="C67" s="682">
        <f t="shared" ref="C67:D67" si="27">ROUND(C31/1000,0)</f>
        <v>11744714</v>
      </c>
      <c r="D67" s="682">
        <f t="shared" si="27"/>
        <v>0</v>
      </c>
      <c r="E67" s="345">
        <v>13059057</v>
      </c>
      <c r="F67" s="681"/>
    </row>
    <row r="68" spans="2:6">
      <c r="B68" s="343" t="s">
        <v>1461</v>
      </c>
      <c r="C68" s="682">
        <f t="shared" ref="C68:D68" si="28">ROUND(C32/1000,0)</f>
        <v>10469977</v>
      </c>
      <c r="D68" s="682">
        <f t="shared" si="28"/>
        <v>0</v>
      </c>
      <c r="E68" s="344"/>
      <c r="F68" s="676">
        <v>-24203874</v>
      </c>
    </row>
    <row r="69" spans="2:6">
      <c r="B69" s="343" t="s">
        <v>1462</v>
      </c>
      <c r="C69" s="682">
        <f t="shared" ref="C69:D69" si="29">ROUND(C33/1000,0)</f>
        <v>44572519</v>
      </c>
      <c r="D69" s="682">
        <f t="shared" si="29"/>
        <v>0</v>
      </c>
      <c r="E69" s="344"/>
      <c r="F69" s="676">
        <v>93060172</v>
      </c>
    </row>
    <row r="70" spans="2:6">
      <c r="B70" s="343" t="s">
        <v>1463</v>
      </c>
      <c r="C70" s="682">
        <f t="shared" ref="C70:D70" si="30">ROUND(C34/1000,0)</f>
        <v>372340</v>
      </c>
      <c r="D70" s="682">
        <f t="shared" si="30"/>
        <v>0</v>
      </c>
      <c r="E70" s="344"/>
      <c r="F70" s="676">
        <v>-384769</v>
      </c>
    </row>
    <row r="71" spans="2:6">
      <c r="B71" s="349" t="s">
        <v>1464</v>
      </c>
      <c r="C71" s="687">
        <f t="shared" ref="C71:D71" si="31">ROUND(C35/1000,0)</f>
        <v>53003488</v>
      </c>
      <c r="D71" s="687">
        <f t="shared" si="31"/>
        <v>0</v>
      </c>
      <c r="E71" s="350"/>
      <c r="F71" s="678">
        <v>68471529</v>
      </c>
    </row>
  </sheetData>
  <mergeCells count="4">
    <mergeCell ref="C2:D2"/>
    <mergeCell ref="E2:F2"/>
    <mergeCell ref="C38:D38"/>
    <mergeCell ref="E38:F3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3DC2-FAA8-475E-AFF4-195585E624DE}">
  <dimension ref="A2:V94"/>
  <sheetViews>
    <sheetView topLeftCell="A26" zoomScale="70" zoomScaleNormal="70" workbookViewId="0">
      <selection activeCell="H47" sqref="H47"/>
    </sheetView>
  </sheetViews>
  <sheetFormatPr defaultRowHeight="16.5"/>
  <cols>
    <col min="2" max="2" width="37.75" bestFit="1" customWidth="1"/>
    <col min="3" max="4" width="23.5" style="351" customWidth="1"/>
    <col min="5" max="5" width="16.75" bestFit="1" customWidth="1"/>
    <col min="6" max="6" width="14.875" style="691" customWidth="1"/>
    <col min="7" max="7" width="28.5" style="691" customWidth="1"/>
    <col min="8" max="14" width="14.875" style="691" customWidth="1"/>
    <col min="16" max="17" width="23.5" customWidth="1"/>
    <col min="18" max="18" width="24.5" style="351" customWidth="1"/>
    <col min="19" max="19" width="24.5" style="630" customWidth="1"/>
    <col min="20" max="20" width="36.25" style="351" bestFit="1" customWidth="1"/>
    <col min="21" max="21" width="15.25" style="351" bestFit="1" customWidth="1"/>
    <col min="22" max="22" width="15.125" style="351" bestFit="1" customWidth="1"/>
  </cols>
  <sheetData>
    <row r="2" spans="2:22">
      <c r="P2" t="s">
        <v>1410</v>
      </c>
      <c r="T2" s="351" t="str">
        <f>공시용!B3</f>
        <v>계정과목</v>
      </c>
      <c r="U2" s="351" t="str">
        <f>공시용!C3</f>
        <v>공시용 재무상태표
(2021-12-31)</v>
      </c>
      <c r="V2" s="351">
        <f>공시용!D3</f>
        <v>0</v>
      </c>
    </row>
    <row r="3" spans="2:22">
      <c r="B3" s="342" t="s">
        <v>1389</v>
      </c>
      <c r="C3" s="796" t="s">
        <v>1390</v>
      </c>
      <c r="D3" s="797"/>
      <c r="G3" s="342" t="s">
        <v>1389</v>
      </c>
      <c r="H3" s="793" t="s">
        <v>1390</v>
      </c>
      <c r="I3" s="794"/>
      <c r="J3" s="793" t="s">
        <v>1430</v>
      </c>
      <c r="K3" s="795"/>
      <c r="P3" t="s">
        <v>1021</v>
      </c>
      <c r="T3" s="351">
        <f>공시용!B4</f>
        <v>0</v>
      </c>
      <c r="U3" s="351">
        <f>공시용!C4</f>
        <v>0</v>
      </c>
      <c r="V3" s="351">
        <f>공시용!D4</f>
        <v>0</v>
      </c>
    </row>
    <row r="4" spans="2:22">
      <c r="B4" s="343" t="s">
        <v>1391</v>
      </c>
      <c r="C4" s="345"/>
      <c r="D4" s="676"/>
      <c r="G4" s="343" t="s">
        <v>1391</v>
      </c>
      <c r="H4" s="344"/>
      <c r="I4" s="344"/>
      <c r="J4" s="344"/>
      <c r="K4" s="681"/>
      <c r="P4" t="s">
        <v>283</v>
      </c>
      <c r="Q4" s="351" t="str">
        <f>T6</f>
        <v>현금및현금성자산</v>
      </c>
      <c r="R4" s="351">
        <f t="shared" ref="R4:R49" si="0">VLOOKUP(Q4,$T$6:$U$62,2,0)</f>
        <v>53003487568</v>
      </c>
      <c r="T4" s="351" t="str">
        <f>공시용!B5</f>
        <v>자      산</v>
      </c>
      <c r="U4" s="351">
        <f>공시용!C5</f>
        <v>0</v>
      </c>
      <c r="V4" s="351">
        <f>공시용!D5</f>
        <v>0</v>
      </c>
    </row>
    <row r="5" spans="2:22">
      <c r="B5" s="343" t="s">
        <v>1021</v>
      </c>
      <c r="C5" s="345"/>
      <c r="D5" s="676">
        <f>SUM(C6:C16)</f>
        <v>704638658745</v>
      </c>
      <c r="E5" s="351">
        <f>D5-V5</f>
        <v>0</v>
      </c>
      <c r="F5" s="351"/>
      <c r="G5" s="343" t="s">
        <v>1021</v>
      </c>
      <c r="H5" s="113"/>
      <c r="I5" s="113">
        <f>SUM(H6:H16)</f>
        <v>704638659</v>
      </c>
      <c r="J5" s="344"/>
      <c r="K5" s="676">
        <v>898147336</v>
      </c>
      <c r="L5" s="351"/>
      <c r="M5" s="351"/>
      <c r="N5" s="351"/>
      <c r="P5" t="s">
        <v>239</v>
      </c>
      <c r="Q5" s="351" t="str">
        <f>T7</f>
        <v>단기금융상품</v>
      </c>
      <c r="R5" s="351">
        <f t="shared" si="0"/>
        <v>103520760872</v>
      </c>
      <c r="T5" s="351" t="str">
        <f>공시용!B6</f>
        <v>유동자산</v>
      </c>
      <c r="U5" s="351">
        <f>공시용!C6</f>
        <v>0</v>
      </c>
      <c r="V5" s="351">
        <f>공시용!D6</f>
        <v>704638658745</v>
      </c>
    </row>
    <row r="6" spans="2:22">
      <c r="B6" s="674" t="s">
        <v>283</v>
      </c>
      <c r="C6" s="345">
        <f t="shared" ref="C6:C14" si="1">VLOOKUP(B6,$P$4:$R$50,3,)</f>
        <v>53003487568</v>
      </c>
      <c r="D6" s="676"/>
      <c r="G6" s="674" t="s">
        <v>1479</v>
      </c>
      <c r="H6" s="113">
        <f>ROUND(C6/1000,)</f>
        <v>53003488</v>
      </c>
      <c r="I6" s="113"/>
      <c r="J6" s="345">
        <v>68471529</v>
      </c>
      <c r="K6" s="681"/>
      <c r="P6" t="s">
        <v>236</v>
      </c>
      <c r="Q6" s="351" t="str">
        <f>T11</f>
        <v>매출채권</v>
      </c>
      <c r="R6" s="351">
        <f t="shared" si="0"/>
        <v>21547734038</v>
      </c>
      <c r="T6" s="351" t="str">
        <f>공시용!B7</f>
        <v>현금및현금성자산</v>
      </c>
      <c r="U6" s="351">
        <f>공시용!C7</f>
        <v>53003487568</v>
      </c>
      <c r="V6" s="351">
        <f>공시용!D7</f>
        <v>0</v>
      </c>
    </row>
    <row r="7" spans="2:22">
      <c r="B7" s="674" t="s">
        <v>239</v>
      </c>
      <c r="C7" s="345">
        <f t="shared" si="1"/>
        <v>103520760872</v>
      </c>
      <c r="D7" s="676"/>
      <c r="G7" s="674" t="s">
        <v>1480</v>
      </c>
      <c r="H7" s="113">
        <f t="shared" ref="H7:H25" si="2">ROUND(C7/1000,)</f>
        <v>103520761</v>
      </c>
      <c r="I7" s="113"/>
      <c r="J7" s="345">
        <v>404777637</v>
      </c>
      <c r="K7" s="681"/>
      <c r="P7" t="s">
        <v>232</v>
      </c>
      <c r="Q7" s="351" t="str">
        <f>T12</f>
        <v>미수금</v>
      </c>
      <c r="R7" s="351">
        <f t="shared" si="0"/>
        <v>428591732281</v>
      </c>
      <c r="T7" s="351" t="str">
        <f>공시용!B8</f>
        <v>단기금융상품</v>
      </c>
      <c r="U7" s="351">
        <f>공시용!C8</f>
        <v>103520760872</v>
      </c>
      <c r="V7" s="351">
        <f>공시용!D8</f>
        <v>0</v>
      </c>
    </row>
    <row r="8" spans="2:22">
      <c r="B8" s="674" t="s">
        <v>236</v>
      </c>
      <c r="C8" s="345">
        <f t="shared" si="1"/>
        <v>21547734038</v>
      </c>
      <c r="D8" s="676"/>
      <c r="G8" s="674" t="s">
        <v>1481</v>
      </c>
      <c r="H8" s="113">
        <f t="shared" si="2"/>
        <v>21547734</v>
      </c>
      <c r="I8" s="113"/>
      <c r="J8" s="345">
        <v>21965675</v>
      </c>
      <c r="K8" s="681"/>
      <c r="P8" t="s">
        <v>221</v>
      </c>
      <c r="Q8" s="351" t="str">
        <f>T14</f>
        <v>미수수익</v>
      </c>
      <c r="R8" s="351">
        <f t="shared" si="0"/>
        <v>692328766</v>
      </c>
      <c r="T8" s="675" t="str">
        <f>공시용!B9</f>
        <v>단기대여금</v>
      </c>
      <c r="U8" s="675">
        <f>공시용!C9</f>
        <v>200000000</v>
      </c>
      <c r="V8" s="351">
        <f>공시용!D9</f>
        <v>0</v>
      </c>
    </row>
    <row r="9" spans="2:22" s="630" customFormat="1">
      <c r="B9" s="674" t="s">
        <v>1378</v>
      </c>
      <c r="C9" s="345">
        <f t="shared" si="1"/>
        <v>200000000</v>
      </c>
      <c r="D9" s="676"/>
      <c r="F9" s="691"/>
      <c r="G9" s="674" t="s">
        <v>1331</v>
      </c>
      <c r="H9" s="113">
        <f t="shared" si="2"/>
        <v>200000</v>
      </c>
      <c r="I9" s="113"/>
      <c r="J9" s="344" t="s">
        <v>1452</v>
      </c>
      <c r="K9" s="681"/>
      <c r="L9" s="691"/>
      <c r="M9" s="691"/>
      <c r="N9" s="691"/>
      <c r="P9" s="630" t="str">
        <f>B9</f>
        <v>단기대여금</v>
      </c>
      <c r="Q9" s="351" t="str">
        <f>T8</f>
        <v>단기대여금</v>
      </c>
      <c r="R9" s="351">
        <f t="shared" si="0"/>
        <v>200000000</v>
      </c>
      <c r="T9" s="675"/>
      <c r="U9" s="675"/>
      <c r="V9" s="351"/>
    </row>
    <row r="10" spans="2:22">
      <c r="B10" s="674" t="s">
        <v>232</v>
      </c>
      <c r="C10" s="345">
        <f t="shared" si="1"/>
        <v>428591732281</v>
      </c>
      <c r="D10" s="676"/>
      <c r="G10" s="674" t="s">
        <v>1482</v>
      </c>
      <c r="H10" s="113">
        <f t="shared" si="2"/>
        <v>428591732</v>
      </c>
      <c r="I10" s="113"/>
      <c r="J10" s="345">
        <v>396020743</v>
      </c>
      <c r="K10" s="681"/>
      <c r="P10" t="s">
        <v>218</v>
      </c>
      <c r="Q10" s="351" t="str">
        <f>T16</f>
        <v>선급금</v>
      </c>
      <c r="R10" s="351">
        <f t="shared" si="0"/>
        <v>44640410090</v>
      </c>
      <c r="T10" s="351" t="str">
        <f>공시용!B10</f>
        <v>파생금융상품</v>
      </c>
      <c r="U10" s="351">
        <f>공시용!C10</f>
        <v>0</v>
      </c>
      <c r="V10" s="351">
        <f>공시용!D10</f>
        <v>0</v>
      </c>
    </row>
    <row r="11" spans="2:22">
      <c r="B11" s="674" t="s">
        <v>221</v>
      </c>
      <c r="C11" s="345">
        <f t="shared" si="1"/>
        <v>692328766</v>
      </c>
      <c r="D11" s="676"/>
      <c r="G11" s="674" t="s">
        <v>1483</v>
      </c>
      <c r="H11" s="113">
        <f t="shared" si="2"/>
        <v>692329</v>
      </c>
      <c r="I11" s="113"/>
      <c r="J11" s="345">
        <v>378341</v>
      </c>
      <c r="K11" s="681"/>
      <c r="P11" t="s">
        <v>215</v>
      </c>
      <c r="Q11" s="351" t="str">
        <f>T17</f>
        <v>선급비용</v>
      </c>
      <c r="R11" s="351">
        <f t="shared" si="0"/>
        <v>5204857738</v>
      </c>
      <c r="T11" s="351" t="str">
        <f>공시용!B11</f>
        <v>매출채권</v>
      </c>
      <c r="U11" s="351">
        <f>공시용!C11</f>
        <v>21547734038</v>
      </c>
      <c r="V11" s="351">
        <f>공시용!D11</f>
        <v>0</v>
      </c>
    </row>
    <row r="12" spans="2:22">
      <c r="B12" s="674" t="s">
        <v>218</v>
      </c>
      <c r="C12" s="345">
        <f t="shared" si="1"/>
        <v>44640410090</v>
      </c>
      <c r="D12" s="676"/>
      <c r="G12" s="674" t="s">
        <v>218</v>
      </c>
      <c r="H12" s="113">
        <f t="shared" si="2"/>
        <v>44640410</v>
      </c>
      <c r="I12" s="113"/>
      <c r="J12" s="345">
        <v>1528706</v>
      </c>
      <c r="K12" s="681"/>
      <c r="P12" t="s">
        <v>296</v>
      </c>
      <c r="Q12" s="351" t="str">
        <f>T18</f>
        <v>재고자산</v>
      </c>
      <c r="R12" s="351">
        <f t="shared" si="0"/>
        <v>43993843992</v>
      </c>
      <c r="T12" s="351" t="str">
        <f>공시용!B12</f>
        <v>미수금</v>
      </c>
      <c r="U12" s="351">
        <f>공시용!C12</f>
        <v>428591732281</v>
      </c>
      <c r="V12" s="351">
        <f>공시용!D12</f>
        <v>0</v>
      </c>
    </row>
    <row r="13" spans="2:22">
      <c r="B13" s="674" t="s">
        <v>215</v>
      </c>
      <c r="C13" s="345">
        <f t="shared" si="1"/>
        <v>5204857738</v>
      </c>
      <c r="D13" s="676"/>
      <c r="G13" s="674" t="s">
        <v>215</v>
      </c>
      <c r="H13" s="113">
        <f t="shared" si="2"/>
        <v>5204858</v>
      </c>
      <c r="I13" s="113"/>
      <c r="J13" s="345">
        <v>1386883</v>
      </c>
      <c r="K13" s="681"/>
      <c r="P13" t="s">
        <v>1392</v>
      </c>
      <c r="Q13" s="351" t="str">
        <f>T13</f>
        <v>당기법인세자산</v>
      </c>
      <c r="R13" s="351">
        <f t="shared" si="0"/>
        <v>711453400</v>
      </c>
      <c r="T13" s="351" t="str">
        <f>공시용!B13</f>
        <v>당기법인세자산</v>
      </c>
      <c r="U13" s="351">
        <f>공시용!C13</f>
        <v>711453400</v>
      </c>
      <c r="V13" s="351">
        <f>공시용!D13</f>
        <v>0</v>
      </c>
    </row>
    <row r="14" spans="2:22">
      <c r="B14" s="674" t="s">
        <v>296</v>
      </c>
      <c r="C14" s="345">
        <f t="shared" si="1"/>
        <v>43993843992</v>
      </c>
      <c r="D14" s="676"/>
      <c r="G14" s="674" t="s">
        <v>1484</v>
      </c>
      <c r="H14" s="113">
        <f t="shared" si="2"/>
        <v>43993844</v>
      </c>
      <c r="I14" s="113"/>
      <c r="J14" s="345">
        <v>2803013</v>
      </c>
      <c r="K14" s="681"/>
      <c r="P14" t="s">
        <v>1393</v>
      </c>
      <c r="Q14" s="351" t="str">
        <f>T19</f>
        <v>유동성임차보증금</v>
      </c>
      <c r="R14" s="351">
        <f t="shared" si="0"/>
        <v>2532050000</v>
      </c>
      <c r="T14" s="351" t="str">
        <f>공시용!B14</f>
        <v>미수수익</v>
      </c>
      <c r="U14" s="351">
        <f>공시용!C14</f>
        <v>692328766</v>
      </c>
      <c r="V14" s="351">
        <f>공시용!D14</f>
        <v>0</v>
      </c>
    </row>
    <row r="15" spans="2:22" s="630" customFormat="1">
      <c r="B15" s="343" t="s">
        <v>1392</v>
      </c>
      <c r="C15" s="345">
        <f>VLOOKUP(B15,$P$4:$R$50,3,)</f>
        <v>711453400</v>
      </c>
      <c r="D15" s="676"/>
      <c r="F15" s="691"/>
      <c r="G15" s="674" t="s">
        <v>1485</v>
      </c>
      <c r="H15" s="113">
        <f t="shared" si="2"/>
        <v>711453</v>
      </c>
      <c r="I15" s="113"/>
      <c r="J15" s="345">
        <v>180759</v>
      </c>
      <c r="K15" s="681"/>
      <c r="L15" s="691"/>
      <c r="M15" s="691"/>
      <c r="N15" s="691"/>
      <c r="P15" s="630" t="e">
        <f>#REF!</f>
        <v>#REF!</v>
      </c>
      <c r="Q15" s="351" t="str">
        <f>T20</f>
        <v>미수법인세환급액</v>
      </c>
      <c r="R15" s="351">
        <f t="shared" si="0"/>
        <v>0</v>
      </c>
      <c r="T15" s="351"/>
      <c r="U15" s="351"/>
      <c r="V15" s="351"/>
    </row>
    <row r="16" spans="2:22">
      <c r="B16" s="343" t="s">
        <v>1393</v>
      </c>
      <c r="C16" s="345">
        <f>VLOOKUP(B16,$P$4:$R$50,3,)</f>
        <v>2532050000</v>
      </c>
      <c r="D16" s="676"/>
      <c r="G16" s="674" t="s">
        <v>1486</v>
      </c>
      <c r="H16" s="113">
        <f t="shared" si="2"/>
        <v>2532050</v>
      </c>
      <c r="I16" s="113"/>
      <c r="J16" s="345">
        <v>634050</v>
      </c>
      <c r="K16" s="681"/>
      <c r="P16" t="s">
        <v>1394</v>
      </c>
      <c r="R16" s="351" t="e">
        <f t="shared" si="0"/>
        <v>#N/A</v>
      </c>
      <c r="T16" s="351" t="str">
        <f>공시용!B15</f>
        <v>선급금</v>
      </c>
      <c r="U16" s="351">
        <f>공시용!C15</f>
        <v>44640410090</v>
      </c>
      <c r="V16" s="351">
        <f>공시용!D15</f>
        <v>0</v>
      </c>
    </row>
    <row r="17" spans="1:22">
      <c r="B17" s="343" t="s">
        <v>1394</v>
      </c>
      <c r="C17" s="345"/>
      <c r="D17" s="676">
        <f>SUM(C18:C25)</f>
        <v>171280125460</v>
      </c>
      <c r="G17" s="343" t="s">
        <v>1394</v>
      </c>
      <c r="H17" s="113"/>
      <c r="I17" s="113">
        <f>SUM(H18:H25)</f>
        <v>171280125</v>
      </c>
      <c r="J17" s="344"/>
      <c r="K17" s="676">
        <v>101077630</v>
      </c>
      <c r="P17" t="s">
        <v>674</v>
      </c>
      <c r="Q17" s="351" t="str">
        <f>T23</f>
        <v>장기금융상품</v>
      </c>
      <c r="R17" s="351">
        <f t="shared" si="0"/>
        <v>2000000</v>
      </c>
      <c r="T17" s="351" t="str">
        <f>공시용!B16</f>
        <v>선급비용</v>
      </c>
      <c r="U17" s="351">
        <f>공시용!C16</f>
        <v>5204857738</v>
      </c>
      <c r="V17" s="351">
        <f>공시용!D16</f>
        <v>0</v>
      </c>
    </row>
    <row r="18" spans="1:22">
      <c r="B18" s="674" t="s">
        <v>674</v>
      </c>
      <c r="C18" s="345">
        <f>VLOOKUP(B18,$P$4:$R$50,3,)</f>
        <v>2000000</v>
      </c>
      <c r="D18" s="676"/>
      <c r="E18" s="351">
        <f>D17-V21</f>
        <v>0</v>
      </c>
      <c r="F18" s="351"/>
      <c r="G18" s="674" t="s">
        <v>1487</v>
      </c>
      <c r="H18" s="113">
        <f t="shared" si="2"/>
        <v>2000</v>
      </c>
      <c r="I18" s="113"/>
      <c r="J18" s="345">
        <v>2000</v>
      </c>
      <c r="K18" s="681"/>
      <c r="L18" s="351"/>
      <c r="M18" s="351"/>
      <c r="N18" s="351"/>
      <c r="P18" t="s">
        <v>1395</v>
      </c>
      <c r="Q18" s="351" t="str">
        <f>T24</f>
        <v>관계기업투자주식</v>
      </c>
      <c r="R18" s="351">
        <f t="shared" si="0"/>
        <v>0</v>
      </c>
      <c r="T18" s="351" t="str">
        <f>공시용!B17</f>
        <v>재고자산</v>
      </c>
      <c r="U18" s="351">
        <f>공시용!C17</f>
        <v>43993843992</v>
      </c>
      <c r="V18" s="351">
        <f>공시용!D17</f>
        <v>0</v>
      </c>
    </row>
    <row r="19" spans="1:22">
      <c r="B19" s="674" t="s">
        <v>1395</v>
      </c>
      <c r="C19" s="345">
        <f>VLOOKUP(B19,$P$4:$R$50,3,)</f>
        <v>0</v>
      </c>
      <c r="D19" s="676"/>
      <c r="G19" s="674" t="s">
        <v>1488</v>
      </c>
      <c r="H19" s="113">
        <f t="shared" si="2"/>
        <v>0</v>
      </c>
      <c r="I19" s="113"/>
      <c r="J19" s="345">
        <v>10649413</v>
      </c>
      <c r="K19" s="681"/>
      <c r="P19" t="s">
        <v>1396</v>
      </c>
      <c r="Q19" s="351" t="str">
        <f>T25</f>
        <v>기타포괄손익-공정가치 측정 금융자산</v>
      </c>
      <c r="R19" s="351">
        <f t="shared" si="0"/>
        <v>0</v>
      </c>
      <c r="T19" s="351" t="str">
        <f>공시용!B18</f>
        <v>유동성임차보증금</v>
      </c>
      <c r="U19" s="351">
        <f>공시용!C18</f>
        <v>2532050000</v>
      </c>
      <c r="V19" s="351">
        <f>공시용!D18</f>
        <v>0</v>
      </c>
    </row>
    <row r="20" spans="1:22" ht="27">
      <c r="B20" s="674" t="s">
        <v>1412</v>
      </c>
      <c r="C20" s="345">
        <f>VLOOKUP(B20,$P$4:$R$50,3,)</f>
        <v>31165111996</v>
      </c>
      <c r="D20" s="676"/>
      <c r="G20" s="674" t="s">
        <v>1489</v>
      </c>
      <c r="H20" s="113">
        <f t="shared" si="2"/>
        <v>31165112</v>
      </c>
      <c r="I20" s="113"/>
      <c r="J20" s="344" t="s">
        <v>1452</v>
      </c>
      <c r="K20" s="681"/>
      <c r="P20" t="s">
        <v>957</v>
      </c>
      <c r="Q20" s="351" t="str">
        <f>T28</f>
        <v>유형자산</v>
      </c>
      <c r="R20" s="351">
        <f t="shared" si="0"/>
        <v>26219657142</v>
      </c>
      <c r="T20" s="675" t="str">
        <f>공시용!B19</f>
        <v>미수법인세환급액</v>
      </c>
      <c r="U20" s="675">
        <f>공시용!C19</f>
        <v>0</v>
      </c>
      <c r="V20" s="351">
        <f>공시용!D19</f>
        <v>0</v>
      </c>
    </row>
    <row r="21" spans="1:22">
      <c r="B21" s="674" t="s">
        <v>957</v>
      </c>
      <c r="C21" s="345">
        <f>VLOOKUP(B21,$P$4:$R$50,3,)+VLOOKUP('DSD 파일용'!A23,공시용!$B:$D,2,FALSE)</f>
        <v>50090574933</v>
      </c>
      <c r="D21" s="676"/>
      <c r="E21" s="630"/>
      <c r="G21" s="674" t="s">
        <v>1490</v>
      </c>
      <c r="H21" s="113">
        <f t="shared" si="2"/>
        <v>50090575</v>
      </c>
      <c r="I21" s="113"/>
      <c r="J21" s="345">
        <v>46460506</v>
      </c>
      <c r="K21" s="681"/>
      <c r="P21" t="s">
        <v>958</v>
      </c>
      <c r="Q21" s="351" t="str">
        <f>T29</f>
        <v>무형자산</v>
      </c>
      <c r="R21" s="351">
        <f t="shared" si="0"/>
        <v>18112194086</v>
      </c>
      <c r="T21" s="351" t="str">
        <f>공시용!B20</f>
        <v>비유동자산</v>
      </c>
      <c r="U21" s="351">
        <f>공시용!C20</f>
        <v>0</v>
      </c>
      <c r="V21" s="351">
        <f>공시용!D20</f>
        <v>171280125460</v>
      </c>
    </row>
    <row r="22" spans="1:22" s="630" customFormat="1">
      <c r="B22" s="674" t="s">
        <v>958</v>
      </c>
      <c r="C22" s="345">
        <f>VLOOKUP(B22,$P$4:$R$50,3,)</f>
        <v>18112194086</v>
      </c>
      <c r="D22" s="676"/>
      <c r="E22"/>
      <c r="F22" s="691"/>
      <c r="G22" s="674" t="s">
        <v>1491</v>
      </c>
      <c r="H22" s="113">
        <f t="shared" si="2"/>
        <v>18112194</v>
      </c>
      <c r="I22" s="113"/>
      <c r="J22" s="345">
        <v>24789620</v>
      </c>
      <c r="K22" s="681"/>
      <c r="L22" s="691"/>
      <c r="M22" s="691"/>
      <c r="N22" s="691"/>
      <c r="P22" s="630" t="s">
        <v>1411</v>
      </c>
      <c r="Q22" s="351" t="str">
        <f>T26</f>
        <v>당기손익-공정가치 측정 금융자산</v>
      </c>
      <c r="R22" s="351">
        <f t="shared" si="0"/>
        <v>31165111996</v>
      </c>
      <c r="T22" s="351"/>
      <c r="U22" s="351"/>
      <c r="V22" s="351"/>
    </row>
    <row r="23" spans="1:22">
      <c r="A23" t="s">
        <v>1095</v>
      </c>
      <c r="B23" s="674" t="s">
        <v>124</v>
      </c>
      <c r="C23" s="345">
        <f>VLOOKUP(B23,$P$4:$R$50,3,)</f>
        <v>8049918438</v>
      </c>
      <c r="D23" s="676"/>
      <c r="G23" s="674" t="s">
        <v>1486</v>
      </c>
      <c r="H23" s="113">
        <f t="shared" si="2"/>
        <v>8049918</v>
      </c>
      <c r="I23" s="113"/>
      <c r="J23" s="345">
        <v>7763506</v>
      </c>
      <c r="K23" s="681"/>
      <c r="P23" t="s">
        <v>124</v>
      </c>
      <c r="Q23" s="351" t="str">
        <f>T31</f>
        <v>보증금</v>
      </c>
      <c r="R23" s="351">
        <f t="shared" si="0"/>
        <v>8049918438</v>
      </c>
      <c r="T23" s="351" t="str">
        <f>공시용!B21</f>
        <v>장기금융상품</v>
      </c>
      <c r="U23" s="351">
        <f>공시용!C21</f>
        <v>2000000</v>
      </c>
      <c r="V23" s="351">
        <f>공시용!D21</f>
        <v>0</v>
      </c>
    </row>
    <row r="24" spans="1:22">
      <c r="B24" s="674" t="s">
        <v>1397</v>
      </c>
      <c r="C24" s="345">
        <f>VLOOKUP(B24,$P$4:$R$50,3,)</f>
        <v>0</v>
      </c>
      <c r="D24" s="676"/>
      <c r="G24" s="674" t="s">
        <v>1492</v>
      </c>
      <c r="H24" s="113">
        <f t="shared" si="2"/>
        <v>0</v>
      </c>
      <c r="I24" s="113"/>
      <c r="J24" s="345">
        <v>1179786</v>
      </c>
      <c r="K24" s="681"/>
      <c r="P24" t="s">
        <v>1397</v>
      </c>
      <c r="Q24" s="351" t="str">
        <f>T33</f>
        <v>장기미수금</v>
      </c>
      <c r="R24" s="351">
        <f t="shared" si="0"/>
        <v>0</v>
      </c>
      <c r="T24" s="351" t="str">
        <f>공시용!B22</f>
        <v>관계기업투자주식</v>
      </c>
      <c r="U24" s="351">
        <f>공시용!C22</f>
        <v>0</v>
      </c>
      <c r="V24" s="351">
        <f>공시용!D22</f>
        <v>0</v>
      </c>
    </row>
    <row r="25" spans="1:22">
      <c r="B25" s="674" t="s">
        <v>540</v>
      </c>
      <c r="C25" s="345">
        <f>VLOOKUP(B25,$P$4:$R$50,3,)</f>
        <v>63860326007</v>
      </c>
      <c r="D25" s="676"/>
      <c r="G25" s="674" t="s">
        <v>1493</v>
      </c>
      <c r="H25" s="113">
        <f t="shared" si="2"/>
        <v>63860326</v>
      </c>
      <c r="I25" s="113"/>
      <c r="J25" s="345">
        <v>10232799</v>
      </c>
      <c r="K25" s="681"/>
      <c r="P25" t="s">
        <v>540</v>
      </c>
      <c r="Q25" s="351" t="str">
        <f>T34</f>
        <v>이연법인세자산</v>
      </c>
      <c r="R25" s="351">
        <f t="shared" si="0"/>
        <v>63860326007</v>
      </c>
      <c r="T25" s="351" t="str">
        <f>공시용!B23</f>
        <v>기타포괄손익-공정가치 측정 금융자산</v>
      </c>
      <c r="U25" s="351">
        <f>공시용!C23</f>
        <v>0</v>
      </c>
      <c r="V25" s="351">
        <f>공시용!D23</f>
        <v>0</v>
      </c>
    </row>
    <row r="26" spans="1:22">
      <c r="B26" s="343" t="s">
        <v>1398</v>
      </c>
      <c r="C26" s="345"/>
      <c r="D26" s="676">
        <f>D17+D5</f>
        <v>875918784205</v>
      </c>
      <c r="G26" s="343" t="s">
        <v>1398</v>
      </c>
      <c r="H26" s="113"/>
      <c r="I26" s="113">
        <f>I17+I5</f>
        <v>875918784</v>
      </c>
      <c r="J26" s="344"/>
      <c r="K26" s="676">
        <v>999224966</v>
      </c>
      <c r="P26" t="s">
        <v>1398</v>
      </c>
      <c r="R26" s="351" t="e">
        <f t="shared" si="0"/>
        <v>#N/A</v>
      </c>
      <c r="T26" s="675" t="str">
        <f>공시용!B24</f>
        <v>당기손익-공정가치 측정 금융자산</v>
      </c>
      <c r="U26" s="675">
        <f>공시용!C24</f>
        <v>31165111996</v>
      </c>
      <c r="V26" s="351">
        <f>공시용!D24</f>
        <v>0</v>
      </c>
    </row>
    <row r="27" spans="1:22">
      <c r="B27" s="343" t="s">
        <v>1399</v>
      </c>
      <c r="C27" s="345"/>
      <c r="D27" s="676"/>
      <c r="E27" s="351">
        <f>D26-V35</f>
        <v>0</v>
      </c>
      <c r="G27" s="343" t="s">
        <v>1399</v>
      </c>
      <c r="H27" s="113"/>
      <c r="I27" s="113"/>
      <c r="J27" s="344"/>
      <c r="K27" s="681"/>
      <c r="P27" t="s">
        <v>1399</v>
      </c>
      <c r="R27" s="351" t="e">
        <f t="shared" si="0"/>
        <v>#N/A</v>
      </c>
      <c r="T27" s="351" t="str">
        <f>공시용!B25</f>
        <v>대여금</v>
      </c>
      <c r="U27" s="351">
        <f>공시용!C25</f>
        <v>0</v>
      </c>
      <c r="V27" s="351">
        <f>공시용!D25</f>
        <v>0</v>
      </c>
    </row>
    <row r="28" spans="1:22">
      <c r="B28" s="343" t="s">
        <v>1033</v>
      </c>
      <c r="C28" s="345"/>
      <c r="D28" s="676">
        <f>SUM(C29:C35)</f>
        <v>556527525899</v>
      </c>
      <c r="F28" s="351"/>
      <c r="G28" s="343" t="s">
        <v>1033</v>
      </c>
      <c r="H28" s="113"/>
      <c r="I28" s="113">
        <f>SUM(H29:H35)</f>
        <v>556527526</v>
      </c>
      <c r="J28" s="344"/>
      <c r="K28" s="676">
        <v>508427794</v>
      </c>
      <c r="L28" s="351"/>
      <c r="M28" s="351"/>
      <c r="N28" s="351"/>
      <c r="P28" t="s">
        <v>1033</v>
      </c>
      <c r="R28" s="351" t="e">
        <f t="shared" si="0"/>
        <v>#N/A</v>
      </c>
      <c r="T28" s="351" t="str">
        <f>공시용!B26</f>
        <v>유형자산</v>
      </c>
      <c r="U28" s="351">
        <f>공시용!C26</f>
        <v>26219657142</v>
      </c>
      <c r="V28" s="351">
        <f>공시용!D26</f>
        <v>0</v>
      </c>
    </row>
    <row r="29" spans="1:22">
      <c r="B29" s="674" t="s">
        <v>165</v>
      </c>
      <c r="C29" s="345">
        <f t="shared" ref="C29:C35" si="3">VLOOKUP(B29,$P$4:$R$50,3,)</f>
        <v>100978997065</v>
      </c>
      <c r="D29" s="676"/>
      <c r="E29" s="351">
        <f>D28-V38</f>
        <v>0</v>
      </c>
      <c r="G29" s="674" t="s">
        <v>1494</v>
      </c>
      <c r="H29" s="113">
        <f>ROUND(C29/1000,)+1</f>
        <v>100978998</v>
      </c>
      <c r="I29" s="113"/>
      <c r="J29" s="345">
        <v>101646600</v>
      </c>
      <c r="K29" s="681"/>
      <c r="P29" t="s">
        <v>165</v>
      </c>
      <c r="Q29" s="351" t="str">
        <f>T39</f>
        <v>미지급금</v>
      </c>
      <c r="R29" s="351">
        <f t="shared" si="0"/>
        <v>100978997065</v>
      </c>
      <c r="T29" s="351" t="str">
        <f>공시용!B27</f>
        <v>무형자산</v>
      </c>
      <c r="U29" s="351">
        <f>공시용!C27</f>
        <v>18112194086</v>
      </c>
      <c r="V29" s="351">
        <f>공시용!D27</f>
        <v>0</v>
      </c>
    </row>
    <row r="30" spans="1:22">
      <c r="B30" s="674" t="s">
        <v>1035</v>
      </c>
      <c r="C30" s="345">
        <f t="shared" si="3"/>
        <v>146493076</v>
      </c>
      <c r="D30" s="676"/>
      <c r="F30" s="351"/>
      <c r="G30" s="674" t="s">
        <v>1035</v>
      </c>
      <c r="H30" s="113">
        <f t="shared" ref="H30:H42" si="4">ROUND(C30/1000,)</f>
        <v>146493</v>
      </c>
      <c r="I30" s="113"/>
      <c r="J30" s="345">
        <v>9832</v>
      </c>
      <c r="K30" s="681"/>
      <c r="L30" s="351"/>
      <c r="M30" s="351"/>
      <c r="N30" s="351"/>
      <c r="P30" t="s">
        <v>1035</v>
      </c>
      <c r="Q30" s="351" t="str">
        <f>T40</f>
        <v>계약부채</v>
      </c>
      <c r="R30" s="351">
        <f t="shared" si="0"/>
        <v>146493076</v>
      </c>
      <c r="T30" s="675" t="str">
        <f>공시용!B28</f>
        <v>사용권자산</v>
      </c>
      <c r="U30" s="675">
        <f>공시용!C28</f>
        <v>23870917791</v>
      </c>
      <c r="V30" s="351">
        <f>공시용!D28</f>
        <v>0</v>
      </c>
    </row>
    <row r="31" spans="1:22">
      <c r="B31" s="674" t="s">
        <v>157</v>
      </c>
      <c r="C31" s="345">
        <f t="shared" si="3"/>
        <v>403630174910</v>
      </c>
      <c r="D31" s="676"/>
      <c r="G31" s="674" t="s">
        <v>1495</v>
      </c>
      <c r="H31" s="113">
        <f t="shared" si="4"/>
        <v>403630175</v>
      </c>
      <c r="I31" s="113"/>
      <c r="J31" s="345">
        <v>358746380</v>
      </c>
      <c r="K31" s="681"/>
      <c r="P31" t="s">
        <v>157</v>
      </c>
      <c r="Q31" s="351" t="str">
        <f>T41</f>
        <v>예수금</v>
      </c>
      <c r="R31" s="351">
        <f t="shared" si="0"/>
        <v>403630174910</v>
      </c>
      <c r="T31" s="351" t="str">
        <f>공시용!B29</f>
        <v>보증금</v>
      </c>
      <c r="U31" s="351">
        <f>공시용!C29</f>
        <v>8049918438</v>
      </c>
      <c r="V31" s="351">
        <f>공시용!D29</f>
        <v>0</v>
      </c>
    </row>
    <row r="32" spans="1:22">
      <c r="B32" s="674" t="s">
        <v>160</v>
      </c>
      <c r="C32" s="345">
        <f t="shared" si="3"/>
        <v>33765791394</v>
      </c>
      <c r="D32" s="676"/>
      <c r="G32" s="674" t="s">
        <v>1496</v>
      </c>
      <c r="H32" s="113">
        <f t="shared" si="4"/>
        <v>33765791</v>
      </c>
      <c r="I32" s="113"/>
      <c r="J32" s="345">
        <v>36425270</v>
      </c>
      <c r="K32" s="681"/>
      <c r="P32" t="s">
        <v>160</v>
      </c>
      <c r="Q32" s="351" t="str">
        <f>T42</f>
        <v>미지급비용</v>
      </c>
      <c r="R32" s="351">
        <f t="shared" si="0"/>
        <v>33765791394</v>
      </c>
      <c r="T32" s="351" t="str">
        <f>공시용!B30</f>
        <v>기타비유동자산</v>
      </c>
      <c r="U32" s="351">
        <f>공시용!C30</f>
        <v>0</v>
      </c>
      <c r="V32" s="351">
        <f>공시용!D30</f>
        <v>0</v>
      </c>
    </row>
    <row r="33" spans="2:22">
      <c r="B33" s="674" t="s">
        <v>871</v>
      </c>
      <c r="C33" s="345">
        <f t="shared" si="3"/>
        <v>13250424846</v>
      </c>
      <c r="D33" s="676"/>
      <c r="G33" s="674" t="s">
        <v>1497</v>
      </c>
      <c r="H33" s="113">
        <f t="shared" si="4"/>
        <v>13250425</v>
      </c>
      <c r="I33" s="113"/>
      <c r="J33" s="345">
        <v>11298012</v>
      </c>
      <c r="K33" s="681"/>
      <c r="P33" t="s">
        <v>871</v>
      </c>
      <c r="Q33" s="351" t="str">
        <f>T43</f>
        <v>리스부채</v>
      </c>
      <c r="R33" s="351">
        <f t="shared" si="0"/>
        <v>13250424846</v>
      </c>
      <c r="T33" s="351" t="str">
        <f>공시용!B31</f>
        <v>장기미수금</v>
      </c>
      <c r="U33" s="351">
        <f>공시용!C31</f>
        <v>0</v>
      </c>
      <c r="V33" s="351">
        <f>공시용!D31</f>
        <v>0</v>
      </c>
    </row>
    <row r="34" spans="2:22">
      <c r="B34" s="674" t="s">
        <v>1131</v>
      </c>
      <c r="C34" s="345">
        <f t="shared" si="3"/>
        <v>931395381</v>
      </c>
      <c r="D34" s="676"/>
      <c r="G34" s="674" t="s">
        <v>1498</v>
      </c>
      <c r="H34" s="113">
        <f t="shared" si="4"/>
        <v>931395</v>
      </c>
      <c r="I34" s="113"/>
      <c r="J34" s="345">
        <v>301700</v>
      </c>
      <c r="K34" s="681"/>
      <c r="P34" t="s">
        <v>1131</v>
      </c>
      <c r="Q34" s="351" t="str">
        <f>T45</f>
        <v>유동성임대보증금</v>
      </c>
      <c r="R34" s="351">
        <f t="shared" si="0"/>
        <v>931395381</v>
      </c>
      <c r="T34" s="351" t="str">
        <f>공시용!B32</f>
        <v>이연법인세자산</v>
      </c>
      <c r="U34" s="351">
        <f>공시용!C32</f>
        <v>63860326007</v>
      </c>
      <c r="V34" s="351">
        <f>공시용!D32</f>
        <v>0</v>
      </c>
    </row>
    <row r="35" spans="2:22">
      <c r="B35" s="674" t="s">
        <v>1365</v>
      </c>
      <c r="C35" s="345">
        <f t="shared" si="3"/>
        <v>3824249227</v>
      </c>
      <c r="D35" s="676"/>
      <c r="G35" s="674" t="s">
        <v>1499</v>
      </c>
      <c r="H35" s="113">
        <f t="shared" si="4"/>
        <v>3824249</v>
      </c>
      <c r="I35" s="113"/>
      <c r="J35" s="344" t="s">
        <v>1452</v>
      </c>
      <c r="K35" s="681"/>
      <c r="P35" t="s">
        <v>1037</v>
      </c>
      <c r="R35" s="351" t="e">
        <f t="shared" si="0"/>
        <v>#N/A</v>
      </c>
      <c r="T35" s="351" t="str">
        <f>공시용!B33</f>
        <v>자산 총계</v>
      </c>
      <c r="U35" s="351">
        <f>공시용!C33</f>
        <v>0</v>
      </c>
      <c r="V35" s="351">
        <f>공시용!D33</f>
        <v>875918784205</v>
      </c>
    </row>
    <row r="36" spans="2:22">
      <c r="B36" s="343" t="s">
        <v>1037</v>
      </c>
      <c r="C36" s="345"/>
      <c r="D36" s="676">
        <f>SUM(C37:C42)</f>
        <v>31714627791</v>
      </c>
      <c r="E36" s="630"/>
      <c r="G36" s="343" t="s">
        <v>1037</v>
      </c>
      <c r="H36" s="113"/>
      <c r="I36" s="113">
        <f>SUM(H37:H42)</f>
        <v>31714628</v>
      </c>
      <c r="J36" s="344"/>
      <c r="K36" s="676">
        <v>34106680</v>
      </c>
      <c r="P36" t="s">
        <v>123</v>
      </c>
      <c r="Q36" s="351" t="str">
        <f>T47</f>
        <v>임대보증금</v>
      </c>
      <c r="R36" s="351">
        <f t="shared" si="0"/>
        <v>0</v>
      </c>
      <c r="T36" s="351" t="str">
        <f>공시용!B34</f>
        <v>부     채</v>
      </c>
      <c r="U36" s="351">
        <f>공시용!C34</f>
        <v>0</v>
      </c>
      <c r="V36" s="351">
        <f>공시용!D34</f>
        <v>0</v>
      </c>
    </row>
    <row r="37" spans="2:22" s="630" customFormat="1">
      <c r="B37" s="674" t="s">
        <v>123</v>
      </c>
      <c r="C37" s="345">
        <f t="shared" ref="C37:C42" si="5">VLOOKUP(B37,$P$4:$R$50,3,)</f>
        <v>0</v>
      </c>
      <c r="D37" s="676"/>
      <c r="E37" s="351">
        <f>D36-V46</f>
        <v>0</v>
      </c>
      <c r="F37" s="691"/>
      <c r="G37" s="674" t="s">
        <v>1500</v>
      </c>
      <c r="H37" s="113">
        <f t="shared" si="4"/>
        <v>0</v>
      </c>
      <c r="I37" s="113"/>
      <c r="J37" s="345">
        <v>899395</v>
      </c>
      <c r="K37" s="681"/>
      <c r="L37" s="691"/>
      <c r="M37" s="691"/>
      <c r="N37" s="691"/>
      <c r="P37" s="630" t="s">
        <v>1365</v>
      </c>
      <c r="Q37" s="351" t="str">
        <f>T44</f>
        <v>유동성파생금융부채</v>
      </c>
      <c r="R37" s="351">
        <f t="shared" si="0"/>
        <v>3824249227</v>
      </c>
      <c r="T37" s="351"/>
      <c r="U37" s="351"/>
      <c r="V37" s="351"/>
    </row>
    <row r="38" spans="2:22">
      <c r="B38" s="674" t="s">
        <v>1038</v>
      </c>
      <c r="C38" s="345">
        <f t="shared" si="5"/>
        <v>4352759496</v>
      </c>
      <c r="D38" s="676"/>
      <c r="F38" s="351"/>
      <c r="G38" s="674" t="s">
        <v>1501</v>
      </c>
      <c r="H38" s="113">
        <f t="shared" si="4"/>
        <v>4352759</v>
      </c>
      <c r="I38" s="113"/>
      <c r="J38" s="345">
        <v>2794157</v>
      </c>
      <c r="K38" s="681"/>
      <c r="L38" s="351"/>
      <c r="M38" s="351"/>
      <c r="N38" s="351"/>
      <c r="P38" t="s">
        <v>1038</v>
      </c>
      <c r="Q38" s="351" t="str">
        <f t="shared" ref="Q38:Q40" si="6">T48</f>
        <v>확정급여부채</v>
      </c>
      <c r="R38" s="351">
        <f t="shared" si="0"/>
        <v>4352759496</v>
      </c>
      <c r="T38" s="351" t="str">
        <f>공시용!B35</f>
        <v>유동부채</v>
      </c>
      <c r="U38" s="351">
        <f>공시용!C35</f>
        <v>0</v>
      </c>
      <c r="V38" s="351">
        <f>공시용!D35</f>
        <v>556527525899</v>
      </c>
    </row>
    <row r="39" spans="2:22">
      <c r="B39" s="674" t="s">
        <v>126</v>
      </c>
      <c r="C39" s="345">
        <f t="shared" si="5"/>
        <v>2590942602</v>
      </c>
      <c r="D39" s="676"/>
      <c r="G39" s="674" t="s">
        <v>1502</v>
      </c>
      <c r="H39" s="113">
        <f t="shared" si="4"/>
        <v>2590943</v>
      </c>
      <c r="I39" s="113"/>
      <c r="J39" s="345">
        <v>2673497</v>
      </c>
      <c r="K39" s="681"/>
      <c r="P39" t="s">
        <v>126</v>
      </c>
      <c r="Q39" s="351" t="str">
        <f t="shared" si="6"/>
        <v>장기미지급비용</v>
      </c>
      <c r="R39" s="351">
        <f t="shared" si="0"/>
        <v>2590942602</v>
      </c>
      <c r="T39" s="351" t="str">
        <f>공시용!B36</f>
        <v>미지급금</v>
      </c>
      <c r="U39" s="351">
        <f>공시용!C36</f>
        <v>100978997065</v>
      </c>
      <c r="V39" s="351">
        <f>공시용!D36</f>
        <v>0</v>
      </c>
    </row>
    <row r="40" spans="2:22">
      <c r="B40" s="674" t="s">
        <v>1400</v>
      </c>
      <c r="C40" s="345">
        <f t="shared" si="5"/>
        <v>1969149720</v>
      </c>
      <c r="D40" s="676"/>
      <c r="G40" s="674" t="s">
        <v>1503</v>
      </c>
      <c r="H40" s="113">
        <f t="shared" si="4"/>
        <v>1969150</v>
      </c>
      <c r="I40" s="113"/>
      <c r="J40" s="345">
        <v>1814423</v>
      </c>
      <c r="K40" s="681"/>
      <c r="P40" t="s">
        <v>1400</v>
      </c>
      <c r="Q40" s="351" t="str">
        <f t="shared" si="6"/>
        <v>비유동충당부채</v>
      </c>
      <c r="R40" s="351">
        <f t="shared" si="0"/>
        <v>1969149720</v>
      </c>
      <c r="T40" s="351" t="str">
        <f>공시용!B37</f>
        <v>계약부채</v>
      </c>
      <c r="U40" s="351">
        <f>공시용!C37</f>
        <v>146493076</v>
      </c>
      <c r="V40" s="351">
        <f>공시용!D37</f>
        <v>0</v>
      </c>
    </row>
    <row r="41" spans="2:22">
      <c r="B41" s="674" t="s">
        <v>799</v>
      </c>
      <c r="C41" s="345">
        <f t="shared" si="5"/>
        <v>11877025200</v>
      </c>
      <c r="D41" s="676"/>
      <c r="G41" s="674" t="s">
        <v>1504</v>
      </c>
      <c r="H41" s="113">
        <f t="shared" si="4"/>
        <v>11877025</v>
      </c>
      <c r="I41" s="113"/>
      <c r="J41" s="345">
        <v>13810208</v>
      </c>
      <c r="K41" s="681"/>
      <c r="P41" t="s">
        <v>799</v>
      </c>
      <c r="Q41" s="351" t="str">
        <f>T52</f>
        <v>장기리스부채</v>
      </c>
      <c r="R41" s="351">
        <f t="shared" si="0"/>
        <v>11877025200</v>
      </c>
      <c r="T41" s="351" t="str">
        <f>공시용!B38</f>
        <v>예수금</v>
      </c>
      <c r="U41" s="351">
        <f>공시용!C38</f>
        <v>403630174910</v>
      </c>
      <c r="V41" s="351">
        <f>공시용!D38</f>
        <v>0</v>
      </c>
    </row>
    <row r="42" spans="2:22">
      <c r="B42" s="343" t="s">
        <v>1401</v>
      </c>
      <c r="C42" s="345">
        <f t="shared" si="5"/>
        <v>10924750773</v>
      </c>
      <c r="D42" s="676"/>
      <c r="G42" s="674" t="s">
        <v>1505</v>
      </c>
      <c r="H42" s="113">
        <f t="shared" si="4"/>
        <v>10924751</v>
      </c>
      <c r="I42" s="113"/>
      <c r="J42" s="345">
        <v>12115000</v>
      </c>
      <c r="K42" s="681"/>
      <c r="P42" t="s">
        <v>1401</v>
      </c>
      <c r="Q42" s="351" t="str">
        <f>T53</f>
        <v>파생금융부채</v>
      </c>
      <c r="R42" s="351">
        <f t="shared" si="0"/>
        <v>10924750773</v>
      </c>
      <c r="T42" s="351" t="str">
        <f>공시용!B39</f>
        <v>미지급비용</v>
      </c>
      <c r="U42" s="351">
        <f>공시용!C39</f>
        <v>33765791394</v>
      </c>
      <c r="V42" s="351">
        <f>공시용!D39</f>
        <v>0</v>
      </c>
    </row>
    <row r="43" spans="2:22">
      <c r="B43" s="343" t="s">
        <v>1402</v>
      </c>
      <c r="C43" s="345"/>
      <c r="D43" s="676">
        <f>D36+D28</f>
        <v>588242153690</v>
      </c>
      <c r="G43" s="343" t="s">
        <v>1402</v>
      </c>
      <c r="H43" s="113"/>
      <c r="I43" s="113">
        <f>I36+I28</f>
        <v>588242154</v>
      </c>
      <c r="J43" s="344"/>
      <c r="K43" s="676">
        <v>542534474</v>
      </c>
      <c r="P43" t="s">
        <v>1402</v>
      </c>
      <c r="R43" s="351" t="e">
        <f t="shared" si="0"/>
        <v>#N/A</v>
      </c>
      <c r="T43" s="351" t="str">
        <f>공시용!B40</f>
        <v>리스부채</v>
      </c>
      <c r="U43" s="351">
        <f>공시용!C40</f>
        <v>13250424846</v>
      </c>
      <c r="V43" s="351">
        <f>공시용!D40</f>
        <v>0</v>
      </c>
    </row>
    <row r="44" spans="2:22">
      <c r="B44" s="343" t="s">
        <v>1403</v>
      </c>
      <c r="C44" s="345"/>
      <c r="D44" s="676"/>
      <c r="E44" s="351">
        <f>D43-V54</f>
        <v>0</v>
      </c>
      <c r="G44" s="343" t="s">
        <v>1403</v>
      </c>
      <c r="H44" s="113"/>
      <c r="I44" s="113"/>
      <c r="J44" s="344"/>
      <c r="K44" s="681"/>
      <c r="P44" t="s">
        <v>1403</v>
      </c>
      <c r="R44" s="351" t="e">
        <f t="shared" si="0"/>
        <v>#N/A</v>
      </c>
      <c r="T44" s="675" t="str">
        <f>공시용!B41</f>
        <v>유동성파생금융부채</v>
      </c>
      <c r="U44" s="675">
        <f>공시용!C41</f>
        <v>3824249227</v>
      </c>
      <c r="V44" s="351">
        <f>공시용!D41</f>
        <v>0</v>
      </c>
    </row>
    <row r="45" spans="2:22">
      <c r="B45" s="343" t="s">
        <v>1404</v>
      </c>
      <c r="C45" s="345">
        <f>VLOOKUP(B45,$P$4:$R$50,3,)</f>
        <v>5123512000</v>
      </c>
      <c r="D45" s="676"/>
      <c r="F45" s="351"/>
      <c r="G45" s="343" t="s">
        <v>1506</v>
      </c>
      <c r="H45" s="113">
        <f t="shared" ref="H45:H48" si="7">ROUND(C45/1000,)</f>
        <v>5123512</v>
      </c>
      <c r="I45" s="113"/>
      <c r="J45" s="345">
        <v>5123512</v>
      </c>
      <c r="K45" s="681"/>
      <c r="L45" s="351"/>
      <c r="M45" s="351"/>
      <c r="N45" s="351"/>
      <c r="P45" t="s">
        <v>1404</v>
      </c>
      <c r="Q45" s="351" t="str">
        <f>T56</f>
        <v>자본금</v>
      </c>
      <c r="R45" s="351">
        <f t="shared" si="0"/>
        <v>5123512000</v>
      </c>
      <c r="T45" s="351" t="str">
        <f>공시용!B42</f>
        <v>유동성임대보증금</v>
      </c>
      <c r="U45" s="351">
        <f>공시용!C42</f>
        <v>931395381</v>
      </c>
      <c r="V45" s="351">
        <f>공시용!D42</f>
        <v>0</v>
      </c>
    </row>
    <row r="46" spans="2:22">
      <c r="B46" s="343" t="s">
        <v>1405</v>
      </c>
      <c r="C46" s="345">
        <f>VLOOKUP(B46,$P$4:$R$50,3,)</f>
        <v>251079343636</v>
      </c>
      <c r="D46" s="676"/>
      <c r="E46" s="351">
        <f>C46+C49</f>
        <v>253858717157</v>
      </c>
      <c r="G46" s="343" t="s">
        <v>1507</v>
      </c>
      <c r="H46" s="113">
        <f>ROUND(E46/1000,)+1</f>
        <v>253858718</v>
      </c>
      <c r="I46" s="113"/>
      <c r="J46" s="345">
        <v>421079344</v>
      </c>
      <c r="K46" s="681"/>
      <c r="P46" t="s">
        <v>1405</v>
      </c>
      <c r="Q46" s="351" t="str">
        <f>T57</f>
        <v>기타불입자본</v>
      </c>
      <c r="R46" s="351">
        <f t="shared" si="0"/>
        <v>251079343636</v>
      </c>
      <c r="T46" s="351" t="str">
        <f>공시용!B43</f>
        <v>비유동부채</v>
      </c>
      <c r="U46" s="351">
        <f>공시용!C43</f>
        <v>0</v>
      </c>
      <c r="V46" s="351">
        <f>공시용!D43</f>
        <v>31714627791</v>
      </c>
    </row>
    <row r="47" spans="2:22">
      <c r="B47" s="343" t="s">
        <v>1406</v>
      </c>
      <c r="C47" s="345">
        <f>VLOOKUP(B47,$P$4:$R$50,3,)</f>
        <v>28694401358</v>
      </c>
      <c r="D47" s="676"/>
      <c r="G47" s="343" t="s">
        <v>1508</v>
      </c>
      <c r="H47" s="113">
        <f t="shared" si="7"/>
        <v>28694401</v>
      </c>
      <c r="I47" s="113"/>
      <c r="J47" s="345">
        <v>30582917</v>
      </c>
      <c r="K47" s="681"/>
      <c r="P47" t="s">
        <v>1406</v>
      </c>
      <c r="Q47" s="351" t="str">
        <f>T59</f>
        <v>이익잉여금</v>
      </c>
      <c r="R47" s="351">
        <f t="shared" si="0"/>
        <v>28694401358</v>
      </c>
      <c r="T47" s="351" t="str">
        <f>공시용!B44</f>
        <v>임대보증금</v>
      </c>
      <c r="U47" s="351">
        <f>공시용!C44</f>
        <v>0</v>
      </c>
      <c r="V47" s="351">
        <f>공시용!D44</f>
        <v>0</v>
      </c>
    </row>
    <row r="48" spans="2:22">
      <c r="B48" s="343" t="s">
        <v>1407</v>
      </c>
      <c r="C48" s="345">
        <f>VLOOKUP(B48,$P$4:$R$50,3,)</f>
        <v>0</v>
      </c>
      <c r="D48" s="676"/>
      <c r="G48" s="343" t="s">
        <v>1509</v>
      </c>
      <c r="H48" s="113">
        <f t="shared" si="7"/>
        <v>0</v>
      </c>
      <c r="I48" s="113"/>
      <c r="J48" s="345">
        <v>-95281</v>
      </c>
      <c r="K48" s="681"/>
      <c r="P48" t="s">
        <v>1407</v>
      </c>
      <c r="Q48" s="351" t="str">
        <f>T58</f>
        <v>기타포괄손익누계액</v>
      </c>
      <c r="R48" s="351">
        <f t="shared" si="0"/>
        <v>0</v>
      </c>
      <c r="T48" s="351" t="str">
        <f>공시용!B45</f>
        <v>확정급여부채</v>
      </c>
      <c r="U48" s="351">
        <f>공시용!C45</f>
        <v>4352759496</v>
      </c>
      <c r="V48" s="351">
        <f>공시용!D45</f>
        <v>0</v>
      </c>
    </row>
    <row r="49" spans="2:22">
      <c r="B49" s="343" t="s">
        <v>1347</v>
      </c>
      <c r="C49" s="345">
        <f>VLOOKUP(B49,$P$4:$R$50,3,)</f>
        <v>2779373521</v>
      </c>
      <c r="D49" s="676"/>
      <c r="G49" s="343" t="s">
        <v>1408</v>
      </c>
      <c r="H49" s="113"/>
      <c r="I49" s="113">
        <f>SUM(H45:H48)</f>
        <v>287676631</v>
      </c>
      <c r="J49" s="344"/>
      <c r="K49" s="676">
        <v>456690492</v>
      </c>
      <c r="P49" t="s">
        <v>1347</v>
      </c>
      <c r="Q49" s="351" t="str">
        <f>T60</f>
        <v>주식선택권</v>
      </c>
      <c r="R49" s="351">
        <f t="shared" si="0"/>
        <v>2779373521</v>
      </c>
      <c r="T49" s="351" t="str">
        <f>공시용!B46</f>
        <v>장기미지급비용</v>
      </c>
      <c r="U49" s="351">
        <f>공시용!C46</f>
        <v>2590942602</v>
      </c>
      <c r="V49" s="351">
        <f>공시용!D46</f>
        <v>0</v>
      </c>
    </row>
    <row r="50" spans="2:22">
      <c r="B50" s="343" t="s">
        <v>1408</v>
      </c>
      <c r="C50" s="345"/>
      <c r="D50" s="676">
        <f>SUM(C45:C49)</f>
        <v>287676630515</v>
      </c>
      <c r="E50" s="630"/>
      <c r="G50" s="349" t="s">
        <v>1409</v>
      </c>
      <c r="H50" s="113"/>
      <c r="I50" s="113">
        <f>I49+I43</f>
        <v>875918785</v>
      </c>
      <c r="J50" s="350"/>
      <c r="K50" s="678">
        <v>999224966</v>
      </c>
      <c r="P50" t="s">
        <v>1408</v>
      </c>
      <c r="T50" s="351" t="str">
        <f>공시용!B47</f>
        <v>비유동충당부채</v>
      </c>
      <c r="U50" s="351">
        <f>공시용!C47</f>
        <v>1969149720</v>
      </c>
      <c r="V50" s="351">
        <f>공시용!D47</f>
        <v>0</v>
      </c>
    </row>
    <row r="51" spans="2:22" s="630" customFormat="1">
      <c r="B51" s="349" t="s">
        <v>1409</v>
      </c>
      <c r="C51" s="677"/>
      <c r="D51" s="678">
        <f>D50+D43</f>
        <v>875918784205</v>
      </c>
      <c r="E51" s="351">
        <f>D50-V61</f>
        <v>0</v>
      </c>
      <c r="F51" s="691"/>
      <c r="G51" s="691"/>
      <c r="H51" s="691"/>
      <c r="I51" s="691"/>
      <c r="J51" s="691"/>
      <c r="K51" s="691"/>
      <c r="L51" s="691"/>
      <c r="M51" s="691"/>
      <c r="N51" s="691"/>
      <c r="P51" t="s">
        <v>1409</v>
      </c>
      <c r="R51" s="351"/>
      <c r="T51" s="351"/>
      <c r="U51" s="351"/>
      <c r="V51" s="351"/>
    </row>
    <row r="52" spans="2:22">
      <c r="F52" s="351"/>
      <c r="G52" s="351"/>
      <c r="H52" s="351"/>
      <c r="I52" s="351"/>
      <c r="J52" s="351"/>
      <c r="K52" s="351"/>
      <c r="L52" s="351"/>
      <c r="M52" s="351"/>
      <c r="N52" s="351"/>
      <c r="T52" s="351" t="str">
        <f>공시용!B48</f>
        <v>장기리스부채</v>
      </c>
      <c r="U52" s="351">
        <f>공시용!C48</f>
        <v>11877025200</v>
      </c>
      <c r="V52" s="351">
        <f>공시용!D48</f>
        <v>0</v>
      </c>
    </row>
    <row r="53" spans="2:22">
      <c r="E53" s="351">
        <f>D51-V62</f>
        <v>0</v>
      </c>
      <c r="F53" s="351"/>
      <c r="G53" s="351"/>
      <c r="H53" s="351"/>
      <c r="I53" s="351"/>
      <c r="J53" s="351"/>
      <c r="K53" s="351"/>
      <c r="L53" s="351"/>
      <c r="M53" s="351"/>
      <c r="N53" s="351"/>
      <c r="T53" s="351" t="str">
        <f>공시용!B49</f>
        <v>파생금융부채</v>
      </c>
      <c r="U53" s="351">
        <f>공시용!C49</f>
        <v>10924750773</v>
      </c>
      <c r="V53" s="351">
        <f>공시용!D49</f>
        <v>0</v>
      </c>
    </row>
    <row r="54" spans="2:22">
      <c r="T54" s="351" t="str">
        <f>공시용!B50</f>
        <v>부채 총계</v>
      </c>
      <c r="U54" s="351">
        <f>공시용!C50</f>
        <v>0</v>
      </c>
      <c r="V54" s="351">
        <f>공시용!D50</f>
        <v>588242153690</v>
      </c>
    </row>
    <row r="55" spans="2:22">
      <c r="T55" s="351" t="str">
        <f>공시용!B51</f>
        <v>자      본</v>
      </c>
      <c r="U55" s="351">
        <f>공시용!C51</f>
        <v>0</v>
      </c>
      <c r="V55" s="351">
        <f>공시용!D51</f>
        <v>0</v>
      </c>
    </row>
    <row r="56" spans="2:22">
      <c r="T56" s="351" t="str">
        <f>공시용!B52</f>
        <v>자본금</v>
      </c>
      <c r="U56" s="351">
        <f>공시용!C52</f>
        <v>5123512000</v>
      </c>
      <c r="V56" s="351">
        <f>공시용!D52</f>
        <v>0</v>
      </c>
    </row>
    <row r="57" spans="2:22">
      <c r="T57" s="351" t="str">
        <f>공시용!B53</f>
        <v>기타불입자본</v>
      </c>
      <c r="U57" s="351">
        <f>공시용!C53</f>
        <v>251079343636</v>
      </c>
      <c r="V57" s="351">
        <f>공시용!D53</f>
        <v>0</v>
      </c>
    </row>
    <row r="58" spans="2:22">
      <c r="T58" s="351" t="str">
        <f>공시용!B54</f>
        <v>기타포괄손익누계액</v>
      </c>
      <c r="U58" s="351">
        <f>공시용!C54</f>
        <v>0</v>
      </c>
      <c r="V58" s="351">
        <f>공시용!D54</f>
        <v>0</v>
      </c>
    </row>
    <row r="59" spans="2:22">
      <c r="T59" s="351" t="str">
        <f>공시용!B55</f>
        <v>이익잉여금</v>
      </c>
      <c r="U59" s="351">
        <f>공시용!C55</f>
        <v>28694401358</v>
      </c>
      <c r="V59" s="351">
        <f>공시용!D55</f>
        <v>0</v>
      </c>
    </row>
    <row r="60" spans="2:22">
      <c r="T60" s="675" t="str">
        <f>공시용!B56</f>
        <v>주식선택권</v>
      </c>
      <c r="U60" s="675">
        <f>공시용!C56</f>
        <v>2779373521</v>
      </c>
      <c r="V60" s="675">
        <f>공시용!D56</f>
        <v>0</v>
      </c>
    </row>
    <row r="61" spans="2:22">
      <c r="T61" s="351" t="str">
        <f>공시용!B57</f>
        <v>자본 총계</v>
      </c>
      <c r="U61" s="351">
        <f>공시용!C57</f>
        <v>0</v>
      </c>
      <c r="V61" s="351">
        <f>공시용!D57</f>
        <v>287676630515</v>
      </c>
    </row>
    <row r="62" spans="2:22">
      <c r="T62" s="351" t="str">
        <f>공시용!B58</f>
        <v>부채와 자본 총계</v>
      </c>
      <c r="U62" s="351">
        <f>공시용!C58</f>
        <v>0</v>
      </c>
      <c r="V62" s="351">
        <f>공시용!D58</f>
        <v>875918784205</v>
      </c>
    </row>
    <row r="66" spans="2:22">
      <c r="Q66" s="630"/>
      <c r="R66" s="630"/>
    </row>
    <row r="67" spans="2:22">
      <c r="Q67" s="630"/>
      <c r="R67" s="630"/>
    </row>
    <row r="68" spans="2:22">
      <c r="B68" s="342" t="s">
        <v>1389</v>
      </c>
      <c r="C68" s="793" t="s">
        <v>1390</v>
      </c>
      <c r="D68" s="794"/>
      <c r="E68" s="630"/>
      <c r="O68" s="630"/>
      <c r="P68" s="680" t="s">
        <v>1052</v>
      </c>
      <c r="Q68" s="351" t="str">
        <f>T68</f>
        <v>영업수익</v>
      </c>
      <c r="R68" s="351">
        <f t="shared" ref="R68:R86" si="8">VLOOKUP(Q68,$T$68:$V$89,2,FALSE)</f>
        <v>0</v>
      </c>
      <c r="T68" s="351" t="str">
        <f>공시용!F64</f>
        <v>영업수익</v>
      </c>
      <c r="U68" s="351">
        <f>공시용!G64</f>
        <v>0</v>
      </c>
      <c r="V68" s="351">
        <f>공시용!H64</f>
        <v>471643378</v>
      </c>
    </row>
    <row r="69" spans="2:22">
      <c r="B69" s="343" t="s">
        <v>1052</v>
      </c>
      <c r="C69" s="344"/>
      <c r="D69" s="345">
        <f>+공시용!H64</f>
        <v>471643378</v>
      </c>
      <c r="E69" s="351">
        <f>D69-공시용!H64</f>
        <v>0</v>
      </c>
      <c r="F69" s="351"/>
      <c r="G69" s="351"/>
      <c r="H69" s="351"/>
      <c r="I69" s="351"/>
      <c r="J69" s="351"/>
      <c r="K69" s="351"/>
      <c r="L69" s="351"/>
      <c r="M69" s="351"/>
      <c r="N69" s="351"/>
      <c r="O69" s="630"/>
      <c r="P69" s="343" t="s">
        <v>1053</v>
      </c>
      <c r="Q69" s="351" t="str">
        <f>T69</f>
        <v>영업비용</v>
      </c>
      <c r="R69" s="351">
        <f t="shared" si="8"/>
        <v>0</v>
      </c>
      <c r="T69" s="351" t="str">
        <f>공시용!F65</f>
        <v>영업비용</v>
      </c>
      <c r="U69" s="351">
        <f>공시용!G65</f>
        <v>0</v>
      </c>
      <c r="V69" s="351" t="e">
        <f>공시용!H65</f>
        <v>#VALUE!</v>
      </c>
    </row>
    <row r="70" spans="2:22">
      <c r="B70" s="343" t="s">
        <v>1053</v>
      </c>
      <c r="C70" s="344"/>
      <c r="D70" s="345" t="e">
        <f>SUM(C71:C80)</f>
        <v>#VALUE!</v>
      </c>
      <c r="E70" s="351" t="e">
        <f>D70-공시용!H65</f>
        <v>#VALUE!</v>
      </c>
      <c r="F70" s="351"/>
      <c r="G70" s="351"/>
      <c r="H70" s="351"/>
      <c r="I70" s="351"/>
      <c r="J70" s="351"/>
      <c r="K70" s="351"/>
      <c r="L70" s="351"/>
      <c r="M70" s="351"/>
      <c r="N70" s="351"/>
      <c r="O70" s="630"/>
      <c r="P70" s="674" t="s">
        <v>1413</v>
      </c>
      <c r="Q70" s="351" t="str">
        <f>T70</f>
        <v>종업원급여</v>
      </c>
      <c r="R70" s="351">
        <f t="shared" si="8"/>
        <v>82051581</v>
      </c>
      <c r="T70" s="351" t="str">
        <f>공시용!F66</f>
        <v>종업원급여</v>
      </c>
      <c r="U70" s="351">
        <f>공시용!G66</f>
        <v>82051581</v>
      </c>
      <c r="V70" s="351">
        <f>공시용!H66</f>
        <v>0</v>
      </c>
    </row>
    <row r="71" spans="2:22">
      <c r="B71" s="674" t="s">
        <v>1413</v>
      </c>
      <c r="C71" s="345">
        <f t="shared" ref="C71:C86" si="9">VLOOKUP(B71,$P$68:$R$88,3,FALSE)</f>
        <v>82051581</v>
      </c>
      <c r="D71" s="344"/>
      <c r="E71" s="630"/>
      <c r="O71" s="630"/>
      <c r="P71" s="674" t="s">
        <v>1414</v>
      </c>
      <c r="Q71" s="351" t="str">
        <f>T73</f>
        <v>지급수수료</v>
      </c>
      <c r="R71" s="351" t="e">
        <f t="shared" si="8"/>
        <v>#VALUE!</v>
      </c>
      <c r="T71" s="351" t="str">
        <f>공시용!F67</f>
        <v>주식보상비용</v>
      </c>
      <c r="U71" s="351">
        <f>공시용!G67</f>
        <v>1681513</v>
      </c>
      <c r="V71" s="351">
        <f>공시용!H67</f>
        <v>0</v>
      </c>
    </row>
    <row r="72" spans="2:22" s="630" customFormat="1">
      <c r="B72" s="674" t="s">
        <v>1353</v>
      </c>
      <c r="C72" s="345">
        <f t="shared" si="9"/>
        <v>1681513</v>
      </c>
      <c r="D72" s="344"/>
      <c r="F72" s="691"/>
      <c r="G72" s="691"/>
      <c r="H72" s="691"/>
      <c r="I72" s="691"/>
      <c r="J72" s="691"/>
      <c r="K72" s="691"/>
      <c r="L72" s="691"/>
      <c r="M72" s="691"/>
      <c r="N72" s="691"/>
      <c r="P72" s="674" t="s">
        <v>1353</v>
      </c>
      <c r="Q72" s="351" t="str">
        <f>T71</f>
        <v>주식보상비용</v>
      </c>
      <c r="R72" s="351">
        <f t="shared" si="8"/>
        <v>1681513</v>
      </c>
      <c r="T72" s="351"/>
      <c r="U72" s="351"/>
      <c r="V72" s="351"/>
    </row>
    <row r="73" spans="2:22" ht="27">
      <c r="B73" s="674" t="s">
        <v>1414</v>
      </c>
      <c r="C73" s="345" t="e">
        <f t="shared" si="9"/>
        <v>#VALUE!</v>
      </c>
      <c r="D73" s="344"/>
      <c r="E73" s="630"/>
      <c r="O73" s="630"/>
      <c r="P73" s="674" t="s">
        <v>1415</v>
      </c>
      <c r="Q73" s="351" t="str">
        <f t="shared" ref="Q73:Q88" si="10">T74</f>
        <v>감가상각비 및 무형자산상각비</v>
      </c>
      <c r="R73" s="351">
        <f t="shared" si="8"/>
        <v>19630322</v>
      </c>
      <c r="T73" s="351" t="str">
        <f>공시용!F68</f>
        <v>지급수수료</v>
      </c>
      <c r="U73" s="351" t="e">
        <f>공시용!G68</f>
        <v>#VALUE!</v>
      </c>
      <c r="V73" s="351">
        <f>공시용!H68</f>
        <v>0</v>
      </c>
    </row>
    <row r="74" spans="2:22">
      <c r="B74" s="674" t="s">
        <v>1415</v>
      </c>
      <c r="C74" s="345">
        <f t="shared" si="9"/>
        <v>19630322</v>
      </c>
      <c r="D74" s="344"/>
      <c r="E74" s="630"/>
      <c r="O74" s="630"/>
      <c r="P74" s="674" t="s">
        <v>1416</v>
      </c>
      <c r="Q74" s="351" t="str">
        <f t="shared" si="10"/>
        <v>광고선전비</v>
      </c>
      <c r="R74" s="351">
        <f t="shared" si="8"/>
        <v>91611617</v>
      </c>
      <c r="T74" s="351" t="str">
        <f>공시용!F69</f>
        <v>감가상각비 및 무형자산상각비</v>
      </c>
      <c r="U74" s="351">
        <f>공시용!G69</f>
        <v>19630322</v>
      </c>
      <c r="V74" s="351">
        <f>공시용!H69</f>
        <v>0</v>
      </c>
    </row>
    <row r="75" spans="2:22">
      <c r="B75" s="674" t="s">
        <v>1416</v>
      </c>
      <c r="C75" s="345">
        <f t="shared" si="9"/>
        <v>91611617</v>
      </c>
      <c r="D75" s="344"/>
      <c r="E75" s="630"/>
      <c r="O75" s="630"/>
      <c r="P75" s="674" t="s">
        <v>1417</v>
      </c>
      <c r="Q75" s="351" t="str">
        <f t="shared" si="10"/>
        <v>임차료</v>
      </c>
      <c r="R75" s="351">
        <f t="shared" si="8"/>
        <v>162537</v>
      </c>
      <c r="T75" s="351" t="str">
        <f>공시용!F70</f>
        <v>광고선전비</v>
      </c>
      <c r="U75" s="351">
        <f>공시용!G70</f>
        <v>91611617</v>
      </c>
      <c r="V75" s="351">
        <f>공시용!H70</f>
        <v>0</v>
      </c>
    </row>
    <row r="76" spans="2:22">
      <c r="B76" s="674" t="s">
        <v>1417</v>
      </c>
      <c r="C76" s="345">
        <f t="shared" si="9"/>
        <v>162537</v>
      </c>
      <c r="D76" s="344"/>
      <c r="E76" s="630"/>
      <c r="O76" s="630"/>
      <c r="P76" s="674" t="s">
        <v>1418</v>
      </c>
      <c r="Q76" s="351" t="str">
        <f t="shared" si="10"/>
        <v>상품및기타구입비용</v>
      </c>
      <c r="R76" s="351">
        <f t="shared" si="8"/>
        <v>106617962</v>
      </c>
      <c r="T76" s="351" t="str">
        <f>공시용!F71</f>
        <v>임차료</v>
      </c>
      <c r="U76" s="351">
        <f>공시용!G71</f>
        <v>162537</v>
      </c>
      <c r="V76" s="351">
        <f>공시용!H71</f>
        <v>0</v>
      </c>
    </row>
    <row r="77" spans="2:22">
      <c r="B77" s="674" t="s">
        <v>1418</v>
      </c>
      <c r="C77" s="345">
        <f t="shared" si="9"/>
        <v>106617962</v>
      </c>
      <c r="D77" s="344"/>
      <c r="E77" s="630"/>
      <c r="O77" s="630"/>
      <c r="P77" s="674" t="s">
        <v>1419</v>
      </c>
      <c r="Q77" s="351" t="str">
        <f t="shared" si="10"/>
        <v>용역원가</v>
      </c>
      <c r="R77" s="351">
        <f t="shared" si="8"/>
        <v>434624</v>
      </c>
      <c r="T77" s="351" t="str">
        <f>공시용!F72</f>
        <v>상품및기타구입비용</v>
      </c>
      <c r="U77" s="351">
        <f>공시용!G72</f>
        <v>106617962</v>
      </c>
      <c r="V77" s="351">
        <f>공시용!H72</f>
        <v>0</v>
      </c>
    </row>
    <row r="78" spans="2:22">
      <c r="B78" s="674" t="s">
        <v>1419</v>
      </c>
      <c r="C78" s="345">
        <f t="shared" si="9"/>
        <v>434624</v>
      </c>
      <c r="D78" s="344"/>
      <c r="E78" s="630"/>
      <c r="O78" s="630"/>
      <c r="P78" s="674" t="s">
        <v>1420</v>
      </c>
      <c r="Q78" s="351" t="str">
        <f t="shared" si="10"/>
        <v xml:space="preserve">연구및경상개발비 </v>
      </c>
      <c r="R78" s="351">
        <f t="shared" si="8"/>
        <v>27535317</v>
      </c>
      <c r="T78" s="351" t="str">
        <f>공시용!F73</f>
        <v>용역원가</v>
      </c>
      <c r="U78" s="351">
        <f>공시용!G73</f>
        <v>434624</v>
      </c>
      <c r="V78" s="351">
        <f>공시용!H73</f>
        <v>0</v>
      </c>
    </row>
    <row r="79" spans="2:22">
      <c r="B79" s="674" t="s">
        <v>1420</v>
      </c>
      <c r="C79" s="345">
        <f t="shared" si="9"/>
        <v>27535317</v>
      </c>
      <c r="D79" s="344"/>
      <c r="E79" s="630"/>
      <c r="O79" s="630"/>
      <c r="P79" s="674" t="s">
        <v>1421</v>
      </c>
      <c r="Q79" s="351" t="str">
        <f t="shared" si="10"/>
        <v>기타영업비용</v>
      </c>
      <c r="R79" s="351" t="e">
        <f t="shared" si="8"/>
        <v>#VALUE!</v>
      </c>
      <c r="T79" s="351" t="str">
        <f>공시용!F74</f>
        <v xml:space="preserve">연구및경상개발비 </v>
      </c>
      <c r="U79" s="351">
        <f>공시용!G74</f>
        <v>27535317</v>
      </c>
      <c r="V79" s="351">
        <f>공시용!H74</f>
        <v>0</v>
      </c>
    </row>
    <row r="80" spans="2:22">
      <c r="B80" s="674" t="s">
        <v>1421</v>
      </c>
      <c r="C80" s="345" t="e">
        <f t="shared" si="9"/>
        <v>#VALUE!</v>
      </c>
      <c r="D80" s="344"/>
      <c r="E80" s="630"/>
      <c r="O80" s="630"/>
      <c r="P80" s="343" t="s">
        <v>1422</v>
      </c>
      <c r="Q80" s="351" t="str">
        <f t="shared" si="10"/>
        <v>영업이익</v>
      </c>
      <c r="R80" s="351">
        <f t="shared" si="8"/>
        <v>0</v>
      </c>
      <c r="T80" s="351" t="str">
        <f>공시용!F75</f>
        <v>기타영업비용</v>
      </c>
      <c r="U80" s="351" t="e">
        <f>공시용!G75</f>
        <v>#VALUE!</v>
      </c>
      <c r="V80" s="351">
        <f>공시용!H75</f>
        <v>0</v>
      </c>
    </row>
    <row r="81" spans="2:22">
      <c r="B81" s="343" t="s">
        <v>1422</v>
      </c>
      <c r="C81" s="345">
        <f t="shared" si="9"/>
        <v>0</v>
      </c>
      <c r="D81" s="345" t="e">
        <f>+D69-D70</f>
        <v>#VALUE!</v>
      </c>
      <c r="E81" s="351" t="e">
        <f>D81-공시용!H76</f>
        <v>#VALUE!</v>
      </c>
      <c r="F81" s="351"/>
      <c r="G81" s="351"/>
      <c r="H81" s="351"/>
      <c r="I81" s="351"/>
      <c r="J81" s="351"/>
      <c r="K81" s="351"/>
      <c r="L81" s="351"/>
      <c r="M81" s="351"/>
      <c r="N81" s="351"/>
      <c r="O81" s="630"/>
      <c r="P81" s="674" t="s">
        <v>1423</v>
      </c>
      <c r="Q81" s="351" t="str">
        <f t="shared" si="10"/>
        <v>금융수익</v>
      </c>
      <c r="R81" s="351">
        <f t="shared" si="8"/>
        <v>8742915</v>
      </c>
      <c r="T81" s="351" t="str">
        <f>공시용!F76</f>
        <v>영업이익</v>
      </c>
      <c r="U81" s="351">
        <f>공시용!G76</f>
        <v>0</v>
      </c>
      <c r="V81" s="351" t="e">
        <f>공시용!H76</f>
        <v>#VALUE!</v>
      </c>
    </row>
    <row r="82" spans="2:22">
      <c r="B82" s="674" t="s">
        <v>1423</v>
      </c>
      <c r="C82" s="345">
        <f t="shared" si="9"/>
        <v>8742915</v>
      </c>
      <c r="D82" s="344"/>
      <c r="E82" s="630"/>
      <c r="O82" s="630"/>
      <c r="P82" s="674" t="s">
        <v>1424</v>
      </c>
      <c r="Q82" s="351" t="str">
        <f t="shared" si="10"/>
        <v>금융비용</v>
      </c>
      <c r="R82" s="351">
        <f t="shared" si="8"/>
        <v>8543696</v>
      </c>
      <c r="T82" s="351" t="str">
        <f>공시용!F77</f>
        <v>금융수익</v>
      </c>
      <c r="U82" s="351">
        <f>공시용!G77</f>
        <v>8742915</v>
      </c>
      <c r="V82" s="351">
        <f>공시용!H77</f>
        <v>0</v>
      </c>
    </row>
    <row r="83" spans="2:22">
      <c r="B83" s="674" t="s">
        <v>1424</v>
      </c>
      <c r="C83" s="345">
        <f t="shared" si="9"/>
        <v>8543696</v>
      </c>
      <c r="D83" s="344"/>
      <c r="E83" s="630"/>
      <c r="O83" s="630"/>
      <c r="P83" s="674" t="s">
        <v>1425</v>
      </c>
      <c r="Q83" s="351" t="str">
        <f t="shared" si="10"/>
        <v>지분법평가손실</v>
      </c>
      <c r="R83" s="351">
        <f t="shared" si="8"/>
        <v>6107971</v>
      </c>
      <c r="T83" s="351" t="str">
        <f>공시용!F78</f>
        <v>금융비용</v>
      </c>
      <c r="U83" s="351">
        <f>공시용!G78</f>
        <v>8543696</v>
      </c>
      <c r="V83" s="351">
        <f>공시용!H78</f>
        <v>0</v>
      </c>
    </row>
    <row r="84" spans="2:22">
      <c r="B84" s="674" t="s">
        <v>1425</v>
      </c>
      <c r="C84" s="345">
        <f t="shared" si="9"/>
        <v>6107971</v>
      </c>
      <c r="D84" s="344"/>
      <c r="E84" s="630"/>
      <c r="O84" s="630"/>
      <c r="P84" s="674" t="s">
        <v>1426</v>
      </c>
      <c r="Q84" s="351" t="str">
        <f t="shared" si="10"/>
        <v>기타영업외수익</v>
      </c>
      <c r="R84" s="351">
        <f t="shared" si="8"/>
        <v>157874</v>
      </c>
      <c r="T84" s="351" t="str">
        <f>공시용!F79</f>
        <v>지분법평가손실</v>
      </c>
      <c r="U84" s="351">
        <f>공시용!G79</f>
        <v>6107971</v>
      </c>
      <c r="V84" s="351">
        <f>공시용!H79</f>
        <v>0</v>
      </c>
    </row>
    <row r="85" spans="2:22">
      <c r="B85" s="674" t="s">
        <v>1426</v>
      </c>
      <c r="C85" s="345">
        <f t="shared" si="9"/>
        <v>157874</v>
      </c>
      <c r="D85" s="344"/>
      <c r="E85" s="630"/>
      <c r="O85" s="630"/>
      <c r="P85" s="674" t="s">
        <v>1427</v>
      </c>
      <c r="Q85" s="351" t="str">
        <f t="shared" si="10"/>
        <v>기타영업외비용</v>
      </c>
      <c r="R85" s="351">
        <f t="shared" si="8"/>
        <v>546927</v>
      </c>
      <c r="T85" s="351" t="str">
        <f>공시용!F80</f>
        <v>기타영업외수익</v>
      </c>
      <c r="U85" s="351">
        <f>공시용!G80</f>
        <v>157874</v>
      </c>
      <c r="V85" s="351">
        <f>공시용!H80</f>
        <v>0</v>
      </c>
    </row>
    <row r="86" spans="2:22" ht="27">
      <c r="B86" s="674" t="s">
        <v>1427</v>
      </c>
      <c r="C86" s="345">
        <f t="shared" si="9"/>
        <v>546927</v>
      </c>
      <c r="D86" s="344"/>
      <c r="E86" s="630"/>
      <c r="O86" s="630"/>
      <c r="P86" s="343" t="s">
        <v>1428</v>
      </c>
      <c r="Q86" s="351" t="str">
        <f t="shared" si="10"/>
        <v>법인세비용차감전이익(손실)</v>
      </c>
      <c r="R86" s="351">
        <f t="shared" si="8"/>
        <v>0</v>
      </c>
      <c r="T86" s="351" t="str">
        <f>공시용!F81</f>
        <v>기타영업외비용</v>
      </c>
      <c r="U86" s="351">
        <f>공시용!G81</f>
        <v>546927</v>
      </c>
      <c r="V86" s="351">
        <f>공시용!H81</f>
        <v>0</v>
      </c>
    </row>
    <row r="87" spans="2:22">
      <c r="B87" s="343" t="s">
        <v>1428</v>
      </c>
      <c r="C87" s="345" t="e">
        <f>+D69-D70+C82-C83-C84+C85-C86</f>
        <v>#VALUE!</v>
      </c>
      <c r="D87" s="344"/>
      <c r="E87" s="351" t="e">
        <f>+C87-공시용!H82</f>
        <v>#VALUE!</v>
      </c>
      <c r="F87" s="351"/>
      <c r="G87" s="351"/>
      <c r="H87" s="351"/>
      <c r="I87" s="351"/>
      <c r="J87" s="351"/>
      <c r="K87" s="351"/>
      <c r="L87" s="351"/>
      <c r="M87" s="351"/>
      <c r="N87" s="351"/>
      <c r="O87" s="630"/>
      <c r="P87" s="343" t="s">
        <v>1079</v>
      </c>
      <c r="Q87" s="351" t="str">
        <f t="shared" si="10"/>
        <v>법인세비용(수익)</v>
      </c>
      <c r="R87" s="351">
        <f>VLOOKUP(Q87,$T$68:$V$89,3,FALSE)</f>
        <v>-36830174</v>
      </c>
      <c r="T87" s="351" t="str">
        <f>공시용!F82</f>
        <v>법인세비용차감전이익(손실)</v>
      </c>
      <c r="U87" s="351">
        <f>공시용!G82</f>
        <v>0</v>
      </c>
      <c r="V87" s="351" t="e">
        <f>공시용!H82</f>
        <v>#VALUE!</v>
      </c>
    </row>
    <row r="88" spans="2:22">
      <c r="B88" s="343" t="s">
        <v>1079</v>
      </c>
      <c r="C88" s="345">
        <f>VLOOKUP(B88,$P$68:$R$88,3,FALSE)</f>
        <v>-36830174</v>
      </c>
      <c r="D88" s="344"/>
      <c r="E88" s="351">
        <f>+C88-공시용!H83</f>
        <v>0</v>
      </c>
      <c r="F88" s="351"/>
      <c r="G88" s="351"/>
      <c r="H88" s="351"/>
      <c r="I88" s="351"/>
      <c r="J88" s="351"/>
      <c r="K88" s="351"/>
      <c r="L88" s="351"/>
      <c r="M88" s="351"/>
      <c r="N88" s="351"/>
      <c r="O88" s="630"/>
      <c r="P88" s="349" t="s">
        <v>1429</v>
      </c>
      <c r="Q88" s="351" t="str">
        <f t="shared" si="10"/>
        <v>당기순이익(손실)</v>
      </c>
      <c r="R88" s="351">
        <f>VLOOKUP(Q88,$T$68:$V$89,2,FALSE)</f>
        <v>0</v>
      </c>
      <c r="T88" s="351" t="str">
        <f>공시용!F83</f>
        <v>법인세비용(수익)</v>
      </c>
      <c r="U88" s="351">
        <f>공시용!G83</f>
        <v>0</v>
      </c>
      <c r="V88" s="351">
        <f>공시용!H83</f>
        <v>-36830174</v>
      </c>
    </row>
    <row r="89" spans="2:22">
      <c r="B89" s="349" t="s">
        <v>1429</v>
      </c>
      <c r="C89" s="677" t="e">
        <f>+C87-C88</f>
        <v>#VALUE!</v>
      </c>
      <c r="D89" s="350"/>
      <c r="E89" s="351" t="e">
        <f>+C89-공시용!H84</f>
        <v>#VALUE!</v>
      </c>
      <c r="F89" s="351"/>
      <c r="G89" s="351"/>
      <c r="H89" s="351"/>
      <c r="I89" s="351"/>
      <c r="J89" s="351"/>
      <c r="K89" s="351"/>
      <c r="L89" s="351"/>
      <c r="M89" s="351"/>
      <c r="N89" s="351"/>
      <c r="O89" s="630"/>
      <c r="Q89" s="630"/>
      <c r="R89" s="630"/>
      <c r="T89" s="351" t="str">
        <f>공시용!F84</f>
        <v>당기순이익(손실)</v>
      </c>
      <c r="U89" s="351">
        <f>공시용!G84</f>
        <v>0</v>
      </c>
      <c r="V89" s="351" t="e">
        <f>공시용!H84</f>
        <v>#VALUE!</v>
      </c>
    </row>
    <row r="90" spans="2:22">
      <c r="E90" s="630"/>
      <c r="O90" s="630"/>
      <c r="Q90" s="630"/>
      <c r="R90" s="630"/>
    </row>
    <row r="91" spans="2:22">
      <c r="E91" s="630"/>
      <c r="O91" s="630"/>
      <c r="Q91" s="630"/>
      <c r="R91" s="630"/>
    </row>
    <row r="92" spans="2:22">
      <c r="E92" s="630"/>
      <c r="O92" s="630"/>
      <c r="Q92" s="630"/>
      <c r="R92" s="630"/>
    </row>
    <row r="93" spans="2:22">
      <c r="Q93" s="630"/>
      <c r="R93" s="630"/>
    </row>
    <row r="94" spans="2:22">
      <c r="Q94" s="630"/>
      <c r="R94" s="630"/>
    </row>
  </sheetData>
  <mergeCells count="4">
    <mergeCell ref="C3:D3"/>
    <mergeCell ref="C68:D68"/>
    <mergeCell ref="H3:I3"/>
    <mergeCell ref="J3:K3"/>
  </mergeCells>
  <phoneticPr fontId="2" type="noConversion"/>
  <conditionalFormatting sqref="H5:I50">
    <cfRule type="containsText" dxfId="1" priority="2" operator="containsText" text="false">
      <formula>NOT(ISERROR(SEARCH("false",H5)))</formula>
    </cfRule>
  </conditionalFormatting>
  <conditionalFormatting sqref="H5:I5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0E0A-0800-41E7-AC84-120BECC952DD}">
  <dimension ref="A1:K40"/>
  <sheetViews>
    <sheetView showGridLines="0" zoomScale="85" zoomScaleNormal="85" workbookViewId="0">
      <pane xSplit="2" ySplit="7" topLeftCell="C8" activePane="bottomRight" state="frozen"/>
      <selection activeCell="H47" sqref="H47"/>
      <selection pane="topRight" activeCell="H47" sqref="H47"/>
      <selection pane="bottomLeft" activeCell="H47" sqref="H47"/>
      <selection pane="bottomRight" activeCell="H47" sqref="H47"/>
    </sheetView>
  </sheetViews>
  <sheetFormatPr defaultColWidth="9" defaultRowHeight="16.5"/>
  <cols>
    <col min="1" max="1" width="3.125" style="361" customWidth="1"/>
    <col min="2" max="2" width="26.875" style="488" bestFit="1" customWidth="1"/>
    <col min="3" max="9" width="18.75" style="488" customWidth="1"/>
    <col min="10" max="10" width="18.125" style="488" bestFit="1" customWidth="1"/>
    <col min="11" max="11" width="9.625" style="488" bestFit="1" customWidth="1"/>
    <col min="12" max="16384" width="9" style="488"/>
  </cols>
  <sheetData>
    <row r="1" spans="1:9" ht="5.25" customHeight="1"/>
    <row r="2" spans="1:9" ht="19.5">
      <c r="A2" s="488"/>
      <c r="B2" s="362" t="s">
        <v>1101</v>
      </c>
    </row>
    <row r="3" spans="1:9" ht="19.5">
      <c r="A3" s="488"/>
      <c r="B3" s="362" t="s">
        <v>1102</v>
      </c>
    </row>
    <row r="4" spans="1:9" ht="19.5">
      <c r="A4" s="488"/>
      <c r="B4" s="363">
        <v>44561</v>
      </c>
    </row>
    <row r="5" spans="1:9" ht="17.25" thickBot="1"/>
    <row r="6" spans="1:9" ht="21.75" customHeight="1">
      <c r="B6" s="803" t="s">
        <v>274</v>
      </c>
      <c r="C6" s="805" t="s">
        <v>1042</v>
      </c>
      <c r="D6" s="807" t="s">
        <v>740</v>
      </c>
      <c r="E6" s="808"/>
      <c r="F6" s="809"/>
      <c r="G6" s="805" t="s">
        <v>1044</v>
      </c>
      <c r="H6" s="805" t="s">
        <v>1103</v>
      </c>
      <c r="I6" s="798" t="s">
        <v>1104</v>
      </c>
    </row>
    <row r="7" spans="1:9" ht="21.75" customHeight="1">
      <c r="B7" s="804"/>
      <c r="C7" s="806"/>
      <c r="D7" s="444" t="s">
        <v>1105</v>
      </c>
      <c r="E7" s="444" t="s">
        <v>326</v>
      </c>
      <c r="F7" s="444" t="s">
        <v>1107</v>
      </c>
      <c r="G7" s="806"/>
      <c r="H7" s="806"/>
      <c r="I7" s="799"/>
    </row>
    <row r="8" spans="1:9" ht="21.75" customHeight="1">
      <c r="B8" s="489" t="s">
        <v>1468</v>
      </c>
      <c r="C8" s="490">
        <v>5123512000</v>
      </c>
      <c r="D8" s="490">
        <v>463655072713</v>
      </c>
      <c r="E8" s="490">
        <v>-42575729077</v>
      </c>
      <c r="F8" s="490">
        <f>SUM(D8:E8)</f>
        <v>421079343636</v>
      </c>
      <c r="G8" s="490">
        <f>BS_WTB!T286+BS_WTB!T274</f>
        <v>30582917456</v>
      </c>
      <c r="H8" s="491">
        <f>BS_WTB!$T$282</f>
        <v>-95281465</v>
      </c>
      <c r="I8" s="492">
        <f>H8+G8+F8+C8</f>
        <v>456690491627</v>
      </c>
    </row>
    <row r="9" spans="1:9" ht="21.75" customHeight="1">
      <c r="B9" s="800" t="s">
        <v>1109</v>
      </c>
      <c r="C9" s="801"/>
      <c r="D9" s="801"/>
      <c r="E9" s="801"/>
      <c r="F9" s="801"/>
      <c r="G9" s="801"/>
      <c r="H9" s="801"/>
      <c r="I9" s="802"/>
    </row>
    <row r="10" spans="1:9" ht="21.75" customHeight="1">
      <c r="B10" s="493" t="s">
        <v>1110</v>
      </c>
      <c r="C10" s="494">
        <v>0</v>
      </c>
      <c r="D10" s="494">
        <v>0</v>
      </c>
      <c r="E10" s="494">
        <v>0</v>
      </c>
      <c r="F10" s="494">
        <f>SUM(D10:E10)</f>
        <v>0</v>
      </c>
      <c r="G10" s="494">
        <f>BS_WTB!AD288</f>
        <v>-75590345281</v>
      </c>
      <c r="H10" s="495">
        <v>0</v>
      </c>
      <c r="I10" s="496">
        <f t="shared" ref="I10:I13" si="0">H10+G10+F10+C10</f>
        <v>-75590345281</v>
      </c>
    </row>
    <row r="11" spans="1:9" ht="21.75" customHeight="1">
      <c r="B11" s="493" t="s">
        <v>1111</v>
      </c>
      <c r="C11" s="494">
        <v>0</v>
      </c>
      <c r="D11" s="494">
        <v>0</v>
      </c>
      <c r="E11" s="494">
        <v>0</v>
      </c>
      <c r="F11" s="494">
        <f>SUM(D11:E11)</f>
        <v>0</v>
      </c>
      <c r="G11" s="494">
        <f>BS_WTB!AE289+BS_WTB!AE290</f>
        <v>1748129266</v>
      </c>
      <c r="H11" s="494">
        <v>0</v>
      </c>
      <c r="I11" s="496">
        <f t="shared" si="0"/>
        <v>1748129266</v>
      </c>
    </row>
    <row r="12" spans="1:9" ht="21.75" customHeight="1">
      <c r="B12" s="688" t="s">
        <v>1471</v>
      </c>
      <c r="C12" s="494">
        <v>0</v>
      </c>
      <c r="D12" s="494">
        <v>0</v>
      </c>
      <c r="E12" s="494">
        <v>0</v>
      </c>
      <c r="F12" s="494">
        <f>SUM(D12:E12)</f>
        <v>0</v>
      </c>
      <c r="G12" s="494">
        <v>0</v>
      </c>
      <c r="H12" s="494">
        <f>BS_WTB!AE281</f>
        <v>1681512874</v>
      </c>
      <c r="I12" s="689">
        <f t="shared" si="0"/>
        <v>1681512874</v>
      </c>
    </row>
    <row r="13" spans="1:9" ht="21.75" customHeight="1">
      <c r="B13" s="688" t="s">
        <v>1470</v>
      </c>
      <c r="C13" s="494"/>
      <c r="D13" s="494"/>
      <c r="E13" s="494"/>
      <c r="F13" s="494"/>
      <c r="G13" s="494"/>
      <c r="H13" s="494">
        <f>BS_WTB!AE284</f>
        <v>8903015</v>
      </c>
      <c r="I13" s="689">
        <f t="shared" si="0"/>
        <v>8903015</v>
      </c>
    </row>
    <row r="14" spans="1:9" ht="21.75" customHeight="1">
      <c r="B14" s="800" t="s">
        <v>1112</v>
      </c>
      <c r="C14" s="801"/>
      <c r="D14" s="801"/>
      <c r="E14" s="801"/>
      <c r="F14" s="801"/>
      <c r="G14" s="801"/>
      <c r="H14" s="801"/>
      <c r="I14" s="802"/>
    </row>
    <row r="15" spans="1:9" ht="21.75" customHeight="1">
      <c r="B15" s="364" t="s">
        <v>1469</v>
      </c>
      <c r="C15" s="497">
        <v>0</v>
      </c>
      <c r="D15" s="497">
        <v>0</v>
      </c>
      <c r="E15" s="497">
        <v>0</v>
      </c>
      <c r="F15" s="494">
        <f>SUM(D15:E15)</f>
        <v>0</v>
      </c>
      <c r="G15" s="497">
        <f>-CF정산표!X112</f>
        <v>-5000000000</v>
      </c>
      <c r="H15" s="498">
        <v>0</v>
      </c>
      <c r="I15" s="496">
        <f t="shared" ref="I15:I16" si="1">H15+G15+F15+C15</f>
        <v>-5000000000</v>
      </c>
    </row>
    <row r="16" spans="1:9" ht="21.75" customHeight="1">
      <c r="B16" s="365" t="s">
        <v>1115</v>
      </c>
      <c r="C16" s="497">
        <v>0</v>
      </c>
      <c r="D16" s="497">
        <v>-170000000000</v>
      </c>
      <c r="E16" s="497">
        <v>0</v>
      </c>
      <c r="F16" s="494">
        <f>SUM(D16:E16)</f>
        <v>-170000000000</v>
      </c>
      <c r="G16" s="497">
        <f>90000000000+80000000000</f>
        <v>170000000000</v>
      </c>
      <c r="H16" s="498">
        <v>0</v>
      </c>
      <c r="I16" s="496">
        <f t="shared" si="1"/>
        <v>0</v>
      </c>
    </row>
    <row r="17" spans="2:11" ht="21.75" customHeight="1" thickBot="1">
      <c r="B17" s="499" t="s">
        <v>1467</v>
      </c>
      <c r="C17" s="500">
        <f t="shared" ref="C17:I17" si="2">SUM(C15:C16)+SUM(C10:C11)+C8+C12+C13</f>
        <v>5123512000</v>
      </c>
      <c r="D17" s="500">
        <f t="shared" si="2"/>
        <v>293655072713</v>
      </c>
      <c r="E17" s="500">
        <f t="shared" si="2"/>
        <v>-42575729077</v>
      </c>
      <c r="F17" s="500">
        <f t="shared" si="2"/>
        <v>251079343636</v>
      </c>
      <c r="G17" s="500">
        <f t="shared" si="2"/>
        <v>121740701441</v>
      </c>
      <c r="H17" s="501">
        <f t="shared" si="2"/>
        <v>1595134424</v>
      </c>
      <c r="I17" s="502">
        <f t="shared" si="2"/>
        <v>379538691501</v>
      </c>
      <c r="J17" s="503"/>
      <c r="K17" s="504"/>
    </row>
    <row r="18" spans="2:11">
      <c r="C18" s="508">
        <f>BS_WTB!AD269+BS_WTB!AD271</f>
        <v>5123512000</v>
      </c>
      <c r="D18" s="508">
        <f>BS_WTB!AD273</f>
        <v>293655072713</v>
      </c>
      <c r="E18" s="508">
        <f>BS_WTB!AD278</f>
        <v>-42575729077</v>
      </c>
      <c r="F18" s="504">
        <f>BS_WTB!AD272+BS_WTB!AD278</f>
        <v>251079343636</v>
      </c>
      <c r="G18" s="508">
        <f>BS_WTB!AD286+BS_WTB!AD274+BS_WTB!AD290</f>
        <v>28694401358</v>
      </c>
      <c r="H18" s="508">
        <f>BS_WTB!AD282+BS_WTB!AD280</f>
        <v>2779373521</v>
      </c>
      <c r="I18" s="508">
        <f>BS_WTB!AD267</f>
        <v>287676630515</v>
      </c>
    </row>
    <row r="19" spans="2:11">
      <c r="C19" s="509" t="b">
        <f>C17=C18</f>
        <v>1</v>
      </c>
      <c r="D19" s="509" t="b">
        <f>D17=D18</f>
        <v>1</v>
      </c>
      <c r="E19" s="488" t="b">
        <f>E18=E17</f>
        <v>1</v>
      </c>
      <c r="F19" s="488" t="b">
        <f>F17=F18</f>
        <v>1</v>
      </c>
      <c r="G19" s="509" t="b">
        <f>G17=G18</f>
        <v>0</v>
      </c>
      <c r="H19" s="509" t="b">
        <f>H17=H18</f>
        <v>0</v>
      </c>
      <c r="I19" s="509" t="b">
        <f>I18=I17</f>
        <v>0</v>
      </c>
    </row>
    <row r="20" spans="2:11">
      <c r="I20" s="509">
        <f>I18-I17</f>
        <v>-91862060986</v>
      </c>
    </row>
    <row r="21" spans="2:11" ht="17.25" thickBot="1"/>
    <row r="22" spans="2:11">
      <c r="B22" s="803" t="s">
        <v>274</v>
      </c>
      <c r="C22" s="805" t="s">
        <v>1042</v>
      </c>
      <c r="D22" s="807" t="s">
        <v>740</v>
      </c>
      <c r="E22" s="808"/>
      <c r="F22" s="809"/>
      <c r="G22" s="805" t="s">
        <v>1044</v>
      </c>
      <c r="H22" s="805" t="s">
        <v>1103</v>
      </c>
      <c r="I22" s="798" t="s">
        <v>1104</v>
      </c>
    </row>
    <row r="23" spans="2:11">
      <c r="B23" s="804"/>
      <c r="C23" s="806"/>
      <c r="D23" s="679" t="s">
        <v>1105</v>
      </c>
      <c r="E23" s="679" t="s">
        <v>326</v>
      </c>
      <c r="F23" s="679" t="s">
        <v>1107</v>
      </c>
      <c r="G23" s="806"/>
      <c r="H23" s="806"/>
      <c r="I23" s="799"/>
    </row>
    <row r="24" spans="2:11">
      <c r="B24" s="489" t="s">
        <v>1468</v>
      </c>
      <c r="C24" s="490">
        <f>ROUND(C8/1000,)</f>
        <v>5123512</v>
      </c>
      <c r="D24" s="490">
        <f t="shared" ref="D24:H24" si="3">ROUND(D8/1000,)</f>
        <v>463655073</v>
      </c>
      <c r="E24" s="490">
        <f t="shared" si="3"/>
        <v>-42575729</v>
      </c>
      <c r="F24" s="490">
        <f t="shared" si="3"/>
        <v>421079344</v>
      </c>
      <c r="G24" s="490">
        <f t="shared" si="3"/>
        <v>30582917</v>
      </c>
      <c r="H24" s="490">
        <f t="shared" si="3"/>
        <v>-95281</v>
      </c>
      <c r="I24" s="492">
        <f>H24+G24+F24+C24</f>
        <v>456690492</v>
      </c>
    </row>
    <row r="25" spans="2:11">
      <c r="B25" s="800" t="s">
        <v>1109</v>
      </c>
      <c r="C25" s="801"/>
      <c r="D25" s="801"/>
      <c r="E25" s="801"/>
      <c r="F25" s="801"/>
      <c r="G25" s="801"/>
      <c r="H25" s="801"/>
      <c r="I25" s="802"/>
    </row>
    <row r="26" spans="2:11">
      <c r="B26" s="493" t="s">
        <v>1110</v>
      </c>
      <c r="C26" s="490">
        <f t="shared" ref="C26:H26" si="4">ROUND(C10/1000,)</f>
        <v>0</v>
      </c>
      <c r="D26" s="490">
        <f t="shared" si="4"/>
        <v>0</v>
      </c>
      <c r="E26" s="490">
        <f t="shared" si="4"/>
        <v>0</v>
      </c>
      <c r="F26" s="490">
        <f t="shared" si="4"/>
        <v>0</v>
      </c>
      <c r="G26" s="490">
        <f t="shared" si="4"/>
        <v>-75590345</v>
      </c>
      <c r="H26" s="490">
        <f t="shared" si="4"/>
        <v>0</v>
      </c>
      <c r="I26" s="496">
        <f t="shared" ref="I26:I33" si="5">H26+G26+F26+C26</f>
        <v>-75590345</v>
      </c>
    </row>
    <row r="27" spans="2:11">
      <c r="B27" s="493" t="s">
        <v>1111</v>
      </c>
      <c r="C27" s="490">
        <f t="shared" ref="C27:H27" si="6">ROUND(C11/1000,)</f>
        <v>0</v>
      </c>
      <c r="D27" s="490">
        <f t="shared" si="6"/>
        <v>0</v>
      </c>
      <c r="E27" s="490">
        <f t="shared" si="6"/>
        <v>0</v>
      </c>
      <c r="F27" s="490">
        <f t="shared" si="6"/>
        <v>0</v>
      </c>
      <c r="G27" s="490">
        <f t="shared" si="6"/>
        <v>1748129</v>
      </c>
      <c r="H27" s="490">
        <f t="shared" si="6"/>
        <v>0</v>
      </c>
      <c r="I27" s="496">
        <f t="shared" si="5"/>
        <v>1748129</v>
      </c>
    </row>
    <row r="28" spans="2:11">
      <c r="B28" s="688" t="s">
        <v>1471</v>
      </c>
      <c r="C28" s="490">
        <f t="shared" ref="C28:H28" si="7">ROUND(C12/1000,)</f>
        <v>0</v>
      </c>
      <c r="D28" s="490">
        <f t="shared" si="7"/>
        <v>0</v>
      </c>
      <c r="E28" s="490">
        <f t="shared" si="7"/>
        <v>0</v>
      </c>
      <c r="F28" s="490">
        <f t="shared" si="7"/>
        <v>0</v>
      </c>
      <c r="G28" s="490">
        <f t="shared" si="7"/>
        <v>0</v>
      </c>
      <c r="H28" s="490">
        <f t="shared" si="7"/>
        <v>1681513</v>
      </c>
      <c r="I28" s="496">
        <f t="shared" si="5"/>
        <v>1681513</v>
      </c>
    </row>
    <row r="29" spans="2:11">
      <c r="B29" s="688" t="s">
        <v>1470</v>
      </c>
      <c r="C29" s="490">
        <f t="shared" ref="C29:H29" si="8">ROUND(C13/1000,)</f>
        <v>0</v>
      </c>
      <c r="D29" s="490">
        <f t="shared" si="8"/>
        <v>0</v>
      </c>
      <c r="E29" s="490">
        <f t="shared" si="8"/>
        <v>0</v>
      </c>
      <c r="F29" s="490">
        <f t="shared" si="8"/>
        <v>0</v>
      </c>
      <c r="G29" s="490">
        <f t="shared" si="8"/>
        <v>0</v>
      </c>
      <c r="H29" s="490">
        <f t="shared" si="8"/>
        <v>8903</v>
      </c>
      <c r="I29" s="496">
        <f t="shared" si="5"/>
        <v>8903</v>
      </c>
    </row>
    <row r="30" spans="2:11">
      <c r="B30" s="800" t="s">
        <v>1112</v>
      </c>
      <c r="C30" s="801"/>
      <c r="D30" s="801"/>
      <c r="E30" s="801"/>
      <c r="F30" s="801"/>
      <c r="G30" s="801"/>
      <c r="H30" s="801"/>
      <c r="I30" s="802"/>
    </row>
    <row r="31" spans="2:11">
      <c r="B31" s="364" t="s">
        <v>1469</v>
      </c>
      <c r="C31" s="497">
        <f t="shared" ref="C31:H33" si="9">ROUND(C15/1000,)</f>
        <v>0</v>
      </c>
      <c r="D31" s="497">
        <f t="shared" si="9"/>
        <v>0</v>
      </c>
      <c r="E31" s="497">
        <f t="shared" si="9"/>
        <v>0</v>
      </c>
      <c r="F31" s="494">
        <f t="shared" si="9"/>
        <v>0</v>
      </c>
      <c r="G31" s="497">
        <f t="shared" si="9"/>
        <v>-5000000</v>
      </c>
      <c r="H31" s="498">
        <f t="shared" si="9"/>
        <v>0</v>
      </c>
      <c r="I31" s="496">
        <f t="shared" si="5"/>
        <v>-5000000</v>
      </c>
    </row>
    <row r="32" spans="2:11">
      <c r="B32" s="365" t="s">
        <v>1115</v>
      </c>
      <c r="C32" s="497">
        <f t="shared" si="9"/>
        <v>0</v>
      </c>
      <c r="D32" s="497">
        <f t="shared" si="9"/>
        <v>-170000000</v>
      </c>
      <c r="E32" s="497">
        <f t="shared" si="9"/>
        <v>0</v>
      </c>
      <c r="F32" s="494">
        <f t="shared" si="9"/>
        <v>-170000000</v>
      </c>
      <c r="G32" s="497">
        <f t="shared" si="9"/>
        <v>170000000</v>
      </c>
      <c r="H32" s="498">
        <f t="shared" si="9"/>
        <v>0</v>
      </c>
      <c r="I32" s="496">
        <f t="shared" si="5"/>
        <v>0</v>
      </c>
    </row>
    <row r="33" spans="2:9" ht="17.25" thickBot="1">
      <c r="B33" s="499" t="s">
        <v>1467</v>
      </c>
      <c r="C33" s="500">
        <f t="shared" si="9"/>
        <v>5123512</v>
      </c>
      <c r="D33" s="500">
        <f t="shared" si="9"/>
        <v>293655073</v>
      </c>
      <c r="E33" s="500">
        <f t="shared" si="9"/>
        <v>-42575729</v>
      </c>
      <c r="F33" s="500">
        <f t="shared" si="9"/>
        <v>251079344</v>
      </c>
      <c r="G33" s="500">
        <f t="shared" si="9"/>
        <v>121740701</v>
      </c>
      <c r="H33" s="501">
        <f t="shared" si="9"/>
        <v>1595134</v>
      </c>
      <c r="I33" s="502">
        <f t="shared" si="5"/>
        <v>379538691</v>
      </c>
    </row>
    <row r="39" spans="2:9">
      <c r="D39" s="690"/>
    </row>
    <row r="40" spans="2:9">
      <c r="D40" s="690"/>
    </row>
  </sheetData>
  <mergeCells count="16">
    <mergeCell ref="I22:I23"/>
    <mergeCell ref="B25:I25"/>
    <mergeCell ref="B30:I30"/>
    <mergeCell ref="B6:B7"/>
    <mergeCell ref="C6:C7"/>
    <mergeCell ref="D6:F6"/>
    <mergeCell ref="G6:G7"/>
    <mergeCell ref="H6:H7"/>
    <mergeCell ref="I6:I7"/>
    <mergeCell ref="B9:I9"/>
    <mergeCell ref="B14:I14"/>
    <mergeCell ref="B22:B23"/>
    <mergeCell ref="C22:C23"/>
    <mergeCell ref="D22:F22"/>
    <mergeCell ref="G22:G23"/>
    <mergeCell ref="H22:H2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5"/>
  <sheetViews>
    <sheetView showGridLines="0" zoomScale="85" zoomScaleNormal="85" workbookViewId="0">
      <selection activeCell="H47" sqref="H47"/>
    </sheetView>
  </sheetViews>
  <sheetFormatPr defaultRowHeight="16.5"/>
  <cols>
    <col min="1" max="1" width="5" customWidth="1"/>
    <col min="2" max="2" width="34.375" customWidth="1"/>
    <col min="3" max="3" width="21.375" customWidth="1"/>
    <col min="4" max="4" width="20.625" customWidth="1"/>
    <col min="5" max="5" width="22.375" style="75" customWidth="1"/>
    <col min="6" max="6" width="29.625" customWidth="1"/>
    <col min="7" max="7" width="24.25" customWidth="1"/>
    <col min="8" max="8" width="26.75" customWidth="1"/>
    <col min="9" max="9" width="18.25" customWidth="1"/>
    <col min="10" max="10" width="17.375" customWidth="1"/>
    <col min="11" max="11" width="19" customWidth="1"/>
    <col min="12" max="12" width="18.125" customWidth="1"/>
    <col min="13" max="13" width="10.5" bestFit="1" customWidth="1"/>
    <col min="14" max="14" width="16" bestFit="1" customWidth="1"/>
  </cols>
  <sheetData>
    <row r="1" spans="1:10">
      <c r="A1" s="237"/>
      <c r="B1" s="237"/>
      <c r="C1" s="237"/>
      <c r="D1" s="237"/>
      <c r="E1" s="609"/>
      <c r="F1" s="237"/>
      <c r="G1" s="237"/>
    </row>
    <row r="2" spans="1:10" ht="18" thickBot="1">
      <c r="A2" s="237"/>
      <c r="B2" s="238" t="s">
        <v>947</v>
      </c>
      <c r="C2" s="237"/>
      <c r="D2" s="239" t="s">
        <v>948</v>
      </c>
      <c r="E2" s="609"/>
      <c r="F2" s="238" t="s">
        <v>947</v>
      </c>
      <c r="H2" s="239" t="s">
        <v>949</v>
      </c>
    </row>
    <row r="3" spans="1:10" ht="16.5" customHeight="1">
      <c r="A3" s="237"/>
      <c r="B3" s="760" t="s">
        <v>950</v>
      </c>
      <c r="C3" s="810" t="s">
        <v>1387</v>
      </c>
      <c r="D3" s="811"/>
      <c r="E3" s="609"/>
      <c r="F3" s="760" t="s">
        <v>950</v>
      </c>
      <c r="G3" s="810" t="str">
        <f>C3</f>
        <v>공시용 재무상태표
(2021-12-31)</v>
      </c>
      <c r="H3" s="811"/>
    </row>
    <row r="4" spans="1:10" ht="17.25" thickBot="1">
      <c r="A4" s="237"/>
      <c r="B4" s="761"/>
      <c r="C4" s="812"/>
      <c r="D4" s="813"/>
      <c r="E4" s="609"/>
      <c r="F4" s="761"/>
      <c r="G4" s="812"/>
      <c r="H4" s="813"/>
    </row>
    <row r="5" spans="1:10" ht="17.25" thickBot="1">
      <c r="A5" s="237"/>
      <c r="B5" s="240" t="s">
        <v>951</v>
      </c>
      <c r="C5" s="240"/>
      <c r="D5" s="241"/>
      <c r="E5" s="609"/>
      <c r="F5" s="240" t="s">
        <v>951</v>
      </c>
      <c r="G5" s="240"/>
      <c r="H5" s="241"/>
    </row>
    <row r="6" spans="1:10" ht="17.25" thickBot="1">
      <c r="A6" s="237"/>
      <c r="B6" s="242" t="s">
        <v>242</v>
      </c>
      <c r="C6" s="243"/>
      <c r="D6" s="51">
        <f>SUM(C7:C19)</f>
        <v>704638658745</v>
      </c>
      <c r="E6" s="609">
        <f>+BS_WTB!AD5</f>
        <v>704638658745</v>
      </c>
      <c r="F6" s="242" t="s">
        <v>242</v>
      </c>
      <c r="G6" s="243"/>
      <c r="H6" s="51">
        <f>SUM(G7:G19)</f>
        <v>704638659</v>
      </c>
    </row>
    <row r="7" spans="1:10" s="11" customFormat="1">
      <c r="A7" s="244"/>
      <c r="B7" s="245" t="s">
        <v>283</v>
      </c>
      <c r="C7" s="246">
        <f>SUMIF(BS_WTB!$F:$F,공시용!B7,BS_WTB!$AD:$AD)</f>
        <v>53003487568</v>
      </c>
      <c r="D7" s="247"/>
      <c r="E7" s="668">
        <f>+E6-D6</f>
        <v>0</v>
      </c>
      <c r="F7" s="245" t="str">
        <f t="shared" ref="F7:F19" si="0">B7</f>
        <v>현금및현금성자산</v>
      </c>
      <c r="G7" s="246">
        <f>ROUND(C7/1000,)</f>
        <v>53003488</v>
      </c>
      <c r="H7" s="247"/>
    </row>
    <row r="8" spans="1:10" s="11" customFormat="1">
      <c r="A8" s="244"/>
      <c r="B8" s="245" t="s">
        <v>239</v>
      </c>
      <c r="C8" s="246">
        <f>SUMIF(BS_WTB!$F:$F,공시용!B8,BS_WTB!$AD:$AD)</f>
        <v>103520760872</v>
      </c>
      <c r="D8" s="247"/>
      <c r="E8" s="668"/>
      <c r="F8" s="245" t="str">
        <f t="shared" si="0"/>
        <v>단기금융상품</v>
      </c>
      <c r="G8" s="246">
        <f t="shared" ref="G8:G17" si="1">ROUND(C8/1000,)</f>
        <v>103520761</v>
      </c>
      <c r="H8" s="247"/>
      <c r="J8" s="248"/>
    </row>
    <row r="9" spans="1:10" s="11" customFormat="1">
      <c r="A9" s="244"/>
      <c r="B9" s="245" t="s">
        <v>1378</v>
      </c>
      <c r="C9" s="246">
        <f>SUMIF(BS_WTB!$F:$F,공시용!B9,BS_WTB!$AD:$AD)</f>
        <v>200000000</v>
      </c>
      <c r="D9" s="247"/>
      <c r="E9" s="668"/>
      <c r="F9" s="245" t="str">
        <f t="shared" ref="F9" si="2">B9</f>
        <v>단기대여금</v>
      </c>
      <c r="G9" s="246">
        <f t="shared" ref="G9" si="3">ROUND(C9/1000,)</f>
        <v>200000</v>
      </c>
      <c r="H9" s="247"/>
      <c r="J9" s="248"/>
    </row>
    <row r="10" spans="1:10" s="11" customFormat="1">
      <c r="A10" s="244"/>
      <c r="B10" s="245" t="s">
        <v>1171</v>
      </c>
      <c r="C10" s="246">
        <f>SUMIF(BS_WTB!$F:$F,공시용!B10,BS_WTB!$AD:$AD)</f>
        <v>0</v>
      </c>
      <c r="D10" s="247"/>
      <c r="E10" s="668"/>
      <c r="F10" s="245" t="s">
        <v>1171</v>
      </c>
      <c r="G10" s="246">
        <f t="shared" si="1"/>
        <v>0</v>
      </c>
      <c r="H10" s="247"/>
    </row>
    <row r="11" spans="1:10" s="11" customFormat="1">
      <c r="A11" s="244"/>
      <c r="B11" s="245" t="s">
        <v>236</v>
      </c>
      <c r="C11" s="246">
        <f>SUMIF(BS_WTB!$F:$F,공시용!B11,BS_WTB!$AD:$AD)</f>
        <v>21547734038</v>
      </c>
      <c r="D11" s="247"/>
      <c r="E11" s="668"/>
      <c r="F11" s="245" t="str">
        <f t="shared" si="0"/>
        <v>매출채권</v>
      </c>
      <c r="G11" s="246">
        <f t="shared" si="1"/>
        <v>21547734</v>
      </c>
      <c r="H11" s="247"/>
    </row>
    <row r="12" spans="1:10" s="11" customFormat="1">
      <c r="A12" s="244"/>
      <c r="B12" s="245" t="s">
        <v>232</v>
      </c>
      <c r="C12" s="246">
        <f>SUMIF(BS_WTB!$F:$F,공시용!B12,BS_WTB!$AD:$AD)</f>
        <v>428591732281</v>
      </c>
      <c r="D12" s="247"/>
      <c r="E12" s="668"/>
      <c r="F12" s="245" t="str">
        <f t="shared" si="0"/>
        <v>미수금</v>
      </c>
      <c r="G12" s="246">
        <f>ROUND(C12/1000,)</f>
        <v>428591732</v>
      </c>
      <c r="H12" s="247"/>
    </row>
    <row r="13" spans="1:10" s="11" customFormat="1">
      <c r="A13" s="244"/>
      <c r="B13" s="245" t="s">
        <v>1300</v>
      </c>
      <c r="C13" s="246">
        <f>SUMIF(BS_WTB!$F:$F,공시용!B13,BS_WTB!$AD:$AD)</f>
        <v>711453400</v>
      </c>
      <c r="D13" s="247"/>
      <c r="E13" s="668"/>
      <c r="F13" s="245" t="str">
        <f t="shared" si="0"/>
        <v>당기법인세자산</v>
      </c>
      <c r="G13" s="246">
        <f t="shared" si="1"/>
        <v>711453</v>
      </c>
      <c r="H13" s="247"/>
    </row>
    <row r="14" spans="1:10" s="11" customFormat="1">
      <c r="A14" s="244"/>
      <c r="B14" s="245" t="s">
        <v>221</v>
      </c>
      <c r="C14" s="246">
        <f>SUMIF(BS_WTB!$F:$F,공시용!B14,BS_WTB!$AD:$AD)</f>
        <v>692328766</v>
      </c>
      <c r="D14" s="247"/>
      <c r="E14" s="668"/>
      <c r="F14" s="245" t="str">
        <f t="shared" si="0"/>
        <v>미수수익</v>
      </c>
      <c r="G14" s="246">
        <f t="shared" si="1"/>
        <v>692329</v>
      </c>
      <c r="H14" s="247"/>
    </row>
    <row r="15" spans="1:10" s="11" customFormat="1">
      <c r="A15" s="244"/>
      <c r="B15" s="245" t="s">
        <v>952</v>
      </c>
      <c r="C15" s="246">
        <f>SUMIF(BS_WTB!$F:$F,공시용!B15,BS_WTB!$AD:$AD)</f>
        <v>44640410090</v>
      </c>
      <c r="D15" s="247"/>
      <c r="E15" s="668"/>
      <c r="F15" s="245" t="str">
        <f t="shared" si="0"/>
        <v>선급금</v>
      </c>
      <c r="G15" s="246">
        <f t="shared" si="1"/>
        <v>44640410</v>
      </c>
      <c r="H15" s="247"/>
    </row>
    <row r="16" spans="1:10" s="11" customFormat="1">
      <c r="A16" s="244"/>
      <c r="B16" s="245" t="s">
        <v>953</v>
      </c>
      <c r="C16" s="246">
        <f>SUMIF(BS_WTB!$F:$F,공시용!B16,BS_WTB!$AD:$AD)</f>
        <v>5204857738</v>
      </c>
      <c r="D16" s="247"/>
      <c r="E16" s="668"/>
      <c r="F16" s="245" t="str">
        <f t="shared" si="0"/>
        <v>선급비용</v>
      </c>
      <c r="G16" s="246">
        <f t="shared" si="1"/>
        <v>5204858</v>
      </c>
      <c r="H16" s="247"/>
    </row>
    <row r="17" spans="1:8" s="11" customFormat="1">
      <c r="A17" s="244"/>
      <c r="B17" s="245" t="s">
        <v>954</v>
      </c>
      <c r="C17" s="246">
        <f>SUMIF(BS_WTB!$F:$F,공시용!B17,BS_WTB!$AD:$AD)</f>
        <v>43993843992</v>
      </c>
      <c r="D17" s="247"/>
      <c r="E17" s="668"/>
      <c r="F17" s="245" t="str">
        <f t="shared" si="0"/>
        <v>재고자산</v>
      </c>
      <c r="G17" s="246">
        <f t="shared" si="1"/>
        <v>43993844</v>
      </c>
      <c r="H17" s="247"/>
    </row>
    <row r="18" spans="1:8" ht="17.25" thickBot="1">
      <c r="A18" s="237"/>
      <c r="B18" s="245" t="s">
        <v>1227</v>
      </c>
      <c r="C18" s="246">
        <f>SUMIF(BS_WTB!$F:$F,공시용!B18,BS_WTB!$AD:$AD)</f>
        <v>2532050000</v>
      </c>
      <c r="D18" s="247"/>
      <c r="E18" s="668"/>
      <c r="F18" s="245" t="str">
        <f t="shared" si="0"/>
        <v>유동성임차보증금</v>
      </c>
      <c r="G18" s="246">
        <f>ROUND(C18/1000,)</f>
        <v>2532050</v>
      </c>
      <c r="H18" s="247"/>
    </row>
    <row r="19" spans="1:8" s="630" customFormat="1" ht="17.25" thickBot="1">
      <c r="A19" s="237"/>
      <c r="B19" s="249" t="s">
        <v>731</v>
      </c>
      <c r="C19" s="250">
        <f>SUMIF(BS_WTB!$F:$F,공시용!B19,BS_WTB!$AD:$AD)</f>
        <v>0</v>
      </c>
      <c r="D19" s="251"/>
      <c r="E19" s="668"/>
      <c r="F19" s="249" t="str">
        <f t="shared" si="0"/>
        <v>미수법인세환급액</v>
      </c>
      <c r="G19" s="250">
        <f>ROUND(C19/1000,)</f>
        <v>0</v>
      </c>
      <c r="H19" s="251"/>
    </row>
    <row r="20" spans="1:8" s="11" customFormat="1" ht="17.25" thickBot="1">
      <c r="A20" s="244"/>
      <c r="B20" s="242" t="s">
        <v>200</v>
      </c>
      <c r="C20" s="243"/>
      <c r="D20" s="51">
        <f>SUM(C21:C32)</f>
        <v>171280125460</v>
      </c>
      <c r="E20" s="609">
        <f>+BS_WTB!AD86</f>
        <v>171280125460</v>
      </c>
      <c r="F20" s="242" t="s">
        <v>200</v>
      </c>
      <c r="G20" s="243"/>
      <c r="H20" s="51">
        <f>SUM(G21:G32)</f>
        <v>171280125</v>
      </c>
    </row>
    <row r="21" spans="1:8" s="11" customFormat="1">
      <c r="A21" s="244"/>
      <c r="B21" s="245" t="s">
        <v>674</v>
      </c>
      <c r="C21" s="246">
        <f>SUMIF(BS_WTB!$F:$F,공시용!B21,BS_WTB!$AD:$AD)</f>
        <v>2000000</v>
      </c>
      <c r="D21" s="247"/>
      <c r="E21" s="668">
        <f>+E20-D20</f>
        <v>0</v>
      </c>
      <c r="F21" s="245" t="str">
        <f t="shared" ref="F21:F30" si="4">B21</f>
        <v>장기금융상품</v>
      </c>
      <c r="G21" s="246">
        <f t="shared" ref="G21:G30" si="5">ROUND(C21/1000,)</f>
        <v>2000</v>
      </c>
      <c r="H21" s="247"/>
    </row>
    <row r="22" spans="1:8" s="11" customFormat="1">
      <c r="A22" s="244"/>
      <c r="B22" s="245" t="s">
        <v>955</v>
      </c>
      <c r="C22" s="246">
        <f>SUMIF(BS_WTB!$F:$F,공시용!B22,BS_WTB!$AD:$AD)</f>
        <v>0</v>
      </c>
      <c r="D22" s="247"/>
      <c r="E22" s="668"/>
      <c r="F22" s="245" t="str">
        <f t="shared" si="4"/>
        <v>관계기업투자주식</v>
      </c>
      <c r="G22" s="246">
        <f t="shared" si="5"/>
        <v>0</v>
      </c>
      <c r="H22" s="247"/>
    </row>
    <row r="23" spans="1:8" s="11" customFormat="1">
      <c r="A23" s="244"/>
      <c r="B23" s="245" t="s">
        <v>956</v>
      </c>
      <c r="C23" s="246">
        <f>SUMIF(BS_WTB!$F:$F,공시용!B23,BS_WTB!$AD:$AD)</f>
        <v>0</v>
      </c>
      <c r="D23" s="247"/>
      <c r="E23" s="668"/>
      <c r="F23" s="245" t="str">
        <f t="shared" si="4"/>
        <v>기타포괄손익-공정가치 측정 금융자산</v>
      </c>
      <c r="G23" s="246">
        <f t="shared" si="5"/>
        <v>0</v>
      </c>
      <c r="H23" s="247"/>
    </row>
    <row r="24" spans="1:8" s="11" customFormat="1">
      <c r="A24" s="244"/>
      <c r="B24" s="245" t="s">
        <v>823</v>
      </c>
      <c r="C24" s="246">
        <f>SUMIF(BS_WTB!$F:$F,공시용!B24,BS_WTB!$AD:$AD)</f>
        <v>31165111996</v>
      </c>
      <c r="D24" s="247"/>
      <c r="E24" s="668"/>
      <c r="F24" s="245" t="str">
        <f t="shared" si="4"/>
        <v>당기손익-공정가치 측정 금융자산</v>
      </c>
      <c r="G24" s="246">
        <f t="shared" si="5"/>
        <v>31165112</v>
      </c>
      <c r="H24" s="247"/>
    </row>
    <row r="25" spans="1:8" s="11" customFormat="1">
      <c r="A25" s="244"/>
      <c r="B25" s="245" t="s">
        <v>1341</v>
      </c>
      <c r="C25" s="246">
        <f>SUMIF(BS_WTB!$F:$F,공시용!B25,BS_WTB!$AD:$AD)</f>
        <v>0</v>
      </c>
      <c r="D25" s="247"/>
      <c r="E25" s="668"/>
      <c r="F25" s="245" t="str">
        <f t="shared" si="4"/>
        <v>대여금</v>
      </c>
      <c r="G25" s="246">
        <f t="shared" si="5"/>
        <v>0</v>
      </c>
      <c r="H25" s="247"/>
    </row>
    <row r="26" spans="1:8" s="11" customFormat="1">
      <c r="A26" s="244"/>
      <c r="B26" s="245" t="s">
        <v>957</v>
      </c>
      <c r="C26" s="246">
        <f>SUMIF(BS_WTB!$F:$F,공시용!B26,BS_WTB!$AD:$AD)</f>
        <v>26219657142</v>
      </c>
      <c r="D26" s="247"/>
      <c r="E26" s="668"/>
      <c r="F26" s="245" t="str">
        <f t="shared" si="4"/>
        <v>유형자산</v>
      </c>
      <c r="G26" s="246">
        <f t="shared" si="5"/>
        <v>26219657</v>
      </c>
      <c r="H26" s="247"/>
    </row>
    <row r="27" spans="1:8" s="11" customFormat="1">
      <c r="A27" s="244"/>
      <c r="B27" s="245" t="s">
        <v>958</v>
      </c>
      <c r="C27" s="246">
        <f>SUMIF(BS_WTB!$F:$F,공시용!B27,BS_WTB!$AD:$AD)</f>
        <v>18112194086</v>
      </c>
      <c r="D27" s="247"/>
      <c r="E27" s="668"/>
      <c r="F27" s="245" t="str">
        <f t="shared" si="4"/>
        <v>무형자산</v>
      </c>
      <c r="G27" s="246">
        <f t="shared" si="5"/>
        <v>18112194</v>
      </c>
      <c r="H27" s="247"/>
    </row>
    <row r="28" spans="1:8" s="11" customFormat="1">
      <c r="A28" s="244"/>
      <c r="B28" s="245" t="s">
        <v>1095</v>
      </c>
      <c r="C28" s="246">
        <f>SUMIF(BS_WTB!$F:$F,공시용!B28,BS_WTB!$AD:$AD)</f>
        <v>23870917791</v>
      </c>
      <c r="D28" s="247"/>
      <c r="E28" s="668"/>
      <c r="F28" s="245" t="str">
        <f t="shared" si="4"/>
        <v>사용권자산</v>
      </c>
      <c r="G28" s="246">
        <f t="shared" si="5"/>
        <v>23870918</v>
      </c>
      <c r="H28" s="247"/>
    </row>
    <row r="29" spans="1:8" s="11" customFormat="1">
      <c r="A29" s="244"/>
      <c r="B29" s="245" t="s">
        <v>959</v>
      </c>
      <c r="C29" s="246">
        <f>SUMIF(BS_WTB!$F:$F,공시용!B29,BS_WTB!$AD:$AD)</f>
        <v>8049918438</v>
      </c>
      <c r="D29" s="247"/>
      <c r="E29" s="668"/>
      <c r="F29" s="245" t="str">
        <f t="shared" si="4"/>
        <v>보증금</v>
      </c>
      <c r="G29" s="246">
        <f t="shared" si="5"/>
        <v>8049918</v>
      </c>
      <c r="H29" s="247"/>
    </row>
    <row r="30" spans="1:8" s="11" customFormat="1">
      <c r="A30" s="244"/>
      <c r="B30" s="245" t="s">
        <v>1134</v>
      </c>
      <c r="C30" s="246">
        <f>SUMIF(BS_WTB!$F:$F,공시용!B30,BS_WTB!$AD:$AD)</f>
        <v>0</v>
      </c>
      <c r="D30" s="247"/>
      <c r="E30" s="668"/>
      <c r="F30" s="245" t="str">
        <f t="shared" si="4"/>
        <v>기타비유동자산</v>
      </c>
      <c r="G30" s="246">
        <f t="shared" si="5"/>
        <v>0</v>
      </c>
      <c r="H30" s="247"/>
    </row>
    <row r="31" spans="1:8">
      <c r="A31" s="237"/>
      <c r="B31" s="245" t="s">
        <v>1132</v>
      </c>
      <c r="C31" s="246">
        <f>SUMIF(BS_WTB!$F:$F,공시용!B31,BS_WTB!$AD:$AD)</f>
        <v>0</v>
      </c>
      <c r="D31" s="247"/>
      <c r="E31" s="668"/>
      <c r="F31" s="245" t="str">
        <f>B31</f>
        <v>장기미수금</v>
      </c>
      <c r="G31" s="246">
        <f>ROUND(C31/1000,)</f>
        <v>0</v>
      </c>
      <c r="H31" s="247"/>
    </row>
    <row r="32" spans="1:8" ht="17.25" thickBot="1">
      <c r="A32" s="237"/>
      <c r="B32" s="249" t="s">
        <v>540</v>
      </c>
      <c r="C32" s="250">
        <f>SUMIF(BS_WTB!$F:$F,공시용!B32,BS_WTB!$AD:$AD)</f>
        <v>63860326007</v>
      </c>
      <c r="D32" s="251"/>
      <c r="E32" s="609"/>
      <c r="F32" s="249" t="str">
        <f>B32</f>
        <v>이연법인세자산</v>
      </c>
      <c r="G32" s="250">
        <f>ROUND(C32/1000,)</f>
        <v>63860326</v>
      </c>
      <c r="H32" s="251"/>
    </row>
    <row r="33" spans="1:8" ht="17.25" thickBot="1">
      <c r="A33" s="237"/>
      <c r="B33" s="252" t="s">
        <v>960</v>
      </c>
      <c r="C33" s="253"/>
      <c r="D33" s="254">
        <f>D6+D20</f>
        <v>875918784205</v>
      </c>
      <c r="E33" s="609">
        <f>BS_WTB!AD4</f>
        <v>875918784205</v>
      </c>
      <c r="F33" s="252" t="s">
        <v>960</v>
      </c>
      <c r="G33" s="253"/>
      <c r="H33" s="254">
        <f>H6+H20</f>
        <v>875918784</v>
      </c>
    </row>
    <row r="34" spans="1:8" s="11" customFormat="1" ht="17.25" thickBot="1">
      <c r="A34" s="244"/>
      <c r="B34" s="240" t="s">
        <v>961</v>
      </c>
      <c r="C34" s="240"/>
      <c r="D34" s="241"/>
      <c r="E34" s="609">
        <f>E33-D33</f>
        <v>0</v>
      </c>
      <c r="F34" s="240" t="s">
        <v>961</v>
      </c>
      <c r="G34" s="240"/>
      <c r="H34" s="241"/>
    </row>
    <row r="35" spans="1:8" s="11" customFormat="1" ht="17.25" thickBot="1">
      <c r="A35" s="244"/>
      <c r="B35" s="242" t="s">
        <v>962</v>
      </c>
      <c r="C35" s="243"/>
      <c r="D35" s="51">
        <f>SUM(C36:C42)</f>
        <v>556527525899</v>
      </c>
      <c r="E35" s="668"/>
      <c r="F35" s="242" t="s">
        <v>962</v>
      </c>
      <c r="G35" s="243"/>
      <c r="H35" s="51">
        <f>SUM(G36:G42)</f>
        <v>556527525</v>
      </c>
    </row>
    <row r="36" spans="1:8" s="11" customFormat="1">
      <c r="A36" s="244"/>
      <c r="B36" s="245" t="s">
        <v>165</v>
      </c>
      <c r="C36" s="560">
        <f>SUMIF(BS_WTB!$F:$F,공시용!B36,BS_WTB!$AD:$AD)</f>
        <v>100978997065</v>
      </c>
      <c r="D36" s="247"/>
      <c r="E36" s="668"/>
      <c r="F36" s="245" t="str">
        <f t="shared" ref="F36:F42" si="6">B36</f>
        <v>미지급금</v>
      </c>
      <c r="G36" s="246">
        <f t="shared" ref="G36:G42" si="7">ROUND(C36/1000,)</f>
        <v>100978997</v>
      </c>
      <c r="H36" s="247"/>
    </row>
    <row r="37" spans="1:8" s="11" customFormat="1">
      <c r="A37" s="244"/>
      <c r="B37" s="245" t="s">
        <v>963</v>
      </c>
      <c r="C37" s="267">
        <f>SUMIF(BS_WTB!$F:$F,공시용!B37,BS_WTB!$AD:$AD)</f>
        <v>146493076</v>
      </c>
      <c r="D37" s="247"/>
      <c r="E37" s="668"/>
      <c r="F37" s="245" t="str">
        <f t="shared" si="6"/>
        <v>계약부채</v>
      </c>
      <c r="G37" s="246">
        <f t="shared" si="7"/>
        <v>146493</v>
      </c>
      <c r="H37" s="247"/>
    </row>
    <row r="38" spans="1:8" s="11" customFormat="1">
      <c r="A38" s="244"/>
      <c r="B38" s="245" t="s">
        <v>964</v>
      </c>
      <c r="C38" s="267">
        <f>SUMIF(BS_WTB!$F:$F,공시용!B38,BS_WTB!$AD:$AD)</f>
        <v>403630174910</v>
      </c>
      <c r="D38" s="247"/>
      <c r="E38" s="668"/>
      <c r="F38" s="245" t="str">
        <f t="shared" si="6"/>
        <v>예수금</v>
      </c>
      <c r="G38" s="246">
        <f t="shared" si="7"/>
        <v>403630175</v>
      </c>
      <c r="H38" s="247"/>
    </row>
    <row r="39" spans="1:8" s="11" customFormat="1">
      <c r="A39" s="244"/>
      <c r="B39" s="245" t="s">
        <v>965</v>
      </c>
      <c r="C39" s="267">
        <f>SUMIF(BS_WTB!$F:$F,공시용!B39,BS_WTB!$AD:$AD)</f>
        <v>33765791394</v>
      </c>
      <c r="D39" s="247"/>
      <c r="E39" s="668"/>
      <c r="F39" s="245" t="str">
        <f t="shared" si="6"/>
        <v>미지급비용</v>
      </c>
      <c r="G39" s="246">
        <f t="shared" si="7"/>
        <v>33765791</v>
      </c>
      <c r="H39" s="247"/>
    </row>
    <row r="40" spans="1:8">
      <c r="A40" s="237"/>
      <c r="B40" s="245" t="s">
        <v>1097</v>
      </c>
      <c r="C40" s="267">
        <f>SUMIF(BS_WTB!$F:$F,공시용!B40,BS_WTB!$AD:$AD)</f>
        <v>13250424846</v>
      </c>
      <c r="D40" s="247"/>
      <c r="E40" s="668"/>
      <c r="F40" s="245" t="str">
        <f t="shared" si="6"/>
        <v>리스부채</v>
      </c>
      <c r="G40" s="246">
        <f t="shared" si="7"/>
        <v>13250425</v>
      </c>
      <c r="H40" s="247"/>
    </row>
    <row r="41" spans="1:8" s="630" customFormat="1">
      <c r="A41" s="237"/>
      <c r="B41" s="245" t="s">
        <v>1359</v>
      </c>
      <c r="C41" s="267">
        <f>SUMIF(BS_WTB!$F:$F,공시용!B41,BS_WTB!$AD:$AD)</f>
        <v>3824249227</v>
      </c>
      <c r="D41" s="251"/>
      <c r="E41" s="668"/>
      <c r="F41" s="249" t="str">
        <f t="shared" si="6"/>
        <v>유동성파생금융부채</v>
      </c>
      <c r="G41" s="246">
        <f t="shared" si="7"/>
        <v>3824249</v>
      </c>
      <c r="H41" s="251"/>
    </row>
    <row r="42" spans="1:8" s="11" customFormat="1" ht="17.25" thickBot="1">
      <c r="A42" s="244"/>
      <c r="B42" s="557" t="s">
        <v>1122</v>
      </c>
      <c r="C42" s="558">
        <f>SUMIF(BS_WTB!$F:$F,공시용!B42,BS_WTB!$AD:$AD)</f>
        <v>931395381</v>
      </c>
      <c r="D42" s="559"/>
      <c r="E42" s="609"/>
      <c r="F42" s="557" t="str">
        <f t="shared" si="6"/>
        <v>유동성임대보증금</v>
      </c>
      <c r="G42" s="558">
        <f t="shared" si="7"/>
        <v>931395</v>
      </c>
      <c r="H42" s="559"/>
    </row>
    <row r="43" spans="1:8" s="11" customFormat="1" ht="17.25" thickBot="1">
      <c r="A43" s="244"/>
      <c r="B43" s="242" t="s">
        <v>966</v>
      </c>
      <c r="C43" s="243"/>
      <c r="D43" s="51">
        <f>SUM(C44:C49)</f>
        <v>31714627791</v>
      </c>
      <c r="E43" s="668"/>
      <c r="F43" s="242" t="s">
        <v>966</v>
      </c>
      <c r="G43" s="243"/>
      <c r="H43" s="51">
        <f>SUM(G44:G49)</f>
        <v>31714628</v>
      </c>
    </row>
    <row r="44" spans="1:8" s="11" customFormat="1">
      <c r="A44" s="244"/>
      <c r="B44" s="245" t="s">
        <v>967</v>
      </c>
      <c r="C44" s="560">
        <f>SUMIF(BS_WTB!$F:$F,공시용!B44,BS_WTB!$AD:$AD)</f>
        <v>0</v>
      </c>
      <c r="D44" s="247"/>
      <c r="E44" s="668"/>
      <c r="F44" s="245" t="str">
        <f t="shared" ref="F44:F49" si="8">B44</f>
        <v>임대보증금</v>
      </c>
      <c r="G44" s="246">
        <f>ROUND(C44/1000,)</f>
        <v>0</v>
      </c>
      <c r="H44" s="247"/>
    </row>
    <row r="45" spans="1:8" s="11" customFormat="1">
      <c r="A45" s="244"/>
      <c r="B45" s="245" t="s">
        <v>968</v>
      </c>
      <c r="C45" s="267">
        <f>SUMIF(BS_WTB!$F:$F,공시용!B45,BS_WTB!$AD:$AD)</f>
        <v>4352759496</v>
      </c>
      <c r="D45" s="247"/>
      <c r="E45" s="668"/>
      <c r="F45" s="245" t="str">
        <f t="shared" si="8"/>
        <v>확정급여부채</v>
      </c>
      <c r="G45" s="246">
        <f t="shared" ref="G45:G49" si="9">ROUND(C45/1000,)</f>
        <v>4352759</v>
      </c>
      <c r="H45" s="247"/>
    </row>
    <row r="46" spans="1:8" s="11" customFormat="1">
      <c r="A46" s="244"/>
      <c r="B46" s="245" t="s">
        <v>969</v>
      </c>
      <c r="C46" s="267">
        <f>SUMIF(BS_WTB!$F:$F,공시용!B46,BS_WTB!$AD:$AD)</f>
        <v>2590942602</v>
      </c>
      <c r="D46" s="247"/>
      <c r="E46" s="668"/>
      <c r="F46" s="245" t="str">
        <f t="shared" si="8"/>
        <v>장기미지급비용</v>
      </c>
      <c r="G46" s="246">
        <f t="shared" si="9"/>
        <v>2590943</v>
      </c>
      <c r="H46" s="247"/>
    </row>
    <row r="47" spans="1:8">
      <c r="A47" s="237"/>
      <c r="B47" s="245" t="s">
        <v>739</v>
      </c>
      <c r="C47" s="267">
        <f>SUMIF(BS_WTB!$F:$F,공시용!B47,BS_WTB!$AD:$AD)</f>
        <v>1969149720</v>
      </c>
      <c r="D47" s="247"/>
      <c r="E47" s="668"/>
      <c r="F47" s="245" t="str">
        <f t="shared" si="8"/>
        <v>비유동충당부채</v>
      </c>
      <c r="G47" s="246">
        <f>ROUND(C47/1000,)</f>
        <v>1969150</v>
      </c>
      <c r="H47" s="247"/>
    </row>
    <row r="48" spans="1:8">
      <c r="A48" s="237"/>
      <c r="B48" s="245" t="s">
        <v>1098</v>
      </c>
      <c r="C48" s="267">
        <f>SUMIF(BS_WTB!$F:$F,공시용!B48,BS_WTB!$AD:$AD)</f>
        <v>11877025200</v>
      </c>
      <c r="D48" s="247"/>
      <c r="E48" s="609"/>
      <c r="F48" s="245" t="str">
        <f t="shared" si="8"/>
        <v>장기리스부채</v>
      </c>
      <c r="G48" s="246">
        <f t="shared" si="9"/>
        <v>11877025</v>
      </c>
      <c r="H48" s="247"/>
    </row>
    <row r="49" spans="1:14" ht="17.25" thickBot="1">
      <c r="A49" s="237"/>
      <c r="B49" s="249" t="s">
        <v>1213</v>
      </c>
      <c r="C49" s="558">
        <f>SUMIF(BS_WTB!$F:$F,공시용!B49,BS_WTB!$AD:$AD)</f>
        <v>10924750773</v>
      </c>
      <c r="D49" s="251"/>
      <c r="E49" s="609"/>
      <c r="F49" s="249" t="str">
        <f t="shared" si="8"/>
        <v>파생금융부채</v>
      </c>
      <c r="G49" s="250">
        <f t="shared" si="9"/>
        <v>10924751</v>
      </c>
      <c r="H49" s="251"/>
    </row>
    <row r="50" spans="1:14" s="11" customFormat="1" ht="17.25" thickBot="1">
      <c r="A50" s="244"/>
      <c r="B50" s="242" t="s">
        <v>970</v>
      </c>
      <c r="C50" s="243"/>
      <c r="D50" s="51">
        <f>D35+D43</f>
        <v>588242153690</v>
      </c>
      <c r="E50" s="609">
        <f>+BS_WTB!AD159</f>
        <v>588242153690</v>
      </c>
      <c r="F50" s="242" t="s">
        <v>970</v>
      </c>
      <c r="G50" s="243"/>
      <c r="H50" s="51">
        <f>H35+H43</f>
        <v>588242153</v>
      </c>
    </row>
    <row r="51" spans="1:14" s="11" customFormat="1" ht="17.25" thickBot="1">
      <c r="A51" s="244"/>
      <c r="B51" s="240" t="s">
        <v>971</v>
      </c>
      <c r="C51" s="240"/>
      <c r="D51" s="241"/>
      <c r="E51" s="668">
        <f>E50-D50</f>
        <v>0</v>
      </c>
      <c r="F51" s="240" t="s">
        <v>971</v>
      </c>
      <c r="G51" s="240"/>
      <c r="H51" s="241"/>
    </row>
    <row r="52" spans="1:14" s="11" customFormat="1">
      <c r="A52" s="244"/>
      <c r="B52" s="245" t="s">
        <v>972</v>
      </c>
      <c r="C52" s="560">
        <f>SUMIF(BS_WTB!$F:$F,공시용!B52,BS_WTB!$AD:$AD)</f>
        <v>5123512000</v>
      </c>
      <c r="D52" s="247"/>
      <c r="E52" s="668"/>
      <c r="F52" s="245" t="str">
        <f>B52</f>
        <v>자본금</v>
      </c>
      <c r="G52" s="246">
        <f t="shared" ref="G52:G56" si="10">ROUND(C52/1000,)</f>
        <v>5123512</v>
      </c>
      <c r="H52" s="247"/>
    </row>
    <row r="53" spans="1:14" s="11" customFormat="1">
      <c r="A53" s="244"/>
      <c r="B53" s="245" t="s">
        <v>973</v>
      </c>
      <c r="C53" s="267">
        <f>SUMIF(BS_WTB!$F:$F,공시용!B53,BS_WTB!$AD:$AD)</f>
        <v>251079343636</v>
      </c>
      <c r="D53" s="247"/>
      <c r="E53" s="668"/>
      <c r="F53" s="245" t="str">
        <f>B53</f>
        <v>기타불입자본</v>
      </c>
      <c r="G53" s="246">
        <f t="shared" si="10"/>
        <v>251079344</v>
      </c>
      <c r="H53" s="247"/>
    </row>
    <row r="54" spans="1:14">
      <c r="A54" s="237"/>
      <c r="B54" s="245" t="s">
        <v>974</v>
      </c>
      <c r="C54" s="267">
        <f>SUMIF(BS_WTB!$F:$F,공시용!B54,BS_WTB!$AD:$AD)</f>
        <v>0</v>
      </c>
      <c r="D54" s="247"/>
      <c r="E54" s="668"/>
      <c r="F54" s="245" t="str">
        <f>B54</f>
        <v>기타포괄손익누계액</v>
      </c>
      <c r="G54" s="246">
        <f t="shared" si="10"/>
        <v>0</v>
      </c>
      <c r="H54" s="247"/>
    </row>
    <row r="55" spans="1:14">
      <c r="A55" s="237"/>
      <c r="B55" s="245" t="s">
        <v>769</v>
      </c>
      <c r="C55" s="267">
        <f>SUMIF(BS_WTB!$F:$F,공시용!B55,BS_WTB!$AD:$AD)</f>
        <v>28694401358</v>
      </c>
      <c r="D55" s="247"/>
      <c r="E55" s="609"/>
      <c r="F55" s="245" t="str">
        <f>B55</f>
        <v>이익잉여금</v>
      </c>
      <c r="G55" s="246">
        <f t="shared" si="10"/>
        <v>28694401</v>
      </c>
      <c r="H55" s="247"/>
    </row>
    <row r="56" spans="1:14" s="608" customFormat="1" ht="17.25" thickBot="1">
      <c r="A56" s="237"/>
      <c r="B56" s="249" t="s">
        <v>1347</v>
      </c>
      <c r="C56" s="267">
        <f>SUMIF(BS_WTB!$F:$F,공시용!B56,BS_WTB!$AD:$AD)</f>
        <v>2779373521</v>
      </c>
      <c r="D56" s="251"/>
      <c r="E56" s="609"/>
      <c r="F56" s="249" t="str">
        <f>B56</f>
        <v>주식선택권</v>
      </c>
      <c r="G56" s="246">
        <f t="shared" si="10"/>
        <v>2779374</v>
      </c>
      <c r="H56" s="251"/>
    </row>
    <row r="57" spans="1:14" ht="17.25" thickBot="1">
      <c r="B57" s="242" t="s">
        <v>975</v>
      </c>
      <c r="C57" s="243"/>
      <c r="D57" s="51">
        <f>SUM(C52:C56)</f>
        <v>287676630515</v>
      </c>
      <c r="E57" s="609"/>
      <c r="F57" s="242" t="s">
        <v>975</v>
      </c>
      <c r="G57" s="243"/>
      <c r="H57" s="51">
        <f>SUM(G52:G56)</f>
        <v>287676631</v>
      </c>
      <c r="I57" s="256"/>
    </row>
    <row r="58" spans="1:14" ht="17.25" thickBot="1">
      <c r="B58" s="242" t="s">
        <v>976</v>
      </c>
      <c r="C58" s="243"/>
      <c r="D58" s="51">
        <f>D50+D57</f>
        <v>875918784205</v>
      </c>
      <c r="F58" s="242" t="s">
        <v>976</v>
      </c>
      <c r="G58" s="243"/>
      <c r="H58" s="51">
        <f>H50+H57</f>
        <v>875918784</v>
      </c>
      <c r="J58" s="256"/>
      <c r="K58" s="256"/>
      <c r="L58" s="256"/>
      <c r="M58" s="256"/>
    </row>
    <row r="59" spans="1:14">
      <c r="B59" s="19"/>
      <c r="C59" s="20"/>
      <c r="D59" s="617">
        <f>D58-D33</f>
        <v>0</v>
      </c>
      <c r="G59" s="255"/>
      <c r="H59" s="522">
        <f>H58-H33</f>
        <v>0</v>
      </c>
      <c r="I59" s="522"/>
    </row>
    <row r="60" spans="1:14">
      <c r="E60" s="669"/>
    </row>
    <row r="61" spans="1:14" ht="18" thickBot="1">
      <c r="B61" s="238" t="s">
        <v>977</v>
      </c>
      <c r="D61" s="257" t="s">
        <v>978</v>
      </c>
      <c r="E61" s="670"/>
      <c r="F61" s="238" t="s">
        <v>977</v>
      </c>
      <c r="G61" s="238"/>
      <c r="H61" s="258" t="s">
        <v>979</v>
      </c>
    </row>
    <row r="62" spans="1:14">
      <c r="B62" s="814" t="s">
        <v>980</v>
      </c>
      <c r="C62" s="773" t="s">
        <v>981</v>
      </c>
      <c r="D62" s="811"/>
      <c r="E62" s="670"/>
      <c r="F62" s="814" t="s">
        <v>980</v>
      </c>
      <c r="G62" s="818" t="s">
        <v>981</v>
      </c>
      <c r="H62" s="811"/>
      <c r="I62" s="187"/>
      <c r="J62" s="630"/>
      <c r="K62" s="630"/>
      <c r="L62" s="630"/>
      <c r="M62" s="630"/>
      <c r="N62" s="630"/>
    </row>
    <row r="63" spans="1:14" ht="17.25" thickBot="1">
      <c r="B63" s="815"/>
      <c r="C63" s="816"/>
      <c r="D63" s="817"/>
      <c r="E63" s="671"/>
      <c r="F63" s="815"/>
      <c r="G63" s="819"/>
      <c r="H63" s="817"/>
      <c r="I63" s="187"/>
      <c r="J63" s="630"/>
      <c r="K63" s="630"/>
      <c r="L63" s="630"/>
      <c r="M63" s="630"/>
      <c r="N63" s="630"/>
    </row>
    <row r="64" spans="1:14" ht="17.25" thickBot="1">
      <c r="B64" s="260" t="s">
        <v>982</v>
      </c>
      <c r="C64" s="50"/>
      <c r="D64" s="51">
        <f>IS_WTB!AD4</f>
        <v>471643378426</v>
      </c>
      <c r="E64" s="672"/>
      <c r="F64" s="260" t="s">
        <v>982</v>
      </c>
      <c r="G64" s="243"/>
      <c r="H64" s="51">
        <f>ROUND(D64/1000,)</f>
        <v>471643378</v>
      </c>
      <c r="J64" s="630"/>
      <c r="K64" s="630"/>
      <c r="L64" s="630"/>
      <c r="M64" s="630"/>
      <c r="N64" s="630"/>
    </row>
    <row r="65" spans="2:14" ht="17.25" thickBot="1">
      <c r="B65" s="260" t="s">
        <v>983</v>
      </c>
      <c r="C65" s="50"/>
      <c r="D65" s="51" t="e">
        <f>SUM(C66:C87)</f>
        <v>#VALUE!</v>
      </c>
      <c r="E65" s="672"/>
      <c r="F65" s="260" t="s">
        <v>983</v>
      </c>
      <c r="G65" s="243"/>
      <c r="H65" s="51" t="e">
        <f>SUM(G66:G75)</f>
        <v>#VALUE!</v>
      </c>
      <c r="J65" s="630"/>
      <c r="K65" s="630"/>
      <c r="L65" s="630"/>
      <c r="M65" s="630"/>
      <c r="N65" s="630"/>
    </row>
    <row r="66" spans="2:14">
      <c r="B66" s="263" t="s">
        <v>984</v>
      </c>
      <c r="C66" s="262">
        <f>SUMIF(IS_WTB!F:F,공시용!B66,IS_WTB!AD:AD)</f>
        <v>82051581368</v>
      </c>
      <c r="D66" s="247"/>
      <c r="E66" s="672"/>
      <c r="F66" s="263" t="s">
        <v>984</v>
      </c>
      <c r="G66" s="246">
        <f>ROUND(C66/1000,)</f>
        <v>82051581</v>
      </c>
      <c r="H66" s="247"/>
      <c r="J66" s="630"/>
      <c r="K66" s="630"/>
      <c r="L66" s="630"/>
      <c r="M66" s="630"/>
      <c r="N66" s="630"/>
    </row>
    <row r="67" spans="2:14">
      <c r="B67" s="263" t="s">
        <v>1353</v>
      </c>
      <c r="C67" s="262">
        <f>SUMIF(IS_WTB!F:F,공시용!B67,IS_WTB!AD:AD)</f>
        <v>1681512874</v>
      </c>
      <c r="D67" s="247"/>
      <c r="E67" s="672"/>
      <c r="F67" s="263" t="s">
        <v>1353</v>
      </c>
      <c r="G67" s="246">
        <f>ROUND(C67/1000,)</f>
        <v>1681513</v>
      </c>
      <c r="H67" s="247"/>
      <c r="I67" s="608"/>
      <c r="J67" s="630"/>
      <c r="K67" s="630"/>
      <c r="L67" s="630"/>
      <c r="M67" s="630"/>
      <c r="N67" s="630"/>
    </row>
    <row r="68" spans="2:14">
      <c r="B68" s="266" t="s">
        <v>985</v>
      </c>
      <c r="C68" s="262" t="e">
        <f>SUMIF(IS_WTB!F:F,공시용!B68,IS_WTB!AD:AD)</f>
        <v>#VALUE!</v>
      </c>
      <c r="D68" s="265"/>
      <c r="E68" s="672"/>
      <c r="F68" s="266" t="s">
        <v>985</v>
      </c>
      <c r="G68" s="267" t="e">
        <f>ROUND(C68/1000,)</f>
        <v>#VALUE!</v>
      </c>
      <c r="H68" s="265"/>
      <c r="J68" s="630"/>
      <c r="K68" s="630"/>
      <c r="L68" s="630"/>
      <c r="M68" s="630"/>
      <c r="N68" s="630"/>
    </row>
    <row r="69" spans="2:14">
      <c r="B69" s="266" t="s">
        <v>57</v>
      </c>
      <c r="C69" s="262">
        <f>SUMIF(IS_WTB!F:F,공시용!B69,IS_WTB!AD:AD)</f>
        <v>91611616672</v>
      </c>
      <c r="D69" s="265"/>
      <c r="E69" s="672"/>
      <c r="F69" s="266" t="s">
        <v>986</v>
      </c>
      <c r="G69" s="267">
        <f>ROUND((C76+C85)/1000,)</f>
        <v>19630322</v>
      </c>
      <c r="H69" s="265"/>
      <c r="J69" s="630"/>
      <c r="K69" s="630"/>
      <c r="L69" s="630"/>
      <c r="M69" s="630"/>
      <c r="N69" s="630"/>
    </row>
    <row r="70" spans="2:14">
      <c r="B70" s="266" t="s">
        <v>51</v>
      </c>
      <c r="C70" s="262">
        <f>SUMIF(IS_WTB!F:F,공시용!B70,IS_WTB!AD:AD)</f>
        <v>80691700</v>
      </c>
      <c r="D70" s="265"/>
      <c r="E70" s="672"/>
      <c r="F70" s="266" t="s">
        <v>57</v>
      </c>
      <c r="G70" s="267">
        <f>ROUND(C69/1000,)</f>
        <v>91611617</v>
      </c>
      <c r="H70" s="265"/>
      <c r="J70" s="630"/>
      <c r="K70" s="630"/>
      <c r="L70" s="630"/>
      <c r="M70" s="630"/>
      <c r="N70" s="630"/>
    </row>
    <row r="71" spans="2:14">
      <c r="B71" s="266" t="s">
        <v>987</v>
      </c>
      <c r="C71" s="262">
        <f>SUMIF(IS_WTB!F:F,공시용!B71,IS_WTB!AD:AD)</f>
        <v>162537337</v>
      </c>
      <c r="D71" s="265"/>
      <c r="E71" s="672"/>
      <c r="F71" s="266" t="s">
        <v>987</v>
      </c>
      <c r="G71" s="267">
        <f>ROUND(C71/1000,)</f>
        <v>162537</v>
      </c>
      <c r="H71" s="265"/>
      <c r="J71" s="630"/>
      <c r="K71" s="630"/>
      <c r="L71" s="630"/>
      <c r="M71" s="630"/>
      <c r="N71" s="630"/>
    </row>
    <row r="72" spans="2:14">
      <c r="B72" s="266" t="s">
        <v>44</v>
      </c>
      <c r="C72" s="262">
        <f>SUMIF(IS_WTB!F:F,공시용!B72,IS_WTB!AD:AD)</f>
        <v>255445520</v>
      </c>
      <c r="D72" s="265"/>
      <c r="E72" s="672"/>
      <c r="F72" s="266" t="s">
        <v>386</v>
      </c>
      <c r="G72" s="267">
        <f>ROUND(C86/1000,)</f>
        <v>106617962</v>
      </c>
      <c r="H72" s="265"/>
      <c r="J72" s="630"/>
      <c r="K72" s="630"/>
      <c r="L72" s="630"/>
      <c r="M72" s="630"/>
      <c r="N72" s="630"/>
    </row>
    <row r="73" spans="2:14">
      <c r="B73" s="266" t="s">
        <v>41</v>
      </c>
      <c r="C73" s="262">
        <f>SUMIF(IS_WTB!F:F,공시용!B73,IS_WTB!AD:AD)</f>
        <v>778514541</v>
      </c>
      <c r="D73" s="265"/>
      <c r="E73" s="672"/>
      <c r="F73" s="266" t="s">
        <v>988</v>
      </c>
      <c r="G73" s="267">
        <f>ROUND(C87/1000,)</f>
        <v>434624</v>
      </c>
      <c r="H73" s="265"/>
      <c r="J73" s="630"/>
      <c r="K73" s="630"/>
      <c r="L73" s="630"/>
      <c r="M73" s="630"/>
      <c r="N73" s="630"/>
    </row>
    <row r="74" spans="2:14">
      <c r="B74" s="266" t="s">
        <v>36</v>
      </c>
      <c r="C74" s="262">
        <f>SUMIF(IS_WTB!F:F,공시용!B74,IS_WTB!AD:AD)</f>
        <v>1125658473</v>
      </c>
      <c r="D74" s="265"/>
      <c r="E74" s="672"/>
      <c r="F74" s="266" t="s">
        <v>989</v>
      </c>
      <c r="G74" s="267">
        <f>ROUND(C84/1000,)</f>
        <v>27535317</v>
      </c>
      <c r="H74" s="265"/>
      <c r="I74" s="187"/>
      <c r="J74" s="630"/>
      <c r="K74" s="630"/>
      <c r="L74" s="630"/>
      <c r="M74" s="630"/>
      <c r="N74" s="630"/>
    </row>
    <row r="75" spans="2:14" ht="17.25" thickBot="1">
      <c r="B75" s="266" t="s">
        <v>33</v>
      </c>
      <c r="C75" s="262" t="e">
        <f>SUMIF(IS_WTB!F:F,공시용!B75,IS_WTB!AD:AD)</f>
        <v>#VALUE!</v>
      </c>
      <c r="D75" s="265"/>
      <c r="E75" s="672"/>
      <c r="F75" s="266" t="s">
        <v>990</v>
      </c>
      <c r="G75" s="267" t="e">
        <f>ROUND(D65/1000,)-SUM(G66:G74)</f>
        <v>#VALUE!</v>
      </c>
      <c r="H75" s="265"/>
      <c r="I75" s="187"/>
      <c r="J75" s="630"/>
      <c r="K75" s="630"/>
      <c r="L75" s="630"/>
      <c r="M75" s="630"/>
      <c r="N75" s="630"/>
    </row>
    <row r="76" spans="2:14" ht="17.25" thickBot="1">
      <c r="B76" s="266" t="s">
        <v>384</v>
      </c>
      <c r="C76" s="262">
        <f>SUMIF(IS_WTB!F:F,공시용!B76,IS_WTB!AD:AD)</f>
        <v>15805826684</v>
      </c>
      <c r="D76" s="265"/>
      <c r="E76" s="672"/>
      <c r="F76" s="260" t="s">
        <v>991</v>
      </c>
      <c r="G76" s="243"/>
      <c r="H76" s="51" t="e">
        <f>H64-H65</f>
        <v>#VALUE!</v>
      </c>
      <c r="I76" s="187"/>
      <c r="J76" s="630"/>
      <c r="K76" s="630"/>
      <c r="L76" s="630"/>
      <c r="M76" s="630"/>
      <c r="N76" s="630"/>
    </row>
    <row r="77" spans="2:14" ht="17.25" thickBot="1">
      <c r="B77" s="266" t="s">
        <v>348</v>
      </c>
      <c r="C77" s="262">
        <f>SUMIF(IS_WTB!F:F,공시용!B77,IS_WTB!AD:AD)</f>
        <v>100472608</v>
      </c>
      <c r="D77" s="265"/>
      <c r="E77" s="672"/>
      <c r="F77" s="260" t="s">
        <v>992</v>
      </c>
      <c r="G77" s="243">
        <f>ROUND(D99/1000,)+1</f>
        <v>8742915</v>
      </c>
      <c r="H77" s="51"/>
      <c r="I77" s="187"/>
      <c r="J77" s="630"/>
      <c r="K77" s="630"/>
      <c r="L77" s="630"/>
      <c r="M77" s="630"/>
      <c r="N77" s="630"/>
    </row>
    <row r="78" spans="2:14" ht="17.25" thickBot="1">
      <c r="B78" s="266" t="s">
        <v>359</v>
      </c>
      <c r="C78" s="264">
        <f>SUMIF(IS_WTB!F:F,공시용!B78,IS_WTB!AD:AD)</f>
        <v>226022848</v>
      </c>
      <c r="D78" s="265"/>
      <c r="E78" s="672"/>
      <c r="F78" s="260" t="s">
        <v>993</v>
      </c>
      <c r="G78" s="243">
        <f>ROUND(D105/1000,)</f>
        <v>8543696</v>
      </c>
      <c r="H78" s="51"/>
      <c r="I78" s="187"/>
      <c r="J78" s="630"/>
      <c r="K78" s="630"/>
      <c r="L78" s="630"/>
      <c r="M78" s="630"/>
      <c r="N78" s="630"/>
    </row>
    <row r="79" spans="2:14" ht="17.25" thickBot="1">
      <c r="B79" s="266" t="s">
        <v>362</v>
      </c>
      <c r="C79" s="264">
        <f>SUMIF(IS_WTB!F:F,공시용!B79,IS_WTB!AD:AD)</f>
        <v>256502511</v>
      </c>
      <c r="D79" s="265"/>
      <c r="E79" s="672"/>
      <c r="F79" s="260" t="s">
        <v>994</v>
      </c>
      <c r="G79" s="243">
        <f>ROUND(D112/1000,)</f>
        <v>6107971</v>
      </c>
      <c r="H79" s="51"/>
      <c r="I79" s="187"/>
      <c r="J79" s="630"/>
      <c r="K79" s="630"/>
      <c r="L79" s="630"/>
      <c r="M79" s="630"/>
      <c r="N79" s="630"/>
    </row>
    <row r="80" spans="2:14" ht="17.25" thickBot="1">
      <c r="B80" s="266" t="s">
        <v>371</v>
      </c>
      <c r="C80" s="264">
        <f>SUMIF(IS_WTB!F:F,공시용!B80,IS_WTB!AD:AD)</f>
        <v>182507535</v>
      </c>
      <c r="D80" s="265"/>
      <c r="E80" s="672"/>
      <c r="F80" s="260" t="s">
        <v>995</v>
      </c>
      <c r="G80" s="243">
        <f>ROUND(D89/1000,)</f>
        <v>157874</v>
      </c>
      <c r="H80" s="51"/>
      <c r="I80" s="187"/>
      <c r="J80" s="630"/>
      <c r="K80" s="630"/>
      <c r="L80" s="630"/>
      <c r="M80" s="630"/>
      <c r="N80" s="630"/>
    </row>
    <row r="81" spans="2:14" ht="17.25" thickBot="1">
      <c r="B81" s="266" t="s">
        <v>375</v>
      </c>
      <c r="C81" s="264">
        <f>SUMIF(IS_WTB!F:F,공시용!B81,IS_WTB!AD:AD)</f>
        <v>331687337</v>
      </c>
      <c r="D81" s="265"/>
      <c r="E81" s="672"/>
      <c r="F81" s="260" t="s">
        <v>996</v>
      </c>
      <c r="G81" s="243">
        <f>ROUND(D93/1000,)</f>
        <v>546927</v>
      </c>
      <c r="H81" s="51"/>
      <c r="I81" s="187"/>
      <c r="J81" s="630"/>
      <c r="K81" s="630"/>
      <c r="L81" s="630"/>
      <c r="M81" s="630"/>
      <c r="N81" s="630"/>
    </row>
    <row r="82" spans="2:14" ht="17.25" thickBot="1">
      <c r="B82" s="266" t="s">
        <v>997</v>
      </c>
      <c r="C82" s="264" t="e">
        <f>SUMIF(IS_WTB!F:F,공시용!B82,IS_WTB!AD:AD)</f>
        <v>#VALUE!</v>
      </c>
      <c r="D82" s="265"/>
      <c r="E82" s="672"/>
      <c r="F82" s="260" t="s">
        <v>998</v>
      </c>
      <c r="G82" s="243"/>
      <c r="H82" s="51" t="e">
        <f>H76+G77-G78-G79+G80-G81</f>
        <v>#VALUE!</v>
      </c>
      <c r="I82" s="187"/>
      <c r="J82" s="630"/>
      <c r="K82" s="630"/>
      <c r="L82" s="630"/>
      <c r="M82" s="630"/>
      <c r="N82" s="630"/>
    </row>
    <row r="83" spans="2:14" ht="17.25" thickBot="1">
      <c r="B83" s="266" t="s">
        <v>378</v>
      </c>
      <c r="C83" s="264">
        <f>SUMIF(IS_WTB!F:F,공시용!B83,IS_WTB!AD:AD)</f>
        <v>22951731</v>
      </c>
      <c r="D83" s="265"/>
      <c r="E83" s="672"/>
      <c r="F83" s="260" t="s">
        <v>999</v>
      </c>
      <c r="G83" s="243"/>
      <c r="H83" s="51">
        <f>ROUND(D114/1000,)</f>
        <v>-36830174</v>
      </c>
      <c r="J83" s="630"/>
      <c r="K83" s="630"/>
      <c r="L83" s="630"/>
      <c r="M83" s="630"/>
      <c r="N83" s="630"/>
    </row>
    <row r="84" spans="2:14" ht="17.25" thickBot="1">
      <c r="B84" s="266" t="s">
        <v>989</v>
      </c>
      <c r="C84" s="264">
        <f>SUMIF(IS_WTB!F:F,공시용!B84,IS_WTB!AD:AD)</f>
        <v>27535316662</v>
      </c>
      <c r="D84" s="265"/>
      <c r="E84" s="672"/>
      <c r="F84" s="260" t="s">
        <v>1000</v>
      </c>
      <c r="G84" s="243"/>
      <c r="H84" s="51" t="e">
        <f>H82-H83</f>
        <v>#VALUE!</v>
      </c>
      <c r="J84" s="630"/>
      <c r="K84" s="630"/>
      <c r="L84" s="630"/>
      <c r="M84" s="630"/>
      <c r="N84" s="630"/>
    </row>
    <row r="85" spans="2:14">
      <c r="B85" s="266" t="s">
        <v>21</v>
      </c>
      <c r="C85" s="264">
        <f>SUMIF(IS_WTB!F:F,공시용!B85,IS_WTB!AD:AD)</f>
        <v>3824495169</v>
      </c>
      <c r="D85" s="265"/>
      <c r="E85" s="672"/>
      <c r="J85" s="630"/>
      <c r="K85" s="630"/>
      <c r="L85" s="630"/>
      <c r="M85" s="630"/>
      <c r="N85" s="630"/>
    </row>
    <row r="86" spans="2:14">
      <c r="B86" s="266" t="s">
        <v>386</v>
      </c>
      <c r="C86" s="264">
        <f>SUMIF(IS_WTB!F:F,공시용!B86,IS_WTB!AD:AD)</f>
        <v>106617962403</v>
      </c>
      <c r="D86" s="265"/>
      <c r="E86" s="672"/>
      <c r="J86" s="630"/>
      <c r="K86" s="630"/>
      <c r="L86" s="630"/>
      <c r="M86" s="630"/>
      <c r="N86" s="630"/>
    </row>
    <row r="87" spans="2:14" ht="17.25" thickBot="1">
      <c r="B87" s="266" t="s">
        <v>1001</v>
      </c>
      <c r="C87" s="264">
        <f>SUMIF(IS_WTB!F:F,공시용!B87,IS_WTB!AD:AD)</f>
        <v>434624472</v>
      </c>
      <c r="D87" s="265"/>
      <c r="E87" s="671"/>
      <c r="J87" s="630"/>
      <c r="K87" s="630"/>
      <c r="L87" s="630"/>
      <c r="M87" s="630"/>
      <c r="N87" s="630"/>
    </row>
    <row r="88" spans="2:14" ht="17.25" thickBot="1">
      <c r="B88" s="260" t="s">
        <v>1002</v>
      </c>
      <c r="C88" s="50"/>
      <c r="D88" s="51" t="e">
        <f>D64-D65</f>
        <v>#VALUE!</v>
      </c>
      <c r="E88" s="671" t="e">
        <f>+D64-D65</f>
        <v>#VALUE!</v>
      </c>
      <c r="J88" s="630"/>
      <c r="K88" s="630"/>
      <c r="L88" s="630"/>
      <c r="M88" s="630"/>
      <c r="N88" s="630"/>
    </row>
    <row r="89" spans="2:14" ht="17.25" thickBot="1">
      <c r="B89" s="260" t="s">
        <v>1003</v>
      </c>
      <c r="C89" s="50"/>
      <c r="D89" s="51">
        <f>SUM(C90:C92)</f>
        <v>157874055</v>
      </c>
      <c r="E89" s="671"/>
      <c r="F89" s="261"/>
      <c r="J89" s="630"/>
      <c r="K89" s="630"/>
      <c r="L89" s="630"/>
      <c r="M89" s="630"/>
      <c r="N89" s="630"/>
    </row>
    <row r="90" spans="2:14">
      <c r="B90" s="266" t="s">
        <v>762</v>
      </c>
      <c r="C90" s="264">
        <f>SUMIF(IS_WTB!F:F,공시용!B90,IS_WTB!AD:AD)</f>
        <v>27145533</v>
      </c>
      <c r="D90" s="265"/>
      <c r="E90" s="671"/>
      <c r="F90" s="261"/>
    </row>
    <row r="91" spans="2:14">
      <c r="B91" s="266" t="s">
        <v>1215</v>
      </c>
      <c r="C91" s="264">
        <f>SUMIF(IS_WTB!F:F,공시용!B91,IS_WTB!AD:AD)</f>
        <v>8938835</v>
      </c>
      <c r="D91" s="265"/>
      <c r="E91" s="671"/>
      <c r="F91" s="261"/>
    </row>
    <row r="92" spans="2:14" ht="17.25" thickBot="1">
      <c r="B92" s="266" t="s">
        <v>1004</v>
      </c>
      <c r="C92" s="264">
        <f>SUMIF(IS_WTB!F:F,공시용!B92,IS_WTB!AD:AD)</f>
        <v>121789687</v>
      </c>
      <c r="D92" s="265"/>
      <c r="E92" s="671"/>
      <c r="F92" s="261"/>
    </row>
    <row r="93" spans="2:14" ht="17.25" thickBot="1">
      <c r="B93" s="260" t="s">
        <v>996</v>
      </c>
      <c r="C93" s="50"/>
      <c r="D93" s="51">
        <f>SUM(C94:C98)</f>
        <v>546926511</v>
      </c>
      <c r="E93" s="671"/>
      <c r="F93" s="261"/>
    </row>
    <row r="94" spans="2:14">
      <c r="B94" s="266" t="s">
        <v>399</v>
      </c>
      <c r="C94" s="264">
        <f>SUMIF(IS_WTB!F:F,공시용!B94,IS_WTB!AD:AD)</f>
        <v>13444</v>
      </c>
      <c r="D94" s="265"/>
      <c r="E94" s="671"/>
      <c r="F94" s="261"/>
    </row>
    <row r="95" spans="2:14">
      <c r="B95" s="266" t="s">
        <v>1005</v>
      </c>
      <c r="C95" s="264">
        <f>SUMIF(IS_WTB!F:F,공시용!B95,IS_WTB!AD:AD)</f>
        <v>0</v>
      </c>
      <c r="D95" s="265"/>
      <c r="E95" s="671"/>
      <c r="F95" s="261"/>
    </row>
    <row r="96" spans="2:14">
      <c r="B96" s="266" t="s">
        <v>1006</v>
      </c>
      <c r="C96" s="264">
        <f>SUMIF(IS_WTB!F:F,공시용!B96,IS_WTB!AD:AD)</f>
        <v>22432395</v>
      </c>
      <c r="D96" s="265"/>
      <c r="E96" s="671"/>
      <c r="F96" s="261"/>
    </row>
    <row r="97" spans="2:9">
      <c r="B97" s="266" t="s">
        <v>1216</v>
      </c>
      <c r="C97" s="264">
        <f>SUMIF(IS_WTB!F:F,공시용!B97,IS_WTB!AD:AD)</f>
        <v>288444000</v>
      </c>
      <c r="D97" s="265"/>
      <c r="E97" s="671"/>
      <c r="F97" s="261"/>
    </row>
    <row r="98" spans="2:9" ht="17.25" thickBot="1">
      <c r="B98" s="266" t="s">
        <v>405</v>
      </c>
      <c r="C98" s="264">
        <f>SUMIF(IS_WTB!F:F,공시용!B98,IS_WTB!AD:AD)</f>
        <v>236036672</v>
      </c>
      <c r="D98" s="265"/>
      <c r="E98" s="671"/>
      <c r="F98" s="261"/>
    </row>
    <row r="99" spans="2:9" ht="17.25" thickBot="1">
      <c r="B99" s="260" t="s">
        <v>1007</v>
      </c>
      <c r="C99" s="50"/>
      <c r="D99" s="51">
        <f>SUM(C100:C104)</f>
        <v>8742914150</v>
      </c>
      <c r="E99" s="671"/>
      <c r="F99" s="261"/>
    </row>
    <row r="100" spans="2:9">
      <c r="B100" s="263" t="s">
        <v>12</v>
      </c>
      <c r="C100" s="264">
        <f>SUMIF(IS_WTB!F:F,공시용!B100,IS_WTB!AD:AD)</f>
        <v>534234801</v>
      </c>
      <c r="D100" s="247"/>
      <c r="E100" s="671"/>
      <c r="F100" s="261"/>
    </row>
    <row r="101" spans="2:9" s="569" customFormat="1">
      <c r="B101" s="263" t="s">
        <v>1008</v>
      </c>
      <c r="C101" s="264">
        <f>SUMIF(IS_WTB!F:F,공시용!B101,IS_WTB!AD:AD)</f>
        <v>3015710090</v>
      </c>
      <c r="D101" s="247"/>
      <c r="E101" s="671"/>
      <c r="F101" s="261"/>
      <c r="G101"/>
      <c r="H101"/>
      <c r="I101"/>
    </row>
    <row r="102" spans="2:9">
      <c r="B102" s="263" t="s">
        <v>1316</v>
      </c>
      <c r="C102" s="264">
        <f>SUMIF(IS_WTB!F:F,공시용!B102,IS_WTB!AD:AD)</f>
        <v>4719565041</v>
      </c>
      <c r="D102" s="247"/>
      <c r="E102" s="671"/>
      <c r="F102" s="261"/>
      <c r="G102" s="569"/>
      <c r="H102" s="569"/>
      <c r="I102" s="569"/>
    </row>
    <row r="103" spans="2:9">
      <c r="B103" s="266" t="s">
        <v>414</v>
      </c>
      <c r="C103" s="264">
        <f>SUMIF(IS_WTB!F:F,공시용!B103,IS_WTB!AD:AD)</f>
        <v>96273207</v>
      </c>
      <c r="D103" s="265"/>
      <c r="E103" s="671"/>
      <c r="F103" s="261"/>
    </row>
    <row r="104" spans="2:9" ht="17.25" thickBot="1">
      <c r="B104" s="266" t="s">
        <v>418</v>
      </c>
      <c r="C104" s="264">
        <f>SUMIF(IS_WTB!F:F,공시용!B104,IS_WTB!AD:AD)</f>
        <v>377131011</v>
      </c>
      <c r="D104" s="265"/>
      <c r="E104" s="671"/>
      <c r="F104" s="261"/>
    </row>
    <row r="105" spans="2:9" ht="17.25" thickBot="1">
      <c r="B105" s="260" t="s">
        <v>1009</v>
      </c>
      <c r="C105" s="50"/>
      <c r="D105" s="51">
        <f>SUM(C106:C111)</f>
        <v>8543696127</v>
      </c>
      <c r="E105" s="671"/>
      <c r="F105" s="261"/>
    </row>
    <row r="106" spans="2:9">
      <c r="B106" s="263" t="s">
        <v>1010</v>
      </c>
      <c r="C106" s="264">
        <f>SUMIF(IS_WTB!F:F,공시용!B106,IS_WTB!AD:AD)</f>
        <v>603180510</v>
      </c>
      <c r="D106" s="247"/>
      <c r="E106" s="671"/>
      <c r="F106" s="261"/>
    </row>
    <row r="107" spans="2:9">
      <c r="B107" s="266" t="s">
        <v>1011</v>
      </c>
      <c r="C107" s="264">
        <f>SUMIF(IS_WTB!F:F,공시용!B107,IS_WTB!AD:AD)</f>
        <v>30509153</v>
      </c>
      <c r="D107" s="265"/>
      <c r="E107" s="671"/>
      <c r="F107" s="261"/>
    </row>
    <row r="108" spans="2:9">
      <c r="B108" s="266" t="s">
        <v>1012</v>
      </c>
      <c r="C108" s="264">
        <f>SUMIF(IS_WTB!F:F,공시용!B108,IS_WTB!AD:AD)</f>
        <v>13937620</v>
      </c>
      <c r="D108" s="265"/>
      <c r="E108" s="671"/>
      <c r="F108" s="261"/>
    </row>
    <row r="109" spans="2:9" s="630" customFormat="1">
      <c r="B109" s="266" t="s">
        <v>1374</v>
      </c>
      <c r="C109" s="264">
        <f>SUMIF(IS_WTB!F:F,공시용!B109,IS_WTB!AD:AD)</f>
        <v>7896068844</v>
      </c>
      <c r="D109" s="265"/>
      <c r="E109" s="671"/>
      <c r="F109" s="261"/>
    </row>
    <row r="110" spans="2:9">
      <c r="B110" s="266" t="s">
        <v>1225</v>
      </c>
      <c r="C110" s="264">
        <f>SUMIF(IS_WTB!F:F,공시용!B110,IS_WTB!AD:AD)</f>
        <v>0</v>
      </c>
      <c r="D110" s="265"/>
      <c r="E110" s="671"/>
      <c r="F110" s="261"/>
    </row>
    <row r="111" spans="2:9" ht="17.25" thickBot="1">
      <c r="B111" s="548" t="s">
        <v>1283</v>
      </c>
      <c r="C111" s="264">
        <f>SUMIF(IS_WTB!F:F,공시용!B111,IS_WTB!AD:AD)</f>
        <v>0</v>
      </c>
      <c r="D111" s="251"/>
      <c r="E111" s="671"/>
      <c r="F111" s="261"/>
    </row>
    <row r="112" spans="2:9" ht="17.25" thickBot="1">
      <c r="B112" s="260" t="s">
        <v>1013</v>
      </c>
      <c r="C112" s="50"/>
      <c r="D112" s="51">
        <f>-IS_WTB!AD268</f>
        <v>6107971029</v>
      </c>
      <c r="E112" s="671"/>
    </row>
    <row r="113" spans="2:5" ht="17.25" thickBot="1">
      <c r="B113" s="260" t="s">
        <v>998</v>
      </c>
      <c r="C113" s="50"/>
      <c r="D113" s="51" t="e">
        <f>D88+D89-D93+D99-D105-D112</f>
        <v>#VALUE!</v>
      </c>
      <c r="E113" s="671" t="e">
        <f>+E88+D89+D99-D93-D105-D112</f>
        <v>#VALUE!</v>
      </c>
    </row>
    <row r="114" spans="2:5" ht="17.25" thickBot="1">
      <c r="B114" s="260" t="s">
        <v>1284</v>
      </c>
      <c r="C114" s="50"/>
      <c r="D114" s="51">
        <f>SUMIF(IS_WTB!F:F,공시용!B114,IS_WTB!AD:AD)</f>
        <v>-36830173936</v>
      </c>
      <c r="E114" s="671"/>
    </row>
    <row r="115" spans="2:5" ht="17.25" thickBot="1">
      <c r="B115" s="260" t="s">
        <v>1000</v>
      </c>
      <c r="C115" s="50"/>
      <c r="D115" s="51" t="e">
        <f>D113-D114</f>
        <v>#VALUE!</v>
      </c>
      <c r="E115" s="671" t="e">
        <f>+E113-D114</f>
        <v>#VALUE!</v>
      </c>
    </row>
  </sheetData>
  <mergeCells count="8">
    <mergeCell ref="B3:B4"/>
    <mergeCell ref="C3:D4"/>
    <mergeCell ref="F3:F4"/>
    <mergeCell ref="G3:H4"/>
    <mergeCell ref="B62:B63"/>
    <mergeCell ref="C62:D63"/>
    <mergeCell ref="F62:F63"/>
    <mergeCell ref="G62:H6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showGridLines="0" workbookViewId="0">
      <selection activeCell="H47" sqref="H47"/>
    </sheetView>
  </sheetViews>
  <sheetFormatPr defaultRowHeight="16.5"/>
  <cols>
    <col min="1" max="1" width="30.25" bestFit="1" customWidth="1"/>
    <col min="2" max="2" width="16.5" bestFit="1" customWidth="1"/>
    <col min="3" max="3" width="15.125" bestFit="1" customWidth="1"/>
    <col min="4" max="4" width="13.75" bestFit="1" customWidth="1"/>
    <col min="5" max="5" width="29.75" bestFit="1" customWidth="1"/>
    <col min="6" max="6" width="11.75" bestFit="1" customWidth="1"/>
    <col min="7" max="7" width="12.75" bestFit="1" customWidth="1"/>
  </cols>
  <sheetData>
    <row r="1" spans="1:7">
      <c r="A1" s="823" t="s">
        <v>1014</v>
      </c>
      <c r="B1" s="823"/>
      <c r="C1" s="823"/>
      <c r="D1" s="268"/>
      <c r="E1" s="823" t="s">
        <v>1014</v>
      </c>
      <c r="F1" s="823"/>
      <c r="G1" s="823"/>
    </row>
    <row r="2" spans="1:7">
      <c r="A2" s="824" t="s">
        <v>1385</v>
      </c>
      <c r="B2" s="824"/>
      <c r="C2" s="824"/>
      <c r="D2" s="268"/>
      <c r="E2" s="824" t="str">
        <f>A2</f>
        <v>2021년 12월 31일 현재</v>
      </c>
      <c r="F2" s="824"/>
      <c r="G2" s="824"/>
    </row>
    <row r="3" spans="1:7">
      <c r="A3" s="268"/>
      <c r="B3" s="268"/>
      <c r="C3" s="268"/>
      <c r="D3" s="268"/>
      <c r="E3" s="824"/>
      <c r="F3" s="824"/>
      <c r="G3" s="824"/>
    </row>
    <row r="4" spans="1:7">
      <c r="A4" s="269"/>
      <c r="B4" s="270"/>
      <c r="C4" s="270"/>
      <c r="D4" s="270"/>
      <c r="E4" s="269"/>
      <c r="F4" s="271"/>
      <c r="G4" s="271"/>
    </row>
    <row r="5" spans="1:7">
      <c r="A5" s="272" t="s">
        <v>1015</v>
      </c>
      <c r="B5" s="270"/>
      <c r="C5" s="273" t="s">
        <v>1016</v>
      </c>
      <c r="D5" s="270"/>
      <c r="E5" s="272" t="s">
        <v>1015</v>
      </c>
      <c r="F5" s="271"/>
      <c r="G5" s="273" t="s">
        <v>1017</v>
      </c>
    </row>
    <row r="6" spans="1:7">
      <c r="A6" s="269"/>
      <c r="B6" s="274"/>
      <c r="C6" s="274"/>
      <c r="D6" s="270"/>
      <c r="E6" s="271"/>
      <c r="F6" s="275"/>
      <c r="G6" s="275"/>
    </row>
    <row r="7" spans="1:7" ht="17.45" customHeight="1">
      <c r="A7" s="276" t="s">
        <v>1018</v>
      </c>
      <c r="B7" s="821" t="s">
        <v>1386</v>
      </c>
      <c r="C7" s="822"/>
      <c r="D7" s="270"/>
      <c r="E7" s="277" t="s">
        <v>1018</v>
      </c>
      <c r="F7" s="821" t="s">
        <v>1219</v>
      </c>
      <c r="G7" s="822"/>
    </row>
    <row r="8" spans="1:7">
      <c r="A8" s="278" t="s">
        <v>1020</v>
      </c>
      <c r="B8" s="279"/>
      <c r="C8" s="279"/>
      <c r="D8" s="270"/>
      <c r="E8" s="280" t="s">
        <v>1020</v>
      </c>
      <c r="F8" s="281"/>
      <c r="G8" s="281"/>
    </row>
    <row r="9" spans="1:7" ht="16.899999999999999" customHeight="1">
      <c r="A9" s="278" t="s">
        <v>1021</v>
      </c>
      <c r="B9" s="279"/>
      <c r="C9" s="279">
        <f>SUM(B10:B22)</f>
        <v>704638658745</v>
      </c>
      <c r="D9" s="274" t="b">
        <f>공시용!D6=전달용!C9</f>
        <v>1</v>
      </c>
      <c r="E9" s="280" t="s">
        <v>1021</v>
      </c>
      <c r="F9" s="281"/>
      <c r="G9" s="281">
        <f>SUM(F10:F22)</f>
        <v>704638658.74500012</v>
      </c>
    </row>
    <row r="10" spans="1:7">
      <c r="A10" s="282" t="s">
        <v>283</v>
      </c>
      <c r="B10" s="279">
        <f>VLOOKUP(A10,공시용!$B$7:$D$58,2,0)</f>
        <v>53003487568</v>
      </c>
      <c r="C10" s="279"/>
      <c r="D10" s="270"/>
      <c r="E10" s="283" t="str">
        <f>A10</f>
        <v>현금및현금성자산</v>
      </c>
      <c r="F10" s="284">
        <f t="shared" ref="F10:F21" si="0">ROUND(B10/1000,5)</f>
        <v>53003487.568000004</v>
      </c>
      <c r="G10" s="284"/>
    </row>
    <row r="11" spans="1:7">
      <c r="A11" s="282" t="s">
        <v>239</v>
      </c>
      <c r="B11" s="279">
        <f>VLOOKUP(A11,공시용!$B$7:$D$58,2,0)</f>
        <v>103520760872</v>
      </c>
      <c r="C11" s="279"/>
      <c r="D11" s="270"/>
      <c r="E11" s="283" t="str">
        <f t="shared" ref="E11:E61" si="1">A11</f>
        <v>단기금융상품</v>
      </c>
      <c r="F11" s="284">
        <f t="shared" si="0"/>
        <v>103520760.87199999</v>
      </c>
      <c r="G11" s="284"/>
    </row>
    <row r="12" spans="1:7" s="630" customFormat="1">
      <c r="A12" s="282" t="s">
        <v>1378</v>
      </c>
      <c r="B12" s="279">
        <f>VLOOKUP(A12,공시용!$B$7:$D$58,2,0)</f>
        <v>200000000</v>
      </c>
      <c r="C12" s="279"/>
      <c r="D12" s="270"/>
      <c r="E12" s="283" t="str">
        <f t="shared" ref="E12" si="2">A12</f>
        <v>단기대여금</v>
      </c>
      <c r="F12" s="284">
        <f t="shared" ref="F12" si="3">ROUND(B12/1000,5)</f>
        <v>200000</v>
      </c>
      <c r="G12" s="284"/>
    </row>
    <row r="13" spans="1:7">
      <c r="A13" s="282" t="s">
        <v>1171</v>
      </c>
      <c r="B13" s="279">
        <f>VLOOKUP(A13,공시용!$B$7:$D$58,2,0)</f>
        <v>0</v>
      </c>
      <c r="C13" s="279"/>
      <c r="D13" s="270"/>
      <c r="E13" s="283" t="str">
        <f t="shared" si="1"/>
        <v>파생금융상품</v>
      </c>
      <c r="F13" s="284">
        <f t="shared" si="0"/>
        <v>0</v>
      </c>
      <c r="G13" s="284"/>
    </row>
    <row r="14" spans="1:7">
      <c r="A14" s="282" t="s">
        <v>236</v>
      </c>
      <c r="B14" s="279">
        <f>VLOOKUP(A14,공시용!$B$7:$D$58,2,0)</f>
        <v>21547734038</v>
      </c>
      <c r="C14" s="279"/>
      <c r="D14" s="270"/>
      <c r="E14" s="283" t="str">
        <f t="shared" si="1"/>
        <v>매출채권</v>
      </c>
      <c r="F14" s="284">
        <f t="shared" si="0"/>
        <v>21547734.037999999</v>
      </c>
      <c r="G14" s="284"/>
    </row>
    <row r="15" spans="1:7">
      <c r="A15" s="282" t="s">
        <v>1227</v>
      </c>
      <c r="B15" s="279">
        <f>VLOOKUP(A15,공시용!$B$7:$D$58,2,0)</f>
        <v>2532050000</v>
      </c>
      <c r="C15" s="279"/>
      <c r="D15" s="270"/>
      <c r="E15" s="283" t="str">
        <f t="shared" si="1"/>
        <v>유동성임차보증금</v>
      </c>
      <c r="F15" s="284">
        <f t="shared" si="0"/>
        <v>2532050</v>
      </c>
      <c r="G15" s="284"/>
    </row>
    <row r="16" spans="1:7">
      <c r="A16" s="282" t="s">
        <v>1022</v>
      </c>
      <c r="B16" s="279">
        <f>VLOOKUP(A16,공시용!$B$7:$D$58,2,0)</f>
        <v>428591732281</v>
      </c>
      <c r="C16" s="279"/>
      <c r="D16" s="270"/>
      <c r="E16" s="283" t="str">
        <f t="shared" si="1"/>
        <v>미수금</v>
      </c>
      <c r="F16" s="284">
        <f t="shared" si="0"/>
        <v>428591732.28100002</v>
      </c>
      <c r="G16" s="284"/>
    </row>
    <row r="17" spans="1:7">
      <c r="A17" s="282" t="s">
        <v>1300</v>
      </c>
      <c r="B17" s="279">
        <f>VLOOKUP(A17,공시용!$B$7:$D$58,2,0)</f>
        <v>711453400</v>
      </c>
      <c r="C17" s="279"/>
      <c r="D17" s="270"/>
      <c r="E17" s="283" t="str">
        <f t="shared" si="1"/>
        <v>당기법인세자산</v>
      </c>
      <c r="F17" s="284">
        <f t="shared" si="0"/>
        <v>711453.4</v>
      </c>
      <c r="G17" s="284"/>
    </row>
    <row r="18" spans="1:7">
      <c r="A18" s="282" t="s">
        <v>1023</v>
      </c>
      <c r="B18" s="279">
        <f>VLOOKUP(A18,공시용!$B$7:$D$58,2,0)</f>
        <v>692328766</v>
      </c>
      <c r="C18" s="279"/>
      <c r="D18" s="270"/>
      <c r="E18" s="283" t="str">
        <f t="shared" si="1"/>
        <v>미수수익</v>
      </c>
      <c r="F18" s="284">
        <f t="shared" si="0"/>
        <v>692328.76599999995</v>
      </c>
      <c r="G18" s="284"/>
    </row>
    <row r="19" spans="1:7">
      <c r="A19" s="282" t="s">
        <v>218</v>
      </c>
      <c r="B19" s="279">
        <f>VLOOKUP(A19,공시용!$B$7:$D$58,2,0)</f>
        <v>44640410090</v>
      </c>
      <c r="C19" s="279"/>
      <c r="D19" s="270"/>
      <c r="E19" s="283" t="str">
        <f t="shared" si="1"/>
        <v>선급금</v>
      </c>
      <c r="F19" s="284">
        <f t="shared" si="0"/>
        <v>44640410.090000004</v>
      </c>
      <c r="G19" s="284"/>
    </row>
    <row r="20" spans="1:7">
      <c r="A20" s="282" t="s">
        <v>215</v>
      </c>
      <c r="B20" s="279">
        <f>VLOOKUP(A20,공시용!$B$7:$D$58,2,0)</f>
        <v>5204857738</v>
      </c>
      <c r="C20" s="279"/>
      <c r="D20" s="270"/>
      <c r="E20" s="283" t="str">
        <f t="shared" si="1"/>
        <v>선급비용</v>
      </c>
      <c r="F20" s="284">
        <f t="shared" si="0"/>
        <v>5204857.7379999999</v>
      </c>
      <c r="G20" s="284"/>
    </row>
    <row r="21" spans="1:7">
      <c r="A21" s="282" t="s">
        <v>1024</v>
      </c>
      <c r="B21" s="279">
        <f>VLOOKUP(A21,공시용!$B$7:$D$58,2,0)</f>
        <v>43993843992</v>
      </c>
      <c r="C21" s="279"/>
      <c r="D21" s="270"/>
      <c r="E21" s="283" t="str">
        <f t="shared" si="1"/>
        <v>재고자산</v>
      </c>
      <c r="F21" s="284">
        <f t="shared" si="0"/>
        <v>43993843.991999999</v>
      </c>
      <c r="G21" s="284"/>
    </row>
    <row r="22" spans="1:7" s="630" customFormat="1">
      <c r="A22" s="282" t="s">
        <v>1388</v>
      </c>
      <c r="B22" s="279">
        <f>VLOOKUP(A22,공시용!$B$7:$D$58,2,0)</f>
        <v>0</v>
      </c>
      <c r="C22" s="279"/>
      <c r="D22" s="270"/>
      <c r="E22" s="283" t="str">
        <f t="shared" ref="E22" si="4">A22</f>
        <v>미수법인세환급액</v>
      </c>
      <c r="F22" s="284">
        <f t="shared" ref="F22" si="5">ROUND(B22/1000,5)</f>
        <v>0</v>
      </c>
      <c r="G22" s="284"/>
    </row>
    <row r="23" spans="1:7">
      <c r="A23" s="278" t="s">
        <v>1025</v>
      </c>
      <c r="B23" s="279"/>
      <c r="C23" s="279">
        <f>SUM(B24:B35)</f>
        <v>171280125460</v>
      </c>
      <c r="D23" s="270" t="b">
        <f>C23=공시용!D20</f>
        <v>1</v>
      </c>
      <c r="E23" s="280" t="s">
        <v>1025</v>
      </c>
      <c r="F23" s="281"/>
      <c r="G23" s="281">
        <f>SUM(F24:F35)</f>
        <v>171280125.45999998</v>
      </c>
    </row>
    <row r="24" spans="1:7">
      <c r="A24" s="282" t="s">
        <v>674</v>
      </c>
      <c r="B24" s="279">
        <f>VLOOKUP(A24,공시용!$B$7:$D$58,2,0)</f>
        <v>2000000</v>
      </c>
      <c r="C24" s="279"/>
      <c r="D24" s="270"/>
      <c r="E24" s="283" t="str">
        <f t="shared" si="1"/>
        <v>장기금융상품</v>
      </c>
      <c r="F24" s="284">
        <f t="shared" ref="F24:F35" si="6">ROUND(B24/1000,5)</f>
        <v>2000</v>
      </c>
      <c r="G24" s="284"/>
    </row>
    <row r="25" spans="1:7">
      <c r="A25" s="282" t="s">
        <v>1026</v>
      </c>
      <c r="B25" s="279">
        <f>VLOOKUP(A25,공시용!$B$7:$D$58,2,0)</f>
        <v>0</v>
      </c>
      <c r="C25" s="279"/>
      <c r="D25" s="274"/>
      <c r="E25" s="283" t="str">
        <f t="shared" si="1"/>
        <v>관계기업투자주식</v>
      </c>
      <c r="F25" s="284">
        <f t="shared" si="6"/>
        <v>0</v>
      </c>
      <c r="G25" s="284"/>
    </row>
    <row r="26" spans="1:7">
      <c r="A26" s="282" t="s">
        <v>858</v>
      </c>
      <c r="B26" s="279">
        <f>VLOOKUP(A26,공시용!$B$7:$D$58,2,0)</f>
        <v>0</v>
      </c>
      <c r="C26" s="279"/>
      <c r="D26" s="274"/>
      <c r="E26" s="283" t="str">
        <f t="shared" si="1"/>
        <v>기타포괄손익-공정가치 측정 금융자산</v>
      </c>
      <c r="F26" s="284">
        <f t="shared" si="6"/>
        <v>0</v>
      </c>
      <c r="G26" s="284"/>
    </row>
    <row r="27" spans="1:7" s="630" customFormat="1">
      <c r="A27" s="282" t="s">
        <v>823</v>
      </c>
      <c r="B27" s="279">
        <f>VLOOKUP(A27,공시용!$B$7:$D$58,2,0)</f>
        <v>31165111996</v>
      </c>
      <c r="C27" s="279"/>
      <c r="D27" s="274"/>
      <c r="E27" s="283" t="str">
        <f t="shared" ref="E27" si="7">A27</f>
        <v>당기손익-공정가치 측정 금융자산</v>
      </c>
      <c r="F27" s="284">
        <f t="shared" ref="F27" si="8">ROUND(B27/1000,5)</f>
        <v>31165111.995999999</v>
      </c>
      <c r="G27" s="284"/>
    </row>
    <row r="28" spans="1:7" s="630" customFormat="1">
      <c r="A28" s="282" t="s">
        <v>1341</v>
      </c>
      <c r="B28" s="279">
        <f>VLOOKUP(A28,공시용!$B$7:$D$58,2,0)</f>
        <v>0</v>
      </c>
      <c r="C28" s="279"/>
      <c r="D28" s="274"/>
      <c r="E28" s="283" t="str">
        <f t="shared" si="1"/>
        <v>대여금</v>
      </c>
      <c r="F28" s="284">
        <f t="shared" si="6"/>
        <v>0</v>
      </c>
      <c r="G28" s="284"/>
    </row>
    <row r="29" spans="1:7">
      <c r="A29" s="282" t="s">
        <v>1027</v>
      </c>
      <c r="B29" s="279">
        <f>VLOOKUP(A29,공시용!$B$7:$D$58,2,0)</f>
        <v>26219657142</v>
      </c>
      <c r="C29" s="279"/>
      <c r="D29" s="274"/>
      <c r="E29" s="283" t="str">
        <f t="shared" si="1"/>
        <v>유형자산</v>
      </c>
      <c r="F29" s="284">
        <f t="shared" si="6"/>
        <v>26219657.142000001</v>
      </c>
      <c r="G29" s="284"/>
    </row>
    <row r="30" spans="1:7">
      <c r="A30" s="282" t="s">
        <v>1028</v>
      </c>
      <c r="B30" s="279">
        <f>VLOOKUP(A30,공시용!$B$7:$D$58,2,0)</f>
        <v>18112194086</v>
      </c>
      <c r="C30" s="279"/>
      <c r="D30" s="270"/>
      <c r="E30" s="283" t="str">
        <f t="shared" si="1"/>
        <v>무형자산</v>
      </c>
      <c r="F30" s="284">
        <f t="shared" si="6"/>
        <v>18112194.085999999</v>
      </c>
      <c r="G30" s="284"/>
    </row>
    <row r="31" spans="1:7">
      <c r="A31" s="282" t="s">
        <v>1095</v>
      </c>
      <c r="B31" s="279">
        <f>VLOOKUP(A31,공시용!$B$7:$D$58,2,0)</f>
        <v>23870917791</v>
      </c>
      <c r="C31" s="279"/>
      <c r="D31" s="270"/>
      <c r="E31" s="283" t="str">
        <f t="shared" si="1"/>
        <v>사용권자산</v>
      </c>
      <c r="F31" s="284">
        <f t="shared" si="6"/>
        <v>23870917.791000001</v>
      </c>
      <c r="G31" s="284"/>
    </row>
    <row r="32" spans="1:7">
      <c r="A32" s="282" t="s">
        <v>1133</v>
      </c>
      <c r="B32" s="279">
        <f>VLOOKUP(A32,공시용!$B$7:$D$58,2,0)</f>
        <v>0</v>
      </c>
      <c r="C32" s="279"/>
      <c r="D32" s="270"/>
      <c r="E32" s="283" t="str">
        <f t="shared" si="1"/>
        <v>장기미수금</v>
      </c>
      <c r="F32" s="284">
        <f t="shared" si="6"/>
        <v>0</v>
      </c>
      <c r="G32" s="284"/>
    </row>
    <row r="33" spans="1:7">
      <c r="A33" s="282" t="s">
        <v>1029</v>
      </c>
      <c r="B33" s="279">
        <f>VLOOKUP(A33,공시용!$B$7:$D$58,2,0)</f>
        <v>8049918438</v>
      </c>
      <c r="C33" s="279"/>
      <c r="D33" s="270"/>
      <c r="E33" s="283" t="str">
        <f t="shared" si="1"/>
        <v>보증금</v>
      </c>
      <c r="F33" s="284">
        <f t="shared" si="6"/>
        <v>8049918.4380000001</v>
      </c>
      <c r="G33" s="284"/>
    </row>
    <row r="34" spans="1:7">
      <c r="A34" s="282" t="s">
        <v>1030</v>
      </c>
      <c r="B34" s="279">
        <f>VLOOKUP(A34,공시용!$B$7:$D$58,2,0)</f>
        <v>0</v>
      </c>
      <c r="C34" s="279"/>
      <c r="D34" s="270"/>
      <c r="E34" s="283" t="str">
        <f t="shared" si="1"/>
        <v>기타비유동자산</v>
      </c>
      <c r="F34" s="284">
        <f t="shared" si="6"/>
        <v>0</v>
      </c>
      <c r="G34" s="284"/>
    </row>
    <row r="35" spans="1:7">
      <c r="A35" s="282" t="s">
        <v>540</v>
      </c>
      <c r="B35" s="279">
        <f>VLOOKUP(A35,공시용!$B$7:$D$58,2,0)</f>
        <v>63860326007</v>
      </c>
      <c r="C35" s="279"/>
      <c r="E35" s="283" t="str">
        <f t="shared" si="1"/>
        <v>이연법인세자산</v>
      </c>
      <c r="F35" s="284">
        <f t="shared" si="6"/>
        <v>63860326.006999999</v>
      </c>
      <c r="G35" s="284"/>
    </row>
    <row r="36" spans="1:7">
      <c r="A36" s="278" t="s">
        <v>1031</v>
      </c>
      <c r="B36" s="279"/>
      <c r="C36" s="279">
        <f>+C9+C23</f>
        <v>875918784205</v>
      </c>
      <c r="D36" s="270" t="b">
        <f>공시용!D33=전달용!C36</f>
        <v>1</v>
      </c>
      <c r="E36" s="280" t="str">
        <f t="shared" si="1"/>
        <v>자산총계</v>
      </c>
      <c r="F36" s="281"/>
      <c r="G36" s="281">
        <f>+G9+G23</f>
        <v>875918784.20500016</v>
      </c>
    </row>
    <row r="37" spans="1:7">
      <c r="A37" s="278" t="s">
        <v>1032</v>
      </c>
      <c r="B37" s="279"/>
      <c r="C37" s="279"/>
      <c r="D37" s="270"/>
      <c r="E37" s="280" t="str">
        <f t="shared" si="1"/>
        <v>부채</v>
      </c>
      <c r="F37" s="281"/>
      <c r="G37" s="281"/>
    </row>
    <row r="38" spans="1:7">
      <c r="A38" s="278" t="s">
        <v>1033</v>
      </c>
      <c r="B38" s="279"/>
      <c r="C38" s="279">
        <f>SUM(B39:B45)</f>
        <v>556527525899</v>
      </c>
      <c r="D38" s="274" t="b">
        <f>공시용!D35=전달용!C38</f>
        <v>1</v>
      </c>
      <c r="E38" s="280" t="str">
        <f t="shared" si="1"/>
        <v>I. 유동부채</v>
      </c>
      <c r="F38" s="281"/>
      <c r="G38" s="281">
        <f>SUM(F39:F45)</f>
        <v>556527525.89900005</v>
      </c>
    </row>
    <row r="39" spans="1:7">
      <c r="A39" s="282" t="s">
        <v>1034</v>
      </c>
      <c r="B39" s="279">
        <f>VLOOKUP(A39,공시용!$B$7:$D$58,2,0)</f>
        <v>100978997065</v>
      </c>
      <c r="C39" s="279"/>
      <c r="D39" s="274"/>
      <c r="E39" s="283" t="str">
        <f t="shared" si="1"/>
        <v>미지급금</v>
      </c>
      <c r="F39" s="284">
        <f t="shared" ref="F39:F45" si="9">ROUND(B39/1000,5)</f>
        <v>100978997.065</v>
      </c>
      <c r="G39" s="284"/>
    </row>
    <row r="40" spans="1:7">
      <c r="A40" s="282" t="s">
        <v>1035</v>
      </c>
      <c r="B40" s="279">
        <f>VLOOKUP(A40,공시용!$B$7:$D$58,2,0)</f>
        <v>146493076</v>
      </c>
      <c r="C40" s="279"/>
      <c r="D40" s="274"/>
      <c r="E40" s="283" t="str">
        <f t="shared" si="1"/>
        <v>계약부채</v>
      </c>
      <c r="F40" s="284">
        <f t="shared" si="9"/>
        <v>146493.076</v>
      </c>
      <c r="G40" s="284"/>
    </row>
    <row r="41" spans="1:7">
      <c r="A41" s="282" t="s">
        <v>157</v>
      </c>
      <c r="B41" s="279">
        <f>VLOOKUP(A41,공시용!$B$7:$D$58,2,0)</f>
        <v>403630174910</v>
      </c>
      <c r="C41" s="279"/>
      <c r="D41" s="274"/>
      <c r="E41" s="283" t="str">
        <f t="shared" si="1"/>
        <v>예수금</v>
      </c>
      <c r="F41" s="284">
        <f t="shared" si="9"/>
        <v>403630174.91000003</v>
      </c>
      <c r="G41" s="284"/>
    </row>
    <row r="42" spans="1:7">
      <c r="A42" s="282" t="s">
        <v>1036</v>
      </c>
      <c r="B42" s="279">
        <f>VLOOKUP(A42,공시용!$B$7:$D$58,2,0)</f>
        <v>33765791394</v>
      </c>
      <c r="C42" s="285"/>
      <c r="D42" s="270"/>
      <c r="E42" s="283" t="str">
        <f t="shared" si="1"/>
        <v>미지급비용</v>
      </c>
      <c r="F42" s="284">
        <f t="shared" si="9"/>
        <v>33765791.394000001</v>
      </c>
      <c r="G42" s="284"/>
    </row>
    <row r="43" spans="1:7">
      <c r="A43" s="282" t="s">
        <v>1099</v>
      </c>
      <c r="B43" s="279">
        <f>VLOOKUP(A43,공시용!$B$7:$D$58,2,0)</f>
        <v>13250424846</v>
      </c>
      <c r="C43" s="285"/>
      <c r="D43" s="270"/>
      <c r="E43" s="282" t="str">
        <f t="shared" si="1"/>
        <v>리스부채</v>
      </c>
      <c r="F43" s="284">
        <f t="shared" si="9"/>
        <v>13250424.846000001</v>
      </c>
      <c r="G43" s="284"/>
    </row>
    <row r="44" spans="1:7" s="630" customFormat="1">
      <c r="A44" s="282" t="s">
        <v>1365</v>
      </c>
      <c r="B44" s="279">
        <f>VLOOKUP(A44,공시용!$B$7:$D$58,2,0)</f>
        <v>3824249227</v>
      </c>
      <c r="C44" s="285"/>
      <c r="D44" s="270"/>
      <c r="E44" s="282" t="str">
        <f t="shared" si="1"/>
        <v>유동성파생금융부채</v>
      </c>
      <c r="F44" s="284">
        <f t="shared" si="9"/>
        <v>3824249.227</v>
      </c>
      <c r="G44" s="284"/>
    </row>
    <row r="45" spans="1:7">
      <c r="A45" s="282" t="s">
        <v>1123</v>
      </c>
      <c r="B45" s="279">
        <f>VLOOKUP(A45,공시용!$B$7:$D$58,2,0)</f>
        <v>931395381</v>
      </c>
      <c r="C45" s="285"/>
      <c r="E45" s="282" t="str">
        <f t="shared" si="1"/>
        <v>유동성임대보증금</v>
      </c>
      <c r="F45" s="284">
        <f t="shared" si="9"/>
        <v>931395.38100000005</v>
      </c>
      <c r="G45" s="284"/>
    </row>
    <row r="46" spans="1:7">
      <c r="A46" s="278" t="s">
        <v>1037</v>
      </c>
      <c r="B46" s="279"/>
      <c r="C46" s="279">
        <f>SUM(B47:B52)</f>
        <v>31714627791</v>
      </c>
      <c r="D46" s="274" t="b">
        <f>C46=공시용!D43</f>
        <v>1</v>
      </c>
      <c r="E46" s="280" t="str">
        <f t="shared" si="1"/>
        <v>II. 비유동부채</v>
      </c>
      <c r="F46" s="281"/>
      <c r="G46" s="281">
        <f>SUM(F47:F52)</f>
        <v>31714627.790999997</v>
      </c>
    </row>
    <row r="47" spans="1:7">
      <c r="A47" s="282" t="s">
        <v>1121</v>
      </c>
      <c r="B47" s="279">
        <f>VLOOKUP(A47,공시용!$B$7:$D$58,2,0)</f>
        <v>0</v>
      </c>
      <c r="C47" s="279"/>
      <c r="D47" s="274"/>
      <c r="E47" s="283" t="str">
        <f t="shared" si="1"/>
        <v>임대보증금</v>
      </c>
      <c r="F47" s="284">
        <f t="shared" ref="F47:F52" si="10">ROUND(B47/1000,5)</f>
        <v>0</v>
      </c>
      <c r="G47" s="284"/>
    </row>
    <row r="48" spans="1:7">
      <c r="A48" s="282" t="s">
        <v>1038</v>
      </c>
      <c r="B48" s="279">
        <f>VLOOKUP(A48,공시용!$B$7:$D$58,2,0)</f>
        <v>4352759496</v>
      </c>
      <c r="C48" s="279"/>
      <c r="D48" s="274"/>
      <c r="E48" s="283" t="str">
        <f t="shared" si="1"/>
        <v>확정급여부채</v>
      </c>
      <c r="F48" s="284">
        <f t="shared" si="10"/>
        <v>4352759.4960000003</v>
      </c>
      <c r="G48" s="284"/>
    </row>
    <row r="49" spans="1:7">
      <c r="A49" s="282" t="s">
        <v>735</v>
      </c>
      <c r="B49" s="279">
        <f>VLOOKUP(A49,공시용!$B$7:$D$58,2,0)</f>
        <v>2590942602</v>
      </c>
      <c r="C49" s="279"/>
      <c r="D49" s="274"/>
      <c r="E49" s="282" t="str">
        <f t="shared" si="1"/>
        <v>장기미지급비용</v>
      </c>
      <c r="F49" s="284">
        <f t="shared" si="10"/>
        <v>2590942.602</v>
      </c>
      <c r="G49" s="284"/>
    </row>
    <row r="50" spans="1:7">
      <c r="A50" s="282" t="s">
        <v>1039</v>
      </c>
      <c r="B50" s="279">
        <f>VLOOKUP(A50,공시용!$B$7:$D$58,2,0)</f>
        <v>1969149720</v>
      </c>
      <c r="C50" s="279"/>
      <c r="D50" s="274"/>
      <c r="E50" s="283" t="str">
        <f t="shared" si="1"/>
        <v>비유동충당부채</v>
      </c>
      <c r="F50" s="284">
        <f t="shared" si="10"/>
        <v>1969149.72</v>
      </c>
      <c r="G50" s="284"/>
    </row>
    <row r="51" spans="1:7">
      <c r="A51" s="282" t="s">
        <v>1213</v>
      </c>
      <c r="B51" s="279">
        <f>VLOOKUP(A51,공시용!$B$7:$D$58,2,0)</f>
        <v>10924750773</v>
      </c>
      <c r="C51" s="279"/>
      <c r="D51" s="274"/>
      <c r="E51" s="283" t="s">
        <v>1213</v>
      </c>
      <c r="F51" s="284">
        <f t="shared" si="10"/>
        <v>10924750.773</v>
      </c>
      <c r="G51" s="284"/>
    </row>
    <row r="52" spans="1:7">
      <c r="A52" s="282" t="s">
        <v>1100</v>
      </c>
      <c r="B52" s="279">
        <f>VLOOKUP(A52,공시용!$B$7:$D$58,2,0)</f>
        <v>11877025200</v>
      </c>
      <c r="C52" s="279"/>
      <c r="D52" s="274"/>
      <c r="E52" s="283" t="str">
        <f t="shared" si="1"/>
        <v>장기리스부채</v>
      </c>
      <c r="F52" s="284">
        <f t="shared" si="10"/>
        <v>11877025.199999999</v>
      </c>
      <c r="G52" s="284"/>
    </row>
    <row r="53" spans="1:7">
      <c r="A53" s="278" t="s">
        <v>1040</v>
      </c>
      <c r="B53" s="279"/>
      <c r="C53" s="279">
        <f>+C38+C46</f>
        <v>588242153690</v>
      </c>
      <c r="D53" s="270" t="b">
        <f>C53=공시용!D50</f>
        <v>1</v>
      </c>
      <c r="E53" s="280" t="str">
        <f t="shared" si="1"/>
        <v>부채총계</v>
      </c>
      <c r="F53" s="281"/>
      <c r="G53" s="281">
        <f>+G38+G46</f>
        <v>588242153.69000006</v>
      </c>
    </row>
    <row r="54" spans="1:7">
      <c r="A54" s="278" t="s">
        <v>1041</v>
      </c>
      <c r="B54" s="279"/>
      <c r="C54" s="279"/>
      <c r="D54" s="274"/>
      <c r="E54" s="280" t="str">
        <f t="shared" si="1"/>
        <v>자본</v>
      </c>
      <c r="F54" s="281"/>
      <c r="G54" s="281"/>
    </row>
    <row r="55" spans="1:7">
      <c r="A55" s="282" t="s">
        <v>1042</v>
      </c>
      <c r="B55" s="279">
        <f>VLOOKUP(A55,공시용!$B$7:$D$58,2,0)</f>
        <v>5123512000</v>
      </c>
      <c r="C55" s="279"/>
      <c r="D55" s="274"/>
      <c r="E55" s="283" t="str">
        <f t="shared" si="1"/>
        <v>자본금</v>
      </c>
      <c r="F55" s="284">
        <f>ROUND(B55/1000,5)</f>
        <v>5123512</v>
      </c>
      <c r="G55" s="284"/>
    </row>
    <row r="56" spans="1:7">
      <c r="A56" s="282" t="s">
        <v>1043</v>
      </c>
      <c r="B56" s="279">
        <f>VLOOKUP(A56,공시용!$B$7:$D$58,2,0)</f>
        <v>251079343636</v>
      </c>
      <c r="C56" s="279"/>
      <c r="D56" s="274"/>
      <c r="E56" s="283" t="str">
        <f t="shared" si="1"/>
        <v>기타불입자본</v>
      </c>
      <c r="F56" s="284">
        <f>ROUND(B56/1000,5)</f>
        <v>251079343.63600001</v>
      </c>
      <c r="G56" s="284"/>
    </row>
    <row r="57" spans="1:7">
      <c r="A57" s="282" t="s">
        <v>1044</v>
      </c>
      <c r="B57" s="279">
        <f>VLOOKUP(A57,공시용!$B$7:$D$58,2,0)</f>
        <v>28694401358</v>
      </c>
      <c r="C57" s="279"/>
      <c r="D57" s="274"/>
      <c r="E57" s="283" t="str">
        <f t="shared" si="1"/>
        <v>이익잉여금</v>
      </c>
      <c r="F57" s="284">
        <f>ROUND(B57/1000,5)</f>
        <v>28694401.357999999</v>
      </c>
      <c r="G57" s="284"/>
    </row>
    <row r="58" spans="1:7">
      <c r="A58" s="282" t="s">
        <v>852</v>
      </c>
      <c r="B58" s="279">
        <f>VLOOKUP(A58,공시용!$B$7:$D$58,2,0)</f>
        <v>0</v>
      </c>
      <c r="C58" s="279"/>
      <c r="D58" s="274"/>
      <c r="E58" s="283" t="str">
        <f t="shared" si="1"/>
        <v>기타포괄손익누계액</v>
      </c>
      <c r="F58" s="284">
        <f>ROUND(B58/1000,5)</f>
        <v>0</v>
      </c>
      <c r="G58" s="284"/>
    </row>
    <row r="59" spans="1:7" s="630" customFormat="1">
      <c r="A59" s="282" t="s">
        <v>1347</v>
      </c>
      <c r="B59" s="279">
        <f>VLOOKUP(A59,공시용!$B$7:$D$58,2,0)</f>
        <v>2779373521</v>
      </c>
      <c r="C59" s="279"/>
      <c r="D59" s="274"/>
      <c r="E59" s="283" t="str">
        <f t="shared" si="1"/>
        <v>주식선택권</v>
      </c>
      <c r="F59" s="284">
        <f>ROUND(B59/1000,5)</f>
        <v>2779373.5210000002</v>
      </c>
      <c r="G59" s="284"/>
    </row>
    <row r="60" spans="1:7">
      <c r="A60" s="278" t="s">
        <v>1045</v>
      </c>
      <c r="B60" s="279"/>
      <c r="C60" s="279">
        <f>SUM(B55:B59)</f>
        <v>287676630515</v>
      </c>
      <c r="D60" s="270" t="b">
        <f>공시용!D57=전달용!C60</f>
        <v>1</v>
      </c>
      <c r="E60" s="280" t="str">
        <f t="shared" si="1"/>
        <v>자본총계</v>
      </c>
      <c r="F60" s="281"/>
      <c r="G60" s="281">
        <f>SUM(F55:F58)</f>
        <v>284897256.99400002</v>
      </c>
    </row>
    <row r="61" spans="1:7">
      <c r="A61" s="278" t="s">
        <v>1046</v>
      </c>
      <c r="B61" s="279"/>
      <c r="C61" s="279">
        <f>+C53+C60</f>
        <v>875918784205</v>
      </c>
      <c r="D61" s="270" t="b">
        <f>C61=공시용!D58</f>
        <v>1</v>
      </c>
      <c r="E61" s="280" t="str">
        <f t="shared" si="1"/>
        <v>부채 및 자본총계</v>
      </c>
      <c r="F61" s="281"/>
      <c r="G61" s="281">
        <f>+G60+G53</f>
        <v>873139410.68400002</v>
      </c>
    </row>
    <row r="62" spans="1:7">
      <c r="A62" s="270"/>
      <c r="B62" s="286"/>
      <c r="C62" s="286"/>
      <c r="D62" s="270"/>
      <c r="E62" s="275"/>
      <c r="F62" s="275"/>
      <c r="G62" s="287"/>
    </row>
    <row r="63" spans="1:7" ht="17.45" customHeight="1">
      <c r="A63" s="270"/>
      <c r="B63" s="270"/>
      <c r="C63" s="270"/>
      <c r="D63" s="268"/>
    </row>
    <row r="64" spans="1:7">
      <c r="A64" s="823" t="s">
        <v>1047</v>
      </c>
      <c r="B64" s="823"/>
      <c r="C64" s="823"/>
      <c r="D64" s="268"/>
      <c r="E64" s="823" t="s">
        <v>1047</v>
      </c>
      <c r="F64" s="823"/>
      <c r="G64" s="823"/>
    </row>
    <row r="65" spans="1:7">
      <c r="A65" s="824" t="s">
        <v>1373</v>
      </c>
      <c r="B65" s="824"/>
      <c r="C65" s="824"/>
      <c r="D65" s="268"/>
      <c r="E65" s="824" t="str">
        <f>A65</f>
        <v>2021년 1월 1일부터 2021년 10월 31일까지</v>
      </c>
      <c r="F65" s="824"/>
      <c r="G65" s="824"/>
    </row>
    <row r="66" spans="1:7">
      <c r="A66" s="268"/>
      <c r="B66" s="268"/>
      <c r="C66" s="268"/>
      <c r="D66" s="270"/>
      <c r="E66" s="269"/>
      <c r="F66" s="271"/>
      <c r="G66" s="271"/>
    </row>
    <row r="67" spans="1:7">
      <c r="A67" s="269"/>
      <c r="B67" s="270"/>
      <c r="C67" s="270"/>
      <c r="D67" s="270"/>
      <c r="E67" s="272" t="s">
        <v>1048</v>
      </c>
      <c r="F67" s="271"/>
      <c r="G67" s="273" t="s">
        <v>1050</v>
      </c>
    </row>
    <row r="68" spans="1:7" ht="31.15" customHeight="1">
      <c r="A68" s="272" t="s">
        <v>1048</v>
      </c>
      <c r="B68" s="270"/>
      <c r="C68" s="273" t="s">
        <v>1049</v>
      </c>
      <c r="D68" s="270"/>
      <c r="E68" s="271"/>
      <c r="F68" s="275"/>
      <c r="G68" s="287"/>
    </row>
    <row r="69" spans="1:7">
      <c r="A69" s="269"/>
      <c r="B69" s="270"/>
      <c r="C69" s="270"/>
      <c r="D69" s="270"/>
    </row>
    <row r="70" spans="1:7">
      <c r="A70" s="276" t="s">
        <v>1051</v>
      </c>
      <c r="B70" s="821" t="s">
        <v>1219</v>
      </c>
      <c r="C70" s="822"/>
      <c r="D70" s="270" t="b">
        <f>C71=공시용!D64</f>
        <v>1</v>
      </c>
      <c r="E70" s="277" t="s">
        <v>1051</v>
      </c>
      <c r="F70" s="821" t="s">
        <v>1219</v>
      </c>
      <c r="G70" s="822"/>
    </row>
    <row r="71" spans="1:7">
      <c r="A71" s="278" t="s">
        <v>1052</v>
      </c>
      <c r="B71" s="279"/>
      <c r="C71" s="279">
        <f>공시용!D64</f>
        <v>471643378426</v>
      </c>
      <c r="D71" s="270" t="e">
        <f>C72=공시용!D65</f>
        <v>#VALUE!</v>
      </c>
      <c r="E71" s="280" t="s">
        <v>1052</v>
      </c>
      <c r="F71" s="281"/>
      <c r="G71" s="281">
        <f>ROUND(C71/1000,0)</f>
        <v>471643378</v>
      </c>
    </row>
    <row r="72" spans="1:7">
      <c r="A72" s="278" t="s">
        <v>1053</v>
      </c>
      <c r="B72" s="279"/>
      <c r="C72" s="279" t="e">
        <f>SUM(B73:B83)</f>
        <v>#VALUE!</v>
      </c>
      <c r="D72" s="274"/>
      <c r="E72" s="280" t="s">
        <v>1053</v>
      </c>
      <c r="F72" s="281"/>
      <c r="G72" s="281" t="e">
        <f>ROUND(C72/1000,0)</f>
        <v>#VALUE!</v>
      </c>
    </row>
    <row r="73" spans="1:7">
      <c r="A73" s="288" t="s">
        <v>984</v>
      </c>
      <c r="B73" s="279">
        <f>VLOOKUP(A73,공시용!$B$66:$D$115,2,0)</f>
        <v>82051581368</v>
      </c>
      <c r="C73" s="279"/>
      <c r="D73" s="274"/>
      <c r="E73" s="289" t="s">
        <v>1054</v>
      </c>
      <c r="F73" s="284">
        <f t="shared" ref="F73:F83" si="11">ROUND(B73/1000,5)</f>
        <v>82051581.368000001</v>
      </c>
      <c r="G73" s="284"/>
    </row>
    <row r="74" spans="1:7">
      <c r="A74" s="288" t="s">
        <v>985</v>
      </c>
      <c r="B74" s="279" t="e">
        <f>VLOOKUP(A74,공시용!$B$66:$D$115,2,0)</f>
        <v>#VALUE!</v>
      </c>
      <c r="C74" s="279"/>
      <c r="D74" s="274"/>
      <c r="E74" s="289" t="s">
        <v>1055</v>
      </c>
      <c r="F74" s="284" t="e">
        <f t="shared" si="11"/>
        <v>#VALUE!</v>
      </c>
      <c r="G74" s="284"/>
    </row>
    <row r="75" spans="1:7">
      <c r="A75" s="288" t="s">
        <v>1056</v>
      </c>
      <c r="B75" s="279">
        <f>VLOOKUP(A75,공시용!$B$66:$D$115,2,0)</f>
        <v>15805826684</v>
      </c>
      <c r="C75" s="279"/>
      <c r="D75" s="274"/>
      <c r="E75" s="289" t="s">
        <v>1057</v>
      </c>
      <c r="F75" s="284">
        <f t="shared" si="11"/>
        <v>15805826.684</v>
      </c>
      <c r="G75" s="284"/>
    </row>
    <row r="76" spans="1:7">
      <c r="A76" s="288" t="s">
        <v>1058</v>
      </c>
      <c r="B76" s="279">
        <f>VLOOKUP(A76,공시용!$B$66:$D$115,2,0)</f>
        <v>3824495169</v>
      </c>
      <c r="C76" s="279"/>
      <c r="D76" s="274"/>
      <c r="E76" s="289" t="s">
        <v>1059</v>
      </c>
      <c r="F76" s="284">
        <f t="shared" si="11"/>
        <v>3824495.1690000002</v>
      </c>
      <c r="G76" s="284"/>
    </row>
    <row r="77" spans="1:7">
      <c r="A77" s="288" t="s">
        <v>1060</v>
      </c>
      <c r="B77" s="279">
        <f>VLOOKUP(A77,공시용!$B$66:$D$115,2,0)</f>
        <v>91611616672</v>
      </c>
      <c r="C77" s="279"/>
      <c r="D77" s="274"/>
      <c r="E77" s="289" t="s">
        <v>1061</v>
      </c>
      <c r="F77" s="284">
        <f t="shared" si="11"/>
        <v>91611616.672000006</v>
      </c>
      <c r="G77" s="284"/>
    </row>
    <row r="78" spans="1:7">
      <c r="A78" s="288" t="s">
        <v>1062</v>
      </c>
      <c r="B78" s="279">
        <f>VLOOKUP(A78,공시용!$B$66:$D$115,2,0)</f>
        <v>162537337</v>
      </c>
      <c r="C78" s="279"/>
      <c r="D78" s="274"/>
      <c r="E78" s="289" t="s">
        <v>1063</v>
      </c>
      <c r="F78" s="284">
        <f t="shared" si="11"/>
        <v>162537.337</v>
      </c>
      <c r="G78" s="284"/>
    </row>
    <row r="79" spans="1:7">
      <c r="A79" s="290" t="s">
        <v>1064</v>
      </c>
      <c r="B79" s="279">
        <f>VLOOKUP(A79,공시용!$B$66:$D$115,2,0)</f>
        <v>106617962403</v>
      </c>
      <c r="C79" s="279"/>
      <c r="D79" s="274"/>
      <c r="E79" s="292" t="s">
        <v>1065</v>
      </c>
      <c r="F79" s="284">
        <f t="shared" si="11"/>
        <v>106617962.403</v>
      </c>
      <c r="G79" s="284"/>
    </row>
    <row r="80" spans="1:7">
      <c r="A80" s="293" t="s">
        <v>1066</v>
      </c>
      <c r="B80" s="279">
        <f>VLOOKUP(A80,공시용!$B$66:$D$115,2,0)</f>
        <v>434624472</v>
      </c>
      <c r="C80" s="279"/>
      <c r="D80" s="274"/>
      <c r="E80" s="292" t="s">
        <v>1067</v>
      </c>
      <c r="F80" s="284">
        <f t="shared" si="11"/>
        <v>434624.47200000001</v>
      </c>
      <c r="G80" s="284"/>
    </row>
    <row r="81" spans="1:7">
      <c r="A81" s="294" t="s">
        <v>989</v>
      </c>
      <c r="B81" s="279">
        <f>VLOOKUP(A81,공시용!$B$66:$D$115,2,0)</f>
        <v>27535316662</v>
      </c>
      <c r="C81" s="279"/>
      <c r="D81" s="274"/>
      <c r="E81" s="289" t="s">
        <v>1068</v>
      </c>
      <c r="F81" s="284">
        <f t="shared" si="11"/>
        <v>27535316.662</v>
      </c>
      <c r="G81" s="284"/>
    </row>
    <row r="82" spans="1:7" s="608" customFormat="1">
      <c r="A82" s="294" t="s">
        <v>1353</v>
      </c>
      <c r="B82" s="279"/>
      <c r="C82" s="279"/>
      <c r="D82" s="274"/>
      <c r="E82" s="289"/>
      <c r="F82" s="284"/>
      <c r="G82" s="284"/>
    </row>
    <row r="83" spans="1:7">
      <c r="A83" s="294" t="s">
        <v>997</v>
      </c>
      <c r="B83" s="279" t="e">
        <f>공시용!D65-SUM(전달용!B73:B81)</f>
        <v>#VALUE!</v>
      </c>
      <c r="C83" s="279"/>
      <c r="D83" s="270" t="e">
        <f>공시용!D88=전달용!C84</f>
        <v>#VALUE!</v>
      </c>
      <c r="E83" s="295" t="s">
        <v>1069</v>
      </c>
      <c r="F83" s="296" t="e">
        <f t="shared" si="11"/>
        <v>#VALUE!</v>
      </c>
      <c r="G83" s="284"/>
    </row>
    <row r="84" spans="1:7">
      <c r="A84" s="297" t="s">
        <v>1070</v>
      </c>
      <c r="B84" s="291"/>
      <c r="C84" s="279" t="e">
        <f>+C71-C72</f>
        <v>#VALUE!</v>
      </c>
      <c r="D84" s="301"/>
      <c r="E84" s="298" t="s">
        <v>1070</v>
      </c>
      <c r="F84" s="299"/>
      <c r="G84" s="281" t="e">
        <f>ROUND(C84/1000,0)</f>
        <v>#VALUE!</v>
      </c>
    </row>
    <row r="85" spans="1:7">
      <c r="A85" s="294" t="s">
        <v>1007</v>
      </c>
      <c r="B85" s="291">
        <f>공시용!D99</f>
        <v>8742914150</v>
      </c>
      <c r="C85" s="300"/>
      <c r="D85" s="270"/>
      <c r="E85" s="295" t="s">
        <v>1071</v>
      </c>
      <c r="F85" s="296">
        <f>ROUND(B85/1000,5)</f>
        <v>8742914.1500000004</v>
      </c>
      <c r="G85" s="302"/>
    </row>
    <row r="86" spans="1:7">
      <c r="A86" s="294" t="s">
        <v>993</v>
      </c>
      <c r="B86" s="291">
        <f>공시용!D105</f>
        <v>8543696127</v>
      </c>
      <c r="C86" s="279"/>
      <c r="D86" s="270"/>
      <c r="E86" s="295" t="s">
        <v>1072</v>
      </c>
      <c r="F86" s="296">
        <f>ROUND(B86/1000,5)</f>
        <v>8543696.1270000003</v>
      </c>
      <c r="G86" s="284"/>
    </row>
    <row r="87" spans="1:7">
      <c r="A87" s="294" t="s">
        <v>995</v>
      </c>
      <c r="B87" s="291">
        <f>공시용!D89</f>
        <v>157874055</v>
      </c>
      <c r="C87" s="279"/>
      <c r="D87" s="270"/>
      <c r="E87" s="295" t="s">
        <v>1073</v>
      </c>
      <c r="F87" s="296">
        <f>ROUND(B87/1000,5)</f>
        <v>157874.05499999999</v>
      </c>
      <c r="G87" s="284"/>
    </row>
    <row r="88" spans="1:7">
      <c r="A88" s="294" t="s">
        <v>1074</v>
      </c>
      <c r="B88" s="291">
        <f>공시용!D93</f>
        <v>546926511</v>
      </c>
      <c r="C88" s="279"/>
      <c r="D88" s="270"/>
      <c r="E88" s="295" t="s">
        <v>1075</v>
      </c>
      <c r="F88" s="296">
        <f>ROUND(B88/1000,5)</f>
        <v>546926.51100000006</v>
      </c>
      <c r="G88" s="284"/>
    </row>
    <row r="89" spans="1:7">
      <c r="A89" s="294" t="s">
        <v>1076</v>
      </c>
      <c r="B89" s="291">
        <f>공시용!D112</f>
        <v>6107971029</v>
      </c>
      <c r="C89" s="279"/>
      <c r="E89" s="294" t="s">
        <v>1077</v>
      </c>
      <c r="F89" s="296">
        <f>ROUND(B89/1000,5)</f>
        <v>6107971.0290000001</v>
      </c>
      <c r="G89" s="284"/>
    </row>
    <row r="90" spans="1:7">
      <c r="A90" s="303" t="s">
        <v>1078</v>
      </c>
      <c r="B90" s="304"/>
      <c r="C90" s="279" t="e">
        <f>C84+B85-B86+B87-B88-B89</f>
        <v>#VALUE!</v>
      </c>
      <c r="D90" s="270" t="e">
        <f>C90=공시용!D113</f>
        <v>#VALUE!</v>
      </c>
      <c r="E90" s="303" t="s">
        <v>1078</v>
      </c>
      <c r="F90" s="299"/>
      <c r="G90" s="281" t="e">
        <f>ROUND(C90/1000,0)</f>
        <v>#VALUE!</v>
      </c>
    </row>
    <row r="91" spans="1:7">
      <c r="A91" s="298" t="s">
        <v>1079</v>
      </c>
      <c r="B91" s="304"/>
      <c r="C91" s="279">
        <f>공시용!D114</f>
        <v>-36830173936</v>
      </c>
      <c r="D91" s="270" t="b">
        <f>C91=공시용!D114</f>
        <v>1</v>
      </c>
      <c r="E91" s="298" t="s">
        <v>1079</v>
      </c>
      <c r="F91" s="299"/>
      <c r="G91" s="281">
        <f>ROUND(C91/1000,0)</f>
        <v>-36830174</v>
      </c>
    </row>
    <row r="92" spans="1:7">
      <c r="A92" s="278" t="s">
        <v>1080</v>
      </c>
      <c r="B92" s="285"/>
      <c r="C92" s="279" t="e">
        <f>+C90-C91</f>
        <v>#VALUE!</v>
      </c>
      <c r="D92" s="270" t="e">
        <f>C92=공시용!D115</f>
        <v>#VALUE!</v>
      </c>
      <c r="E92" s="297" t="s">
        <v>1080</v>
      </c>
      <c r="F92" s="299"/>
      <c r="G92" s="281" t="e">
        <f>ROUND(C92/1000,0)</f>
        <v>#VALUE!</v>
      </c>
    </row>
    <row r="94" spans="1:7">
      <c r="C94" s="305"/>
    </row>
    <row r="98" spans="1:5">
      <c r="A98" s="256"/>
      <c r="B98" s="256"/>
      <c r="C98" s="256"/>
      <c r="D98" s="820"/>
      <c r="E98" s="820"/>
    </row>
    <row r="99" spans="1:5">
      <c r="A99" s="524"/>
      <c r="B99" s="820"/>
      <c r="C99" s="820"/>
      <c r="D99" s="359"/>
      <c r="E99" s="360"/>
    </row>
    <row r="100" spans="1:5">
      <c r="A100" s="549"/>
      <c r="B100" s="359"/>
      <c r="C100" s="360"/>
      <c r="D100" s="359"/>
      <c r="E100" s="360"/>
    </row>
    <row r="101" spans="1:5">
      <c r="A101" s="549"/>
      <c r="B101" s="359"/>
      <c r="C101" s="550"/>
      <c r="D101" s="359"/>
      <c r="E101" s="359"/>
    </row>
    <row r="102" spans="1:5">
      <c r="A102" s="549"/>
      <c r="B102" s="359"/>
      <c r="C102" s="359"/>
      <c r="D102" s="360"/>
      <c r="E102" s="359"/>
    </row>
    <row r="103" spans="1:5">
      <c r="A103" s="549"/>
      <c r="B103" s="551"/>
      <c r="C103" s="359"/>
      <c r="D103" s="360"/>
      <c r="E103" s="359"/>
    </row>
    <row r="104" spans="1:5">
      <c r="A104" s="549"/>
      <c r="B104" s="360"/>
      <c r="C104" s="359"/>
      <c r="D104" s="360"/>
      <c r="E104" s="359"/>
    </row>
    <row r="105" spans="1:5">
      <c r="A105" s="549"/>
      <c r="B105" s="360"/>
      <c r="C105" s="359"/>
      <c r="D105" s="359"/>
      <c r="E105" s="360"/>
    </row>
    <row r="106" spans="1:5">
      <c r="A106" s="549"/>
      <c r="B106" s="359"/>
      <c r="C106" s="360"/>
    </row>
    <row r="107" spans="1:5">
      <c r="C107" s="351"/>
      <c r="D107" s="352"/>
    </row>
    <row r="108" spans="1:5">
      <c r="B108" s="352"/>
      <c r="C108" s="353"/>
      <c r="D108" s="352"/>
    </row>
    <row r="109" spans="1:5">
      <c r="B109" s="352"/>
      <c r="C109" s="354"/>
      <c r="D109" s="352"/>
    </row>
    <row r="110" spans="1:5">
      <c r="B110" s="352"/>
      <c r="C110" s="354"/>
    </row>
  </sheetData>
  <mergeCells count="15">
    <mergeCell ref="B99:C99"/>
    <mergeCell ref="D98:E98"/>
    <mergeCell ref="B70:C70"/>
    <mergeCell ref="F70:G70"/>
    <mergeCell ref="A1:C1"/>
    <mergeCell ref="E1:G1"/>
    <mergeCell ref="A2:C2"/>
    <mergeCell ref="E2:G2"/>
    <mergeCell ref="E3:G3"/>
    <mergeCell ref="B7:C7"/>
    <mergeCell ref="F7:G7"/>
    <mergeCell ref="A64:C64"/>
    <mergeCell ref="E64:G64"/>
    <mergeCell ref="A65:C65"/>
    <mergeCell ref="E65:G65"/>
  </mergeCells>
  <phoneticPr fontId="2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96a6b3a-073f-449e-bfd8-6c5f8506b9b8}" enabled="1" method="Privileged" siteId="{06d58de8-c080-4944-9687-acd5b7390c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ver</vt:lpstr>
      <vt:lpstr>IS_WTB</vt:lpstr>
      <vt:lpstr>BS_WTB</vt:lpstr>
      <vt:lpstr>CF정산표</vt:lpstr>
      <vt:lpstr>DSD 현금흐름표용</vt:lpstr>
      <vt:lpstr>DSD 파일용</vt:lpstr>
      <vt:lpstr>자본변동표</vt:lpstr>
      <vt:lpstr>공시용</vt:lpstr>
      <vt:lpstr>전달용</vt:lpstr>
      <vt:lpstr>전달용(2)</vt:lpstr>
      <vt:lpstr>자본변동표_천원</vt:lpstr>
      <vt:lpstr>전사시산표(3단계)_1013</vt:lpstr>
      <vt:lpstr>경상연구개발비대체</vt:lpstr>
      <vt:lpstr>경상연구개발비(확정)</vt:lpstr>
      <vt:lpstr>경상연구개발비 SAP 추출 맵핑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Se-Hwa (KR/ICE1)</dc:creator>
  <cp:lastModifiedBy>정인웅(Inwoong Jung)/회계팀/11ST</cp:lastModifiedBy>
  <cp:lastPrinted>2022-07-12T06:23:12Z</cp:lastPrinted>
  <dcterms:created xsi:type="dcterms:W3CDTF">2018-10-10T06:50:15Z</dcterms:created>
  <dcterms:modified xsi:type="dcterms:W3CDTF">2022-10-13T05:22:55Z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6a6b3a-073f-449e-bfd8-6c5f8506b9b8_ActionId">
    <vt:lpwstr>94857abd-85c9-45c8-bc8d-01ea3be66502</vt:lpwstr>
  </property>
  <property fmtid="{D5CDD505-2E9C-101B-9397-08002B2CF9AE}" pid="3" name="MSIP_Label_996a6b3a-073f-449e-bfd8-6c5f8506b9b8_Application">
    <vt:lpwstr>Microsoft Azure Information Protection</vt:lpwstr>
  </property>
  <property fmtid="{D5CDD505-2E9C-101B-9397-08002B2CF9AE}" pid="4" name="MSIP_Label_996a6b3a-073f-449e-bfd8-6c5f8506b9b8_Name">
    <vt:lpwstr>일반</vt:lpwstr>
  </property>
  <property fmtid="{D5CDD505-2E9C-101B-9397-08002B2CF9AE}" pid="5" name="MSIP_Label_996a6b3a-073f-449e-bfd8-6c5f8506b9b8_SetDate">
    <vt:lpwstr>2022-04-11T04:30:33.9285431Z</vt:lpwstr>
  </property>
  <property fmtid="{D5CDD505-2E9C-101B-9397-08002B2CF9AE}" pid="6" name="MSIP_Label_996a6b3a-073f-449e-bfd8-6c5f8506b9b8_Owner">
    <vt:lpwstr>iwjung123@11stcorp.com</vt:lpwstr>
  </property>
  <property fmtid="{D5CDD505-2E9C-101B-9397-08002B2CF9AE}" pid="7" name="MSIP_Label_996a6b3a-073f-449e-bfd8-6c5f8506b9b8_SiteId">
    <vt:lpwstr>06d58de8-c080-4944-9687-acd5b7390ca0</vt:lpwstr>
  </property>
  <property fmtid="{D5CDD505-2E9C-101B-9397-08002B2CF9AE}" pid="8" name="MSIP_Label_996a6b3a-073f-449e-bfd8-6c5f8506b9b8_Enabled">
    <vt:lpwstr>True</vt:lpwstr>
  </property>
  <property fmtid="{D5CDD505-2E9C-101B-9397-08002B2CF9AE}" pid="9" name="MSIP_Label_996a6b3a-073f-449e-bfd8-6c5f8506b9b8_Extended_MSFT_Method">
    <vt:lpwstr>Manual</vt:lpwstr>
  </property>
  <property fmtid="{D5CDD505-2E9C-101B-9397-08002B2CF9AE}" pid="10" name="Sensitivity">
    <vt:lpwstr>일반</vt:lpwstr>
  </property>
</Properties>
</file>