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onedrive-global.kpmg.com/personal/hwiwoongkim_kr_kpmg_com/Documents/Valuation Specialist 2022/33-36. SK스퀘어/2.0. 검토조서/"/>
    </mc:Choice>
  </mc:AlternateContent>
  <xr:revisionPtr revIDLastSave="194" documentId="13_ncr:1_{D8E04FC1-B3C1-43D9-8507-CD62BDDBB331}" xr6:coauthVersionLast="47" xr6:coauthVersionMax="47" xr10:uidLastSave="{66B884DA-F492-4B70-9E2A-3C957F6164A5}"/>
  <bookViews>
    <workbookView xWindow="-120" yWindow="-120" windowWidth="29040" windowHeight="17640" activeTab="3" xr2:uid="{1573223C-4D75-449A-ADAE-9A1C7448885D}"/>
  </bookViews>
  <sheets>
    <sheet name="메모" sheetId="33" r:id="rId1"/>
    <sheet name="Des" sheetId="24" r:id="rId2"/>
    <sheet name="DCF" sheetId="23" r:id="rId3"/>
    <sheet name="Pro-Forma" sheetId="25" r:id="rId4"/>
    <sheet name="플랫폼사업" sheetId="26" r:id="rId5"/>
    <sheet name="콘텐츠사업" sheetId="27" r:id="rId6"/>
    <sheet name="엔터사업" sheetId="28" r:id="rId7"/>
    <sheet name="디바이스사업" sheetId="29" r:id="rId8"/>
    <sheet name="판관비" sheetId="30" r:id="rId9"/>
    <sheet name="CAPEX" sheetId="31" r:id="rId10"/>
    <sheet name="NWC" sheetId="32" r:id="rId11"/>
    <sheet name="보고서_요약" sheetId="7" r:id="rId12"/>
    <sheet name="보고서" sheetId="1" r:id="rId13"/>
    <sheet name="KRX" sheetId="35" r:id="rId14"/>
    <sheet name="dart" sheetId="8" r:id="rId15"/>
    <sheet name="&gt;&gt;질의답변" sheetId="9" r:id="rId16"/>
    <sheet name="#20" sheetId="18" r:id="rId17"/>
    <sheet name="#21" sheetId="19" r:id="rId18"/>
    <sheet name="#22" sheetId="20" r:id="rId19"/>
    <sheet name="&gt;&gt;사업계획" sheetId="22" r:id="rId20"/>
    <sheet name="요약" sheetId="10" r:id="rId21"/>
    <sheet name="사업계획_메모" sheetId="34" r:id="rId22"/>
    <sheet name="플랫폼" sheetId="11" r:id="rId23"/>
    <sheet name="콘텐츠" sheetId="12" r:id="rId24"/>
    <sheet name="엔터" sheetId="13" r:id="rId25"/>
    <sheet name="IRIVER" sheetId="14" r:id="rId26"/>
    <sheet name="LDC" sheetId="15" r:id="rId27"/>
    <sheet name="돌핀" sheetId="16" r:id="rId28"/>
    <sheet name="STAFF" sheetId="17" r:id="rId29"/>
    <sheet name="과거실적(백만원)" sheetId="21" r:id="rId30"/>
  </sheets>
  <externalReferences>
    <externalReference r:id="rId31"/>
  </externalReferences>
  <calcPr calcId="191028" iterate="1" iterateCount="100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13" i="7" l="1"/>
  <c r="R196" i="7" l="1"/>
  <c r="Q196" i="7"/>
  <c r="P196" i="7"/>
  <c r="O196" i="7"/>
  <c r="J241" i="7"/>
  <c r="I252" i="7"/>
  <c r="H252" i="7"/>
  <c r="G252" i="7"/>
  <c r="F252" i="7"/>
  <c r="E252" i="7"/>
  <c r="I251" i="7"/>
  <c r="H251" i="7"/>
  <c r="G251" i="7"/>
  <c r="F251" i="7"/>
  <c r="E251" i="7"/>
  <c r="I250" i="7"/>
  <c r="H250" i="7"/>
  <c r="G250" i="7"/>
  <c r="F250" i="7"/>
  <c r="E250" i="7"/>
  <c r="I249" i="7"/>
  <c r="H249" i="7"/>
  <c r="G249" i="7"/>
  <c r="F249" i="7"/>
  <c r="E249" i="7"/>
  <c r="I248" i="7"/>
  <c r="H248" i="7"/>
  <c r="G248" i="7"/>
  <c r="F248" i="7"/>
  <c r="E248" i="7"/>
  <c r="D251" i="7"/>
  <c r="D252" i="7" s="1"/>
  <c r="D249" i="7"/>
  <c r="D248" i="7" s="1"/>
  <c r="H247" i="7"/>
  <c r="I247" i="7" s="1"/>
  <c r="F247" i="7"/>
  <c r="E247" i="7"/>
  <c r="D247" i="7"/>
  <c r="H239" i="7"/>
  <c r="I239" i="7" s="1"/>
  <c r="F239" i="7"/>
  <c r="E239" i="7" s="1"/>
  <c r="D243" i="7"/>
  <c r="D244" i="7" s="1"/>
  <c r="D241" i="7"/>
  <c r="D240" i="7" s="1"/>
  <c r="T220" i="7"/>
  <c r="F227" i="7" l="1"/>
  <c r="F229" i="7"/>
  <c r="F231" i="7"/>
  <c r="S219" i="7"/>
  <c r="S218" i="7"/>
  <c r="T217" i="7"/>
  <c r="S193" i="7"/>
  <c r="S192" i="7" s="1"/>
  <c r="R193" i="7"/>
  <c r="R192" i="7" s="1"/>
  <c r="Q193" i="7"/>
  <c r="Q192" i="7" s="1"/>
  <c r="P193" i="7"/>
  <c r="P192" i="7" s="1"/>
  <c r="O193" i="7"/>
  <c r="O192" i="7" s="1"/>
  <c r="M193" i="7"/>
  <c r="M192" i="7" s="1"/>
  <c r="J240" i="7" l="1"/>
  <c r="S210" i="7"/>
  <c r="N213" i="7"/>
  <c r="N214" i="7" s="1"/>
  <c r="L213" i="7"/>
  <c r="L214" i="7" s="1"/>
  <c r="O213" i="7" l="1"/>
  <c r="O214" i="7" l="1"/>
  <c r="P213" i="7"/>
  <c r="Q213" i="7" l="1"/>
  <c r="P214" i="7"/>
  <c r="R213" i="7" l="1"/>
  <c r="R214" i="7" s="1"/>
  <c r="S214" i="7" s="1"/>
  <c r="Q214" i="7"/>
  <c r="J268" i="7" l="1"/>
  <c r="J267" i="7"/>
  <c r="J266" i="7"/>
  <c r="J265" i="7"/>
  <c r="I267" i="7"/>
  <c r="H267" i="7"/>
  <c r="I268" i="7"/>
  <c r="H268" i="7"/>
  <c r="I266" i="7"/>
  <c r="H266" i="7"/>
  <c r="I265" i="7"/>
  <c r="H265" i="7"/>
  <c r="T63" i="19"/>
  <c r="U63" i="19" s="1"/>
  <c r="V63" i="19" s="1"/>
  <c r="W63" i="19" s="1"/>
  <c r="R63" i="19"/>
  <c r="S63" i="19" s="1"/>
  <c r="H63" i="19"/>
  <c r="H52" i="19"/>
  <c r="X28" i="19" l="1"/>
  <c r="W28" i="19"/>
  <c r="V28" i="19"/>
  <c r="U28" i="19"/>
  <c r="T28" i="19"/>
  <c r="S28" i="19"/>
  <c r="X27" i="19"/>
  <c r="W27" i="19"/>
  <c r="V27" i="19"/>
  <c r="U27" i="19"/>
  <c r="T27" i="19"/>
  <c r="S27" i="19"/>
  <c r="X26" i="19"/>
  <c r="W26" i="19"/>
  <c r="V26" i="19"/>
  <c r="U26" i="19"/>
  <c r="T26" i="19"/>
  <c r="S26" i="19"/>
  <c r="X25" i="19"/>
  <c r="W25" i="19"/>
  <c r="V25" i="19"/>
  <c r="U25" i="19"/>
  <c r="T25" i="19"/>
  <c r="S25" i="19"/>
  <c r="X24" i="19"/>
  <c r="W24" i="19"/>
  <c r="V24" i="19"/>
  <c r="U24" i="19"/>
  <c r="T24" i="19"/>
  <c r="S24" i="19"/>
  <c r="X23" i="19"/>
  <c r="W23" i="19"/>
  <c r="V23" i="19"/>
  <c r="U23" i="19"/>
  <c r="T23" i="19"/>
  <c r="S23" i="19"/>
  <c r="X21" i="19"/>
  <c r="W21" i="19"/>
  <c r="V21" i="19"/>
  <c r="U21" i="19"/>
  <c r="T21" i="19"/>
  <c r="S21" i="19"/>
  <c r="X20" i="19"/>
  <c r="W20" i="19"/>
  <c r="V20" i="19"/>
  <c r="U20" i="19"/>
  <c r="T20" i="19"/>
  <c r="S20" i="19"/>
  <c r="X19" i="19"/>
  <c r="W19" i="19"/>
  <c r="V19" i="19"/>
  <c r="U19" i="19"/>
  <c r="T19" i="19"/>
  <c r="S19" i="19"/>
  <c r="X18" i="19"/>
  <c r="W18" i="19"/>
  <c r="V18" i="19"/>
  <c r="U18" i="19"/>
  <c r="T18" i="19"/>
  <c r="S18" i="19"/>
  <c r="X17" i="19"/>
  <c r="W17" i="19"/>
  <c r="V17" i="19"/>
  <c r="U17" i="19"/>
  <c r="T17" i="19"/>
  <c r="S17" i="19"/>
  <c r="X16" i="19"/>
  <c r="W16" i="19"/>
  <c r="V16" i="19"/>
  <c r="U16" i="19"/>
  <c r="T16" i="19"/>
  <c r="S16" i="19"/>
  <c r="R28" i="19"/>
  <c r="R27" i="19"/>
  <c r="R26" i="19"/>
  <c r="R25" i="19"/>
  <c r="R24" i="19"/>
  <c r="R23" i="19"/>
  <c r="R21" i="19"/>
  <c r="R20" i="19"/>
  <c r="R19" i="19"/>
  <c r="R18" i="19"/>
  <c r="R17" i="19"/>
  <c r="R16" i="19"/>
  <c r="H19" i="12"/>
  <c r="AG14" i="12"/>
  <c r="F26" i="1"/>
  <c r="E26" i="1"/>
  <c r="D26" i="1"/>
  <c r="F25" i="1"/>
  <c r="E25" i="1"/>
  <c r="D25" i="1"/>
  <c r="C26" i="1"/>
  <c r="C25" i="1"/>
  <c r="F24" i="1"/>
  <c r="E24" i="1"/>
  <c r="D24" i="1"/>
  <c r="C24" i="1"/>
  <c r="O18" i="26" l="1"/>
  <c r="N18" i="26"/>
  <c r="V89" i="26"/>
  <c r="U89" i="26"/>
  <c r="T89" i="26"/>
  <c r="S89" i="26"/>
  <c r="S91" i="26" s="1"/>
  <c r="R89" i="26"/>
  <c r="Q89" i="26"/>
  <c r="P89" i="26"/>
  <c r="O89" i="26"/>
  <c r="O91" i="26" s="1"/>
  <c r="V87" i="26"/>
  <c r="U87" i="26"/>
  <c r="T87" i="26"/>
  <c r="S87" i="26"/>
  <c r="R87" i="26"/>
  <c r="Q87" i="26"/>
  <c r="V86" i="26"/>
  <c r="U86" i="26"/>
  <c r="T86" i="26"/>
  <c r="S86" i="26"/>
  <c r="S101" i="26" s="1"/>
  <c r="R86" i="26"/>
  <c r="Q86" i="26"/>
  <c r="V85" i="26"/>
  <c r="U85" i="26"/>
  <c r="T85" i="26"/>
  <c r="S85" i="26"/>
  <c r="R85" i="26"/>
  <c r="Q85" i="26"/>
  <c r="V82" i="26"/>
  <c r="U82" i="26"/>
  <c r="T82" i="26"/>
  <c r="S82" i="26"/>
  <c r="R82" i="26"/>
  <c r="Q82" i="26"/>
  <c r="V81" i="26"/>
  <c r="U81" i="26"/>
  <c r="T81" i="26"/>
  <c r="S81" i="26"/>
  <c r="R81" i="26"/>
  <c r="Q81" i="26"/>
  <c r="V80" i="26"/>
  <c r="U80" i="26"/>
  <c r="T80" i="26"/>
  <c r="S80" i="26"/>
  <c r="R80" i="26"/>
  <c r="Q80" i="26"/>
  <c r="P87" i="26"/>
  <c r="P86" i="26"/>
  <c r="P85" i="26"/>
  <c r="P82" i="26"/>
  <c r="P81" i="26"/>
  <c r="P80" i="26"/>
  <c r="Q18" i="26"/>
  <c r="V18" i="26"/>
  <c r="U18" i="26"/>
  <c r="T18" i="26"/>
  <c r="S18" i="26"/>
  <c r="R18" i="26"/>
  <c r="P18" i="26"/>
  <c r="P91" i="26" s="1"/>
  <c r="P76" i="26"/>
  <c r="P75" i="26"/>
  <c r="P74" i="26"/>
  <c r="P73" i="26"/>
  <c r="P71" i="26"/>
  <c r="P70" i="26"/>
  <c r="P69" i="26"/>
  <c r="P68" i="26"/>
  <c r="V42" i="26"/>
  <c r="U42" i="26"/>
  <c r="T42" i="26"/>
  <c r="S42" i="26"/>
  <c r="R42" i="26"/>
  <c r="Q42" i="26"/>
  <c r="V41" i="26"/>
  <c r="U41" i="26"/>
  <c r="T41" i="26"/>
  <c r="S41" i="26"/>
  <c r="R41" i="26"/>
  <c r="Q41" i="26"/>
  <c r="V40" i="26"/>
  <c r="U40" i="26"/>
  <c r="T40" i="26"/>
  <c r="S40" i="26"/>
  <c r="R40" i="26"/>
  <c r="Q40" i="26"/>
  <c r="V37" i="26"/>
  <c r="U37" i="26"/>
  <c r="T37" i="26"/>
  <c r="S37" i="26"/>
  <c r="R37" i="26"/>
  <c r="Q37" i="26"/>
  <c r="V36" i="26"/>
  <c r="U36" i="26"/>
  <c r="T36" i="26"/>
  <c r="S36" i="26"/>
  <c r="R36" i="26"/>
  <c r="Q36" i="26"/>
  <c r="V35" i="26"/>
  <c r="U35" i="26"/>
  <c r="T35" i="26"/>
  <c r="S35" i="26"/>
  <c r="R35" i="26"/>
  <c r="Q35" i="26"/>
  <c r="V33" i="26"/>
  <c r="U33" i="26"/>
  <c r="T33" i="26"/>
  <c r="S33" i="26"/>
  <c r="R33" i="26"/>
  <c r="Q33" i="26"/>
  <c r="P42" i="26"/>
  <c r="P41" i="26"/>
  <c r="P40" i="26"/>
  <c r="P37" i="26"/>
  <c r="P36" i="26"/>
  <c r="P35" i="26"/>
  <c r="P33" i="26"/>
  <c r="V16" i="26"/>
  <c r="U16" i="26"/>
  <c r="T16" i="26"/>
  <c r="S16" i="26"/>
  <c r="R16" i="26"/>
  <c r="Q16" i="26"/>
  <c r="P16" i="26"/>
  <c r="V15" i="26"/>
  <c r="U15" i="26"/>
  <c r="T15" i="26"/>
  <c r="T101" i="26" s="1"/>
  <c r="S15" i="26"/>
  <c r="R15" i="26"/>
  <c r="Q15" i="26"/>
  <c r="P15" i="26"/>
  <c r="V14" i="26"/>
  <c r="U14" i="26"/>
  <c r="T14" i="26"/>
  <c r="S14" i="26"/>
  <c r="R14" i="26"/>
  <c r="Q14" i="26"/>
  <c r="P14" i="26"/>
  <c r="V11" i="26"/>
  <c r="V60" i="26" s="1"/>
  <c r="U11" i="26"/>
  <c r="T11" i="26"/>
  <c r="S11" i="26"/>
  <c r="R11" i="26"/>
  <c r="Q11" i="26"/>
  <c r="V10" i="26"/>
  <c r="U10" i="26"/>
  <c r="U96" i="26" s="1"/>
  <c r="T10" i="26"/>
  <c r="T59" i="26" s="1"/>
  <c r="S10" i="26"/>
  <c r="R10" i="26"/>
  <c r="Q10" i="26"/>
  <c r="R9" i="26"/>
  <c r="R58" i="26" s="1"/>
  <c r="Q9" i="26"/>
  <c r="Q58" i="26" s="1"/>
  <c r="P11" i="26"/>
  <c r="P10" i="26"/>
  <c r="P9" i="26"/>
  <c r="K19" i="12"/>
  <c r="H17" i="12"/>
  <c r="W2" i="11"/>
  <c r="J20" i="11"/>
  <c r="K97" i="12"/>
  <c r="J97" i="12"/>
  <c r="H97" i="12"/>
  <c r="K96" i="12"/>
  <c r="J96" i="12"/>
  <c r="I96" i="12"/>
  <c r="H96" i="12"/>
  <c r="K95" i="12"/>
  <c r="J95" i="12"/>
  <c r="H95" i="12"/>
  <c r="K94" i="12"/>
  <c r="J94" i="12"/>
  <c r="I94" i="12"/>
  <c r="H94" i="12"/>
  <c r="K93" i="12"/>
  <c r="J93" i="12"/>
  <c r="I93" i="12"/>
  <c r="H93" i="12"/>
  <c r="K92" i="12"/>
  <c r="J92" i="12"/>
  <c r="I92" i="12"/>
  <c r="H92" i="12"/>
  <c r="K91" i="12"/>
  <c r="J91" i="12"/>
  <c r="I91" i="12"/>
  <c r="H91" i="12"/>
  <c r="G97" i="12"/>
  <c r="G96" i="12"/>
  <c r="G95" i="12"/>
  <c r="G94" i="12"/>
  <c r="G93" i="12"/>
  <c r="G92" i="12"/>
  <c r="G91" i="12"/>
  <c r="K88" i="12"/>
  <c r="J88" i="12"/>
  <c r="H88" i="12"/>
  <c r="G88" i="12"/>
  <c r="K86" i="12"/>
  <c r="J86" i="12"/>
  <c r="H86" i="12"/>
  <c r="K85" i="12"/>
  <c r="J85" i="12"/>
  <c r="H85" i="12"/>
  <c r="G86" i="12"/>
  <c r="G85" i="12"/>
  <c r="K1" i="12"/>
  <c r="J1" i="12"/>
  <c r="H1" i="12"/>
  <c r="G1" i="12"/>
  <c r="K2" i="12"/>
  <c r="J2" i="12"/>
  <c r="H2" i="12"/>
  <c r="G2" i="12"/>
  <c r="I32" i="12"/>
  <c r="M17" i="18"/>
  <c r="L17" i="18"/>
  <c r="K17" i="18"/>
  <c r="J17" i="18"/>
  <c r="T91" i="26" l="1"/>
  <c r="R91" i="26"/>
  <c r="U91" i="26"/>
  <c r="V91" i="26"/>
  <c r="Q91" i="26"/>
  <c r="R96" i="26"/>
  <c r="T100" i="26"/>
  <c r="V101" i="26"/>
  <c r="V59" i="26"/>
  <c r="U100" i="26"/>
  <c r="T97" i="26"/>
  <c r="R60" i="26"/>
  <c r="S59" i="26"/>
  <c r="T70" i="26" s="1"/>
  <c r="U65" i="26"/>
  <c r="Q95" i="26"/>
  <c r="T84" i="26"/>
  <c r="R101" i="26"/>
  <c r="T102" i="26"/>
  <c r="P100" i="26"/>
  <c r="P96" i="26"/>
  <c r="V96" i="26"/>
  <c r="Q65" i="26"/>
  <c r="P97" i="26"/>
  <c r="Q97" i="26"/>
  <c r="R100" i="26"/>
  <c r="R97" i="26"/>
  <c r="V102" i="26"/>
  <c r="P84" i="26"/>
  <c r="Q96" i="26"/>
  <c r="S97" i="26"/>
  <c r="S84" i="26"/>
  <c r="U101" i="26"/>
  <c r="S60" i="26"/>
  <c r="S96" i="26"/>
  <c r="P102" i="26"/>
  <c r="Q59" i="26"/>
  <c r="Q52" i="26"/>
  <c r="U97" i="26"/>
  <c r="R59" i="26"/>
  <c r="T60" i="26"/>
  <c r="R95" i="26"/>
  <c r="V97" i="26"/>
  <c r="V100" i="26"/>
  <c r="R102" i="26"/>
  <c r="P65" i="26"/>
  <c r="P34" i="26"/>
  <c r="P79" i="26"/>
  <c r="R84" i="26"/>
  <c r="Q84" i="26"/>
  <c r="S102" i="26"/>
  <c r="Q100" i="26"/>
  <c r="U59" i="26"/>
  <c r="V70" i="26" s="1"/>
  <c r="U45" i="26"/>
  <c r="R79" i="26"/>
  <c r="V84" i="26"/>
  <c r="P95" i="26"/>
  <c r="Q79" i="26"/>
  <c r="U79" i="26"/>
  <c r="S100" i="26"/>
  <c r="U102" i="26"/>
  <c r="P60" i="26"/>
  <c r="Q63" i="26"/>
  <c r="R48" i="26"/>
  <c r="T49" i="26"/>
  <c r="V52" i="26"/>
  <c r="T79" i="26"/>
  <c r="P58" i="26"/>
  <c r="Q69" i="26" s="1"/>
  <c r="Q60" i="26"/>
  <c r="S64" i="26"/>
  <c r="T65" i="26"/>
  <c r="Q34" i="26"/>
  <c r="V79" i="26"/>
  <c r="T96" i="26"/>
  <c r="P101" i="26"/>
  <c r="Q102" i="26"/>
  <c r="Q101" i="26"/>
  <c r="T63" i="26"/>
  <c r="U74" i="26" s="1"/>
  <c r="U64" i="26"/>
  <c r="S53" i="26"/>
  <c r="U63" i="26"/>
  <c r="V48" i="26"/>
  <c r="T53" i="26"/>
  <c r="V54" i="26"/>
  <c r="S79" i="26"/>
  <c r="U84" i="26"/>
  <c r="R63" i="26"/>
  <c r="S48" i="26"/>
  <c r="U49" i="26"/>
  <c r="S54" i="26"/>
  <c r="T64" i="26"/>
  <c r="V63" i="26"/>
  <c r="V74" i="26" s="1"/>
  <c r="S45" i="26"/>
  <c r="U53" i="26"/>
  <c r="T52" i="26"/>
  <c r="P63" i="26"/>
  <c r="R65" i="26"/>
  <c r="Q53" i="26"/>
  <c r="V53" i="26"/>
  <c r="R53" i="26"/>
  <c r="S71" i="26"/>
  <c r="U48" i="26"/>
  <c r="S63" i="26"/>
  <c r="T48" i="26"/>
  <c r="V49" i="26"/>
  <c r="T54" i="26"/>
  <c r="U54" i="26"/>
  <c r="V64" i="26"/>
  <c r="T34" i="26"/>
  <c r="R39" i="26"/>
  <c r="V47" i="26"/>
  <c r="P59" i="26"/>
  <c r="Q64" i="26"/>
  <c r="Q48" i="26"/>
  <c r="S49" i="26"/>
  <c r="U39" i="26"/>
  <c r="T45" i="26"/>
  <c r="R64" i="26"/>
  <c r="S65" i="26"/>
  <c r="P39" i="26"/>
  <c r="R69" i="26"/>
  <c r="U60" i="26"/>
  <c r="U71" i="26" s="1"/>
  <c r="U34" i="26"/>
  <c r="S39" i="26"/>
  <c r="V34" i="26"/>
  <c r="Q45" i="26"/>
  <c r="U47" i="26"/>
  <c r="Q49" i="26"/>
  <c r="U52" i="26"/>
  <c r="Q54" i="26"/>
  <c r="T47" i="26"/>
  <c r="P64" i="26"/>
  <c r="T39" i="26"/>
  <c r="R45" i="26"/>
  <c r="R49" i="26"/>
  <c r="R54" i="26"/>
  <c r="V39" i="26"/>
  <c r="V65" i="26"/>
  <c r="Q47" i="26"/>
  <c r="R34" i="26"/>
  <c r="V45" i="26"/>
  <c r="R47" i="26"/>
  <c r="R52" i="26"/>
  <c r="S34" i="26"/>
  <c r="Q39" i="26"/>
  <c r="S47" i="26"/>
  <c r="S52" i="26"/>
  <c r="V30" i="26"/>
  <c r="Q8" i="26"/>
  <c r="R28" i="26"/>
  <c r="S29" i="26"/>
  <c r="T30" i="26"/>
  <c r="S24" i="26"/>
  <c r="Q25" i="26"/>
  <c r="U24" i="26"/>
  <c r="Q29" i="26"/>
  <c r="R25" i="26"/>
  <c r="S28" i="26"/>
  <c r="T29" i="26"/>
  <c r="U30" i="26"/>
  <c r="Q30" i="26"/>
  <c r="T25" i="26"/>
  <c r="U28" i="26"/>
  <c r="V29" i="26"/>
  <c r="S13" i="26"/>
  <c r="U25" i="26"/>
  <c r="V28" i="26"/>
  <c r="R13" i="26"/>
  <c r="R99" i="26" s="1"/>
  <c r="V24" i="26"/>
  <c r="R29" i="26"/>
  <c r="P8" i="26"/>
  <c r="P57" i="26" s="1"/>
  <c r="R24" i="26"/>
  <c r="S25" i="26"/>
  <c r="U29" i="26"/>
  <c r="T13" i="26"/>
  <c r="T99" i="26" s="1"/>
  <c r="T24" i="26"/>
  <c r="U13" i="26"/>
  <c r="R23" i="26"/>
  <c r="T28" i="26"/>
  <c r="R8" i="26"/>
  <c r="V13" i="26"/>
  <c r="R30" i="26"/>
  <c r="P13" i="26"/>
  <c r="Q23" i="26"/>
  <c r="S30" i="26"/>
  <c r="Q13" i="26"/>
  <c r="Q99" i="26" s="1"/>
  <c r="Q24" i="26"/>
  <c r="V25" i="26"/>
  <c r="Q28" i="26"/>
  <c r="P32" i="26" l="1"/>
  <c r="T75" i="26"/>
  <c r="U70" i="26"/>
  <c r="P99" i="26"/>
  <c r="S70" i="26"/>
  <c r="Q76" i="26"/>
  <c r="T71" i="26"/>
  <c r="Q71" i="26"/>
  <c r="R76" i="26"/>
  <c r="R70" i="26"/>
  <c r="P78" i="26"/>
  <c r="P90" i="26" s="1"/>
  <c r="V76" i="26"/>
  <c r="U75" i="26"/>
  <c r="U76" i="26"/>
  <c r="S99" i="26"/>
  <c r="R71" i="26"/>
  <c r="T74" i="26"/>
  <c r="S75" i="26"/>
  <c r="Q70" i="26"/>
  <c r="T32" i="26"/>
  <c r="AB34" i="26" s="1"/>
  <c r="V75" i="26"/>
  <c r="Q46" i="26"/>
  <c r="V32" i="26"/>
  <c r="AD34" i="26" s="1"/>
  <c r="S78" i="26"/>
  <c r="S90" i="26" s="1"/>
  <c r="R78" i="26"/>
  <c r="R90" i="26" s="1"/>
  <c r="R94" i="26"/>
  <c r="V99" i="26"/>
  <c r="Q57" i="26"/>
  <c r="Q68" i="26" s="1"/>
  <c r="U99" i="26"/>
  <c r="Q62" i="26"/>
  <c r="S74" i="26"/>
  <c r="Q74" i="26"/>
  <c r="P94" i="26"/>
  <c r="R74" i="26"/>
  <c r="U78" i="26"/>
  <c r="U90" i="26" s="1"/>
  <c r="T78" i="26"/>
  <c r="T90" i="26" s="1"/>
  <c r="Q32" i="26"/>
  <c r="Y35" i="26" s="1"/>
  <c r="S76" i="26"/>
  <c r="Q75" i="26"/>
  <c r="V78" i="26"/>
  <c r="V90" i="26" s="1"/>
  <c r="Q78" i="26"/>
  <c r="Q90" i="26" s="1"/>
  <c r="Q94" i="26"/>
  <c r="U51" i="26"/>
  <c r="R32" i="26"/>
  <c r="Z40" i="26" s="1"/>
  <c r="T76" i="26"/>
  <c r="R57" i="26"/>
  <c r="X41" i="26"/>
  <c r="X40" i="26"/>
  <c r="X34" i="26"/>
  <c r="R62" i="26"/>
  <c r="P62" i="26"/>
  <c r="R75" i="26"/>
  <c r="T46" i="26"/>
  <c r="U62" i="26"/>
  <c r="V51" i="26"/>
  <c r="V62" i="26"/>
  <c r="S62" i="26"/>
  <c r="AB35" i="26"/>
  <c r="X32" i="26"/>
  <c r="X42" i="26"/>
  <c r="X37" i="26"/>
  <c r="S32" i="26"/>
  <c r="AA39" i="26" s="1"/>
  <c r="X33" i="26"/>
  <c r="AB39" i="26"/>
  <c r="T51" i="26"/>
  <c r="X39" i="26"/>
  <c r="V71" i="26"/>
  <c r="X36" i="26"/>
  <c r="T62" i="26"/>
  <c r="V46" i="26"/>
  <c r="S46" i="26"/>
  <c r="U46" i="26"/>
  <c r="U32" i="26"/>
  <c r="Q51" i="26"/>
  <c r="R46" i="26"/>
  <c r="R51" i="26"/>
  <c r="X35" i="26"/>
  <c r="S51" i="26"/>
  <c r="R27" i="26"/>
  <c r="P7" i="26"/>
  <c r="Q22" i="26"/>
  <c r="S27" i="26"/>
  <c r="U27" i="26"/>
  <c r="V27" i="26"/>
  <c r="R7" i="26"/>
  <c r="R19" i="26" s="1"/>
  <c r="R22" i="26"/>
  <c r="Q27" i="26"/>
  <c r="T27" i="26"/>
  <c r="Q7" i="26"/>
  <c r="Q19" i="26" s="1"/>
  <c r="B5" i="32"/>
  <c r="V1" i="32"/>
  <c r="B1" i="32"/>
  <c r="A1" i="32" a="1"/>
  <c r="A1" i="32" s="1"/>
  <c r="B2" i="32" s="1"/>
  <c r="B4" i="32" s="1"/>
  <c r="B5" i="31"/>
  <c r="V1" i="31"/>
  <c r="B1" i="31"/>
  <c r="A1" i="31" a="1"/>
  <c r="A1" i="31" s="1"/>
  <c r="B2" i="31" s="1"/>
  <c r="B4" i="31" s="1"/>
  <c r="B5" i="30"/>
  <c r="V1" i="30"/>
  <c r="B1" i="30"/>
  <c r="A1" i="30" a="1"/>
  <c r="A1" i="30" s="1"/>
  <c r="B2" i="30" s="1"/>
  <c r="B4" i="30" s="1"/>
  <c r="AF86" i="7"/>
  <c r="AE86" i="7"/>
  <c r="AD86" i="7"/>
  <c r="AC86" i="7"/>
  <c r="AB86" i="7"/>
  <c r="AF85" i="7"/>
  <c r="AE85" i="7"/>
  <c r="AD85" i="7"/>
  <c r="AC85" i="7"/>
  <c r="AB85" i="7"/>
  <c r="AF84" i="7"/>
  <c r="AE84" i="7"/>
  <c r="AD84" i="7"/>
  <c r="AC84" i="7"/>
  <c r="AB84" i="7"/>
  <c r="AF83" i="7"/>
  <c r="AE83" i="7"/>
  <c r="AD83" i="7"/>
  <c r="AC83" i="7"/>
  <c r="AB83" i="7"/>
  <c r="AF81" i="7"/>
  <c r="AE81" i="7"/>
  <c r="AD81" i="7"/>
  <c r="AC81" i="7"/>
  <c r="AB81" i="7"/>
  <c r="AF80" i="7"/>
  <c r="AE80" i="7"/>
  <c r="AD80" i="7"/>
  <c r="AC80" i="7"/>
  <c r="AB80" i="7"/>
  <c r="AF78" i="7"/>
  <c r="AE78" i="7"/>
  <c r="AD78" i="7"/>
  <c r="AC78" i="7"/>
  <c r="AB78" i="7"/>
  <c r="AF77" i="7"/>
  <c r="AE77" i="7"/>
  <c r="AD77" i="7"/>
  <c r="AC77" i="7"/>
  <c r="AB77" i="7"/>
  <c r="AF76" i="7"/>
  <c r="AE76" i="7"/>
  <c r="AC76" i="7"/>
  <c r="AB76" i="7"/>
  <c r="AF73" i="7"/>
  <c r="AE73" i="7"/>
  <c r="AD73" i="7"/>
  <c r="AC73" i="7"/>
  <c r="AB73" i="7"/>
  <c r="AF72" i="7"/>
  <c r="AE72" i="7"/>
  <c r="AD72" i="7"/>
  <c r="AC72" i="7"/>
  <c r="AB72" i="7"/>
  <c r="AF71" i="7"/>
  <c r="AE71" i="7"/>
  <c r="AD71" i="7"/>
  <c r="AC71" i="7"/>
  <c r="AB71" i="7"/>
  <c r="AB70" i="7"/>
  <c r="AA86" i="7"/>
  <c r="AA85" i="7"/>
  <c r="AA84" i="7"/>
  <c r="AA83" i="7"/>
  <c r="AA81" i="7"/>
  <c r="AA80" i="7"/>
  <c r="AA78" i="7"/>
  <c r="AA77" i="7"/>
  <c r="AA76" i="7"/>
  <c r="AA75" i="7"/>
  <c r="AA73" i="7"/>
  <c r="AA72" i="7"/>
  <c r="AA71" i="7"/>
  <c r="AA70" i="7"/>
  <c r="AF18" i="7"/>
  <c r="AE18" i="7"/>
  <c r="AD18" i="7"/>
  <c r="AC18" i="7"/>
  <c r="AB18" i="7"/>
  <c r="AA18" i="7"/>
  <c r="B5" i="29"/>
  <c r="V1" i="29"/>
  <c r="B1" i="29"/>
  <c r="A1" i="29" a="1"/>
  <c r="A1" i="29" s="1"/>
  <c r="B2" i="29" s="1"/>
  <c r="B4" i="29" s="1"/>
  <c r="B5" i="28"/>
  <c r="V1" i="28"/>
  <c r="B1" i="28"/>
  <c r="A1" i="28" a="1"/>
  <c r="A1" i="28" s="1"/>
  <c r="B2" i="28" s="1"/>
  <c r="B4" i="28" s="1"/>
  <c r="B5" i="27"/>
  <c r="V1" i="27"/>
  <c r="B1" i="27"/>
  <c r="A1" i="27" a="1"/>
  <c r="A1" i="27" s="1"/>
  <c r="B2" i="27" s="1"/>
  <c r="B4" i="27" s="1"/>
  <c r="B5" i="26"/>
  <c r="V1" i="26"/>
  <c r="B1" i="26"/>
  <c r="A1" i="26" a="1"/>
  <c r="A1" i="26" s="1"/>
  <c r="B2" i="26" s="1"/>
  <c r="B4" i="26" s="1"/>
  <c r="B5" i="25"/>
  <c r="V1" i="25"/>
  <c r="B1" i="25"/>
  <c r="A1" i="25" a="1"/>
  <c r="A1" i="25" s="1"/>
  <c r="B2" i="25" s="1"/>
  <c r="B4" i="25" s="1"/>
  <c r="B5" i="23"/>
  <c r="B1" i="23"/>
  <c r="C2" i="24"/>
  <c r="C9" i="24"/>
  <c r="C10" i="24" s="1"/>
  <c r="C8" i="24"/>
  <c r="B1" i="24"/>
  <c r="P1" i="23"/>
  <c r="A1" i="23" a="1"/>
  <c r="A1" i="23" s="1"/>
  <c r="B2" i="23" s="1"/>
  <c r="B4" i="23" s="1"/>
  <c r="Y32" i="26" l="1"/>
  <c r="Q73" i="26"/>
  <c r="R73" i="26"/>
  <c r="Z36" i="26"/>
  <c r="AB36" i="26"/>
  <c r="AB42" i="26"/>
  <c r="AB32" i="26"/>
  <c r="AB33" i="26"/>
  <c r="V44" i="26"/>
  <c r="AB40" i="26"/>
  <c r="Z33" i="26"/>
  <c r="AB37" i="26"/>
  <c r="Z34" i="26"/>
  <c r="Y41" i="26"/>
  <c r="R68" i="26"/>
  <c r="Y33" i="26"/>
  <c r="AB41" i="26"/>
  <c r="Y42" i="26"/>
  <c r="V73" i="26"/>
  <c r="Y94" i="26"/>
  <c r="X15" i="26"/>
  <c r="P19" i="26"/>
  <c r="Y34" i="26"/>
  <c r="Y39" i="26"/>
  <c r="Y40" i="26"/>
  <c r="Z94" i="26"/>
  <c r="Y37" i="26"/>
  <c r="R44" i="26"/>
  <c r="AD39" i="26"/>
  <c r="R93" i="26"/>
  <c r="Y36" i="26"/>
  <c r="P93" i="26"/>
  <c r="Q44" i="26"/>
  <c r="Q93" i="26"/>
  <c r="AD42" i="26"/>
  <c r="AD33" i="26"/>
  <c r="AD32" i="26"/>
  <c r="AD40" i="26"/>
  <c r="AD41" i="26"/>
  <c r="AD37" i="26"/>
  <c r="AD36" i="26"/>
  <c r="AD35" i="26"/>
  <c r="Z42" i="26"/>
  <c r="T73" i="26"/>
  <c r="Z39" i="26"/>
  <c r="Z37" i="26"/>
  <c r="Z41" i="26"/>
  <c r="Z35" i="26"/>
  <c r="Z32" i="26"/>
  <c r="S73" i="26"/>
  <c r="T44" i="26"/>
  <c r="Y13" i="26"/>
  <c r="Q56" i="26"/>
  <c r="S44" i="26"/>
  <c r="AA32" i="26"/>
  <c r="AA37" i="26"/>
  <c r="AA33" i="26"/>
  <c r="AA42" i="26"/>
  <c r="AA36" i="26"/>
  <c r="AA35" i="26"/>
  <c r="AA40" i="26"/>
  <c r="AA41" i="26"/>
  <c r="AC34" i="26"/>
  <c r="U73" i="26"/>
  <c r="AA34" i="26"/>
  <c r="X14" i="26"/>
  <c r="P56" i="26"/>
  <c r="Z8" i="26"/>
  <c r="R56" i="26"/>
  <c r="R67" i="26" s="1"/>
  <c r="U44" i="26"/>
  <c r="AC32" i="26"/>
  <c r="AC39" i="26"/>
  <c r="AC37" i="26"/>
  <c r="AC36" i="26"/>
  <c r="AC41" i="26"/>
  <c r="AC35" i="26"/>
  <c r="AC33" i="26"/>
  <c r="AC40" i="26"/>
  <c r="AC42" i="26"/>
  <c r="X13" i="26"/>
  <c r="X11" i="26"/>
  <c r="X9" i="26"/>
  <c r="X8" i="26"/>
  <c r="X7" i="26"/>
  <c r="X10" i="26"/>
  <c r="X16" i="26"/>
  <c r="Q21" i="26"/>
  <c r="Y7" i="26"/>
  <c r="Y15" i="26"/>
  <c r="Y9" i="26"/>
  <c r="Y8" i="26"/>
  <c r="Y11" i="26"/>
  <c r="Y16" i="26"/>
  <c r="Y14" i="26"/>
  <c r="Y10" i="26"/>
  <c r="Z14" i="26"/>
  <c r="Z15" i="26"/>
  <c r="Z10" i="26"/>
  <c r="R21" i="26"/>
  <c r="Z7" i="26"/>
  <c r="Z11" i="26"/>
  <c r="Z13" i="26"/>
  <c r="Z9" i="26"/>
  <c r="Z16" i="26"/>
  <c r="AH7" i="7"/>
  <c r="AI7" i="7" s="1"/>
  <c r="AJ7" i="7" s="1"/>
  <c r="AK7" i="7" s="1"/>
  <c r="AL7" i="7" s="1"/>
  <c r="AF26" i="7"/>
  <c r="AE26" i="7"/>
  <c r="AD26" i="7"/>
  <c r="AC26" i="7"/>
  <c r="AB26" i="7"/>
  <c r="AA26" i="7"/>
  <c r="AF25" i="7"/>
  <c r="AE25" i="7"/>
  <c r="AD25" i="7"/>
  <c r="AC25" i="7"/>
  <c r="AB25" i="7"/>
  <c r="AA25" i="7"/>
  <c r="AF24" i="7"/>
  <c r="AE24" i="7"/>
  <c r="AD24" i="7"/>
  <c r="AC24" i="7"/>
  <c r="AB24" i="7"/>
  <c r="AA24" i="7"/>
  <c r="AF23" i="7"/>
  <c r="AE23" i="7"/>
  <c r="AD23" i="7"/>
  <c r="AC23" i="7"/>
  <c r="AB23" i="7"/>
  <c r="AA23" i="7"/>
  <c r="AF21" i="7"/>
  <c r="AE21" i="7"/>
  <c r="AD21" i="7"/>
  <c r="AC21" i="7"/>
  <c r="AB21" i="7"/>
  <c r="AA21" i="7"/>
  <c r="AF20" i="7"/>
  <c r="AE20" i="7"/>
  <c r="AD20" i="7"/>
  <c r="AC20" i="7"/>
  <c r="AB20" i="7"/>
  <c r="AA20" i="7"/>
  <c r="AF17" i="7"/>
  <c r="AE17" i="7"/>
  <c r="AD17" i="7"/>
  <c r="AC17" i="7"/>
  <c r="AB17" i="7"/>
  <c r="AA17" i="7"/>
  <c r="AF16" i="7"/>
  <c r="AE16" i="7"/>
  <c r="AC16" i="7"/>
  <c r="AB16" i="7"/>
  <c r="AA16" i="7"/>
  <c r="AC15" i="7"/>
  <c r="AB15" i="7"/>
  <c r="AA15" i="7"/>
  <c r="AF13" i="7"/>
  <c r="AE13" i="7"/>
  <c r="AD13" i="7"/>
  <c r="AC13" i="7"/>
  <c r="AB13" i="7"/>
  <c r="AA13" i="7"/>
  <c r="AF12" i="7"/>
  <c r="AE12" i="7"/>
  <c r="AD12" i="7"/>
  <c r="AC12" i="7"/>
  <c r="AB12" i="7"/>
  <c r="AA12" i="7"/>
  <c r="AF11" i="7"/>
  <c r="AE11" i="7"/>
  <c r="AD11" i="7"/>
  <c r="AC11" i="7"/>
  <c r="AA11" i="7"/>
  <c r="AB10" i="7"/>
  <c r="AA10" i="7"/>
  <c r="AB7" i="7"/>
  <c r="AC7" i="7" s="1"/>
  <c r="AD7" i="7" s="1"/>
  <c r="AE7" i="7" s="1"/>
  <c r="AF7" i="7" s="1"/>
  <c r="AC171" i="21"/>
  <c r="AB171" i="21"/>
  <c r="AB168" i="21" s="1"/>
  <c r="AA171" i="21"/>
  <c r="X171" i="21"/>
  <c r="P171" i="21"/>
  <c r="I171" i="21"/>
  <c r="AB170" i="21"/>
  <c r="AA170" i="21"/>
  <c r="AC170" i="21" s="1"/>
  <c r="X170" i="21"/>
  <c r="P170" i="21"/>
  <c r="I170" i="21"/>
  <c r="AB169" i="21"/>
  <c r="AA169" i="21"/>
  <c r="AC169" i="21" s="1"/>
  <c r="X169" i="21"/>
  <c r="P169" i="21"/>
  <c r="I169" i="21"/>
  <c r="Z168" i="21"/>
  <c r="Y168" i="21"/>
  <c r="W168" i="21"/>
  <c r="V168" i="21"/>
  <c r="U168" i="21"/>
  <c r="T168" i="21"/>
  <c r="S168" i="21"/>
  <c r="R168" i="21"/>
  <c r="Q168" i="21"/>
  <c r="O168" i="21"/>
  <c r="N168" i="21"/>
  <c r="M168" i="21"/>
  <c r="L168" i="21"/>
  <c r="K168" i="21"/>
  <c r="J168" i="21"/>
  <c r="H168" i="21"/>
  <c r="G168" i="21"/>
  <c r="F168" i="21"/>
  <c r="E168" i="21"/>
  <c r="D168" i="21"/>
  <c r="C168" i="21"/>
  <c r="AC165" i="21"/>
  <c r="AA165" i="21"/>
  <c r="X165" i="21"/>
  <c r="P165" i="21"/>
  <c r="I165" i="21"/>
  <c r="AA164" i="21"/>
  <c r="AC164" i="21" s="1"/>
  <c r="X164" i="21"/>
  <c r="P164" i="21"/>
  <c r="I164" i="21"/>
  <c r="AA163" i="21"/>
  <c r="AC163" i="21" s="1"/>
  <c r="X163" i="21"/>
  <c r="P163" i="21"/>
  <c r="I163" i="21"/>
  <c r="AA162" i="21"/>
  <c r="AC162" i="21" s="1"/>
  <c r="X162" i="21"/>
  <c r="P162" i="21"/>
  <c r="I162" i="21"/>
  <c r="AC161" i="21"/>
  <c r="AA161" i="21"/>
  <c r="X161" i="21"/>
  <c r="P161" i="21"/>
  <c r="I161" i="21"/>
  <c r="AB161" i="21" s="1"/>
  <c r="AA160" i="21"/>
  <c r="AC160" i="21" s="1"/>
  <c r="X160" i="21"/>
  <c r="P160" i="21"/>
  <c r="I160" i="21"/>
  <c r="AA159" i="21"/>
  <c r="AC159" i="21" s="1"/>
  <c r="X159" i="21"/>
  <c r="P159" i="21"/>
  <c r="I159" i="21"/>
  <c r="AA158" i="21"/>
  <c r="AC158" i="21" s="1"/>
  <c r="X158" i="21"/>
  <c r="P158" i="21"/>
  <c r="I158" i="21"/>
  <c r="AA157" i="21"/>
  <c r="AC157" i="21" s="1"/>
  <c r="X157" i="21"/>
  <c r="P157" i="21"/>
  <c r="I157" i="21"/>
  <c r="AC156" i="21"/>
  <c r="AA156" i="21"/>
  <c r="X156" i="21"/>
  <c r="P156" i="21"/>
  <c r="I156" i="21"/>
  <c r="AA155" i="21"/>
  <c r="AC155" i="21" s="1"/>
  <c r="X155" i="21"/>
  <c r="P155" i="21"/>
  <c r="AB155" i="21" s="1"/>
  <c r="I155" i="21"/>
  <c r="AA154" i="21"/>
  <c r="AC154" i="21" s="1"/>
  <c r="X154" i="21"/>
  <c r="P154" i="21"/>
  <c r="I154" i="21"/>
  <c r="AA153" i="21"/>
  <c r="AC153" i="21" s="1"/>
  <c r="X153" i="21"/>
  <c r="P153" i="21"/>
  <c r="I153" i="21"/>
  <c r="AA152" i="21"/>
  <c r="AC152" i="21" s="1"/>
  <c r="X152" i="21"/>
  <c r="P152" i="21"/>
  <c r="I152" i="21"/>
  <c r="AA151" i="21"/>
  <c r="AC151" i="21" s="1"/>
  <c r="X151" i="21"/>
  <c r="P151" i="21"/>
  <c r="I151" i="21"/>
  <c r="AA150" i="21"/>
  <c r="AC150" i="21" s="1"/>
  <c r="X150" i="21"/>
  <c r="P150" i="21"/>
  <c r="I150" i="21"/>
  <c r="AA149" i="21"/>
  <c r="AC149" i="21" s="1"/>
  <c r="X149" i="21"/>
  <c r="P149" i="21"/>
  <c r="I149" i="21"/>
  <c r="AC148" i="21"/>
  <c r="AA148" i="21"/>
  <c r="X148" i="21"/>
  <c r="P148" i="21"/>
  <c r="I148" i="21"/>
  <c r="AA147" i="21"/>
  <c r="AC147" i="21" s="1"/>
  <c r="X147" i="21"/>
  <c r="P147" i="21"/>
  <c r="I147" i="21"/>
  <c r="AB147" i="21" s="1"/>
  <c r="AA146" i="21"/>
  <c r="AC146" i="21" s="1"/>
  <c r="AC129" i="21" s="1"/>
  <c r="X146" i="21"/>
  <c r="P146" i="21"/>
  <c r="I146" i="21"/>
  <c r="AA145" i="21"/>
  <c r="AC145" i="21" s="1"/>
  <c r="X145" i="21"/>
  <c r="P145" i="21"/>
  <c r="I145" i="21"/>
  <c r="AA144" i="21"/>
  <c r="AC144" i="21" s="1"/>
  <c r="X144" i="21"/>
  <c r="P144" i="21"/>
  <c r="I144" i="21"/>
  <c r="AA143" i="21"/>
  <c r="AC143" i="21" s="1"/>
  <c r="X143" i="21"/>
  <c r="P143" i="21"/>
  <c r="I143" i="21"/>
  <c r="AA142" i="21"/>
  <c r="AC142" i="21" s="1"/>
  <c r="X142" i="21"/>
  <c r="P142" i="21"/>
  <c r="I142" i="21"/>
  <c r="AA141" i="21"/>
  <c r="AC141" i="21" s="1"/>
  <c r="X141" i="21"/>
  <c r="P141" i="21"/>
  <c r="I141" i="21"/>
  <c r="AA140" i="21"/>
  <c r="AC140" i="21" s="1"/>
  <c r="X140" i="21"/>
  <c r="P140" i="21"/>
  <c r="I140" i="21"/>
  <c r="AA139" i="21"/>
  <c r="AC139" i="21" s="1"/>
  <c r="X139" i="21"/>
  <c r="P139" i="21"/>
  <c r="I139" i="21"/>
  <c r="AA138" i="21"/>
  <c r="AC138" i="21" s="1"/>
  <c r="X138" i="21"/>
  <c r="P138" i="21"/>
  <c r="I138" i="21"/>
  <c r="AB138" i="21" s="1"/>
  <c r="AA137" i="21"/>
  <c r="AC137" i="21" s="1"/>
  <c r="X137" i="21"/>
  <c r="P137" i="21"/>
  <c r="I137" i="21"/>
  <c r="AC136" i="21"/>
  <c r="AA136" i="21"/>
  <c r="X136" i="21"/>
  <c r="P136" i="21"/>
  <c r="I136" i="21"/>
  <c r="AB136" i="21" s="1"/>
  <c r="AA135" i="21"/>
  <c r="AC135" i="21" s="1"/>
  <c r="X135" i="21"/>
  <c r="P135" i="21"/>
  <c r="I135" i="21"/>
  <c r="AB135" i="21" s="1"/>
  <c r="AA134" i="21"/>
  <c r="AC134" i="21" s="1"/>
  <c r="X134" i="21"/>
  <c r="P134" i="21"/>
  <c r="I134" i="21"/>
  <c r="AA133" i="21"/>
  <c r="AC133" i="21" s="1"/>
  <c r="X133" i="21"/>
  <c r="P133" i="21"/>
  <c r="I133" i="21"/>
  <c r="AA132" i="21"/>
  <c r="AC132" i="21" s="1"/>
  <c r="X132" i="21"/>
  <c r="P132" i="21"/>
  <c r="I132" i="21"/>
  <c r="AA131" i="21"/>
  <c r="AC131" i="21" s="1"/>
  <c r="X131" i="21"/>
  <c r="P131" i="21"/>
  <c r="I131" i="21"/>
  <c r="Z130" i="21"/>
  <c r="Y130" i="21"/>
  <c r="W130" i="21"/>
  <c r="V130" i="21"/>
  <c r="U130" i="21"/>
  <c r="T130" i="21"/>
  <c r="S130" i="21"/>
  <c r="R130" i="21"/>
  <c r="Q130" i="21"/>
  <c r="O130" i="21"/>
  <c r="N130" i="21"/>
  <c r="M130" i="21"/>
  <c r="L130" i="21"/>
  <c r="K130" i="21"/>
  <c r="J130" i="21"/>
  <c r="H130" i="21"/>
  <c r="G130" i="21"/>
  <c r="F130" i="21"/>
  <c r="E130" i="21"/>
  <c r="D130" i="21"/>
  <c r="C130" i="21"/>
  <c r="Z129" i="21"/>
  <c r="Y129" i="21"/>
  <c r="W129" i="21"/>
  <c r="V129" i="21"/>
  <c r="U129" i="21"/>
  <c r="T129" i="21"/>
  <c r="S129" i="21"/>
  <c r="R129" i="21"/>
  <c r="Q129" i="21"/>
  <c r="O129" i="21"/>
  <c r="N129" i="21"/>
  <c r="M129" i="21"/>
  <c r="L129" i="21"/>
  <c r="K129" i="21"/>
  <c r="J129" i="21"/>
  <c r="H129" i="21"/>
  <c r="G129" i="21"/>
  <c r="F129" i="21"/>
  <c r="E129" i="21"/>
  <c r="D129" i="21"/>
  <c r="C129" i="21"/>
  <c r="Z128" i="21"/>
  <c r="Y128" i="21"/>
  <c r="W128" i="21"/>
  <c r="V128" i="21"/>
  <c r="U128" i="21"/>
  <c r="T128" i="21"/>
  <c r="S128" i="21"/>
  <c r="R128" i="21"/>
  <c r="Q128" i="21"/>
  <c r="O128" i="21"/>
  <c r="N128" i="21"/>
  <c r="M128" i="21"/>
  <c r="L128" i="21"/>
  <c r="K128" i="21"/>
  <c r="J128" i="21"/>
  <c r="H128" i="21"/>
  <c r="G128" i="21"/>
  <c r="F128" i="21"/>
  <c r="E128" i="21"/>
  <c r="D128" i="21"/>
  <c r="C128" i="21"/>
  <c r="Z127" i="21"/>
  <c r="Y127" i="21"/>
  <c r="W127" i="21"/>
  <c r="V127" i="21"/>
  <c r="U127" i="21"/>
  <c r="T127" i="21"/>
  <c r="S127" i="21"/>
  <c r="R127" i="21"/>
  <c r="Q127" i="21"/>
  <c r="O127" i="21"/>
  <c r="N127" i="21"/>
  <c r="M127" i="21"/>
  <c r="L127" i="21"/>
  <c r="K127" i="21"/>
  <c r="J127" i="21"/>
  <c r="H127" i="21"/>
  <c r="G127" i="21"/>
  <c r="F127" i="21"/>
  <c r="E127" i="21"/>
  <c r="D127" i="21"/>
  <c r="C127" i="21"/>
  <c r="Z126" i="21"/>
  <c r="Y126" i="21"/>
  <c r="W126" i="21"/>
  <c r="V126" i="21"/>
  <c r="U126" i="21"/>
  <c r="T126" i="21"/>
  <c r="S126" i="21"/>
  <c r="R126" i="21"/>
  <c r="Q126" i="21"/>
  <c r="O126" i="21"/>
  <c r="N126" i="21"/>
  <c r="M126" i="21"/>
  <c r="L126" i="21"/>
  <c r="K126" i="21"/>
  <c r="K125" i="21" s="1"/>
  <c r="J126" i="21"/>
  <c r="H126" i="21"/>
  <c r="G126" i="21"/>
  <c r="F126" i="21"/>
  <c r="E126" i="21"/>
  <c r="D126" i="21"/>
  <c r="C126" i="21"/>
  <c r="S125" i="21"/>
  <c r="Z123" i="21"/>
  <c r="Z124" i="21" s="1"/>
  <c r="Y123" i="21"/>
  <c r="W123" i="21"/>
  <c r="W124" i="21" s="1"/>
  <c r="V123" i="21"/>
  <c r="V124" i="21" s="1"/>
  <c r="U123" i="21"/>
  <c r="U124" i="21" s="1"/>
  <c r="T123" i="21"/>
  <c r="T124" i="21" s="1"/>
  <c r="S123" i="21"/>
  <c r="R123" i="21"/>
  <c r="R124" i="21" s="1"/>
  <c r="Q123" i="21"/>
  <c r="O123" i="21"/>
  <c r="O124" i="21" s="1"/>
  <c r="N123" i="21"/>
  <c r="M123" i="21"/>
  <c r="M124" i="21" s="1"/>
  <c r="L123" i="21"/>
  <c r="L124" i="21" s="1"/>
  <c r="K123" i="21"/>
  <c r="K124" i="21" s="1"/>
  <c r="J123" i="21"/>
  <c r="J124" i="21" s="1"/>
  <c r="H123" i="21"/>
  <c r="H124" i="21" s="1"/>
  <c r="G123" i="21"/>
  <c r="G124" i="21" s="1"/>
  <c r="F123" i="21"/>
  <c r="E123" i="21"/>
  <c r="E124" i="21" s="1"/>
  <c r="D123" i="21"/>
  <c r="D124" i="21" s="1"/>
  <c r="C123" i="21"/>
  <c r="C124" i="21" s="1"/>
  <c r="AA122" i="21"/>
  <c r="AC122" i="21" s="1"/>
  <c r="X122" i="21"/>
  <c r="P122" i="21"/>
  <c r="I122" i="21"/>
  <c r="AA121" i="21"/>
  <c r="AC121" i="21" s="1"/>
  <c r="X121" i="21"/>
  <c r="P121" i="21"/>
  <c r="I121" i="21"/>
  <c r="AB114" i="21"/>
  <c r="AA114" i="21"/>
  <c r="AC114" i="21" s="1"/>
  <c r="X114" i="21"/>
  <c r="P114" i="21"/>
  <c r="I114" i="21"/>
  <c r="AB113" i="21"/>
  <c r="AB111" i="21" s="1"/>
  <c r="AA113" i="21"/>
  <c r="AC113" i="21" s="1"/>
  <c r="X113" i="21"/>
  <c r="P113" i="21"/>
  <c r="I113" i="21"/>
  <c r="AB112" i="21"/>
  <c r="AA112" i="21"/>
  <c r="AC112" i="21" s="1"/>
  <c r="X112" i="21"/>
  <c r="P112" i="21"/>
  <c r="I112" i="21"/>
  <c r="Z111" i="21"/>
  <c r="Y111" i="21"/>
  <c r="AA111" i="21" s="1"/>
  <c r="W111" i="21"/>
  <c r="V111" i="21"/>
  <c r="U111" i="21"/>
  <c r="T111" i="21"/>
  <c r="S111" i="21"/>
  <c r="R111" i="21"/>
  <c r="Q111" i="21"/>
  <c r="O111" i="21"/>
  <c r="N111" i="21"/>
  <c r="M111" i="21"/>
  <c r="L111" i="21"/>
  <c r="K111" i="21"/>
  <c r="J111" i="21"/>
  <c r="H111" i="21"/>
  <c r="G111" i="21"/>
  <c r="F111" i="21"/>
  <c r="E111" i="21"/>
  <c r="D111" i="21"/>
  <c r="C111" i="21"/>
  <c r="AA108" i="21"/>
  <c r="AC108" i="21" s="1"/>
  <c r="X108" i="21"/>
  <c r="P108" i="21"/>
  <c r="I108" i="21"/>
  <c r="AC107" i="21"/>
  <c r="AA107" i="21"/>
  <c r="X107" i="21"/>
  <c r="P107" i="21"/>
  <c r="I107" i="21"/>
  <c r="AB107" i="21" s="1"/>
  <c r="AA106" i="21"/>
  <c r="AC106" i="21" s="1"/>
  <c r="X106" i="21"/>
  <c r="P106" i="21"/>
  <c r="I106" i="21"/>
  <c r="AA105" i="21"/>
  <c r="AC105" i="21" s="1"/>
  <c r="X105" i="21"/>
  <c r="P105" i="21"/>
  <c r="I105" i="21"/>
  <c r="AC104" i="21"/>
  <c r="AA104" i="21"/>
  <c r="X104" i="21"/>
  <c r="P104" i="21"/>
  <c r="I104" i="21"/>
  <c r="AA103" i="21"/>
  <c r="AC103" i="21" s="1"/>
  <c r="X103" i="21"/>
  <c r="P103" i="21"/>
  <c r="I103" i="21"/>
  <c r="AB103" i="21" s="1"/>
  <c r="AA102" i="21"/>
  <c r="AC102" i="21" s="1"/>
  <c r="X102" i="21"/>
  <c r="P102" i="21"/>
  <c r="I102" i="21"/>
  <c r="AA101" i="21"/>
  <c r="AC101" i="21" s="1"/>
  <c r="X101" i="21"/>
  <c r="P101" i="21"/>
  <c r="I101" i="21"/>
  <c r="AC100" i="21"/>
  <c r="AA100" i="21"/>
  <c r="X100" i="21"/>
  <c r="P100" i="21"/>
  <c r="I100" i="21"/>
  <c r="AC99" i="21"/>
  <c r="AA99" i="21"/>
  <c r="X99" i="21"/>
  <c r="P99" i="21"/>
  <c r="I99" i="21"/>
  <c r="AA98" i="21"/>
  <c r="AC98" i="21" s="1"/>
  <c r="X98" i="21"/>
  <c r="P98" i="21"/>
  <c r="I98" i="21"/>
  <c r="AA97" i="21"/>
  <c r="AC97" i="21" s="1"/>
  <c r="X97" i="21"/>
  <c r="P97" i="21"/>
  <c r="I97" i="21"/>
  <c r="AA96" i="21"/>
  <c r="AC96" i="21" s="1"/>
  <c r="X96" i="21"/>
  <c r="P96" i="21"/>
  <c r="I96" i="21"/>
  <c r="AA95" i="21"/>
  <c r="AC95" i="21" s="1"/>
  <c r="X95" i="21"/>
  <c r="P95" i="21"/>
  <c r="I95" i="21"/>
  <c r="AA94" i="21"/>
  <c r="AC94" i="21" s="1"/>
  <c r="X94" i="21"/>
  <c r="P94" i="21"/>
  <c r="I94" i="21"/>
  <c r="AA93" i="21"/>
  <c r="AC93" i="21" s="1"/>
  <c r="X93" i="21"/>
  <c r="P93" i="21"/>
  <c r="I93" i="21"/>
  <c r="AA92" i="21"/>
  <c r="AC92" i="21" s="1"/>
  <c r="X92" i="21"/>
  <c r="P92" i="21"/>
  <c r="I92" i="21"/>
  <c r="AB91" i="21"/>
  <c r="AA91" i="21"/>
  <c r="AC91" i="21" s="1"/>
  <c r="X91" i="21"/>
  <c r="P91" i="21"/>
  <c r="I91" i="21"/>
  <c r="AA90" i="21"/>
  <c r="AC90" i="21" s="1"/>
  <c r="X90" i="21"/>
  <c r="P90" i="21"/>
  <c r="I90" i="21"/>
  <c r="AA89" i="21"/>
  <c r="AC89" i="21" s="1"/>
  <c r="X89" i="21"/>
  <c r="P89" i="21"/>
  <c r="I89" i="21"/>
  <c r="AC88" i="21"/>
  <c r="AA88" i="21"/>
  <c r="X88" i="21"/>
  <c r="P88" i="21"/>
  <c r="I88" i="21"/>
  <c r="AA87" i="21"/>
  <c r="AC87" i="21" s="1"/>
  <c r="X87" i="21"/>
  <c r="P87" i="21"/>
  <c r="I87" i="21"/>
  <c r="AA86" i="21"/>
  <c r="AC86" i="21" s="1"/>
  <c r="X86" i="21"/>
  <c r="P86" i="21"/>
  <c r="I86" i="21"/>
  <c r="AA85" i="21"/>
  <c r="AC85" i="21" s="1"/>
  <c r="X85" i="21"/>
  <c r="P85" i="21"/>
  <c r="I85" i="21"/>
  <c r="AA84" i="21"/>
  <c r="AC84" i="21" s="1"/>
  <c r="X84" i="21"/>
  <c r="P84" i="21"/>
  <c r="I84" i="21"/>
  <c r="AA83" i="21"/>
  <c r="AC83" i="21" s="1"/>
  <c r="X83" i="21"/>
  <c r="P83" i="21"/>
  <c r="I83" i="21"/>
  <c r="AA82" i="21"/>
  <c r="AC82" i="21" s="1"/>
  <c r="X82" i="21"/>
  <c r="P82" i="21"/>
  <c r="I82" i="21"/>
  <c r="AA81" i="21"/>
  <c r="AC81" i="21" s="1"/>
  <c r="X81" i="21"/>
  <c r="P81" i="21"/>
  <c r="I81" i="21"/>
  <c r="AA80" i="21"/>
  <c r="AC80" i="21" s="1"/>
  <c r="X80" i="21"/>
  <c r="P80" i="21"/>
  <c r="I80" i="21"/>
  <c r="AC79" i="21"/>
  <c r="AA79" i="21"/>
  <c r="X79" i="21"/>
  <c r="P79" i="21"/>
  <c r="I79" i="21"/>
  <c r="AB79" i="21" s="1"/>
  <c r="AA78" i="21"/>
  <c r="AC78" i="21" s="1"/>
  <c r="X78" i="21"/>
  <c r="P78" i="21"/>
  <c r="I78" i="21"/>
  <c r="AA77" i="21"/>
  <c r="AC77" i="21" s="1"/>
  <c r="X77" i="21"/>
  <c r="P77" i="21"/>
  <c r="I77" i="21"/>
  <c r="AA76" i="21"/>
  <c r="AC76" i="21" s="1"/>
  <c r="X76" i="21"/>
  <c r="P76" i="21"/>
  <c r="I76" i="21"/>
  <c r="AA75" i="21"/>
  <c r="AC75" i="21" s="1"/>
  <c r="X75" i="21"/>
  <c r="P75" i="21"/>
  <c r="I75" i="21"/>
  <c r="AC74" i="21"/>
  <c r="AA74" i="21"/>
  <c r="X74" i="21"/>
  <c r="P74" i="21"/>
  <c r="I74" i="21"/>
  <c r="Z73" i="21"/>
  <c r="Y73" i="21"/>
  <c r="AA73" i="21" s="1"/>
  <c r="W73" i="21"/>
  <c r="V73" i="21"/>
  <c r="U73" i="21"/>
  <c r="T73" i="21"/>
  <c r="S73" i="21"/>
  <c r="R73" i="21"/>
  <c r="Q73" i="21"/>
  <c r="O73" i="21"/>
  <c r="N73" i="21"/>
  <c r="M73" i="21"/>
  <c r="L73" i="21"/>
  <c r="K73" i="21"/>
  <c r="J73" i="21"/>
  <c r="H73" i="21"/>
  <c r="G73" i="21"/>
  <c r="F73" i="21"/>
  <c r="E73" i="21"/>
  <c r="D73" i="21"/>
  <c r="C73" i="21"/>
  <c r="Z72" i="21"/>
  <c r="AA72" i="21" s="1"/>
  <c r="Y72" i="21"/>
  <c r="W72" i="21"/>
  <c r="V72" i="21"/>
  <c r="U72" i="21"/>
  <c r="T72" i="21"/>
  <c r="S72" i="21"/>
  <c r="R72" i="21"/>
  <c r="Q72" i="21"/>
  <c r="O72" i="21"/>
  <c r="N72" i="21"/>
  <c r="M72" i="21"/>
  <c r="L72" i="21"/>
  <c r="K72" i="21"/>
  <c r="J72" i="21"/>
  <c r="H72" i="21"/>
  <c r="G72" i="21"/>
  <c r="F72" i="21"/>
  <c r="E72" i="21"/>
  <c r="D72" i="21"/>
  <c r="C72" i="21"/>
  <c r="Z71" i="21"/>
  <c r="Y71" i="21"/>
  <c r="W71" i="21"/>
  <c r="V71" i="21"/>
  <c r="U71" i="21"/>
  <c r="T71" i="21"/>
  <c r="S71" i="21"/>
  <c r="R71" i="21"/>
  <c r="Q71" i="21"/>
  <c r="O71" i="21"/>
  <c r="N71" i="21"/>
  <c r="M71" i="21"/>
  <c r="L71" i="21"/>
  <c r="K71" i="21"/>
  <c r="J71" i="21"/>
  <c r="H71" i="21"/>
  <c r="G71" i="21"/>
  <c r="F71" i="21"/>
  <c r="E71" i="21"/>
  <c r="D71" i="21"/>
  <c r="C71" i="21"/>
  <c r="Z70" i="21"/>
  <c r="Y70" i="21"/>
  <c r="W70" i="21"/>
  <c r="V70" i="21"/>
  <c r="U70" i="21"/>
  <c r="T70" i="21"/>
  <c r="S70" i="21"/>
  <c r="R70" i="21"/>
  <c r="Q70" i="21"/>
  <c r="O70" i="21"/>
  <c r="N70" i="21"/>
  <c r="M70" i="21"/>
  <c r="L70" i="21"/>
  <c r="K70" i="21"/>
  <c r="J70" i="21"/>
  <c r="H70" i="21"/>
  <c r="G70" i="21"/>
  <c r="F70" i="21"/>
  <c r="E70" i="21"/>
  <c r="D70" i="21"/>
  <c r="C70" i="21"/>
  <c r="Z69" i="21"/>
  <c r="Y69" i="21"/>
  <c r="AA69" i="21" s="1"/>
  <c r="W69" i="21"/>
  <c r="V69" i="21"/>
  <c r="U69" i="21"/>
  <c r="T69" i="21"/>
  <c r="S69" i="21"/>
  <c r="R69" i="21"/>
  <c r="Q69" i="21"/>
  <c r="O69" i="21"/>
  <c r="N69" i="21"/>
  <c r="M69" i="21"/>
  <c r="L69" i="21"/>
  <c r="K69" i="21"/>
  <c r="J69" i="21"/>
  <c r="H69" i="21"/>
  <c r="G69" i="21"/>
  <c r="F69" i="21"/>
  <c r="E69" i="21"/>
  <c r="D69" i="21"/>
  <c r="C69" i="21"/>
  <c r="R68" i="21"/>
  <c r="S67" i="21"/>
  <c r="Z66" i="21"/>
  <c r="Z67" i="21" s="1"/>
  <c r="Y66" i="21"/>
  <c r="Y67" i="21" s="1"/>
  <c r="W66" i="21"/>
  <c r="W67" i="21" s="1"/>
  <c r="V66" i="21"/>
  <c r="V67" i="21" s="1"/>
  <c r="U66" i="21"/>
  <c r="T66" i="21"/>
  <c r="T67" i="21" s="1"/>
  <c r="S66" i="21"/>
  <c r="R66" i="21"/>
  <c r="R67" i="21" s="1"/>
  <c r="Q66" i="21"/>
  <c r="Q67" i="21" s="1"/>
  <c r="O66" i="21"/>
  <c r="O67" i="21" s="1"/>
  <c r="N66" i="21"/>
  <c r="N67" i="21" s="1"/>
  <c r="M66" i="21"/>
  <c r="L66" i="21"/>
  <c r="L67" i="21" s="1"/>
  <c r="K66" i="21"/>
  <c r="K67" i="21" s="1"/>
  <c r="J66" i="21"/>
  <c r="J67" i="21" s="1"/>
  <c r="H66" i="21"/>
  <c r="G66" i="21"/>
  <c r="G67" i="21" s="1"/>
  <c r="F66" i="21"/>
  <c r="F67" i="21" s="1"/>
  <c r="E66" i="21"/>
  <c r="D66" i="21"/>
  <c r="D67" i="21" s="1"/>
  <c r="C66" i="21"/>
  <c r="C67" i="21" s="1"/>
  <c r="AA65" i="21"/>
  <c r="AC65" i="21" s="1"/>
  <c r="X65" i="21"/>
  <c r="P65" i="21"/>
  <c r="I65" i="21"/>
  <c r="AA64" i="21"/>
  <c r="X64" i="21"/>
  <c r="X66" i="21" s="1"/>
  <c r="P64" i="21"/>
  <c r="I64" i="21"/>
  <c r="AB57" i="21"/>
  <c r="AA57" i="21"/>
  <c r="AC57" i="21" s="1"/>
  <c r="X57" i="21"/>
  <c r="P57" i="21"/>
  <c r="I57" i="21"/>
  <c r="AB56" i="21"/>
  <c r="AA56" i="21"/>
  <c r="AC56" i="21" s="1"/>
  <c r="X56" i="21"/>
  <c r="P56" i="21"/>
  <c r="I56" i="21"/>
  <c r="AC55" i="21"/>
  <c r="AB55" i="21"/>
  <c r="AB54" i="21" s="1"/>
  <c r="AA55" i="21"/>
  <c r="X55" i="21"/>
  <c r="P55" i="21"/>
  <c r="I55" i="21"/>
  <c r="Z54" i="21"/>
  <c r="Y54" i="21"/>
  <c r="AA54" i="21" s="1"/>
  <c r="W54" i="21"/>
  <c r="V54" i="21"/>
  <c r="U54" i="21"/>
  <c r="T54" i="21"/>
  <c r="S54" i="21"/>
  <c r="R54" i="21"/>
  <c r="Q54" i="21"/>
  <c r="O54" i="21"/>
  <c r="N54" i="21"/>
  <c r="M54" i="21"/>
  <c r="L54" i="21"/>
  <c r="K54" i="21"/>
  <c r="J54" i="21"/>
  <c r="H54" i="21"/>
  <c r="G54" i="21"/>
  <c r="F54" i="21"/>
  <c r="E54" i="21"/>
  <c r="D54" i="21"/>
  <c r="C54" i="21"/>
  <c r="AA51" i="21"/>
  <c r="AC51" i="21" s="1"/>
  <c r="X51" i="21"/>
  <c r="P51" i="21"/>
  <c r="I51" i="21"/>
  <c r="AA50" i="21"/>
  <c r="AC50" i="21" s="1"/>
  <c r="X50" i="21"/>
  <c r="P50" i="21"/>
  <c r="I50" i="21"/>
  <c r="AA49" i="21"/>
  <c r="AC49" i="21" s="1"/>
  <c r="X49" i="21"/>
  <c r="P49" i="21"/>
  <c r="I49" i="21"/>
  <c r="AA48" i="21"/>
  <c r="AC48" i="21" s="1"/>
  <c r="X48" i="21"/>
  <c r="P48" i="21"/>
  <c r="I48" i="21"/>
  <c r="AC47" i="21"/>
  <c r="AA47" i="21"/>
  <c r="X47" i="21"/>
  <c r="P47" i="21"/>
  <c r="I47" i="21"/>
  <c r="AB47" i="21" s="1"/>
  <c r="AA46" i="21"/>
  <c r="AC46" i="21" s="1"/>
  <c r="X46" i="21"/>
  <c r="P46" i="21"/>
  <c r="I46" i="21"/>
  <c r="AC45" i="21"/>
  <c r="AA45" i="21"/>
  <c r="X45" i="21"/>
  <c r="P45" i="21"/>
  <c r="I45" i="21"/>
  <c r="AA44" i="21"/>
  <c r="AC44" i="21" s="1"/>
  <c r="X44" i="21"/>
  <c r="P44" i="21"/>
  <c r="I44" i="21"/>
  <c r="AA43" i="21"/>
  <c r="AC43" i="21" s="1"/>
  <c r="X43" i="21"/>
  <c r="P43" i="21"/>
  <c r="I43" i="21"/>
  <c r="AA42" i="21"/>
  <c r="AC42" i="21" s="1"/>
  <c r="X42" i="21"/>
  <c r="P42" i="21"/>
  <c r="I42" i="21"/>
  <c r="AA41" i="21"/>
  <c r="AC41" i="21" s="1"/>
  <c r="X41" i="21"/>
  <c r="P41" i="21"/>
  <c r="I41" i="21"/>
  <c r="AA40" i="21"/>
  <c r="AC40" i="21" s="1"/>
  <c r="X40" i="21"/>
  <c r="P40" i="21"/>
  <c r="I40" i="21"/>
  <c r="AA39" i="21"/>
  <c r="AC39" i="21" s="1"/>
  <c r="X39" i="21"/>
  <c r="P39" i="21"/>
  <c r="I39" i="21"/>
  <c r="AA38" i="21"/>
  <c r="X38" i="21"/>
  <c r="P38" i="21"/>
  <c r="I38" i="21"/>
  <c r="AA37" i="21"/>
  <c r="AC37" i="21" s="1"/>
  <c r="X37" i="21"/>
  <c r="P37" i="21"/>
  <c r="I37" i="21"/>
  <c r="AA36" i="21"/>
  <c r="AC36" i="21" s="1"/>
  <c r="X36" i="21"/>
  <c r="P36" i="21"/>
  <c r="I36" i="21"/>
  <c r="AA35" i="21"/>
  <c r="AC35" i="21" s="1"/>
  <c r="X35" i="21"/>
  <c r="P35" i="21"/>
  <c r="I35" i="21"/>
  <c r="AA34" i="21"/>
  <c r="X34" i="21"/>
  <c r="P34" i="21"/>
  <c r="I34" i="21"/>
  <c r="AA33" i="21"/>
  <c r="AC33" i="21" s="1"/>
  <c r="X33" i="21"/>
  <c r="P33" i="21"/>
  <c r="I33" i="21"/>
  <c r="AA32" i="21"/>
  <c r="AC32" i="21" s="1"/>
  <c r="X32" i="21"/>
  <c r="P32" i="21"/>
  <c r="I32" i="21"/>
  <c r="AA31" i="21"/>
  <c r="AC31" i="21" s="1"/>
  <c r="X31" i="21"/>
  <c r="P31" i="21"/>
  <c r="I31" i="21"/>
  <c r="AA30" i="21"/>
  <c r="AB30" i="21" s="1"/>
  <c r="X30" i="21"/>
  <c r="P30" i="21"/>
  <c r="I30" i="21"/>
  <c r="AA29" i="21"/>
  <c r="AC29" i="21" s="1"/>
  <c r="X29" i="21"/>
  <c r="P29" i="21"/>
  <c r="I29" i="21"/>
  <c r="AC28" i="21"/>
  <c r="AA28" i="21"/>
  <c r="X28" i="21"/>
  <c r="P28" i="21"/>
  <c r="I28" i="21"/>
  <c r="AB28" i="21" s="1"/>
  <c r="AA27" i="21"/>
  <c r="AC27" i="21" s="1"/>
  <c r="X27" i="21"/>
  <c r="P27" i="21"/>
  <c r="I27" i="21"/>
  <c r="AA26" i="21"/>
  <c r="AC26" i="21" s="1"/>
  <c r="X26" i="21"/>
  <c r="P26" i="21"/>
  <c r="I26" i="21"/>
  <c r="AA25" i="21"/>
  <c r="AC25" i="21" s="1"/>
  <c r="X25" i="21"/>
  <c r="P25" i="21"/>
  <c r="I25" i="21"/>
  <c r="AA24" i="21"/>
  <c r="AC24" i="21" s="1"/>
  <c r="X24" i="21"/>
  <c r="P24" i="21"/>
  <c r="I24" i="21"/>
  <c r="AA23" i="21"/>
  <c r="AC23" i="21" s="1"/>
  <c r="X23" i="21"/>
  <c r="P23" i="21"/>
  <c r="I23" i="21"/>
  <c r="AA22" i="21"/>
  <c r="X22" i="21"/>
  <c r="P22" i="21"/>
  <c r="I22" i="21"/>
  <c r="AA21" i="21"/>
  <c r="AC21" i="21" s="1"/>
  <c r="X21" i="21"/>
  <c r="P21" i="21"/>
  <c r="I21" i="21"/>
  <c r="AA20" i="21"/>
  <c r="AC20" i="21" s="1"/>
  <c r="X20" i="21"/>
  <c r="P20" i="21"/>
  <c r="I20" i="21"/>
  <c r="AA19" i="21"/>
  <c r="AC19" i="21" s="1"/>
  <c r="X19" i="21"/>
  <c r="P19" i="21"/>
  <c r="I19" i="21"/>
  <c r="AA18" i="21"/>
  <c r="AC18" i="21" s="1"/>
  <c r="X18" i="21"/>
  <c r="P18" i="21"/>
  <c r="I18" i="21"/>
  <c r="AA17" i="21"/>
  <c r="AC17" i="21" s="1"/>
  <c r="X17" i="21"/>
  <c r="P17" i="21"/>
  <c r="I17" i="21"/>
  <c r="Z16" i="21"/>
  <c r="Y16" i="21"/>
  <c r="W16" i="21"/>
  <c r="V16" i="21"/>
  <c r="U16" i="21"/>
  <c r="T16" i="21"/>
  <c r="S16" i="21"/>
  <c r="R16" i="21"/>
  <c r="Q16" i="21"/>
  <c r="O16" i="21"/>
  <c r="N16" i="21"/>
  <c r="M16" i="21"/>
  <c r="L16" i="21"/>
  <c r="K16" i="21"/>
  <c r="J16" i="21"/>
  <c r="H16" i="21"/>
  <c r="G16" i="21"/>
  <c r="F16" i="21"/>
  <c r="E16" i="21"/>
  <c r="D16" i="21"/>
  <c r="C16" i="21"/>
  <c r="Z15" i="21"/>
  <c r="Y15" i="21"/>
  <c r="W15" i="21"/>
  <c r="V15" i="21"/>
  <c r="U15" i="21"/>
  <c r="T15" i="21"/>
  <c r="S15" i="21"/>
  <c r="R15" i="21"/>
  <c r="Q15" i="21"/>
  <c r="O15" i="21"/>
  <c r="N15" i="21"/>
  <c r="M15" i="21"/>
  <c r="L15" i="21"/>
  <c r="K15" i="21"/>
  <c r="J15" i="21"/>
  <c r="H15" i="21"/>
  <c r="G15" i="21"/>
  <c r="F15" i="21"/>
  <c r="E15" i="21"/>
  <c r="D15" i="21"/>
  <c r="C15" i="21"/>
  <c r="Z14" i="21"/>
  <c r="Y14" i="21"/>
  <c r="AA14" i="21" s="1"/>
  <c r="W14" i="21"/>
  <c r="V14" i="21"/>
  <c r="U14" i="21"/>
  <c r="T14" i="21"/>
  <c r="S14" i="21"/>
  <c r="R14" i="21"/>
  <c r="Q14" i="21"/>
  <c r="O14" i="21"/>
  <c r="N14" i="21"/>
  <c r="M14" i="21"/>
  <c r="L14" i="21"/>
  <c r="K14" i="21"/>
  <c r="J14" i="21"/>
  <c r="H14" i="21"/>
  <c r="G14" i="21"/>
  <c r="F14" i="21"/>
  <c r="E14" i="21"/>
  <c r="D14" i="21"/>
  <c r="C14" i="21"/>
  <c r="Z13" i="21"/>
  <c r="Y13" i="21"/>
  <c r="W13" i="21"/>
  <c r="V13" i="21"/>
  <c r="U13" i="21"/>
  <c r="T13" i="21"/>
  <c r="S13" i="21"/>
  <c r="R13" i="21"/>
  <c r="Q13" i="21"/>
  <c r="Q11" i="21" s="1"/>
  <c r="O13" i="21"/>
  <c r="N13" i="21"/>
  <c r="M13" i="21"/>
  <c r="L13" i="21"/>
  <c r="K13" i="21"/>
  <c r="J13" i="21"/>
  <c r="H13" i="21"/>
  <c r="G13" i="21"/>
  <c r="F13" i="21"/>
  <c r="E13" i="21"/>
  <c r="D13" i="21"/>
  <c r="C13" i="21"/>
  <c r="Z12" i="21"/>
  <c r="Y12" i="21"/>
  <c r="W12" i="21"/>
  <c r="V12" i="21"/>
  <c r="U12" i="21"/>
  <c r="T12" i="21"/>
  <c r="S12" i="21"/>
  <c r="R12" i="21"/>
  <c r="R11" i="21" s="1"/>
  <c r="R52" i="21" s="1"/>
  <c r="Q12" i="21"/>
  <c r="O12" i="21"/>
  <c r="N12" i="21"/>
  <c r="M12" i="21"/>
  <c r="L12" i="21"/>
  <c r="K12" i="21"/>
  <c r="J12" i="21"/>
  <c r="H12" i="21"/>
  <c r="G12" i="21"/>
  <c r="F12" i="21"/>
  <c r="E12" i="21"/>
  <c r="D12" i="21"/>
  <c r="C12" i="21"/>
  <c r="Y10" i="21"/>
  <c r="Z9" i="21"/>
  <c r="Z10" i="21" s="1"/>
  <c r="Y9" i="21"/>
  <c r="W9" i="21"/>
  <c r="W10" i="21" s="1"/>
  <c r="V9" i="21"/>
  <c r="V10" i="21" s="1"/>
  <c r="U9" i="21"/>
  <c r="U10" i="21" s="1"/>
  <c r="T9" i="21"/>
  <c r="T10" i="21" s="1"/>
  <c r="S9" i="21"/>
  <c r="S10" i="21" s="1"/>
  <c r="R9" i="21"/>
  <c r="R10" i="21" s="1"/>
  <c r="Q9" i="21"/>
  <c r="Q10" i="21" s="1"/>
  <c r="O9" i="21"/>
  <c r="N9" i="21"/>
  <c r="N10" i="21" s="1"/>
  <c r="M9" i="21"/>
  <c r="L9" i="21"/>
  <c r="K9" i="21"/>
  <c r="J9" i="21"/>
  <c r="J10" i="21" s="1"/>
  <c r="H9" i="21"/>
  <c r="H10" i="21" s="1"/>
  <c r="G9" i="21"/>
  <c r="G10" i="21" s="1"/>
  <c r="F9" i="21"/>
  <c r="F10" i="21" s="1"/>
  <c r="E9" i="21"/>
  <c r="E10" i="21" s="1"/>
  <c r="D9" i="21"/>
  <c r="C9" i="21"/>
  <c r="AA8" i="21"/>
  <c r="AC8" i="21" s="1"/>
  <c r="X8" i="21"/>
  <c r="Q8" i="21"/>
  <c r="P8" i="21"/>
  <c r="I8" i="21"/>
  <c r="AA7" i="21"/>
  <c r="AA9" i="21" s="1"/>
  <c r="X7" i="21"/>
  <c r="P7" i="21"/>
  <c r="I7" i="21"/>
  <c r="AF19" i="7" l="1"/>
  <c r="AB22" i="7"/>
  <c r="AC19" i="7"/>
  <c r="AB19" i="7"/>
  <c r="AD19" i="7"/>
  <c r="AC22" i="7"/>
  <c r="AA9" i="7"/>
  <c r="AD22" i="7"/>
  <c r="AA19" i="7"/>
  <c r="AE22" i="7"/>
  <c r="AF22" i="7"/>
  <c r="AA14" i="7"/>
  <c r="AB14" i="7"/>
  <c r="AC14" i="7"/>
  <c r="AE19" i="7"/>
  <c r="AA22" i="7"/>
  <c r="Q67" i="26"/>
  <c r="I13" i="21"/>
  <c r="N11" i="21"/>
  <c r="W68" i="21"/>
  <c r="W109" i="21" s="1"/>
  <c r="AB75" i="21"/>
  <c r="AB83" i="21"/>
  <c r="X130" i="21"/>
  <c r="AB163" i="21"/>
  <c r="F11" i="21"/>
  <c r="F52" i="21" s="1"/>
  <c r="AA12" i="21"/>
  <c r="M11" i="21"/>
  <c r="V11" i="21"/>
  <c r="AB40" i="21"/>
  <c r="P70" i="21"/>
  <c r="F68" i="21"/>
  <c r="AA71" i="21"/>
  <c r="P123" i="21"/>
  <c r="P124" i="21" s="1"/>
  <c r="M125" i="21"/>
  <c r="M166" i="21" s="1"/>
  <c r="V125" i="21"/>
  <c r="X127" i="21"/>
  <c r="Z125" i="21"/>
  <c r="Z166" i="21" s="1"/>
  <c r="AB131" i="21"/>
  <c r="AB144" i="21"/>
  <c r="AB162" i="21"/>
  <c r="I14" i="21"/>
  <c r="AB19" i="21"/>
  <c r="G68" i="21"/>
  <c r="P73" i="21"/>
  <c r="Z11" i="21"/>
  <c r="Z52" i="21" s="1"/>
  <c r="P13" i="21"/>
  <c r="AB87" i="21"/>
  <c r="AA129" i="21"/>
  <c r="AB146" i="21"/>
  <c r="AB129" i="21" s="1"/>
  <c r="P69" i="21"/>
  <c r="M52" i="21"/>
  <c r="AB35" i="21"/>
  <c r="AB31" i="21"/>
  <c r="I54" i="21"/>
  <c r="AB100" i="21"/>
  <c r="AB139" i="21"/>
  <c r="AB143" i="21"/>
  <c r="AB154" i="21"/>
  <c r="AB50" i="21"/>
  <c r="AB7" i="21"/>
  <c r="I15" i="21"/>
  <c r="O11" i="21"/>
  <c r="AA16" i="21"/>
  <c r="I71" i="21"/>
  <c r="AB95" i="21"/>
  <c r="AB99" i="21"/>
  <c r="AA128" i="21"/>
  <c r="AB134" i="21"/>
  <c r="AB156" i="21"/>
  <c r="H11" i="21"/>
  <c r="AC7" i="21"/>
  <c r="AC9" i="21" s="1"/>
  <c r="AB22" i="21"/>
  <c r="U109" i="21"/>
  <c r="U115" i="21" s="1"/>
  <c r="U116" i="21" s="1"/>
  <c r="I70" i="21"/>
  <c r="N125" i="21"/>
  <c r="X13" i="21"/>
  <c r="P15" i="21"/>
  <c r="X16" i="21"/>
  <c r="AB20" i="21"/>
  <c r="AB25" i="21"/>
  <c r="AB36" i="21"/>
  <c r="AC15" i="21"/>
  <c r="O68" i="21"/>
  <c r="P71" i="21"/>
  <c r="AB71" i="21" s="1"/>
  <c r="AB88" i="21"/>
  <c r="AB90" i="21"/>
  <c r="AB93" i="21"/>
  <c r="AC111" i="21"/>
  <c r="AB122" i="21"/>
  <c r="T125" i="21"/>
  <c r="T166" i="21" s="1"/>
  <c r="I130" i="21"/>
  <c r="AB140" i="21"/>
  <c r="AB152" i="21"/>
  <c r="AB41" i="21"/>
  <c r="AB43" i="21"/>
  <c r="AB48" i="21"/>
  <c r="J68" i="21"/>
  <c r="H68" i="21"/>
  <c r="AB80" i="21"/>
  <c r="AB82" i="21"/>
  <c r="AB85" i="21"/>
  <c r="X128" i="21"/>
  <c r="AB132" i="21"/>
  <c r="AB137" i="21"/>
  <c r="AB150" i="21"/>
  <c r="AB157" i="21"/>
  <c r="X9" i="21"/>
  <c r="X12" i="21"/>
  <c r="G11" i="21"/>
  <c r="G52" i="21" s="1"/>
  <c r="G58" i="21" s="1"/>
  <c r="G59" i="21" s="1"/>
  <c r="AB24" i="21"/>
  <c r="AB29" i="21"/>
  <c r="AB34" i="21"/>
  <c r="P54" i="21"/>
  <c r="V68" i="21"/>
  <c r="V109" i="21" s="1"/>
  <c r="X73" i="21"/>
  <c r="AB74" i="21"/>
  <c r="AB77" i="21"/>
  <c r="AB108" i="21"/>
  <c r="S166" i="21"/>
  <c r="U125" i="21"/>
  <c r="U166" i="21" s="1"/>
  <c r="U172" i="21" s="1"/>
  <c r="U173" i="21" s="1"/>
  <c r="AA130" i="21"/>
  <c r="AC130" i="21" s="1"/>
  <c r="AB142" i="21"/>
  <c r="AB164" i="21"/>
  <c r="Y11" i="21"/>
  <c r="Y52" i="21" s="1"/>
  <c r="J11" i="21"/>
  <c r="J52" i="21" s="1"/>
  <c r="J58" i="21" s="1"/>
  <c r="J59" i="21" s="1"/>
  <c r="AC73" i="21"/>
  <c r="AB92" i="21"/>
  <c r="R125" i="21"/>
  <c r="I9" i="21"/>
  <c r="I10" i="21" s="1"/>
  <c r="P12" i="21"/>
  <c r="T11" i="21"/>
  <c r="E11" i="21"/>
  <c r="E52" i="21" s="1"/>
  <c r="E58" i="21" s="1"/>
  <c r="E59" i="21" s="1"/>
  <c r="X15" i="21"/>
  <c r="AA15" i="21"/>
  <c r="AB23" i="21"/>
  <c r="AB38" i="21"/>
  <c r="AB49" i="21"/>
  <c r="U68" i="21"/>
  <c r="X71" i="21"/>
  <c r="AB84" i="21"/>
  <c r="S124" i="21"/>
  <c r="F125" i="21"/>
  <c r="AA126" i="21"/>
  <c r="AC126" i="21" s="1"/>
  <c r="X129" i="21"/>
  <c r="AB153" i="21"/>
  <c r="U11" i="21"/>
  <c r="S11" i="21"/>
  <c r="S52" i="21" s="1"/>
  <c r="S58" i="21" s="1"/>
  <c r="S59" i="21" s="1"/>
  <c r="AB33" i="21"/>
  <c r="AB64" i="21"/>
  <c r="AB66" i="21" s="1"/>
  <c r="AC69" i="21"/>
  <c r="I12" i="21"/>
  <c r="L11" i="21"/>
  <c r="L52" i="21" s="1"/>
  <c r="I16" i="21"/>
  <c r="AB21" i="21"/>
  <c r="AB32" i="21"/>
  <c r="AB37" i="21"/>
  <c r="AB39" i="21"/>
  <c r="AB44" i="21"/>
  <c r="AB51" i="21"/>
  <c r="AA66" i="21"/>
  <c r="AA67" i="21" s="1"/>
  <c r="M67" i="21"/>
  <c r="D68" i="21"/>
  <c r="D109" i="21" s="1"/>
  <c r="D110" i="21" s="1"/>
  <c r="M68" i="21"/>
  <c r="M109" i="21" s="1"/>
  <c r="AB76" i="21"/>
  <c r="AB104" i="21"/>
  <c r="AB106" i="21"/>
  <c r="X111" i="21"/>
  <c r="AC123" i="21"/>
  <c r="AC124" i="21" s="1"/>
  <c r="W125" i="21"/>
  <c r="W166" i="21" s="1"/>
  <c r="W172" i="21" s="1"/>
  <c r="W173" i="21" s="1"/>
  <c r="P130" i="21"/>
  <c r="AB160" i="21"/>
  <c r="AB17" i="21"/>
  <c r="AB45" i="21"/>
  <c r="E125" i="21"/>
  <c r="E166" i="21" s="1"/>
  <c r="E167" i="21" s="1"/>
  <c r="D11" i="21"/>
  <c r="D52" i="21" s="1"/>
  <c r="AB27" i="21"/>
  <c r="AC64" i="21"/>
  <c r="AC66" i="21" s="1"/>
  <c r="AC67" i="21" s="1"/>
  <c r="E68" i="21"/>
  <c r="E109" i="21" s="1"/>
  <c r="Z68" i="21"/>
  <c r="Z109" i="21" s="1"/>
  <c r="AC72" i="21"/>
  <c r="AB96" i="21"/>
  <c r="AB98" i="21"/>
  <c r="AB101" i="21"/>
  <c r="P111" i="21"/>
  <c r="F166" i="21"/>
  <c r="F172" i="21" s="1"/>
  <c r="F173" i="21" s="1"/>
  <c r="H125" i="21"/>
  <c r="H166" i="21" s="1"/>
  <c r="AB148" i="21"/>
  <c r="AB158" i="21"/>
  <c r="AB165" i="21"/>
  <c r="I168" i="21"/>
  <c r="AA168" i="21"/>
  <c r="R58" i="21"/>
  <c r="R59" i="21" s="1"/>
  <c r="R53" i="21"/>
  <c r="M172" i="21"/>
  <c r="M173" i="21" s="1"/>
  <c r="M167" i="21"/>
  <c r="G53" i="21"/>
  <c r="E172" i="21"/>
  <c r="E173" i="21" s="1"/>
  <c r="D115" i="21"/>
  <c r="D116" i="21" s="1"/>
  <c r="W167" i="21"/>
  <c r="X10" i="21"/>
  <c r="AB12" i="21"/>
  <c r="Q52" i="21"/>
  <c r="AC16" i="21"/>
  <c r="M58" i="21"/>
  <c r="M59" i="21" s="1"/>
  <c r="M53" i="21"/>
  <c r="O52" i="21"/>
  <c r="T172" i="21"/>
  <c r="T173" i="21" s="1"/>
  <c r="T167" i="21"/>
  <c r="W11" i="21"/>
  <c r="W52" i="21" s="1"/>
  <c r="AB18" i="21"/>
  <c r="AB46" i="21"/>
  <c r="X70" i="21"/>
  <c r="Q68" i="21"/>
  <c r="Q109" i="21" s="1"/>
  <c r="I72" i="21"/>
  <c r="C68" i="21"/>
  <c r="C109" i="21" s="1"/>
  <c r="AB145" i="21"/>
  <c r="AC14" i="21"/>
  <c r="Y124" i="21"/>
  <c r="AB26" i="21"/>
  <c r="AB42" i="21"/>
  <c r="O109" i="21"/>
  <c r="Q124" i="21"/>
  <c r="O125" i="21"/>
  <c r="O166" i="21" s="1"/>
  <c r="N52" i="21"/>
  <c r="V52" i="21"/>
  <c r="C10" i="21"/>
  <c r="K10" i="21"/>
  <c r="AA10" i="21"/>
  <c r="AC12" i="21"/>
  <c r="AC22" i="21"/>
  <c r="AC30" i="21"/>
  <c r="AC34" i="21"/>
  <c r="AC38" i="21"/>
  <c r="U52" i="21"/>
  <c r="I66" i="21"/>
  <c r="AB65" i="21"/>
  <c r="G109" i="21"/>
  <c r="P66" i="21"/>
  <c r="X67" i="21"/>
  <c r="X69" i="21"/>
  <c r="AB121" i="21"/>
  <c r="AB123" i="21" s="1"/>
  <c r="I123" i="21"/>
  <c r="Q125" i="21"/>
  <c r="Q166" i="21" s="1"/>
  <c r="G125" i="21"/>
  <c r="P128" i="21"/>
  <c r="AB151" i="21"/>
  <c r="AB159" i="21"/>
  <c r="AA70" i="21"/>
  <c r="AA68" i="21" s="1"/>
  <c r="Y68" i="21"/>
  <c r="Y109" i="21" s="1"/>
  <c r="S172" i="21"/>
  <c r="S173" i="21" s="1"/>
  <c r="S167" i="21"/>
  <c r="X126" i="21"/>
  <c r="G166" i="21"/>
  <c r="X168" i="21"/>
  <c r="P14" i="21"/>
  <c r="H67" i="21"/>
  <c r="H109" i="21"/>
  <c r="F109" i="21"/>
  <c r="P126" i="21"/>
  <c r="H52" i="21"/>
  <c r="P9" i="21"/>
  <c r="M10" i="21"/>
  <c r="AC10" i="21"/>
  <c r="J109" i="21"/>
  <c r="R109" i="21"/>
  <c r="I69" i="21"/>
  <c r="L68" i="21"/>
  <c r="L109" i="21" s="1"/>
  <c r="AC71" i="21"/>
  <c r="X123" i="21"/>
  <c r="K166" i="21"/>
  <c r="F124" i="21"/>
  <c r="AA127" i="21"/>
  <c r="AC127" i="21" s="1"/>
  <c r="P16" i="21"/>
  <c r="L10" i="21"/>
  <c r="AA13" i="21"/>
  <c r="AB13" i="21" s="1"/>
  <c r="AB8" i="21"/>
  <c r="AB9" i="21" s="1"/>
  <c r="C11" i="21"/>
  <c r="C52" i="21" s="1"/>
  <c r="K11" i="21"/>
  <c r="K52" i="21" s="1"/>
  <c r="X54" i="21"/>
  <c r="X72" i="21"/>
  <c r="AB78" i="21"/>
  <c r="AB81" i="21"/>
  <c r="AB86" i="21"/>
  <c r="AB89" i="21"/>
  <c r="AB94" i="21"/>
  <c r="AB97" i="21"/>
  <c r="AB102" i="21"/>
  <c r="AB105" i="21"/>
  <c r="C125" i="21"/>
  <c r="C166" i="21" s="1"/>
  <c r="Y125" i="21"/>
  <c r="Y166" i="21" s="1"/>
  <c r="J125" i="21"/>
  <c r="I129" i="21"/>
  <c r="P129" i="21"/>
  <c r="L125" i="21"/>
  <c r="L166" i="21" s="1"/>
  <c r="AB133" i="21"/>
  <c r="AB141" i="21"/>
  <c r="AB149" i="21"/>
  <c r="AC54" i="21"/>
  <c r="P72" i="21"/>
  <c r="P68" i="21" s="1"/>
  <c r="K68" i="21"/>
  <c r="K109" i="21" s="1"/>
  <c r="X14" i="21"/>
  <c r="T68" i="21"/>
  <c r="T109" i="21" s="1"/>
  <c r="O10" i="21"/>
  <c r="N68" i="21"/>
  <c r="I73" i="21"/>
  <c r="N109" i="21"/>
  <c r="I111" i="21"/>
  <c r="V166" i="21"/>
  <c r="P127" i="21"/>
  <c r="AC128" i="21"/>
  <c r="D125" i="21"/>
  <c r="D166" i="21" s="1"/>
  <c r="AC168" i="21"/>
  <c r="P168" i="21"/>
  <c r="T52" i="21"/>
  <c r="D10" i="21"/>
  <c r="E67" i="21"/>
  <c r="U67" i="21"/>
  <c r="S68" i="21"/>
  <c r="S109" i="21" s="1"/>
  <c r="F167" i="21"/>
  <c r="N166" i="21"/>
  <c r="N124" i="21"/>
  <c r="I126" i="21"/>
  <c r="I127" i="21"/>
  <c r="I128" i="21"/>
  <c r="AA123" i="21"/>
  <c r="J166" i="21"/>
  <c r="R166" i="21"/>
  <c r="AB128" i="21" l="1"/>
  <c r="U110" i="21"/>
  <c r="I11" i="21"/>
  <c r="I52" i="21" s="1"/>
  <c r="I58" i="21" s="1"/>
  <c r="I59" i="21" s="1"/>
  <c r="J53" i="21"/>
  <c r="AB73" i="21"/>
  <c r="AB70" i="21"/>
  <c r="AB16" i="21"/>
  <c r="M110" i="21"/>
  <c r="M115" i="21"/>
  <c r="M116" i="21" s="1"/>
  <c r="E115" i="21"/>
  <c r="E116" i="21" s="1"/>
  <c r="E110" i="21"/>
  <c r="AB15" i="21"/>
  <c r="AB11" i="21" s="1"/>
  <c r="AB52" i="21" s="1"/>
  <c r="AB72" i="21"/>
  <c r="AB14" i="21"/>
  <c r="AA109" i="21"/>
  <c r="AA110" i="21" s="1"/>
  <c r="S53" i="21"/>
  <c r="U167" i="21"/>
  <c r="AB130" i="21"/>
  <c r="X125" i="21"/>
  <c r="X11" i="21"/>
  <c r="X52" i="21" s="1"/>
  <c r="X58" i="21" s="1"/>
  <c r="X59" i="21" s="1"/>
  <c r="AA125" i="21"/>
  <c r="E53" i="21"/>
  <c r="Q167" i="21"/>
  <c r="Q172" i="21"/>
  <c r="Q173" i="21" s="1"/>
  <c r="W53" i="21"/>
  <c r="W58" i="21"/>
  <c r="W59" i="21" s="1"/>
  <c r="K58" i="21"/>
  <c r="K59" i="21" s="1"/>
  <c r="K53" i="21"/>
  <c r="C172" i="21"/>
  <c r="C173" i="21" s="1"/>
  <c r="C167" i="21"/>
  <c r="Y115" i="21"/>
  <c r="Y116" i="21" s="1"/>
  <c r="Y110" i="21"/>
  <c r="AB10" i="21"/>
  <c r="Q115" i="21"/>
  <c r="Q116" i="21" s="1"/>
  <c r="Q110" i="21"/>
  <c r="AB124" i="21"/>
  <c r="V115" i="21"/>
  <c r="V116" i="21" s="1"/>
  <c r="V110" i="21"/>
  <c r="AA11" i="21"/>
  <c r="AA52" i="21" s="1"/>
  <c r="T115" i="21"/>
  <c r="T116" i="21" s="1"/>
  <c r="T110" i="21"/>
  <c r="X68" i="21"/>
  <c r="X109" i="21" s="1"/>
  <c r="V53" i="21"/>
  <c r="V58" i="21"/>
  <c r="V59" i="21" s="1"/>
  <c r="W115" i="21"/>
  <c r="W116" i="21" s="1"/>
  <c r="W110" i="21"/>
  <c r="S115" i="21"/>
  <c r="S116" i="21" s="1"/>
  <c r="S110" i="21"/>
  <c r="T58" i="21"/>
  <c r="T59" i="21" s="1"/>
  <c r="T53" i="21"/>
  <c r="V172" i="21"/>
  <c r="V173" i="21" s="1"/>
  <c r="V167" i="21"/>
  <c r="AC70" i="21"/>
  <c r="AC68" i="21" s="1"/>
  <c r="AC109" i="21" s="1"/>
  <c r="L115" i="21"/>
  <c r="L116" i="21" s="1"/>
  <c r="L110" i="21"/>
  <c r="H58" i="21"/>
  <c r="H59" i="21" s="1"/>
  <c r="H53" i="21"/>
  <c r="L58" i="21"/>
  <c r="L59" i="21" s="1"/>
  <c r="L53" i="21"/>
  <c r="N58" i="21"/>
  <c r="N59" i="21" s="1"/>
  <c r="N53" i="21"/>
  <c r="Z53" i="21"/>
  <c r="Z58" i="21"/>
  <c r="Z59" i="21" s="1"/>
  <c r="X124" i="21"/>
  <c r="X166" i="21"/>
  <c r="U58" i="21"/>
  <c r="U59" i="21" s="1"/>
  <c r="U53" i="21"/>
  <c r="P10" i="21"/>
  <c r="C115" i="21"/>
  <c r="C116" i="21" s="1"/>
  <c r="C110" i="21"/>
  <c r="Z172" i="21"/>
  <c r="Z173" i="21" s="1"/>
  <c r="Z167" i="21"/>
  <c r="K110" i="21"/>
  <c r="K115" i="21"/>
  <c r="K116" i="21" s="1"/>
  <c r="Y172" i="21"/>
  <c r="Y173" i="21" s="1"/>
  <c r="Y167" i="21"/>
  <c r="R172" i="21"/>
  <c r="R173" i="21" s="1"/>
  <c r="R167" i="21"/>
  <c r="N115" i="21"/>
  <c r="N116" i="21" s="1"/>
  <c r="N110" i="21"/>
  <c r="Z115" i="21"/>
  <c r="Z116" i="21" s="1"/>
  <c r="Z110" i="21"/>
  <c r="G172" i="21"/>
  <c r="G173" i="21" s="1"/>
  <c r="G167" i="21"/>
  <c r="P67" i="21"/>
  <c r="P109" i="21"/>
  <c r="O58" i="21"/>
  <c r="O59" i="21" s="1"/>
  <c r="O53" i="21"/>
  <c r="H172" i="21"/>
  <c r="H173" i="21" s="1"/>
  <c r="H167" i="21"/>
  <c r="F58" i="21"/>
  <c r="F59" i="21" s="1"/>
  <c r="F53" i="21"/>
  <c r="Q58" i="21"/>
  <c r="Q59" i="21" s="1"/>
  <c r="Q53" i="21"/>
  <c r="Y58" i="21"/>
  <c r="Y59" i="21" s="1"/>
  <c r="Y53" i="21"/>
  <c r="AB127" i="21"/>
  <c r="J172" i="21"/>
  <c r="J173" i="21" s="1"/>
  <c r="J167" i="21"/>
  <c r="AB126" i="21"/>
  <c r="I125" i="21"/>
  <c r="I166" i="21" s="1"/>
  <c r="O172" i="21"/>
  <c r="O173" i="21" s="1"/>
  <c r="O167" i="21"/>
  <c r="R115" i="21"/>
  <c r="R116" i="21" s="1"/>
  <c r="R110" i="21"/>
  <c r="G115" i="21"/>
  <c r="G116" i="21" s="1"/>
  <c r="G110" i="21"/>
  <c r="P11" i="21"/>
  <c r="P52" i="21" s="1"/>
  <c r="AA166" i="21"/>
  <c r="AA124" i="21"/>
  <c r="I68" i="21"/>
  <c r="I109" i="21" s="1"/>
  <c r="AB69" i="21"/>
  <c r="D172" i="21"/>
  <c r="D173" i="21" s="1"/>
  <c r="D167" i="21"/>
  <c r="K172" i="21"/>
  <c r="K173" i="21" s="1"/>
  <c r="K167" i="21"/>
  <c r="J115" i="21"/>
  <c r="J116" i="21" s="1"/>
  <c r="J110" i="21"/>
  <c r="F115" i="21"/>
  <c r="F116" i="21" s="1"/>
  <c r="F110" i="21"/>
  <c r="D58" i="21"/>
  <c r="D59" i="21" s="1"/>
  <c r="D53" i="21"/>
  <c r="O115" i="21"/>
  <c r="O116" i="21" s="1"/>
  <c r="O110" i="21"/>
  <c r="AC125" i="21"/>
  <c r="AC166" i="21" s="1"/>
  <c r="L167" i="21"/>
  <c r="L172" i="21"/>
  <c r="L173" i="21" s="1"/>
  <c r="P125" i="21"/>
  <c r="P166" i="21" s="1"/>
  <c r="C58" i="21"/>
  <c r="C59" i="21" s="1"/>
  <c r="C53" i="21"/>
  <c r="N172" i="21"/>
  <c r="N173" i="21" s="1"/>
  <c r="N167" i="21"/>
  <c r="AB67" i="21"/>
  <c r="H115" i="21"/>
  <c r="H116" i="21" s="1"/>
  <c r="H110" i="21"/>
  <c r="I124" i="21"/>
  <c r="I67" i="21"/>
  <c r="AC13" i="21"/>
  <c r="AC11" i="21" s="1"/>
  <c r="AC52" i="21" s="1"/>
  <c r="I53" i="21" l="1"/>
  <c r="AA115" i="21"/>
  <c r="AA116" i="21" s="1"/>
  <c r="X53" i="21"/>
  <c r="AB125" i="21"/>
  <c r="AB166" i="21" s="1"/>
  <c r="AB167" i="21" s="1"/>
  <c r="AB68" i="21"/>
  <c r="AB109" i="21" s="1"/>
  <c r="AB110" i="21" s="1"/>
  <c r="AB58" i="21"/>
  <c r="AB59" i="21" s="1"/>
  <c r="AB53" i="21"/>
  <c r="P58" i="21"/>
  <c r="P59" i="21" s="1"/>
  <c r="P53" i="21"/>
  <c r="I172" i="21"/>
  <c r="I173" i="21" s="1"/>
  <c r="I167" i="21"/>
  <c r="I110" i="21"/>
  <c r="I115" i="21"/>
  <c r="I116" i="21" s="1"/>
  <c r="AC58" i="21"/>
  <c r="AC59" i="21" s="1"/>
  <c r="AC53" i="21"/>
  <c r="AC115" i="21"/>
  <c r="AC116" i="21" s="1"/>
  <c r="AC110" i="21"/>
  <c r="P172" i="21"/>
  <c r="P173" i="21" s="1"/>
  <c r="P167" i="21"/>
  <c r="X115" i="21"/>
  <c r="X116" i="21" s="1"/>
  <c r="X110" i="21"/>
  <c r="X172" i="21"/>
  <c r="X173" i="21" s="1"/>
  <c r="X167" i="21"/>
  <c r="AA172" i="21"/>
  <c r="AA173" i="21" s="1"/>
  <c r="AA167" i="21"/>
  <c r="AC172" i="21"/>
  <c r="AC173" i="21" s="1"/>
  <c r="AC167" i="21"/>
  <c r="P110" i="21"/>
  <c r="P115" i="21"/>
  <c r="P116" i="21" s="1"/>
  <c r="AA58" i="21"/>
  <c r="AA59" i="21" s="1"/>
  <c r="AA53" i="21"/>
  <c r="AB115" i="21" l="1"/>
  <c r="AB116" i="21" s="1"/>
  <c r="AB172" i="21"/>
  <c r="AB173" i="21" s="1"/>
  <c r="L46" i="17" l="1"/>
  <c r="L45" i="17"/>
  <c r="L44" i="17"/>
  <c r="I43" i="17"/>
  <c r="J43" i="17" s="1"/>
  <c r="K43" i="17" s="1"/>
  <c r="L43" i="17" s="1"/>
  <c r="H43" i="17"/>
  <c r="L42" i="17"/>
  <c r="L41" i="17"/>
  <c r="H40" i="17"/>
  <c r="I40" i="17" s="1"/>
  <c r="J40" i="17" s="1"/>
  <c r="K40" i="17" s="1"/>
  <c r="L40" i="17" s="1"/>
  <c r="L39" i="17"/>
  <c r="I38" i="17"/>
  <c r="J38" i="17" s="1"/>
  <c r="K38" i="17" s="1"/>
  <c r="L38" i="17" s="1"/>
  <c r="H38" i="17"/>
  <c r="H37" i="17"/>
  <c r="I37" i="17" s="1"/>
  <c r="L36" i="17"/>
  <c r="L35" i="17"/>
  <c r="H35" i="17"/>
  <c r="I35" i="17" s="1"/>
  <c r="J35" i="17" s="1"/>
  <c r="K35" i="17" s="1"/>
  <c r="I34" i="17"/>
  <c r="J34" i="17" s="1"/>
  <c r="K34" i="17" s="1"/>
  <c r="L34" i="17" s="1"/>
  <c r="H34" i="17"/>
  <c r="H33" i="17"/>
  <c r="I33" i="17" s="1"/>
  <c r="J33" i="17" s="1"/>
  <c r="K33" i="17" s="1"/>
  <c r="L33" i="17" s="1"/>
  <c r="K32" i="17"/>
  <c r="L32" i="17" s="1"/>
  <c r="H32" i="17"/>
  <c r="I32" i="17" s="1"/>
  <c r="J32" i="17" s="1"/>
  <c r="J29" i="17"/>
  <c r="K29" i="17" s="1"/>
  <c r="L29" i="17" s="1"/>
  <c r="I29" i="17"/>
  <c r="H29" i="17"/>
  <c r="H28" i="17"/>
  <c r="I28" i="17" s="1"/>
  <c r="J28" i="17" s="1"/>
  <c r="K28" i="17" s="1"/>
  <c r="L28" i="17" s="1"/>
  <c r="L27" i="17"/>
  <c r="L26" i="17"/>
  <c r="H25" i="17"/>
  <c r="I25" i="17" s="1"/>
  <c r="H24" i="17"/>
  <c r="I24" i="17" s="1"/>
  <c r="J24" i="17" s="1"/>
  <c r="K24" i="17" s="1"/>
  <c r="L24" i="17" s="1"/>
  <c r="H22" i="17"/>
  <c r="I22" i="17" s="1"/>
  <c r="J21" i="17"/>
  <c r="K21" i="17" s="1"/>
  <c r="L21" i="17" s="1"/>
  <c r="I21" i="17"/>
  <c r="H21" i="17"/>
  <c r="H20" i="17"/>
  <c r="I20" i="17" s="1"/>
  <c r="J20" i="17" s="1"/>
  <c r="K20" i="17" s="1"/>
  <c r="L20" i="17" s="1"/>
  <c r="H19" i="17"/>
  <c r="I19" i="17" s="1"/>
  <c r="J19" i="17" s="1"/>
  <c r="K19" i="17" s="1"/>
  <c r="L19" i="17" s="1"/>
  <c r="K16" i="17"/>
  <c r="L16" i="17" s="1"/>
  <c r="J16" i="17"/>
  <c r="I16" i="17"/>
  <c r="I13" i="17"/>
  <c r="J13" i="17" s="1"/>
  <c r="K13" i="17" s="1"/>
  <c r="L13" i="17" s="1"/>
  <c r="H13" i="17"/>
  <c r="L11" i="17"/>
  <c r="P10" i="17"/>
  <c r="Q10" i="17" s="1"/>
  <c r="H31" i="17" s="1"/>
  <c r="H8" i="17"/>
  <c r="G8" i="17"/>
  <c r="F8" i="17"/>
  <c r="E8" i="17"/>
  <c r="H7" i="17"/>
  <c r="G7" i="17"/>
  <c r="F7" i="17"/>
  <c r="E7" i="17"/>
  <c r="G6" i="17"/>
  <c r="F6" i="17"/>
  <c r="E6" i="17"/>
  <c r="G5" i="17"/>
  <c r="F5" i="17"/>
  <c r="E5" i="17"/>
  <c r="G4" i="17"/>
  <c r="G9" i="17" s="1"/>
  <c r="F4" i="17"/>
  <c r="E4" i="17"/>
  <c r="E9" i="17" s="1"/>
  <c r="F25" i="16"/>
  <c r="J24" i="16"/>
  <c r="I24" i="16"/>
  <c r="H24" i="16"/>
  <c r="X23" i="16"/>
  <c r="W23" i="16"/>
  <c r="J23" i="16"/>
  <c r="I23" i="16"/>
  <c r="H23" i="16"/>
  <c r="X22" i="16"/>
  <c r="W22" i="16"/>
  <c r="V22" i="16"/>
  <c r="K22" i="16"/>
  <c r="L22" i="16" s="1"/>
  <c r="J22" i="16"/>
  <c r="I22" i="16"/>
  <c r="H22" i="16"/>
  <c r="Y21" i="16"/>
  <c r="K24" i="16" s="1"/>
  <c r="L24" i="16" s="1"/>
  <c r="U21" i="16"/>
  <c r="T21" i="16"/>
  <c r="K21" i="16"/>
  <c r="L21" i="16" s="1"/>
  <c r="J21" i="16"/>
  <c r="I21" i="16"/>
  <c r="H21" i="16"/>
  <c r="Y20" i="16"/>
  <c r="J20" i="16"/>
  <c r="J19" i="16" s="1"/>
  <c r="I20" i="16"/>
  <c r="H20" i="16"/>
  <c r="H19" i="16" s="1"/>
  <c r="Y19" i="16"/>
  <c r="U19" i="16"/>
  <c r="G19" i="16"/>
  <c r="F19" i="16"/>
  <c r="E19" i="16"/>
  <c r="Y18" i="16"/>
  <c r="U18" i="16"/>
  <c r="T18" i="16"/>
  <c r="J18" i="16"/>
  <c r="I18" i="16"/>
  <c r="G18" i="16"/>
  <c r="F18" i="16"/>
  <c r="E18" i="16"/>
  <c r="Y17" i="16"/>
  <c r="K20" i="16" s="1"/>
  <c r="U17" i="16"/>
  <c r="U16" i="16" s="1"/>
  <c r="U10" i="16" s="1"/>
  <c r="T17" i="16"/>
  <c r="T16" i="16" s="1"/>
  <c r="T10" i="16" s="1"/>
  <c r="G17" i="16"/>
  <c r="F17" i="16"/>
  <c r="E17" i="16"/>
  <c r="Y16" i="16"/>
  <c r="X16" i="16"/>
  <c r="W16" i="16"/>
  <c r="V16" i="16"/>
  <c r="G16" i="16"/>
  <c r="F16" i="16"/>
  <c r="E16" i="16"/>
  <c r="Y15" i="16"/>
  <c r="G15" i="16"/>
  <c r="F15" i="16"/>
  <c r="E15" i="16"/>
  <c r="Y14" i="16"/>
  <c r="F14" i="16"/>
  <c r="E14" i="16"/>
  <c r="E25" i="16" s="1"/>
  <c r="Y13" i="16"/>
  <c r="L13" i="16"/>
  <c r="Y12" i="16"/>
  <c r="J12" i="16"/>
  <c r="I12" i="16"/>
  <c r="H12" i="16"/>
  <c r="Y11" i="16"/>
  <c r="Y10" i="16" s="1"/>
  <c r="X11" i="16"/>
  <c r="W11" i="16"/>
  <c r="V11" i="16"/>
  <c r="U11" i="16"/>
  <c r="J11" i="16"/>
  <c r="J16" i="16" s="1"/>
  <c r="I11" i="16"/>
  <c r="X10" i="16"/>
  <c r="W10" i="16"/>
  <c r="V10" i="16"/>
  <c r="H10" i="16"/>
  <c r="H9" i="16" s="1"/>
  <c r="Y9" i="16"/>
  <c r="G9" i="16"/>
  <c r="F9" i="16"/>
  <c r="Y8" i="16"/>
  <c r="K6" i="16" s="1"/>
  <c r="K8" i="16"/>
  <c r="J8" i="16"/>
  <c r="I8" i="16"/>
  <c r="H8" i="16"/>
  <c r="H18" i="16" s="1"/>
  <c r="Y7" i="16"/>
  <c r="K12" i="16" s="1"/>
  <c r="L12" i="16" s="1"/>
  <c r="K7" i="16"/>
  <c r="L7" i="16" s="1"/>
  <c r="J7" i="16"/>
  <c r="J17" i="16" s="1"/>
  <c r="I7" i="16"/>
  <c r="I17" i="16" s="1"/>
  <c r="H7" i="16"/>
  <c r="H17" i="16" s="1"/>
  <c r="Y6" i="16"/>
  <c r="Y22" i="16" s="1"/>
  <c r="K23" i="16" s="1"/>
  <c r="L23" i="16" s="1"/>
  <c r="J6" i="16"/>
  <c r="I6" i="16"/>
  <c r="I16" i="16" s="1"/>
  <c r="H6" i="16"/>
  <c r="H11" i="16" s="1"/>
  <c r="Y5" i="16"/>
  <c r="Y23" i="16" s="1"/>
  <c r="X5" i="16"/>
  <c r="W5" i="16"/>
  <c r="V5" i="16"/>
  <c r="V23" i="16" s="1"/>
  <c r="U5" i="16"/>
  <c r="U23" i="16" s="1"/>
  <c r="T5" i="16"/>
  <c r="K5" i="16"/>
  <c r="L5" i="16" s="1"/>
  <c r="J5" i="16"/>
  <c r="I5" i="16"/>
  <c r="I4" i="16" s="1"/>
  <c r="H5" i="16"/>
  <c r="H15" i="16" s="1"/>
  <c r="H4" i="16"/>
  <c r="G4" i="16"/>
  <c r="G14" i="16" s="1"/>
  <c r="G25" i="16" s="1"/>
  <c r="F4" i="16"/>
  <c r="W26" i="15"/>
  <c r="V26" i="15"/>
  <c r="U26" i="15"/>
  <c r="T26" i="15"/>
  <c r="S26" i="15"/>
  <c r="W24" i="15"/>
  <c r="V24" i="15"/>
  <c r="U24" i="15"/>
  <c r="T24" i="15"/>
  <c r="S24" i="15"/>
  <c r="J24" i="15"/>
  <c r="K24" i="15" s="1"/>
  <c r="L24" i="15" s="1"/>
  <c r="I24" i="15"/>
  <c r="H24" i="15"/>
  <c r="H23" i="15"/>
  <c r="I23" i="15" s="1"/>
  <c r="J23" i="15" s="1"/>
  <c r="K23" i="15" s="1"/>
  <c r="L23" i="15" s="1"/>
  <c r="H21" i="15"/>
  <c r="I21" i="15" s="1"/>
  <c r="J21" i="15" s="1"/>
  <c r="K21" i="15" s="1"/>
  <c r="L21" i="15" s="1"/>
  <c r="W19" i="15"/>
  <c r="V19" i="15"/>
  <c r="V25" i="15" s="1"/>
  <c r="V22" i="15" s="1"/>
  <c r="U19" i="15"/>
  <c r="U25" i="15" s="1"/>
  <c r="U22" i="15" s="1"/>
  <c r="T19" i="15"/>
  <c r="S19" i="15"/>
  <c r="G19" i="15"/>
  <c r="F19" i="15"/>
  <c r="E19" i="15"/>
  <c r="E25" i="15" s="1"/>
  <c r="K18" i="15"/>
  <c r="J18" i="15"/>
  <c r="I18" i="15"/>
  <c r="H18" i="15"/>
  <c r="G18" i="15"/>
  <c r="F18" i="15"/>
  <c r="L18" i="15" s="1"/>
  <c r="E18" i="15"/>
  <c r="K17" i="15"/>
  <c r="J17" i="15"/>
  <c r="I17" i="15"/>
  <c r="H17" i="15"/>
  <c r="G17" i="15"/>
  <c r="F17" i="15"/>
  <c r="L17" i="15" s="1"/>
  <c r="E17" i="15"/>
  <c r="G16" i="15"/>
  <c r="F16" i="15"/>
  <c r="E16" i="15"/>
  <c r="S15" i="15"/>
  <c r="R15" i="15"/>
  <c r="G15" i="15"/>
  <c r="G14" i="15" s="1"/>
  <c r="G25" i="15" s="1"/>
  <c r="F15" i="15"/>
  <c r="F14" i="15" s="1"/>
  <c r="F25" i="15" s="1"/>
  <c r="E15" i="15"/>
  <c r="S14" i="15"/>
  <c r="R14" i="15"/>
  <c r="E14" i="15"/>
  <c r="X13" i="15"/>
  <c r="R13" i="15"/>
  <c r="L13" i="15"/>
  <c r="S12" i="15"/>
  <c r="R12" i="15"/>
  <c r="L12" i="15"/>
  <c r="W11" i="15"/>
  <c r="V11" i="15"/>
  <c r="U11" i="15"/>
  <c r="T11" i="15"/>
  <c r="H20" i="15" s="1"/>
  <c r="S11" i="15"/>
  <c r="R11" i="15"/>
  <c r="S9" i="15"/>
  <c r="T9" i="15" s="1"/>
  <c r="U9" i="15" s="1"/>
  <c r="V9" i="15" s="1"/>
  <c r="W9" i="15" s="1"/>
  <c r="R9" i="15"/>
  <c r="G9" i="15"/>
  <c r="F9" i="15"/>
  <c r="T8" i="15"/>
  <c r="U8" i="15" s="1"/>
  <c r="V8" i="15" s="1"/>
  <c r="W8" i="15" s="1"/>
  <c r="S8" i="15"/>
  <c r="R8" i="15"/>
  <c r="L8" i="15"/>
  <c r="W7" i="15"/>
  <c r="V7" i="15"/>
  <c r="U7" i="15"/>
  <c r="T7" i="15"/>
  <c r="H6" i="15" s="1"/>
  <c r="S7" i="15"/>
  <c r="L7" i="15"/>
  <c r="W6" i="15"/>
  <c r="V6" i="15"/>
  <c r="U6" i="15"/>
  <c r="T6" i="15"/>
  <c r="S6" i="15"/>
  <c r="H5" i="15"/>
  <c r="G4" i="15"/>
  <c r="F4" i="15"/>
  <c r="S13" i="15" s="1"/>
  <c r="K48" i="14"/>
  <c r="J48" i="14"/>
  <c r="I48" i="14"/>
  <c r="H48" i="14"/>
  <c r="K43" i="14"/>
  <c r="J43" i="14"/>
  <c r="I43" i="14"/>
  <c r="H43" i="14"/>
  <c r="X40" i="14"/>
  <c r="S40" i="14"/>
  <c r="R40" i="14"/>
  <c r="X39" i="14"/>
  <c r="V39" i="14" s="1"/>
  <c r="W39" i="14"/>
  <c r="S39" i="14"/>
  <c r="R39" i="14"/>
  <c r="X38" i="14"/>
  <c r="T38" i="14" s="1"/>
  <c r="W38" i="14"/>
  <c r="V38" i="14"/>
  <c r="U38" i="14"/>
  <c r="W37" i="14"/>
  <c r="V37" i="14"/>
  <c r="T37" i="14"/>
  <c r="H23" i="14" s="1"/>
  <c r="I23" i="14" s="1"/>
  <c r="S37" i="14"/>
  <c r="R37" i="14"/>
  <c r="W36" i="14"/>
  <c r="V36" i="14"/>
  <c r="U36" i="14"/>
  <c r="T36" i="14"/>
  <c r="S36" i="14"/>
  <c r="R36" i="14"/>
  <c r="I36" i="14"/>
  <c r="R34" i="14"/>
  <c r="Q34" i="14"/>
  <c r="S33" i="14"/>
  <c r="T33" i="14" s="1"/>
  <c r="U33" i="14" s="1"/>
  <c r="V33" i="14" s="1"/>
  <c r="W33" i="14" s="1"/>
  <c r="R33" i="14"/>
  <c r="Q33" i="14"/>
  <c r="S32" i="14"/>
  <c r="T32" i="14" s="1"/>
  <c r="U32" i="14" s="1"/>
  <c r="V32" i="14" s="1"/>
  <c r="W32" i="14" s="1"/>
  <c r="R32" i="14"/>
  <c r="Q32" i="14"/>
  <c r="S31" i="14"/>
  <c r="T31" i="14" s="1"/>
  <c r="U31" i="14" s="1"/>
  <c r="V31" i="14" s="1"/>
  <c r="W31" i="14" s="1"/>
  <c r="R31" i="14"/>
  <c r="Q31" i="14"/>
  <c r="R29" i="14"/>
  <c r="W28" i="14"/>
  <c r="V28" i="14"/>
  <c r="U28" i="14"/>
  <c r="S28" i="14"/>
  <c r="R28" i="14"/>
  <c r="W27" i="14"/>
  <c r="V27" i="14"/>
  <c r="U27" i="14"/>
  <c r="S27" i="14"/>
  <c r="R27" i="14"/>
  <c r="W26" i="14"/>
  <c r="V26" i="14"/>
  <c r="U26" i="14"/>
  <c r="S26" i="14"/>
  <c r="R26" i="14"/>
  <c r="H22" i="14"/>
  <c r="G21" i="14"/>
  <c r="F21" i="14"/>
  <c r="E21" i="14"/>
  <c r="S20" i="14"/>
  <c r="AA20" i="14" s="1"/>
  <c r="R20" i="14"/>
  <c r="Z20" i="14" s="1"/>
  <c r="Q20" i="14"/>
  <c r="P20" i="14"/>
  <c r="Y20" i="14" s="1"/>
  <c r="K20" i="14"/>
  <c r="L20" i="14" s="1"/>
  <c r="J20" i="14"/>
  <c r="I20" i="14"/>
  <c r="H20" i="14"/>
  <c r="G20" i="14"/>
  <c r="F20" i="14"/>
  <c r="E20" i="14"/>
  <c r="AA19" i="14"/>
  <c r="Z19" i="14"/>
  <c r="Y19" i="14"/>
  <c r="T19" i="14"/>
  <c r="U19" i="14" s="1"/>
  <c r="V19" i="14" s="1"/>
  <c r="W19" i="14" s="1"/>
  <c r="J19" i="14"/>
  <c r="I19" i="14"/>
  <c r="G19" i="14"/>
  <c r="F19" i="14"/>
  <c r="E19" i="14"/>
  <c r="AA18" i="14"/>
  <c r="Z18" i="14"/>
  <c r="Y18" i="14"/>
  <c r="U18" i="14"/>
  <c r="V18" i="14" s="1"/>
  <c r="W18" i="14" s="1"/>
  <c r="T18" i="14"/>
  <c r="G18" i="14"/>
  <c r="F18" i="14"/>
  <c r="E18" i="14"/>
  <c r="AA17" i="14"/>
  <c r="Z17" i="14"/>
  <c r="Y17" i="14"/>
  <c r="T17" i="14"/>
  <c r="T20" i="14" s="1"/>
  <c r="G17" i="14"/>
  <c r="F17" i="14"/>
  <c r="E17" i="14"/>
  <c r="G16" i="14"/>
  <c r="F16" i="14"/>
  <c r="E16" i="14"/>
  <c r="S15" i="14"/>
  <c r="R15" i="14"/>
  <c r="Z15" i="14" s="1"/>
  <c r="Q15" i="14"/>
  <c r="Y15" i="14" s="1"/>
  <c r="P15" i="14"/>
  <c r="G15" i="14"/>
  <c r="G27" i="14" s="1"/>
  <c r="F15" i="14"/>
  <c r="F27" i="14" s="1"/>
  <c r="E15" i="14"/>
  <c r="E27" i="14" s="1"/>
  <c r="AA14" i="14"/>
  <c r="Z14" i="14"/>
  <c r="Y14" i="14"/>
  <c r="U14" i="14"/>
  <c r="V14" i="14" s="1"/>
  <c r="W14" i="14" s="1"/>
  <c r="T14" i="14"/>
  <c r="L14" i="14"/>
  <c r="AA13" i="14"/>
  <c r="T13" i="14"/>
  <c r="U13" i="14" s="1"/>
  <c r="V13" i="14" s="1"/>
  <c r="W13" i="14" s="1"/>
  <c r="L13" i="14"/>
  <c r="K13" i="14"/>
  <c r="K19" i="14" s="1"/>
  <c r="L19" i="14" s="1"/>
  <c r="J13" i="14"/>
  <c r="I13" i="14"/>
  <c r="H13" i="14"/>
  <c r="H19" i="14" s="1"/>
  <c r="AA12" i="14"/>
  <c r="Z12" i="14"/>
  <c r="V12" i="14"/>
  <c r="W12" i="14" s="1"/>
  <c r="U12" i="14"/>
  <c r="T12" i="14"/>
  <c r="AA11" i="14"/>
  <c r="Z11" i="14"/>
  <c r="Y11" i="14"/>
  <c r="AA10" i="14"/>
  <c r="Z10" i="14"/>
  <c r="Y10" i="14"/>
  <c r="T10" i="14"/>
  <c r="U10" i="14" s="1"/>
  <c r="G9" i="14"/>
  <c r="F9" i="14"/>
  <c r="E9" i="14"/>
  <c r="AA8" i="14"/>
  <c r="S8" i="14"/>
  <c r="K36" i="14" s="1"/>
  <c r="R8" i="14"/>
  <c r="Q8" i="14"/>
  <c r="Q21" i="14" s="1"/>
  <c r="P8" i="14"/>
  <c r="P21" i="14" s="1"/>
  <c r="L8" i="14"/>
  <c r="AA7" i="14"/>
  <c r="Z7" i="14"/>
  <c r="Y7" i="14"/>
  <c r="V7" i="14"/>
  <c r="W7" i="14" s="1"/>
  <c r="U7" i="14"/>
  <c r="T7" i="14"/>
  <c r="AA6" i="14"/>
  <c r="W6" i="14"/>
  <c r="V6" i="14"/>
  <c r="U6" i="14"/>
  <c r="T6" i="14"/>
  <c r="AA5" i="14"/>
  <c r="Z5" i="14"/>
  <c r="Y5" i="14"/>
  <c r="T5" i="14"/>
  <c r="G4" i="14"/>
  <c r="F4" i="14"/>
  <c r="E4" i="14"/>
  <c r="L106" i="13"/>
  <c r="K106" i="13"/>
  <c r="J106" i="13"/>
  <c r="I106" i="13"/>
  <c r="H106" i="13"/>
  <c r="G103" i="13"/>
  <c r="F103" i="13"/>
  <c r="E103" i="13"/>
  <c r="H102" i="13"/>
  <c r="G102" i="13"/>
  <c r="F102" i="13"/>
  <c r="E102" i="13"/>
  <c r="H101" i="13"/>
  <c r="G101" i="13"/>
  <c r="F101" i="13"/>
  <c r="E101" i="13"/>
  <c r="H100" i="13"/>
  <c r="G100" i="13"/>
  <c r="F100" i="13"/>
  <c r="E100" i="13"/>
  <c r="H99" i="13"/>
  <c r="G99" i="13"/>
  <c r="F99" i="13"/>
  <c r="E99" i="13"/>
  <c r="H98" i="13"/>
  <c r="G98" i="13"/>
  <c r="F98" i="13"/>
  <c r="E98" i="13"/>
  <c r="H97" i="13"/>
  <c r="G97" i="13"/>
  <c r="F97" i="13"/>
  <c r="E97" i="13"/>
  <c r="H96" i="13"/>
  <c r="G96" i="13"/>
  <c r="F96" i="13"/>
  <c r="E96" i="13"/>
  <c r="H95" i="13"/>
  <c r="G95" i="13"/>
  <c r="F95" i="13"/>
  <c r="E95" i="13"/>
  <c r="H94" i="13"/>
  <c r="G94" i="13"/>
  <c r="F94" i="13"/>
  <c r="E94" i="13"/>
  <c r="H93" i="13"/>
  <c r="G93" i="13"/>
  <c r="F93" i="13"/>
  <c r="E93" i="13"/>
  <c r="K92" i="13"/>
  <c r="H92" i="13"/>
  <c r="G92" i="13"/>
  <c r="F92" i="13"/>
  <c r="E92" i="13"/>
  <c r="L91" i="13"/>
  <c r="K91" i="13"/>
  <c r="H91" i="13"/>
  <c r="G91" i="13"/>
  <c r="F91" i="13"/>
  <c r="E91" i="13"/>
  <c r="L90" i="13"/>
  <c r="K90" i="13"/>
  <c r="H90" i="13"/>
  <c r="G90" i="13"/>
  <c r="F90" i="13"/>
  <c r="E90" i="13"/>
  <c r="L89" i="13"/>
  <c r="K89" i="13"/>
  <c r="H89" i="13"/>
  <c r="H88" i="13" s="1"/>
  <c r="G89" i="13"/>
  <c r="F89" i="13"/>
  <c r="E89" i="13"/>
  <c r="G88" i="13"/>
  <c r="F88" i="13"/>
  <c r="E88" i="13"/>
  <c r="L87" i="13"/>
  <c r="K87" i="13"/>
  <c r="J87" i="13"/>
  <c r="G87" i="13"/>
  <c r="F87" i="13"/>
  <c r="E87" i="13"/>
  <c r="L86" i="13"/>
  <c r="K86" i="13"/>
  <c r="J86" i="13"/>
  <c r="G86" i="13"/>
  <c r="F86" i="13"/>
  <c r="E86" i="13"/>
  <c r="L85" i="13"/>
  <c r="K85" i="13"/>
  <c r="J85" i="13"/>
  <c r="G85" i="13"/>
  <c r="F85" i="13"/>
  <c r="E85" i="13"/>
  <c r="L84" i="13"/>
  <c r="K84" i="13"/>
  <c r="K83" i="13" s="1"/>
  <c r="L83" i="13" s="1"/>
  <c r="J84" i="13"/>
  <c r="G84" i="13"/>
  <c r="F84" i="13"/>
  <c r="E84" i="13"/>
  <c r="T83" i="13"/>
  <c r="U83" i="13" s="1"/>
  <c r="V83" i="13" s="1"/>
  <c r="R83" i="13"/>
  <c r="Q83" i="13"/>
  <c r="G83" i="13"/>
  <c r="F83" i="13"/>
  <c r="E83" i="13"/>
  <c r="R82" i="13"/>
  <c r="Q82" i="13"/>
  <c r="K82" i="13"/>
  <c r="L82" i="13" s="1"/>
  <c r="J82" i="13"/>
  <c r="I82" i="13"/>
  <c r="G82" i="13"/>
  <c r="F82" i="13"/>
  <c r="E82" i="13"/>
  <c r="U81" i="13"/>
  <c r="V81" i="13" s="1"/>
  <c r="S81" i="13"/>
  <c r="T81" i="13" s="1"/>
  <c r="K81" i="13"/>
  <c r="L81" i="13" s="1"/>
  <c r="J81" i="13"/>
  <c r="I81" i="13"/>
  <c r="G81" i="13"/>
  <c r="F81" i="13"/>
  <c r="E81" i="13"/>
  <c r="K80" i="13"/>
  <c r="L80" i="13" s="1"/>
  <c r="J80" i="13"/>
  <c r="I80" i="13"/>
  <c r="G80" i="13"/>
  <c r="F80" i="13"/>
  <c r="E80" i="13"/>
  <c r="S79" i="13"/>
  <c r="R79" i="13"/>
  <c r="Q79" i="13"/>
  <c r="K79" i="13"/>
  <c r="L79" i="13" s="1"/>
  <c r="J79" i="13"/>
  <c r="J78" i="13" s="1"/>
  <c r="I79" i="13"/>
  <c r="I78" i="13" s="1"/>
  <c r="G79" i="13"/>
  <c r="F79" i="13"/>
  <c r="E79" i="13"/>
  <c r="E78" i="13" s="1"/>
  <c r="S78" i="13"/>
  <c r="H107" i="13" s="1"/>
  <c r="R78" i="13"/>
  <c r="Q78" i="13"/>
  <c r="K78" i="13"/>
  <c r="L78" i="13" s="1"/>
  <c r="F78" i="13"/>
  <c r="R77" i="13"/>
  <c r="Q77" i="13"/>
  <c r="K77" i="13"/>
  <c r="L77" i="13" s="1"/>
  <c r="J77" i="13"/>
  <c r="I77" i="13"/>
  <c r="G77" i="13"/>
  <c r="F77" i="13"/>
  <c r="E77" i="13"/>
  <c r="S76" i="13"/>
  <c r="H105" i="13" s="1"/>
  <c r="R76" i="13"/>
  <c r="Q76" i="13"/>
  <c r="K76" i="13"/>
  <c r="L76" i="13" s="1"/>
  <c r="J76" i="13"/>
  <c r="I76" i="13"/>
  <c r="G76" i="13"/>
  <c r="G73" i="13" s="1"/>
  <c r="F76" i="13"/>
  <c r="F73" i="13" s="1"/>
  <c r="E76" i="13"/>
  <c r="E73" i="13" s="1"/>
  <c r="S75" i="13"/>
  <c r="H104" i="13" s="1"/>
  <c r="R75" i="13"/>
  <c r="Q75" i="13"/>
  <c r="K75" i="13"/>
  <c r="L75" i="13" s="1"/>
  <c r="J75" i="13"/>
  <c r="I75" i="13"/>
  <c r="G75" i="13"/>
  <c r="F75" i="13"/>
  <c r="E75" i="13"/>
  <c r="K74" i="13"/>
  <c r="L74" i="13" s="1"/>
  <c r="J74" i="13"/>
  <c r="I74" i="13"/>
  <c r="G74" i="13"/>
  <c r="F74" i="13"/>
  <c r="E74" i="13"/>
  <c r="J73" i="13"/>
  <c r="I73" i="13"/>
  <c r="G72" i="13"/>
  <c r="F72" i="13"/>
  <c r="E72" i="13"/>
  <c r="Q71" i="13"/>
  <c r="G71" i="13"/>
  <c r="F71" i="13"/>
  <c r="F70" i="13" s="1"/>
  <c r="F109" i="13" s="1"/>
  <c r="E71" i="13"/>
  <c r="Q70" i="13"/>
  <c r="Q69" i="13"/>
  <c r="H65" i="13"/>
  <c r="G65" i="13"/>
  <c r="G37" i="13" s="1"/>
  <c r="F65" i="13"/>
  <c r="E65" i="13"/>
  <c r="AA63" i="13"/>
  <c r="AA64" i="13" s="1"/>
  <c r="AA65" i="13" s="1"/>
  <c r="Q63" i="13"/>
  <c r="I63" i="13"/>
  <c r="I96" i="13" s="1"/>
  <c r="AA62" i="13"/>
  <c r="V62" i="13"/>
  <c r="V63" i="13" s="1"/>
  <c r="Q62" i="13"/>
  <c r="H60" i="13"/>
  <c r="G60" i="13"/>
  <c r="F60" i="13"/>
  <c r="E60" i="13"/>
  <c r="L59" i="13"/>
  <c r="L58" i="13"/>
  <c r="AA57" i="13"/>
  <c r="AA58" i="13" s="1"/>
  <c r="I68" i="13" s="1"/>
  <c r="I101" i="13" s="1"/>
  <c r="V57" i="13"/>
  <c r="V58" i="13" s="1"/>
  <c r="L57" i="13"/>
  <c r="AA56" i="13"/>
  <c r="V56" i="13"/>
  <c r="Q56" i="13"/>
  <c r="L56" i="13"/>
  <c r="I56" i="13"/>
  <c r="AA55" i="13"/>
  <c r="V55" i="13"/>
  <c r="Q55" i="13"/>
  <c r="L55" i="13"/>
  <c r="K55" i="13"/>
  <c r="H55" i="13"/>
  <c r="G55" i="13"/>
  <c r="F55" i="13"/>
  <c r="E55" i="13"/>
  <c r="L54" i="13"/>
  <c r="L53" i="13"/>
  <c r="L52" i="13"/>
  <c r="V51" i="13"/>
  <c r="L51" i="13"/>
  <c r="L50" i="13"/>
  <c r="K50" i="13"/>
  <c r="J50" i="13"/>
  <c r="G50" i="13"/>
  <c r="F50" i="13"/>
  <c r="E50" i="13"/>
  <c r="AA49" i="13"/>
  <c r="Q49" i="13"/>
  <c r="L49" i="13"/>
  <c r="AA48" i="13"/>
  <c r="V48" i="13"/>
  <c r="V49" i="13" s="1"/>
  <c r="V50" i="13" s="1"/>
  <c r="Q48" i="13"/>
  <c r="L48" i="13"/>
  <c r="L47" i="13"/>
  <c r="L46" i="13"/>
  <c r="L45" i="13"/>
  <c r="K45" i="13"/>
  <c r="J45" i="13"/>
  <c r="I45" i="13"/>
  <c r="G45" i="13"/>
  <c r="F45" i="13"/>
  <c r="F37" i="13" s="1"/>
  <c r="E45" i="13"/>
  <c r="L44" i="13"/>
  <c r="V43" i="13"/>
  <c r="V44" i="13" s="1"/>
  <c r="L43" i="13"/>
  <c r="AA42" i="13"/>
  <c r="AA43" i="13" s="1"/>
  <c r="AA44" i="13" s="1"/>
  <c r="V42" i="13"/>
  <c r="Q42" i="13"/>
  <c r="Q43" i="13" s="1"/>
  <c r="Q44" i="13" s="1"/>
  <c r="H41" i="13" s="1"/>
  <c r="L42" i="13"/>
  <c r="L41" i="13"/>
  <c r="K40" i="13"/>
  <c r="L40" i="13" s="1"/>
  <c r="J40" i="13"/>
  <c r="I40" i="13"/>
  <c r="G40" i="13"/>
  <c r="F40" i="13"/>
  <c r="E40" i="13"/>
  <c r="I39" i="13"/>
  <c r="H38" i="13"/>
  <c r="E37" i="13"/>
  <c r="K36" i="13"/>
  <c r="K32" i="13" s="1"/>
  <c r="L32" i="13" s="1"/>
  <c r="K35" i="13"/>
  <c r="L35" i="13" s="1"/>
  <c r="K34" i="13"/>
  <c r="K33" i="13"/>
  <c r="J32" i="13"/>
  <c r="I32" i="13"/>
  <c r="H32" i="13"/>
  <c r="G32" i="13"/>
  <c r="F32" i="13"/>
  <c r="E32" i="13"/>
  <c r="K31" i="13"/>
  <c r="J31" i="13"/>
  <c r="L30" i="13"/>
  <c r="K30" i="13"/>
  <c r="J30" i="13"/>
  <c r="J63" i="13" s="1"/>
  <c r="K29" i="13"/>
  <c r="K27" i="13" s="1"/>
  <c r="L27" i="13" s="1"/>
  <c r="J29" i="13"/>
  <c r="T28" i="13"/>
  <c r="K28" i="13"/>
  <c r="J28" i="13"/>
  <c r="T27" i="13"/>
  <c r="I27" i="13"/>
  <c r="H27" i="13"/>
  <c r="G27" i="13"/>
  <c r="F27" i="13"/>
  <c r="E27" i="13"/>
  <c r="T26" i="13"/>
  <c r="L26" i="13"/>
  <c r="L25" i="13"/>
  <c r="L24" i="13"/>
  <c r="L23" i="13"/>
  <c r="K22" i="13"/>
  <c r="J22" i="13"/>
  <c r="I22" i="13"/>
  <c r="H22" i="13"/>
  <c r="G22" i="13"/>
  <c r="F22" i="13"/>
  <c r="L22" i="13" s="1"/>
  <c r="E22" i="13"/>
  <c r="L21" i="13"/>
  <c r="V20" i="13"/>
  <c r="U20" i="13"/>
  <c r="T20" i="13"/>
  <c r="S20" i="13"/>
  <c r="L20" i="13"/>
  <c r="V19" i="13"/>
  <c r="T19" i="13"/>
  <c r="U19" i="13" s="1"/>
  <c r="L19" i="13"/>
  <c r="L18" i="13"/>
  <c r="U17" i="13"/>
  <c r="V17" i="13" s="1"/>
  <c r="T17" i="13"/>
  <c r="L17" i="13"/>
  <c r="K17" i="13"/>
  <c r="J17" i="13"/>
  <c r="I17" i="13"/>
  <c r="H17" i="13"/>
  <c r="G17" i="13"/>
  <c r="F17" i="13"/>
  <c r="F4" i="13" s="1"/>
  <c r="E17" i="13"/>
  <c r="V16" i="13"/>
  <c r="T16" i="13"/>
  <c r="U16" i="13" s="1"/>
  <c r="L16" i="13"/>
  <c r="T15" i="13"/>
  <c r="L15" i="13"/>
  <c r="S14" i="13"/>
  <c r="L14" i="13"/>
  <c r="L13" i="13"/>
  <c r="L12" i="13"/>
  <c r="K12" i="13"/>
  <c r="J12" i="13"/>
  <c r="I12" i="13"/>
  <c r="H12" i="13"/>
  <c r="G12" i="13"/>
  <c r="F12" i="13"/>
  <c r="E12" i="13"/>
  <c r="L11" i="13"/>
  <c r="R10" i="13"/>
  <c r="Q10" i="13"/>
  <c r="L10" i="13"/>
  <c r="H10" i="13"/>
  <c r="U9" i="13"/>
  <c r="V9" i="13" s="1"/>
  <c r="T9" i="13"/>
  <c r="R9" i="13"/>
  <c r="Q9" i="13"/>
  <c r="L9" i="13"/>
  <c r="L8" i="13"/>
  <c r="T7" i="13"/>
  <c r="U7" i="13" s="1"/>
  <c r="J6" i="13" s="1"/>
  <c r="S7" i="13"/>
  <c r="Q7" i="13"/>
  <c r="K7" i="13"/>
  <c r="L7" i="13" s="1"/>
  <c r="J7" i="13"/>
  <c r="I7" i="13"/>
  <c r="G7" i="13"/>
  <c r="G4" i="13" s="1"/>
  <c r="F7" i="13"/>
  <c r="E7" i="13"/>
  <c r="E4" i="13" s="1"/>
  <c r="S6" i="13"/>
  <c r="T6" i="13" s="1"/>
  <c r="Q6" i="13"/>
  <c r="H6" i="13"/>
  <c r="G76" i="12"/>
  <c r="F76" i="12"/>
  <c r="E76" i="12"/>
  <c r="K75" i="12"/>
  <c r="L75" i="12" s="1"/>
  <c r="J75" i="12"/>
  <c r="I75" i="12"/>
  <c r="H75" i="12"/>
  <c r="G75" i="12"/>
  <c r="F75" i="12"/>
  <c r="E75" i="12"/>
  <c r="G74" i="12"/>
  <c r="F74" i="12"/>
  <c r="E74" i="12"/>
  <c r="G73" i="12"/>
  <c r="F73" i="12"/>
  <c r="E73" i="12"/>
  <c r="E72" i="12" s="1"/>
  <c r="G72" i="12"/>
  <c r="F72" i="12"/>
  <c r="K71" i="12"/>
  <c r="L71" i="12" s="1"/>
  <c r="J71" i="12"/>
  <c r="I71" i="12"/>
  <c r="H71" i="12"/>
  <c r="G71" i="12"/>
  <c r="F71" i="12"/>
  <c r="E71" i="12"/>
  <c r="G70" i="12"/>
  <c r="F70" i="12"/>
  <c r="E70" i="12"/>
  <c r="G69" i="12"/>
  <c r="F69" i="12"/>
  <c r="E69" i="12"/>
  <c r="G68" i="12"/>
  <c r="F68" i="12"/>
  <c r="E68" i="12"/>
  <c r="G67" i="12"/>
  <c r="F67" i="12"/>
  <c r="E67" i="12"/>
  <c r="G66" i="12"/>
  <c r="F66" i="12"/>
  <c r="E66" i="12"/>
  <c r="G65" i="12"/>
  <c r="F65" i="12"/>
  <c r="E65" i="12"/>
  <c r="G64" i="12"/>
  <c r="F64" i="12"/>
  <c r="E64" i="12"/>
  <c r="G63" i="12"/>
  <c r="F63" i="12"/>
  <c r="E63" i="12"/>
  <c r="W62" i="12"/>
  <c r="X62" i="12" s="1"/>
  <c r="V62" i="12"/>
  <c r="K62" i="12"/>
  <c r="J62" i="12"/>
  <c r="I62" i="12"/>
  <c r="H62" i="12"/>
  <c r="G62" i="12"/>
  <c r="F62" i="12"/>
  <c r="E62" i="12"/>
  <c r="V61" i="12"/>
  <c r="W61" i="12" s="1"/>
  <c r="X61" i="12" s="1"/>
  <c r="G61" i="12"/>
  <c r="F61" i="12"/>
  <c r="E61" i="12"/>
  <c r="G60" i="12"/>
  <c r="G59" i="12"/>
  <c r="F59" i="12"/>
  <c r="E59" i="12"/>
  <c r="G58" i="12"/>
  <c r="F58" i="12"/>
  <c r="E58" i="12"/>
  <c r="G57" i="12"/>
  <c r="F57" i="12"/>
  <c r="E57" i="12"/>
  <c r="G56" i="12"/>
  <c r="F56" i="12"/>
  <c r="E56" i="12"/>
  <c r="K55" i="12"/>
  <c r="L55" i="12" s="1"/>
  <c r="J55" i="12"/>
  <c r="I55" i="12"/>
  <c r="H55" i="12"/>
  <c r="G55" i="12"/>
  <c r="F55" i="12"/>
  <c r="E55" i="12"/>
  <c r="U54" i="12"/>
  <c r="V54" i="12" s="1"/>
  <c r="G54" i="12"/>
  <c r="G53" i="12" s="1"/>
  <c r="G52" i="12" s="1"/>
  <c r="G82" i="12" s="1"/>
  <c r="F54" i="12"/>
  <c r="E54" i="12"/>
  <c r="E53" i="12" s="1"/>
  <c r="F53" i="12"/>
  <c r="V52" i="12"/>
  <c r="W52" i="12" s="1"/>
  <c r="X52" i="12" s="1"/>
  <c r="X51" i="12"/>
  <c r="W51" i="12"/>
  <c r="V51" i="12"/>
  <c r="L51" i="12"/>
  <c r="W50" i="12"/>
  <c r="X50" i="12" s="1"/>
  <c r="V50" i="12"/>
  <c r="H50" i="12"/>
  <c r="I49" i="12"/>
  <c r="V48" i="12"/>
  <c r="W48" i="12" s="1"/>
  <c r="G48" i="12"/>
  <c r="F48" i="12"/>
  <c r="E48" i="12"/>
  <c r="W47" i="12"/>
  <c r="X47" i="12" s="1"/>
  <c r="V47" i="12"/>
  <c r="L47" i="12"/>
  <c r="X46" i="12"/>
  <c r="W46" i="12"/>
  <c r="V46" i="12"/>
  <c r="U45" i="12"/>
  <c r="U58" i="12" s="1"/>
  <c r="G44" i="12"/>
  <c r="F44" i="12"/>
  <c r="S31" i="12" s="1"/>
  <c r="E44" i="12"/>
  <c r="U42" i="12"/>
  <c r="T42" i="12"/>
  <c r="S42" i="12"/>
  <c r="R42" i="12"/>
  <c r="U41" i="12"/>
  <c r="V41" i="12" s="1"/>
  <c r="W41" i="12" s="1"/>
  <c r="X41" i="12" s="1"/>
  <c r="T41" i="12"/>
  <c r="S41" i="12"/>
  <c r="R41" i="12"/>
  <c r="Y40" i="12"/>
  <c r="T38" i="12"/>
  <c r="S38" i="12"/>
  <c r="R38" i="12"/>
  <c r="L38" i="12"/>
  <c r="AE37" i="12"/>
  <c r="AD37" i="12"/>
  <c r="U37" i="12"/>
  <c r="T37" i="12"/>
  <c r="S37" i="12"/>
  <c r="R37" i="12"/>
  <c r="L37" i="12"/>
  <c r="K37" i="12"/>
  <c r="K61" i="12" s="1"/>
  <c r="J37" i="12"/>
  <c r="J61" i="12" s="1"/>
  <c r="I37" i="12"/>
  <c r="I61" i="12" s="1"/>
  <c r="H37" i="12"/>
  <c r="AH36" i="12"/>
  <c r="AI36" i="12" s="1"/>
  <c r="AG36" i="12"/>
  <c r="T36" i="12"/>
  <c r="U36" i="12" s="1"/>
  <c r="S36" i="12"/>
  <c r="R36" i="12"/>
  <c r="G36" i="12"/>
  <c r="G28" i="12" s="1"/>
  <c r="F36" i="12"/>
  <c r="E36" i="12"/>
  <c r="AH35" i="12"/>
  <c r="AH33" i="12" s="1"/>
  <c r="AG35" i="12"/>
  <c r="AG33" i="12" s="1"/>
  <c r="V35" i="12"/>
  <c r="T35" i="12"/>
  <c r="U35" i="12" s="1"/>
  <c r="H77" i="12" s="1"/>
  <c r="S35" i="12"/>
  <c r="R35" i="12"/>
  <c r="I35" i="12"/>
  <c r="AI34" i="12"/>
  <c r="AH34" i="12"/>
  <c r="AF33" i="12"/>
  <c r="AG39" i="12" s="1"/>
  <c r="AE33" i="12"/>
  <c r="AD33" i="12"/>
  <c r="T33" i="12"/>
  <c r="S33" i="12"/>
  <c r="U33" i="12" s="1"/>
  <c r="V33" i="12" s="1"/>
  <c r="W33" i="12" s="1"/>
  <c r="X33" i="12" s="1"/>
  <c r="V32" i="12"/>
  <c r="W32" i="12" s="1"/>
  <c r="X32" i="12" s="1"/>
  <c r="U32" i="12"/>
  <c r="T32" i="12"/>
  <c r="S32" i="12"/>
  <c r="R32" i="12"/>
  <c r="R31" i="12"/>
  <c r="L31" i="12"/>
  <c r="T30" i="12"/>
  <c r="S30" i="12"/>
  <c r="R30" i="12"/>
  <c r="L30" i="12"/>
  <c r="K30" i="12"/>
  <c r="K54" i="12" s="1"/>
  <c r="J30" i="12"/>
  <c r="J54" i="12" s="1"/>
  <c r="I30" i="12"/>
  <c r="H30" i="12"/>
  <c r="H54" i="12" s="1"/>
  <c r="T29" i="12"/>
  <c r="S29" i="12"/>
  <c r="R29" i="12"/>
  <c r="G29" i="12"/>
  <c r="AB75" i="7" s="1"/>
  <c r="F29" i="12"/>
  <c r="E29" i="12"/>
  <c r="E28" i="12" s="1"/>
  <c r="X28" i="12"/>
  <c r="W28" i="12"/>
  <c r="V28" i="12"/>
  <c r="T27" i="12"/>
  <c r="U27" i="12" s="1"/>
  <c r="V27" i="12" s="1"/>
  <c r="W27" i="12" s="1"/>
  <c r="X27" i="12" s="1"/>
  <c r="S27" i="12"/>
  <c r="R27" i="12"/>
  <c r="L27" i="12"/>
  <c r="T26" i="12"/>
  <c r="S26" i="12"/>
  <c r="R26" i="12"/>
  <c r="H26" i="12"/>
  <c r="AI25" i="12"/>
  <c r="AH25" i="12"/>
  <c r="AG25" i="12"/>
  <c r="AF25" i="12"/>
  <c r="L25" i="12"/>
  <c r="K25" i="12"/>
  <c r="I25" i="12"/>
  <c r="H25" i="12"/>
  <c r="U24" i="12"/>
  <c r="V24" i="12" s="1"/>
  <c r="W24" i="12" s="1"/>
  <c r="X24" i="12" s="1"/>
  <c r="T24" i="12"/>
  <c r="S24" i="12"/>
  <c r="R24" i="12"/>
  <c r="H24" i="12"/>
  <c r="G24" i="12"/>
  <c r="F24" i="12"/>
  <c r="E24" i="12"/>
  <c r="X23" i="12"/>
  <c r="W23" i="12"/>
  <c r="V23" i="12"/>
  <c r="L23" i="12"/>
  <c r="T22" i="12"/>
  <c r="U22" i="12" s="1"/>
  <c r="V22" i="12" s="1"/>
  <c r="W22" i="12" s="1"/>
  <c r="X22" i="12" s="1"/>
  <c r="S22" i="12"/>
  <c r="R22" i="12"/>
  <c r="T21" i="12"/>
  <c r="S21" i="12"/>
  <c r="R21" i="12"/>
  <c r="AE20" i="12"/>
  <c r="AD20" i="12"/>
  <c r="G20" i="12"/>
  <c r="T31" i="12" s="1"/>
  <c r="F20" i="12"/>
  <c r="T16" i="12" s="1"/>
  <c r="E20" i="12"/>
  <c r="AG19" i="12"/>
  <c r="AH19" i="12" s="1"/>
  <c r="AF19" i="12"/>
  <c r="AE19" i="12"/>
  <c r="AD19" i="12"/>
  <c r="T18" i="12"/>
  <c r="J18" i="12"/>
  <c r="I18" i="12"/>
  <c r="H18" i="12"/>
  <c r="T17" i="12"/>
  <c r="S17" i="12"/>
  <c r="I16" i="12"/>
  <c r="I40" i="12" s="1"/>
  <c r="H16" i="12"/>
  <c r="H40" i="12" s="1"/>
  <c r="T15" i="12"/>
  <c r="S15" i="12"/>
  <c r="H15" i="12"/>
  <c r="T14" i="12"/>
  <c r="S14" i="12"/>
  <c r="L14" i="12"/>
  <c r="AF13" i="12"/>
  <c r="X13" i="12"/>
  <c r="W13" i="12"/>
  <c r="V13" i="12"/>
  <c r="L13" i="12"/>
  <c r="V12" i="12"/>
  <c r="W12" i="12" s="1"/>
  <c r="X12" i="12" s="1"/>
  <c r="T12" i="12"/>
  <c r="S12" i="12"/>
  <c r="G12" i="12"/>
  <c r="F12" i="12"/>
  <c r="F4" i="12" s="1"/>
  <c r="Q6" i="10" s="1"/>
  <c r="E12" i="12"/>
  <c r="T11" i="12"/>
  <c r="S11" i="12"/>
  <c r="L11" i="12"/>
  <c r="K11" i="12"/>
  <c r="J11" i="12"/>
  <c r="I11" i="12"/>
  <c r="H11" i="12"/>
  <c r="AH9" i="12"/>
  <c r="AG9" i="12"/>
  <c r="AF9" i="12"/>
  <c r="T9" i="12"/>
  <c r="S9" i="12"/>
  <c r="H9" i="12"/>
  <c r="AG8" i="12"/>
  <c r="AF8" i="12"/>
  <c r="AE8" i="12"/>
  <c r="X8" i="12"/>
  <c r="W8" i="12"/>
  <c r="V8" i="12"/>
  <c r="I9" i="12" s="1"/>
  <c r="AE7" i="12"/>
  <c r="AE6" i="12" s="1"/>
  <c r="AE10" i="12" s="1"/>
  <c r="AE14" i="12" s="1"/>
  <c r="AE16" i="12" s="1"/>
  <c r="AD7" i="12"/>
  <c r="AD6" i="12" s="1"/>
  <c r="AD10" i="12" s="1"/>
  <c r="V7" i="12"/>
  <c r="W7" i="12" s="1"/>
  <c r="X7" i="12" s="1"/>
  <c r="U7" i="12"/>
  <c r="H8" i="12" s="1"/>
  <c r="T7" i="12"/>
  <c r="S7" i="12"/>
  <c r="L7" i="12"/>
  <c r="AF6" i="12"/>
  <c r="AF10" i="12" s="1"/>
  <c r="T6" i="12"/>
  <c r="S6" i="12"/>
  <c r="L6" i="12"/>
  <c r="AG5" i="12"/>
  <c r="AF5" i="12"/>
  <c r="AF7" i="12" s="1"/>
  <c r="G5" i="12"/>
  <c r="F5" i="12"/>
  <c r="E5" i="12"/>
  <c r="G4" i="12"/>
  <c r="Y58" i="12" s="1"/>
  <c r="E4" i="12"/>
  <c r="Q2" i="12"/>
  <c r="X94" i="11"/>
  <c r="X93" i="11"/>
  <c r="X92" i="11"/>
  <c r="W90" i="11"/>
  <c r="W86" i="11" s="1"/>
  <c r="V90" i="11"/>
  <c r="U90" i="11"/>
  <c r="X89" i="11"/>
  <c r="X88" i="11"/>
  <c r="Y87" i="11"/>
  <c r="X87" i="11" s="1"/>
  <c r="V86" i="11"/>
  <c r="U86" i="11"/>
  <c r="Y82" i="11"/>
  <c r="X82" i="11"/>
  <c r="X81" i="11"/>
  <c r="U81" i="11"/>
  <c r="U80" i="11"/>
  <c r="U79" i="11"/>
  <c r="U78" i="11" s="1"/>
  <c r="U77" i="11" s="1"/>
  <c r="U96" i="11" s="1"/>
  <c r="U97" i="11" s="1"/>
  <c r="I78" i="11"/>
  <c r="X76" i="11"/>
  <c r="Y75" i="11"/>
  <c r="X74" i="11"/>
  <c r="W74" i="11"/>
  <c r="W81" i="11" s="1"/>
  <c r="V74" i="11"/>
  <c r="V81" i="11" s="1"/>
  <c r="U74" i="11"/>
  <c r="J74" i="11"/>
  <c r="I74" i="11"/>
  <c r="H74" i="11"/>
  <c r="X73" i="11"/>
  <c r="W73" i="11"/>
  <c r="W80" i="11" s="1"/>
  <c r="V73" i="11"/>
  <c r="V80" i="11" s="1"/>
  <c r="U73" i="11"/>
  <c r="G73" i="11"/>
  <c r="F73" i="11"/>
  <c r="E73" i="11"/>
  <c r="K72" i="11"/>
  <c r="L72" i="11" s="1"/>
  <c r="J72" i="11"/>
  <c r="I72" i="11"/>
  <c r="H72" i="11"/>
  <c r="G72" i="11"/>
  <c r="F72" i="11"/>
  <c r="E72" i="11"/>
  <c r="Y71" i="11"/>
  <c r="X71" i="11"/>
  <c r="G71" i="11"/>
  <c r="F71" i="11"/>
  <c r="F69" i="11" s="1"/>
  <c r="E71" i="11"/>
  <c r="E69" i="11" s="1"/>
  <c r="E50" i="11" s="1"/>
  <c r="E79" i="11" s="1"/>
  <c r="Y70" i="11"/>
  <c r="X70" i="11" s="1"/>
  <c r="G70" i="11"/>
  <c r="G69" i="11" s="1"/>
  <c r="F70" i="11"/>
  <c r="E70" i="11"/>
  <c r="Y68" i="11"/>
  <c r="X68" i="11" s="1"/>
  <c r="K68" i="11"/>
  <c r="L68" i="11" s="1"/>
  <c r="J68" i="11"/>
  <c r="I68" i="11"/>
  <c r="H68" i="11"/>
  <c r="G68" i="11"/>
  <c r="F68" i="11"/>
  <c r="F65" i="11" s="1"/>
  <c r="E68" i="11"/>
  <c r="E65" i="11" s="1"/>
  <c r="Y67" i="11"/>
  <c r="X67" i="11" s="1"/>
  <c r="L67" i="11"/>
  <c r="K67" i="11"/>
  <c r="J67" i="11"/>
  <c r="I67" i="11"/>
  <c r="H67" i="11"/>
  <c r="G67" i="11"/>
  <c r="F67" i="11"/>
  <c r="E67" i="11"/>
  <c r="X66" i="11"/>
  <c r="W66" i="11"/>
  <c r="W79" i="11" s="1"/>
  <c r="V66" i="11"/>
  <c r="V79" i="11" s="1"/>
  <c r="V78" i="11" s="1"/>
  <c r="V77" i="11" s="1"/>
  <c r="V96" i="11" s="1"/>
  <c r="V97" i="11" s="1"/>
  <c r="U66" i="11"/>
  <c r="G66" i="11"/>
  <c r="G65" i="11" s="1"/>
  <c r="F66" i="11"/>
  <c r="E66" i="11"/>
  <c r="L64" i="11"/>
  <c r="K64" i="11"/>
  <c r="J64" i="11"/>
  <c r="I64" i="11"/>
  <c r="H64" i="11"/>
  <c r="G64" i="11"/>
  <c r="F64" i="11"/>
  <c r="E64" i="11"/>
  <c r="L63" i="11"/>
  <c r="K63" i="11"/>
  <c r="J63" i="11"/>
  <c r="I63" i="11"/>
  <c r="H63" i="11"/>
  <c r="G63" i="11"/>
  <c r="F63" i="11"/>
  <c r="E63" i="11"/>
  <c r="H62" i="11"/>
  <c r="H61" i="11" s="1"/>
  <c r="G62" i="11"/>
  <c r="F62" i="11"/>
  <c r="E62" i="11"/>
  <c r="G61" i="11"/>
  <c r="F61" i="11"/>
  <c r="E61" i="11"/>
  <c r="L60" i="11"/>
  <c r="K60" i="11"/>
  <c r="J60" i="11"/>
  <c r="I60" i="11"/>
  <c r="H60" i="11"/>
  <c r="G60" i="11"/>
  <c r="F60" i="11"/>
  <c r="E60" i="11"/>
  <c r="F59" i="11"/>
  <c r="E59" i="11"/>
  <c r="F58" i="11"/>
  <c r="E58" i="11"/>
  <c r="F57" i="11"/>
  <c r="E57" i="11"/>
  <c r="X56" i="11"/>
  <c r="W56" i="11"/>
  <c r="V56" i="11"/>
  <c r="U56" i="11"/>
  <c r="F56" i="11"/>
  <c r="E56" i="11"/>
  <c r="U55" i="11"/>
  <c r="L55" i="11"/>
  <c r="K55" i="11"/>
  <c r="J55" i="11"/>
  <c r="I55" i="11"/>
  <c r="H55" i="11"/>
  <c r="G55" i="11"/>
  <c r="F55" i="11"/>
  <c r="E55" i="11"/>
  <c r="U54" i="11"/>
  <c r="T54" i="11"/>
  <c r="S54" i="11"/>
  <c r="G54" i="11"/>
  <c r="F54" i="11"/>
  <c r="E54" i="11"/>
  <c r="T53" i="11"/>
  <c r="U53" i="11" s="1"/>
  <c r="V53" i="11" s="1"/>
  <c r="G53" i="11"/>
  <c r="F53" i="11"/>
  <c r="F51" i="11" s="1"/>
  <c r="F50" i="11" s="1"/>
  <c r="F79" i="11" s="1"/>
  <c r="E53" i="11"/>
  <c r="G52" i="11"/>
  <c r="F52" i="11"/>
  <c r="E52" i="11"/>
  <c r="G51" i="11"/>
  <c r="E51" i="11"/>
  <c r="V50" i="11"/>
  <c r="W50" i="11" s="1"/>
  <c r="U50" i="11"/>
  <c r="H78" i="11" s="1"/>
  <c r="R50" i="11"/>
  <c r="U49" i="11"/>
  <c r="R49" i="11"/>
  <c r="L49" i="11"/>
  <c r="U48" i="11"/>
  <c r="V48" i="11" s="1"/>
  <c r="W48" i="11" s="1"/>
  <c r="X48" i="11" s="1"/>
  <c r="R47" i="11"/>
  <c r="L47" i="11"/>
  <c r="K47" i="11"/>
  <c r="K70" i="11" s="1"/>
  <c r="J47" i="11"/>
  <c r="J70" i="11" s="1"/>
  <c r="I47" i="11"/>
  <c r="I70" i="11" s="1"/>
  <c r="H47" i="11"/>
  <c r="T46" i="11"/>
  <c r="R46" i="11"/>
  <c r="R48" i="11" s="1"/>
  <c r="G46" i="11"/>
  <c r="F46" i="11"/>
  <c r="E46" i="11"/>
  <c r="U45" i="11"/>
  <c r="R45" i="11"/>
  <c r="L45" i="11"/>
  <c r="U44" i="11"/>
  <c r="R44" i="11"/>
  <c r="L44" i="11"/>
  <c r="X43" i="11"/>
  <c r="R43" i="11"/>
  <c r="T42" i="11"/>
  <c r="G42" i="11"/>
  <c r="F42" i="11"/>
  <c r="E42" i="11"/>
  <c r="L41" i="11"/>
  <c r="X40" i="11"/>
  <c r="V40" i="11"/>
  <c r="W40" i="11" s="1"/>
  <c r="U40" i="11"/>
  <c r="L40" i="11"/>
  <c r="L39" i="11"/>
  <c r="L38" i="11"/>
  <c r="K38" i="11"/>
  <c r="J38" i="11"/>
  <c r="AG14" i="10" s="1"/>
  <c r="I38" i="11"/>
  <c r="H38" i="11"/>
  <c r="G38" i="11"/>
  <c r="F38" i="11"/>
  <c r="E38" i="11"/>
  <c r="V37" i="11"/>
  <c r="W37" i="11" s="1"/>
  <c r="X37" i="11" s="1"/>
  <c r="U37" i="11"/>
  <c r="S37" i="11"/>
  <c r="L37" i="11"/>
  <c r="V36" i="11"/>
  <c r="W36" i="11" s="1"/>
  <c r="X36" i="11" s="1"/>
  <c r="U36" i="11"/>
  <c r="S36" i="11"/>
  <c r="G36" i="11"/>
  <c r="G59" i="11" s="1"/>
  <c r="G35" i="11"/>
  <c r="G58" i="11" s="1"/>
  <c r="G34" i="11"/>
  <c r="X33" i="11"/>
  <c r="W33" i="11"/>
  <c r="V33" i="11"/>
  <c r="U33" i="11"/>
  <c r="F33" i="11"/>
  <c r="E33" i="11"/>
  <c r="W32" i="11"/>
  <c r="U32" i="11"/>
  <c r="V32" i="11" s="1"/>
  <c r="L32" i="11"/>
  <c r="V31" i="11"/>
  <c r="W31" i="11" s="1"/>
  <c r="X31" i="11" s="1"/>
  <c r="U31" i="11"/>
  <c r="U30" i="11"/>
  <c r="V30" i="11" s="1"/>
  <c r="W30" i="11" s="1"/>
  <c r="X30" i="11" s="1"/>
  <c r="S28" i="11"/>
  <c r="G28" i="11"/>
  <c r="F28" i="11"/>
  <c r="F27" i="11" s="1"/>
  <c r="E28" i="11"/>
  <c r="E27" i="11" s="1"/>
  <c r="X27" i="11"/>
  <c r="S27" i="11"/>
  <c r="X26" i="11"/>
  <c r="S26" i="11"/>
  <c r="L26" i="11"/>
  <c r="K25" i="11"/>
  <c r="J25" i="11"/>
  <c r="J48" i="11" s="1"/>
  <c r="AG17" i="10" s="1"/>
  <c r="I25" i="11"/>
  <c r="I48" i="11" s="1"/>
  <c r="I46" i="11" s="1"/>
  <c r="H25" i="11"/>
  <c r="H48" i="11" s="1"/>
  <c r="X24" i="11"/>
  <c r="S24" i="11"/>
  <c r="L24" i="11"/>
  <c r="X23" i="11"/>
  <c r="S23" i="11"/>
  <c r="I23" i="11"/>
  <c r="H23" i="11"/>
  <c r="G23" i="11"/>
  <c r="F23" i="11"/>
  <c r="E23" i="11"/>
  <c r="X22" i="11"/>
  <c r="S22" i="11"/>
  <c r="L22" i="11"/>
  <c r="L21" i="11"/>
  <c r="X20" i="11"/>
  <c r="W20" i="11"/>
  <c r="V20" i="11"/>
  <c r="U20" i="11"/>
  <c r="T20" i="11"/>
  <c r="G19" i="11"/>
  <c r="AB11" i="7" s="1"/>
  <c r="AB9" i="7" s="1"/>
  <c r="F19" i="11"/>
  <c r="E19" i="11"/>
  <c r="L18" i="11"/>
  <c r="L17" i="11"/>
  <c r="T16" i="11"/>
  <c r="H16" i="11"/>
  <c r="I16" i="11" s="1"/>
  <c r="U15" i="11"/>
  <c r="G15" i="11"/>
  <c r="F15" i="11"/>
  <c r="E15" i="11"/>
  <c r="F7" i="10" s="1"/>
  <c r="F60" i="10" s="1"/>
  <c r="W14" i="11"/>
  <c r="U14" i="11"/>
  <c r="V14" i="11" s="1"/>
  <c r="L14" i="11"/>
  <c r="V13" i="11"/>
  <c r="U13" i="11"/>
  <c r="U12" i="11"/>
  <c r="T12" i="11"/>
  <c r="R12" i="11"/>
  <c r="R7" i="11" s="1"/>
  <c r="R6" i="11" s="1"/>
  <c r="I12" i="11"/>
  <c r="I35" i="11" s="1"/>
  <c r="V11" i="11"/>
  <c r="W11" i="11" s="1"/>
  <c r="J8" i="11" s="1"/>
  <c r="J31" i="11" s="1"/>
  <c r="U11" i="11"/>
  <c r="H11" i="11"/>
  <c r="U10" i="11"/>
  <c r="V10" i="11" s="1"/>
  <c r="G10" i="11"/>
  <c r="F10" i="11"/>
  <c r="S53" i="11" s="1"/>
  <c r="E10" i="11"/>
  <c r="U9" i="11"/>
  <c r="L9" i="11"/>
  <c r="T8" i="11"/>
  <c r="T7" i="11" s="1"/>
  <c r="T6" i="11" s="1"/>
  <c r="R8" i="11"/>
  <c r="H8" i="11"/>
  <c r="H31" i="11" s="1"/>
  <c r="H54" i="11" s="1"/>
  <c r="S7" i="11"/>
  <c r="H7" i="11"/>
  <c r="S6" i="11"/>
  <c r="W5" i="11"/>
  <c r="X5" i="11" s="1"/>
  <c r="U5" i="11"/>
  <c r="V5" i="11" s="1"/>
  <c r="G5" i="11"/>
  <c r="G4" i="11" s="1"/>
  <c r="F5" i="11"/>
  <c r="E5" i="11"/>
  <c r="U4" i="11"/>
  <c r="V4" i="11" s="1"/>
  <c r="F4" i="11"/>
  <c r="H89" i="10"/>
  <c r="F89" i="10"/>
  <c r="H88" i="10"/>
  <c r="G88" i="10"/>
  <c r="F88" i="10"/>
  <c r="H87" i="10"/>
  <c r="G87" i="10"/>
  <c r="F87" i="10"/>
  <c r="H86" i="10"/>
  <c r="G86" i="10"/>
  <c r="F86" i="10"/>
  <c r="H85" i="10"/>
  <c r="G85" i="10"/>
  <c r="F85" i="10"/>
  <c r="F84" i="10" s="1"/>
  <c r="J83" i="10"/>
  <c r="I83" i="10"/>
  <c r="H83" i="10"/>
  <c r="G83" i="10"/>
  <c r="F83" i="10"/>
  <c r="I82" i="10"/>
  <c r="J82" i="10" s="1"/>
  <c r="H82" i="10"/>
  <c r="G82" i="10"/>
  <c r="F82" i="10"/>
  <c r="J81" i="10"/>
  <c r="I81" i="10"/>
  <c r="H81" i="10"/>
  <c r="H80" i="10" s="1"/>
  <c r="G81" i="10"/>
  <c r="F81" i="10"/>
  <c r="F80" i="10" s="1"/>
  <c r="I80" i="10"/>
  <c r="J80" i="10" s="1"/>
  <c r="G80" i="10"/>
  <c r="F77" i="10"/>
  <c r="F71" i="10"/>
  <c r="G70" i="10"/>
  <c r="J56" i="10"/>
  <c r="J55" i="10"/>
  <c r="J54" i="10"/>
  <c r="I53" i="10"/>
  <c r="J53" i="10" s="1"/>
  <c r="H53" i="10"/>
  <c r="G53" i="10"/>
  <c r="F53" i="10"/>
  <c r="I52" i="10"/>
  <c r="J52" i="10" s="1"/>
  <c r="H52" i="10"/>
  <c r="G52" i="10"/>
  <c r="F52" i="10"/>
  <c r="H51" i="10"/>
  <c r="G51" i="10"/>
  <c r="F51" i="10"/>
  <c r="I50" i="10"/>
  <c r="I77" i="10" s="1"/>
  <c r="H50" i="10"/>
  <c r="H77" i="10" s="1"/>
  <c r="G50" i="10"/>
  <c r="G77" i="10" s="1"/>
  <c r="F50" i="10"/>
  <c r="I49" i="10"/>
  <c r="H49" i="10"/>
  <c r="G49" i="10"/>
  <c r="F49" i="10"/>
  <c r="H48" i="10"/>
  <c r="G48" i="10"/>
  <c r="F48" i="10"/>
  <c r="F45" i="10" s="1"/>
  <c r="H47" i="10"/>
  <c r="G47" i="10"/>
  <c r="F47" i="10"/>
  <c r="H46" i="10"/>
  <c r="G46" i="10"/>
  <c r="F46" i="10"/>
  <c r="H44" i="10"/>
  <c r="G44" i="10"/>
  <c r="F44" i="10"/>
  <c r="H43" i="10"/>
  <c r="G43" i="10"/>
  <c r="F43" i="10"/>
  <c r="F41" i="10" s="1"/>
  <c r="I42" i="10"/>
  <c r="H42" i="10"/>
  <c r="G42" i="10"/>
  <c r="F42" i="10"/>
  <c r="H41" i="10"/>
  <c r="H40" i="10"/>
  <c r="G40" i="10"/>
  <c r="F40" i="10"/>
  <c r="H39" i="10"/>
  <c r="G39" i="10"/>
  <c r="F39" i="10"/>
  <c r="H38" i="10"/>
  <c r="G38" i="10"/>
  <c r="F38" i="10"/>
  <c r="CX37" i="10"/>
  <c r="H37" i="10"/>
  <c r="G37" i="10"/>
  <c r="F37" i="10"/>
  <c r="F36" i="10" s="1"/>
  <c r="G36" i="10"/>
  <c r="H35" i="10"/>
  <c r="G35" i="10"/>
  <c r="F35" i="10"/>
  <c r="CX34" i="10"/>
  <c r="CV34" i="10"/>
  <c r="CQ34" i="10"/>
  <c r="CP34" i="10"/>
  <c r="CO34" i="10"/>
  <c r="CN34" i="10"/>
  <c r="CM34" i="10"/>
  <c r="CL34" i="10"/>
  <c r="CK34" i="10"/>
  <c r="CJ34" i="10"/>
  <c r="CE34" i="10"/>
  <c r="CD34" i="10"/>
  <c r="CC34" i="10"/>
  <c r="CB34" i="10"/>
  <c r="CA34" i="10"/>
  <c r="BZ34" i="10"/>
  <c r="BY34" i="10"/>
  <c r="BX34" i="10"/>
  <c r="BN34" i="10"/>
  <c r="BM34" i="10"/>
  <c r="BL34" i="10"/>
  <c r="BB34" i="10"/>
  <c r="BA34" i="10"/>
  <c r="AZ34" i="10"/>
  <c r="AP34" i="10"/>
  <c r="AO34" i="10"/>
  <c r="AN34" i="10"/>
  <c r="AE34" i="10"/>
  <c r="AD34" i="10"/>
  <c r="AC34" i="10"/>
  <c r="AB34" i="10"/>
  <c r="R34" i="10"/>
  <c r="P34" i="10"/>
  <c r="H34" i="10"/>
  <c r="G34" i="10"/>
  <c r="F34" i="10"/>
  <c r="F31" i="10" s="1"/>
  <c r="CY33" i="10"/>
  <c r="CX33" i="10"/>
  <c r="CW33" i="10"/>
  <c r="CV33" i="10"/>
  <c r="CV29" i="10" s="1"/>
  <c r="CV37" i="10" s="1"/>
  <c r="CQ33" i="10"/>
  <c r="CP33" i="10"/>
  <c r="CO33" i="10"/>
  <c r="CN33" i="10"/>
  <c r="CN29" i="10" s="1"/>
  <c r="CM33" i="10"/>
  <c r="CL33" i="10"/>
  <c r="CK33" i="10"/>
  <c r="CJ33" i="10"/>
  <c r="CE33" i="10"/>
  <c r="CD33" i="10"/>
  <c r="CC33" i="10"/>
  <c r="CB33" i="10"/>
  <c r="CA33" i="10"/>
  <c r="BZ33" i="10"/>
  <c r="BY33" i="10"/>
  <c r="BX33" i="10"/>
  <c r="BN33" i="10"/>
  <c r="BM33" i="10"/>
  <c r="BL33" i="10"/>
  <c r="BC33" i="10"/>
  <c r="BB33" i="10"/>
  <c r="BA33" i="10"/>
  <c r="AZ33" i="10"/>
  <c r="AP33" i="10"/>
  <c r="AO33" i="10"/>
  <c r="AN33" i="10"/>
  <c r="AD33" i="10"/>
  <c r="AC33" i="10"/>
  <c r="AB33" i="10"/>
  <c r="R33" i="10"/>
  <c r="Q33" i="10"/>
  <c r="P33" i="10"/>
  <c r="P29" i="10" s="1"/>
  <c r="I33" i="10"/>
  <c r="H33" i="10"/>
  <c r="G33" i="10"/>
  <c r="J33" i="10" s="1"/>
  <c r="F33" i="10"/>
  <c r="CY32" i="10"/>
  <c r="CX32" i="10"/>
  <c r="CW32" i="10"/>
  <c r="CV32" i="10"/>
  <c r="CP32" i="10"/>
  <c r="CO32" i="10"/>
  <c r="CO29" i="10" s="1"/>
  <c r="CN32" i="10"/>
  <c r="CM32" i="10"/>
  <c r="CL32" i="10"/>
  <c r="CK32" i="10"/>
  <c r="CQ32" i="10" s="1"/>
  <c r="CJ32" i="10"/>
  <c r="BZ32" i="10"/>
  <c r="BY32" i="10"/>
  <c r="BX32" i="10"/>
  <c r="BN32" i="10"/>
  <c r="BM32" i="10"/>
  <c r="BL32" i="10"/>
  <c r="BF32" i="10"/>
  <c r="BE32" i="10"/>
  <c r="BD32" i="10"/>
  <c r="BC32" i="10"/>
  <c r="BB32" i="10"/>
  <c r="BA32" i="10"/>
  <c r="BG32" i="10" s="1"/>
  <c r="AZ32" i="10"/>
  <c r="AP32" i="10"/>
  <c r="AO32" i="10"/>
  <c r="AN32" i="10"/>
  <c r="AD32" i="10"/>
  <c r="AC32" i="10"/>
  <c r="AB32" i="10"/>
  <c r="R32" i="10"/>
  <c r="Q32" i="10"/>
  <c r="P32" i="10"/>
  <c r="G32" i="10"/>
  <c r="G31" i="10" s="1"/>
  <c r="F32" i="10"/>
  <c r="CX31" i="10"/>
  <c r="CX29" i="10" s="1"/>
  <c r="CW31" i="10"/>
  <c r="CV31" i="10"/>
  <c r="CP31" i="10"/>
  <c r="CQ31" i="10" s="1"/>
  <c r="CO31" i="10"/>
  <c r="CN31" i="10"/>
  <c r="CM31" i="10"/>
  <c r="CL31" i="10"/>
  <c r="CK31" i="10"/>
  <c r="CK29" i="10" s="1"/>
  <c r="CJ31" i="10"/>
  <c r="CD31" i="10"/>
  <c r="CC31" i="10"/>
  <c r="CB31" i="10"/>
  <c r="CA31" i="10"/>
  <c r="BZ31" i="10"/>
  <c r="BY31" i="10"/>
  <c r="BY29" i="10" s="1"/>
  <c r="BX31" i="10"/>
  <c r="BP31" i="10"/>
  <c r="BO31" i="10"/>
  <c r="BN31" i="10"/>
  <c r="BN29" i="10" s="1"/>
  <c r="BM31" i="10"/>
  <c r="BM29" i="10" s="1"/>
  <c r="BL31" i="10"/>
  <c r="BC31" i="10"/>
  <c r="BB31" i="10"/>
  <c r="BA31" i="10"/>
  <c r="AZ31" i="10"/>
  <c r="AP31" i="10"/>
  <c r="AP29" i="10" s="1"/>
  <c r="AO31" i="10"/>
  <c r="AN31" i="10"/>
  <c r="AD31" i="10"/>
  <c r="AD29" i="10" s="1"/>
  <c r="AC31" i="10"/>
  <c r="AB31" i="10"/>
  <c r="R31" i="10"/>
  <c r="R29" i="10" s="1"/>
  <c r="Q31" i="10"/>
  <c r="P31" i="10"/>
  <c r="CX30" i="10"/>
  <c r="CW30" i="10"/>
  <c r="CV30" i="10"/>
  <c r="CP30" i="10"/>
  <c r="CO30" i="10"/>
  <c r="CN30" i="10"/>
  <c r="CM30" i="10"/>
  <c r="CM29" i="10" s="1"/>
  <c r="CL30" i="10"/>
  <c r="CK30" i="10"/>
  <c r="CJ30" i="10"/>
  <c r="CA30" i="10"/>
  <c r="BZ30" i="10"/>
  <c r="BY30" i="10"/>
  <c r="BX30" i="10"/>
  <c r="BO30" i="10"/>
  <c r="BN30" i="10"/>
  <c r="BM30" i="10"/>
  <c r="BL30" i="10"/>
  <c r="BC30" i="10"/>
  <c r="BB30" i="10"/>
  <c r="BA30" i="10"/>
  <c r="AZ30" i="10"/>
  <c r="AQ30" i="10"/>
  <c r="AP30" i="10"/>
  <c r="AO30" i="10"/>
  <c r="AN30" i="10"/>
  <c r="AG30" i="10"/>
  <c r="AF30" i="10"/>
  <c r="AE30" i="10"/>
  <c r="AD30" i="10"/>
  <c r="AC30" i="10"/>
  <c r="AB30" i="10"/>
  <c r="R30" i="10"/>
  <c r="Q30" i="10"/>
  <c r="P30" i="10"/>
  <c r="CJ29" i="10"/>
  <c r="BX29" i="10"/>
  <c r="BL29" i="10"/>
  <c r="AZ29" i="10"/>
  <c r="AN29" i="10"/>
  <c r="AB29" i="10"/>
  <c r="J29" i="10"/>
  <c r="DB28" i="10"/>
  <c r="DA28" i="10"/>
  <c r="CZ28" i="10"/>
  <c r="CY28" i="10"/>
  <c r="DC28" i="10" s="1"/>
  <c r="CX28" i="10"/>
  <c r="CW28" i="10"/>
  <c r="CV28" i="10"/>
  <c r="CP28" i="10"/>
  <c r="CO28" i="10"/>
  <c r="CN28" i="10"/>
  <c r="CM28" i="10"/>
  <c r="CL28" i="10"/>
  <c r="CK28" i="10"/>
  <c r="CJ28" i="10"/>
  <c r="CD28" i="10"/>
  <c r="CC28" i="10"/>
  <c r="CB28" i="10"/>
  <c r="CA28" i="10"/>
  <c r="BZ28" i="10"/>
  <c r="BY28" i="10"/>
  <c r="BX28" i="10"/>
  <c r="BR28" i="10"/>
  <c r="BQ28" i="10"/>
  <c r="BP28" i="10"/>
  <c r="BO28" i="10"/>
  <c r="BN28" i="10"/>
  <c r="BM28" i="10"/>
  <c r="BL28" i="10"/>
  <c r="BF28" i="10"/>
  <c r="BG28" i="10" s="1"/>
  <c r="BE28" i="10"/>
  <c r="BD28" i="10"/>
  <c r="BC28" i="10"/>
  <c r="BB28" i="10"/>
  <c r="BA28" i="10"/>
  <c r="AZ28" i="10"/>
  <c r="AT28" i="10"/>
  <c r="AS28" i="10"/>
  <c r="AR28" i="10"/>
  <c r="AQ28" i="10"/>
  <c r="AP28" i="10"/>
  <c r="AO28" i="10"/>
  <c r="AN28" i="10"/>
  <c r="AH28" i="10"/>
  <c r="AI28" i="10" s="1"/>
  <c r="AG28" i="10"/>
  <c r="AF28" i="10"/>
  <c r="AE28" i="10"/>
  <c r="AD28" i="10"/>
  <c r="AC28" i="10"/>
  <c r="AB28" i="10"/>
  <c r="V28" i="10"/>
  <c r="U28" i="10"/>
  <c r="T28" i="10"/>
  <c r="S28" i="10"/>
  <c r="R28" i="10"/>
  <c r="Q28" i="10"/>
  <c r="P28" i="10"/>
  <c r="J28" i="10"/>
  <c r="DC27" i="10"/>
  <c r="DB27" i="10"/>
  <c r="DA27" i="10"/>
  <c r="CZ27" i="10"/>
  <c r="CY27" i="10"/>
  <c r="CX27" i="10"/>
  <c r="CW27" i="10"/>
  <c r="CV27" i="10"/>
  <c r="CP27" i="10"/>
  <c r="CQ27" i="10" s="1"/>
  <c r="CO27" i="10"/>
  <c r="CN27" i="10"/>
  <c r="CM27" i="10"/>
  <c r="CL27" i="10"/>
  <c r="CK27" i="10"/>
  <c r="CJ27" i="10"/>
  <c r="CD27" i="10"/>
  <c r="CE27" i="10" s="1"/>
  <c r="CC27" i="10"/>
  <c r="CB27" i="10"/>
  <c r="CA27" i="10"/>
  <c r="BZ27" i="10"/>
  <c r="BY27" i="10"/>
  <c r="BX27" i="10"/>
  <c r="BR27" i="10"/>
  <c r="BS27" i="10" s="1"/>
  <c r="BQ27" i="10"/>
  <c r="BP27" i="10"/>
  <c r="BO27" i="10"/>
  <c r="BN27" i="10"/>
  <c r="BM27" i="10"/>
  <c r="BL27" i="10"/>
  <c r="BF27" i="10"/>
  <c r="BG27" i="10" s="1"/>
  <c r="BE27" i="10"/>
  <c r="BD27" i="10"/>
  <c r="BC27" i="10"/>
  <c r="BB27" i="10"/>
  <c r="BA27" i="10"/>
  <c r="AZ27" i="10"/>
  <c r="AT27" i="10"/>
  <c r="AU27" i="10" s="1"/>
  <c r="AS27" i="10"/>
  <c r="AR27" i="10"/>
  <c r="AQ27" i="10"/>
  <c r="AP27" i="10"/>
  <c r="AO27" i="10"/>
  <c r="AN27" i="10"/>
  <c r="AH27" i="10"/>
  <c r="AI27" i="10" s="1"/>
  <c r="AG27" i="10"/>
  <c r="AF27" i="10"/>
  <c r="AE27" i="10"/>
  <c r="AD27" i="10"/>
  <c r="AC27" i="10"/>
  <c r="AB27" i="10"/>
  <c r="J27" i="10"/>
  <c r="DC26" i="10"/>
  <c r="DB26" i="10"/>
  <c r="DA26" i="10"/>
  <c r="CZ26" i="10"/>
  <c r="CY26" i="10"/>
  <c r="CX26" i="10"/>
  <c r="CW26" i="10"/>
  <c r="CV26" i="10"/>
  <c r="CP26" i="10"/>
  <c r="CQ26" i="10" s="1"/>
  <c r="CO26" i="10"/>
  <c r="CN26" i="10"/>
  <c r="CM26" i="10"/>
  <c r="CL26" i="10"/>
  <c r="CK26" i="10"/>
  <c r="CJ26" i="10"/>
  <c r="CD26" i="10"/>
  <c r="CE26" i="10" s="1"/>
  <c r="CC26" i="10"/>
  <c r="CB26" i="10"/>
  <c r="CA26" i="10"/>
  <c r="BZ26" i="10"/>
  <c r="BY26" i="10"/>
  <c r="BX26" i="10"/>
  <c r="BR26" i="10"/>
  <c r="BS26" i="10" s="1"/>
  <c r="BQ26" i="10"/>
  <c r="BP26" i="10"/>
  <c r="BO26" i="10"/>
  <c r="BN26" i="10"/>
  <c r="BM26" i="10"/>
  <c r="BL26" i="10"/>
  <c r="BF26" i="10"/>
  <c r="BG26" i="10" s="1"/>
  <c r="BE26" i="10"/>
  <c r="BD26" i="10"/>
  <c r="BC26" i="10"/>
  <c r="BB26" i="10"/>
  <c r="BA26" i="10"/>
  <c r="AZ26" i="10"/>
  <c r="J26" i="10"/>
  <c r="I26" i="10"/>
  <c r="H26" i="10"/>
  <c r="G26" i="10"/>
  <c r="F26" i="10"/>
  <c r="DB25" i="10"/>
  <c r="DA25" i="10"/>
  <c r="CZ25" i="10"/>
  <c r="CY25" i="10"/>
  <c r="DC25" i="10" s="1"/>
  <c r="CX25" i="10"/>
  <c r="CW25" i="10"/>
  <c r="CV25" i="10"/>
  <c r="CP25" i="10"/>
  <c r="CQ25" i="10" s="1"/>
  <c r="CO25" i="10"/>
  <c r="CN25" i="10"/>
  <c r="CM25" i="10"/>
  <c r="CL25" i="10"/>
  <c r="CK25" i="10"/>
  <c r="CJ25" i="10"/>
  <c r="CD25" i="10"/>
  <c r="CE25" i="10" s="1"/>
  <c r="CC25" i="10"/>
  <c r="CB25" i="10"/>
  <c r="CA25" i="10"/>
  <c r="BZ25" i="10"/>
  <c r="BY25" i="10"/>
  <c r="BX25" i="10"/>
  <c r="BP25" i="10"/>
  <c r="BF25" i="10"/>
  <c r="BG25" i="10" s="1"/>
  <c r="BE25" i="10"/>
  <c r="BD25" i="10"/>
  <c r="BC25" i="10"/>
  <c r="BB25" i="10"/>
  <c r="BA25" i="10"/>
  <c r="AZ25" i="10"/>
  <c r="AH25" i="10"/>
  <c r="I25" i="10"/>
  <c r="H25" i="10"/>
  <c r="H79" i="10" s="1"/>
  <c r="G25" i="10"/>
  <c r="G79" i="10" s="1"/>
  <c r="F25" i="10"/>
  <c r="F79" i="10" s="1"/>
  <c r="DB24" i="10"/>
  <c r="DA24" i="10"/>
  <c r="CZ24" i="10"/>
  <c r="CY24" i="10"/>
  <c r="CX24" i="10"/>
  <c r="CW24" i="10"/>
  <c r="CW20" i="10" s="1"/>
  <c r="CV24" i="10"/>
  <c r="CD24" i="10"/>
  <c r="CC24" i="10"/>
  <c r="CB24" i="10"/>
  <c r="CA24" i="10"/>
  <c r="BZ24" i="10"/>
  <c r="BY24" i="10"/>
  <c r="BX24" i="10"/>
  <c r="BM24" i="10"/>
  <c r="BA24" i="10"/>
  <c r="AO24" i="10"/>
  <c r="Q24" i="10"/>
  <c r="H24" i="10"/>
  <c r="H78" i="10" s="1"/>
  <c r="G24" i="10"/>
  <c r="G78" i="10" s="1"/>
  <c r="F24" i="10"/>
  <c r="DC23" i="10"/>
  <c r="DB23" i="10"/>
  <c r="DA23" i="10"/>
  <c r="CZ23" i="10"/>
  <c r="CY23" i="10"/>
  <c r="CX23" i="10"/>
  <c r="CX20" i="10" s="1"/>
  <c r="CX21" i="10" s="1"/>
  <c r="CW23" i="10"/>
  <c r="CV23" i="10"/>
  <c r="CM23" i="10"/>
  <c r="BL23" i="10"/>
  <c r="I23" i="10"/>
  <c r="I76" i="10" s="1"/>
  <c r="H23" i="10"/>
  <c r="H76" i="10" s="1"/>
  <c r="G23" i="10"/>
  <c r="F23" i="10"/>
  <c r="F76" i="10" s="1"/>
  <c r="DB22" i="10"/>
  <c r="DA22" i="10"/>
  <c r="CZ22" i="10"/>
  <c r="CY22" i="10"/>
  <c r="CY20" i="10" s="1"/>
  <c r="CX22" i="10"/>
  <c r="CW22" i="10"/>
  <c r="CV22" i="10"/>
  <c r="CV20" i="10" s="1"/>
  <c r="H22" i="10"/>
  <c r="H75" i="10" s="1"/>
  <c r="G22" i="10"/>
  <c r="G75" i="10" s="1"/>
  <c r="F22" i="10"/>
  <c r="F75" i="10" s="1"/>
  <c r="H21" i="10"/>
  <c r="H74" i="10" s="1"/>
  <c r="G21" i="10"/>
  <c r="G74" i="10" s="1"/>
  <c r="F21" i="10"/>
  <c r="F74" i="10" s="1"/>
  <c r="DB20" i="10"/>
  <c r="DA20" i="10"/>
  <c r="CZ20" i="10"/>
  <c r="CZ21" i="10" s="1"/>
  <c r="H20" i="10"/>
  <c r="H73" i="10" s="1"/>
  <c r="H72" i="10" s="1"/>
  <c r="G20" i="10"/>
  <c r="G73" i="10" s="1"/>
  <c r="F20" i="10"/>
  <c r="F19" i="10" s="1"/>
  <c r="DC19" i="10"/>
  <c r="CQ19" i="10"/>
  <c r="CE19" i="10"/>
  <c r="BS19" i="10"/>
  <c r="BG19" i="10"/>
  <c r="AU19" i="10"/>
  <c r="AI19" i="10"/>
  <c r="W19" i="10"/>
  <c r="DC18" i="10"/>
  <c r="CQ18" i="10"/>
  <c r="CE18" i="10"/>
  <c r="BS18" i="10"/>
  <c r="BG18" i="10"/>
  <c r="AU18" i="10"/>
  <c r="AI18" i="10"/>
  <c r="S18" i="10"/>
  <c r="R18" i="10"/>
  <c r="Q18" i="10"/>
  <c r="P18" i="10"/>
  <c r="H18" i="10"/>
  <c r="H71" i="10" s="1"/>
  <c r="G18" i="10"/>
  <c r="G71" i="10" s="1"/>
  <c r="F18" i="10"/>
  <c r="DC17" i="10"/>
  <c r="CQ17" i="10"/>
  <c r="CE17" i="10"/>
  <c r="BS17" i="10"/>
  <c r="BG17" i="10"/>
  <c r="AQ17" i="10"/>
  <c r="AP17" i="10"/>
  <c r="AO17" i="10"/>
  <c r="AN17" i="10"/>
  <c r="AF17" i="10"/>
  <c r="AE17" i="10"/>
  <c r="AD17" i="10"/>
  <c r="AC17" i="10"/>
  <c r="AB17" i="10"/>
  <c r="R17" i="10"/>
  <c r="Q17" i="10"/>
  <c r="P17" i="10"/>
  <c r="I17" i="10"/>
  <c r="H17" i="10"/>
  <c r="H70" i="10" s="1"/>
  <c r="G17" i="10"/>
  <c r="F17" i="10"/>
  <c r="F70" i="10" s="1"/>
  <c r="DC16" i="10"/>
  <c r="CQ16" i="10"/>
  <c r="CE16" i="10"/>
  <c r="BR16" i="10"/>
  <c r="BS16" i="10" s="1"/>
  <c r="BQ16" i="10"/>
  <c r="BP16" i="10"/>
  <c r="BO16" i="10"/>
  <c r="BN16" i="10"/>
  <c r="BM16" i="10"/>
  <c r="BL16" i="10"/>
  <c r="BG16" i="10"/>
  <c r="AR16" i="10"/>
  <c r="AP16" i="10"/>
  <c r="AO16" i="10"/>
  <c r="AN16" i="10"/>
  <c r="AH16" i="10"/>
  <c r="AG16" i="10"/>
  <c r="AF16" i="10"/>
  <c r="AE16" i="10"/>
  <c r="AD16" i="10"/>
  <c r="AC16" i="10"/>
  <c r="AI16" i="10" s="1"/>
  <c r="AB16" i="10"/>
  <c r="R16" i="10"/>
  <c r="Q16" i="10"/>
  <c r="P16" i="10"/>
  <c r="H16" i="10"/>
  <c r="H69" i="10" s="1"/>
  <c r="G16" i="10"/>
  <c r="F16" i="10"/>
  <c r="F69" i="10" s="1"/>
  <c r="DC15" i="10"/>
  <c r="CP15" i="10"/>
  <c r="CQ15" i="10" s="1"/>
  <c r="CO15" i="10"/>
  <c r="CN15" i="10"/>
  <c r="CM15" i="10"/>
  <c r="CL15" i="10"/>
  <c r="CK15" i="10"/>
  <c r="CJ15" i="10"/>
  <c r="CE15" i="10"/>
  <c r="BN15" i="10"/>
  <c r="BM15" i="10"/>
  <c r="BL15" i="10"/>
  <c r="BB15" i="10"/>
  <c r="BA15" i="10"/>
  <c r="AZ15" i="10"/>
  <c r="AP15" i="10"/>
  <c r="AP24" i="10" s="1"/>
  <c r="AO15" i="10"/>
  <c r="AN15" i="10"/>
  <c r="AD15" i="10"/>
  <c r="AC15" i="10"/>
  <c r="AB15" i="10"/>
  <c r="R15" i="10"/>
  <c r="Q15" i="10"/>
  <c r="P15" i="10"/>
  <c r="P24" i="10" s="1"/>
  <c r="DC14" i="10"/>
  <c r="CO14" i="10"/>
  <c r="CN14" i="10"/>
  <c r="CM14" i="10"/>
  <c r="CL14" i="10"/>
  <c r="CK14" i="10"/>
  <c r="CK12" i="10" s="1"/>
  <c r="CJ14" i="10"/>
  <c r="BZ14" i="10"/>
  <c r="BY14" i="10"/>
  <c r="BX14" i="10"/>
  <c r="BN14" i="10"/>
  <c r="BM14" i="10"/>
  <c r="BL14" i="10"/>
  <c r="BD14" i="10"/>
  <c r="BB14" i="10"/>
  <c r="BA14" i="10"/>
  <c r="BA12" i="10" s="1"/>
  <c r="AZ14" i="10"/>
  <c r="AZ12" i="10" s="1"/>
  <c r="AP14" i="10"/>
  <c r="AO14" i="10"/>
  <c r="AN14" i="10"/>
  <c r="AH14" i="10"/>
  <c r="AI14" i="10" s="1"/>
  <c r="AF14" i="10"/>
  <c r="AE14" i="10"/>
  <c r="AD14" i="10"/>
  <c r="AC14" i="10"/>
  <c r="AC12" i="10" s="1"/>
  <c r="AB14" i="10"/>
  <c r="AB12" i="10" s="1"/>
  <c r="R14" i="10"/>
  <c r="P14" i="10"/>
  <c r="P12" i="10" s="1"/>
  <c r="I14" i="10"/>
  <c r="H14" i="10"/>
  <c r="H67" i="10" s="1"/>
  <c r="G14" i="10"/>
  <c r="G67" i="10" s="1"/>
  <c r="F14" i="10"/>
  <c r="F67" i="10" s="1"/>
  <c r="DC13" i="10"/>
  <c r="CM13" i="10"/>
  <c r="CM12" i="10" s="1"/>
  <c r="CL13" i="10"/>
  <c r="CL12" i="10" s="1"/>
  <c r="CK13" i="10"/>
  <c r="CJ13" i="10"/>
  <c r="BZ13" i="10"/>
  <c r="BZ12" i="10" s="1"/>
  <c r="BY13" i="10"/>
  <c r="BX13" i="10"/>
  <c r="BN13" i="10"/>
  <c r="BN12" i="10" s="1"/>
  <c r="BM13" i="10"/>
  <c r="BL13" i="10"/>
  <c r="BC13" i="10"/>
  <c r="BB13" i="10"/>
  <c r="BA13" i="10"/>
  <c r="AZ13" i="10"/>
  <c r="AP13" i="10"/>
  <c r="AO13" i="10"/>
  <c r="AN13" i="10"/>
  <c r="AC13" i="10"/>
  <c r="AB13" i="10"/>
  <c r="Q13" i="10"/>
  <c r="P13" i="10"/>
  <c r="H13" i="10"/>
  <c r="H66" i="10" s="1"/>
  <c r="G13" i="10"/>
  <c r="G66" i="10" s="1"/>
  <c r="F13" i="10"/>
  <c r="F66" i="10" s="1"/>
  <c r="DC12" i="10"/>
  <c r="DB12" i="10"/>
  <c r="DA12" i="10"/>
  <c r="CZ12" i="10"/>
  <c r="CY12" i="10"/>
  <c r="CX12" i="10"/>
  <c r="CW12" i="10"/>
  <c r="CV12" i="10"/>
  <c r="CJ12" i="10"/>
  <c r="BY12" i="10"/>
  <c r="BX12" i="10"/>
  <c r="BM12" i="10"/>
  <c r="BL12" i="10"/>
  <c r="AO12" i="10"/>
  <c r="AN12" i="10"/>
  <c r="H12" i="10"/>
  <c r="H65" i="10" s="1"/>
  <c r="G12" i="10"/>
  <c r="G65" i="10" s="1"/>
  <c r="F12" i="10"/>
  <c r="DC11" i="10"/>
  <c r="CQ11" i="10"/>
  <c r="CE11" i="10"/>
  <c r="BS11" i="10"/>
  <c r="BG11" i="10"/>
  <c r="AU11" i="10"/>
  <c r="AI11" i="10"/>
  <c r="W11" i="10"/>
  <c r="H11" i="10"/>
  <c r="G11" i="10"/>
  <c r="G64" i="10" s="1"/>
  <c r="F11" i="10"/>
  <c r="DC10" i="10"/>
  <c r="CQ10" i="10"/>
  <c r="CE10" i="10"/>
  <c r="BS10" i="10"/>
  <c r="BG10" i="10"/>
  <c r="AU10" i="10"/>
  <c r="AI10" i="10"/>
  <c r="T10" i="10"/>
  <c r="S10" i="10"/>
  <c r="S27" i="10" s="1"/>
  <c r="R10" i="10"/>
  <c r="R27" i="10" s="1"/>
  <c r="Q10" i="10"/>
  <c r="Q27" i="10" s="1"/>
  <c r="P10" i="10"/>
  <c r="DC9" i="10"/>
  <c r="CQ9" i="10"/>
  <c r="CE9" i="10"/>
  <c r="BS9" i="10"/>
  <c r="BG9" i="10"/>
  <c r="AQ9" i="10"/>
  <c r="AQ26" i="10" s="1"/>
  <c r="AP9" i="10"/>
  <c r="AP26" i="10" s="1"/>
  <c r="AO9" i="10"/>
  <c r="AO26" i="10" s="1"/>
  <c r="AN9" i="10"/>
  <c r="AN26" i="10" s="1"/>
  <c r="AI9" i="10"/>
  <c r="AH9" i="10"/>
  <c r="AG9" i="10"/>
  <c r="AF9" i="10"/>
  <c r="AF26" i="10" s="1"/>
  <c r="AE9" i="10"/>
  <c r="AE26" i="10" s="1"/>
  <c r="AD9" i="10"/>
  <c r="AD26" i="10" s="1"/>
  <c r="AC9" i="10"/>
  <c r="AC26" i="10" s="1"/>
  <c r="AB9" i="10"/>
  <c r="AB26" i="10" s="1"/>
  <c r="R9" i="10"/>
  <c r="R26" i="10" s="1"/>
  <c r="Q9" i="10"/>
  <c r="Q26" i="10" s="1"/>
  <c r="P9" i="10"/>
  <c r="P26" i="10" s="1"/>
  <c r="J9" i="10"/>
  <c r="I9" i="10"/>
  <c r="H9" i="10"/>
  <c r="H62" i="10" s="1"/>
  <c r="G9" i="10"/>
  <c r="G62" i="10" s="1"/>
  <c r="F9" i="10"/>
  <c r="F62" i="10" s="1"/>
  <c r="DC8" i="10"/>
  <c r="CQ8" i="10"/>
  <c r="CE8" i="10"/>
  <c r="BS8" i="10"/>
  <c r="BR8" i="10"/>
  <c r="BQ8" i="10"/>
  <c r="BQ25" i="10" s="1"/>
  <c r="BP8" i="10"/>
  <c r="BO8" i="10"/>
  <c r="BO25" i="10" s="1"/>
  <c r="BN8" i="10"/>
  <c r="BN25" i="10" s="1"/>
  <c r="BM8" i="10"/>
  <c r="BM25" i="10" s="1"/>
  <c r="BL8" i="10"/>
  <c r="BL25" i="10" s="1"/>
  <c r="BG8" i="10"/>
  <c r="AT8" i="10"/>
  <c r="AR8" i="10"/>
  <c r="AR25" i="10" s="1"/>
  <c r="AQ8" i="10"/>
  <c r="AP8" i="10"/>
  <c r="AP25" i="10" s="1"/>
  <c r="AO8" i="10"/>
  <c r="AO25" i="10" s="1"/>
  <c r="AN8" i="10"/>
  <c r="AN25" i="10" s="1"/>
  <c r="AH8" i="10"/>
  <c r="AG8" i="10"/>
  <c r="AG25" i="10" s="1"/>
  <c r="AF8" i="10"/>
  <c r="AF25" i="10" s="1"/>
  <c r="AE8" i="10"/>
  <c r="AD8" i="10"/>
  <c r="AD25" i="10" s="1"/>
  <c r="AC8" i="10"/>
  <c r="AC25" i="10" s="1"/>
  <c r="AB8" i="10"/>
  <c r="AB25" i="10" s="1"/>
  <c r="R8" i="10"/>
  <c r="R25" i="10" s="1"/>
  <c r="Q8" i="10"/>
  <c r="P8" i="10"/>
  <c r="H8" i="10"/>
  <c r="H61" i="10" s="1"/>
  <c r="G8" i="10"/>
  <c r="G61" i="10" s="1"/>
  <c r="F8" i="10"/>
  <c r="DC7" i="10"/>
  <c r="CP7" i="10"/>
  <c r="CQ7" i="10" s="1"/>
  <c r="CO7" i="10"/>
  <c r="CO24" i="10" s="1"/>
  <c r="CN7" i="10"/>
  <c r="CN24" i="10" s="1"/>
  <c r="CM7" i="10"/>
  <c r="CM24" i="10" s="1"/>
  <c r="CL7" i="10"/>
  <c r="CL24" i="10" s="1"/>
  <c r="CK7" i="10"/>
  <c r="CK24" i="10" s="1"/>
  <c r="CJ7" i="10"/>
  <c r="CJ24" i="10" s="1"/>
  <c r="CE7" i="10"/>
  <c r="BN7" i="10"/>
  <c r="BN24" i="10" s="1"/>
  <c r="BM7" i="10"/>
  <c r="BL7" i="10"/>
  <c r="BL24" i="10" s="1"/>
  <c r="BF7" i="10"/>
  <c r="BE7" i="10"/>
  <c r="BD7" i="10"/>
  <c r="BB7" i="10"/>
  <c r="BA7" i="10"/>
  <c r="AZ7" i="10"/>
  <c r="AZ24" i="10" s="1"/>
  <c r="AP7" i="10"/>
  <c r="AO7" i="10"/>
  <c r="AN7" i="10"/>
  <c r="AD7" i="10"/>
  <c r="AD24" i="10" s="1"/>
  <c r="AC7" i="10"/>
  <c r="AC24" i="10" s="1"/>
  <c r="AB7" i="10"/>
  <c r="R7" i="10"/>
  <c r="R24" i="10" s="1"/>
  <c r="Q7" i="10"/>
  <c r="P7" i="10"/>
  <c r="H7" i="10"/>
  <c r="H60" i="10" s="1"/>
  <c r="G7" i="10"/>
  <c r="G60" i="10" s="1"/>
  <c r="DC6" i="10"/>
  <c r="CP6" i="10"/>
  <c r="CQ6" i="10" s="1"/>
  <c r="CO6" i="10"/>
  <c r="CO23" i="10" s="1"/>
  <c r="CN6" i="10"/>
  <c r="CN23" i="10" s="1"/>
  <c r="CM6" i="10"/>
  <c r="CL6" i="10"/>
  <c r="CL23" i="10" s="1"/>
  <c r="CK6" i="10"/>
  <c r="CJ6" i="10"/>
  <c r="CJ23" i="10" s="1"/>
  <c r="CA6" i="10"/>
  <c r="BZ6" i="10"/>
  <c r="BZ23" i="10" s="1"/>
  <c r="BY6" i="10"/>
  <c r="BY23" i="10" s="1"/>
  <c r="BX6" i="10"/>
  <c r="BX23" i="10" s="1"/>
  <c r="BN6" i="10"/>
  <c r="BN23" i="10" s="1"/>
  <c r="BM6" i="10"/>
  <c r="BM23" i="10" s="1"/>
  <c r="BL6" i="10"/>
  <c r="BE6" i="10"/>
  <c r="BC6" i="10"/>
  <c r="BB6" i="10"/>
  <c r="BB23" i="10" s="1"/>
  <c r="BA6" i="10"/>
  <c r="AZ6" i="10"/>
  <c r="AZ23" i="10" s="1"/>
  <c r="AP6" i="10"/>
  <c r="AP23" i="10" s="1"/>
  <c r="AO6" i="10"/>
  <c r="AN6" i="10"/>
  <c r="AN23" i="10" s="1"/>
  <c r="AD6" i="10"/>
  <c r="AD23" i="10" s="1"/>
  <c r="AC6" i="10"/>
  <c r="R6" i="10"/>
  <c r="R23" i="10" s="1"/>
  <c r="P6" i="10"/>
  <c r="P23" i="10" s="1"/>
  <c r="H6" i="10"/>
  <c r="H5" i="10" s="1"/>
  <c r="G6" i="10"/>
  <c r="G59" i="10" s="1"/>
  <c r="G58" i="10" s="1"/>
  <c r="F6" i="10"/>
  <c r="F59" i="10" s="1"/>
  <c r="DC5" i="10"/>
  <c r="CP5" i="10"/>
  <c r="CO5" i="10"/>
  <c r="CN5" i="10"/>
  <c r="CN4" i="10" s="1"/>
  <c r="CM5" i="10"/>
  <c r="CM4" i="10" s="1"/>
  <c r="CL5" i="10"/>
  <c r="CL22" i="10" s="1"/>
  <c r="CK5" i="10"/>
  <c r="CK22" i="10" s="1"/>
  <c r="CJ5" i="10"/>
  <c r="CJ22" i="10" s="1"/>
  <c r="CA5" i="10"/>
  <c r="BZ5" i="10"/>
  <c r="BZ22" i="10" s="1"/>
  <c r="BY5" i="10"/>
  <c r="BY22" i="10" s="1"/>
  <c r="BY20" i="10" s="1"/>
  <c r="BX5" i="10"/>
  <c r="BX22" i="10" s="1"/>
  <c r="BN5" i="10"/>
  <c r="BN22" i="10" s="1"/>
  <c r="BN20" i="10" s="1"/>
  <c r="BM5" i="10"/>
  <c r="BM22" i="10" s="1"/>
  <c r="BM20" i="10" s="1"/>
  <c r="BL5" i="10"/>
  <c r="BL22" i="10" s="1"/>
  <c r="BL20" i="10" s="1"/>
  <c r="BB5" i="10"/>
  <c r="BB22" i="10" s="1"/>
  <c r="BA5" i="10"/>
  <c r="BA22" i="10" s="1"/>
  <c r="AZ5" i="10"/>
  <c r="AZ4" i="10" s="1"/>
  <c r="AP5" i="10"/>
  <c r="AP22" i="10" s="1"/>
  <c r="AO5" i="10"/>
  <c r="AO22" i="10" s="1"/>
  <c r="AN5" i="10"/>
  <c r="AN22" i="10" s="1"/>
  <c r="AD5" i="10"/>
  <c r="AD4" i="10" s="1"/>
  <c r="AC5" i="10"/>
  <c r="AC22" i="10" s="1"/>
  <c r="AB5" i="10"/>
  <c r="R5" i="10"/>
  <c r="Q5" i="10"/>
  <c r="Q22" i="10" s="1"/>
  <c r="DC4" i="10"/>
  <c r="DB4" i="10"/>
  <c r="DA4" i="10"/>
  <c r="CZ4" i="10"/>
  <c r="CY4" i="10"/>
  <c r="CX4" i="10"/>
  <c r="CW4" i="10"/>
  <c r="CV4" i="10"/>
  <c r="CO4" i="10"/>
  <c r="CJ4" i="10"/>
  <c r="CJ20" i="10" s="1"/>
  <c r="BX4" i="10"/>
  <c r="BX20" i="10" s="1"/>
  <c r="H64" i="10" l="1"/>
  <c r="H36" i="10"/>
  <c r="BM35" i="10"/>
  <c r="BM21" i="10"/>
  <c r="BX35" i="10"/>
  <c r="BX21" i="10"/>
  <c r="CW21" i="10"/>
  <c r="BY35" i="10"/>
  <c r="BY21" i="10"/>
  <c r="CJ35" i="10"/>
  <c r="CJ21" i="10"/>
  <c r="CV35" i="10"/>
  <c r="CV36" i="10" s="1"/>
  <c r="CV21" i="10"/>
  <c r="BL35" i="10"/>
  <c r="Q23" i="10"/>
  <c r="Q20" i="10" s="1"/>
  <c r="P25" i="10"/>
  <c r="F65" i="10"/>
  <c r="F10" i="10"/>
  <c r="AP20" i="10"/>
  <c r="AN4" i="10"/>
  <c r="F5" i="10"/>
  <c r="CK23" i="10"/>
  <c r="CK20" i="10" s="1"/>
  <c r="J14" i="10"/>
  <c r="DB21" i="10"/>
  <c r="AB22" i="10"/>
  <c r="F30" i="10"/>
  <c r="J78" i="11"/>
  <c r="X50" i="11"/>
  <c r="K78" i="11" s="1"/>
  <c r="AO20" i="10"/>
  <c r="AI25" i="10"/>
  <c r="BZ20" i="10"/>
  <c r="BL4" i="10"/>
  <c r="BL21" i="10" s="1"/>
  <c r="AE25" i="10"/>
  <c r="Q4" i="10"/>
  <c r="BM4" i="10"/>
  <c r="F68" i="10"/>
  <c r="J17" i="10"/>
  <c r="DC20" i="10"/>
  <c r="BB20" i="10"/>
  <c r="G72" i="10"/>
  <c r="AC4" i="10"/>
  <c r="BY4" i="10"/>
  <c r="G5" i="10"/>
  <c r="G10" i="10"/>
  <c r="I79" i="10"/>
  <c r="J79" i="10" s="1"/>
  <c r="J25" i="10"/>
  <c r="R4" i="10"/>
  <c r="AP4" i="10"/>
  <c r="BB4" i="10"/>
  <c r="BN4" i="10"/>
  <c r="BZ4" i="10"/>
  <c r="CL4" i="10"/>
  <c r="AN24" i="10"/>
  <c r="AN20" i="10" s="1"/>
  <c r="F61" i="10"/>
  <c r="F58" i="10" s="1"/>
  <c r="F57" i="10" s="1"/>
  <c r="F90" i="10" s="1"/>
  <c r="F91" i="10" s="1"/>
  <c r="H10" i="10"/>
  <c r="H4" i="10" s="1"/>
  <c r="BB12" i="10"/>
  <c r="G69" i="10"/>
  <c r="G68" i="10" s="1"/>
  <c r="G15" i="10"/>
  <c r="AZ22" i="10"/>
  <c r="AZ20" i="10" s="1"/>
  <c r="CM22" i="10"/>
  <c r="CM20" i="10" s="1"/>
  <c r="J23" i="10"/>
  <c r="BB29" i="10"/>
  <c r="F73" i="10"/>
  <c r="F72" i="10" s="1"/>
  <c r="I15" i="11"/>
  <c r="AF6" i="10" s="1"/>
  <c r="AF23" i="10" s="1"/>
  <c r="I62" i="11"/>
  <c r="I61" i="11" s="1"/>
  <c r="J16" i="11"/>
  <c r="L61" i="12"/>
  <c r="V55" i="12"/>
  <c r="W54" i="12"/>
  <c r="F15" i="10"/>
  <c r="BN35" i="10"/>
  <c r="BN21" i="10"/>
  <c r="BE23" i="10"/>
  <c r="CP24" i="10"/>
  <c r="CQ24" i="10" s="1"/>
  <c r="BG7" i="10"/>
  <c r="AO4" i="10"/>
  <c r="CK4" i="10"/>
  <c r="CA4" i="10"/>
  <c r="AB6" i="10"/>
  <c r="AB23" i="10" s="1"/>
  <c r="BA23" i="10"/>
  <c r="BA20" i="10" s="1"/>
  <c r="AB24" i="10"/>
  <c r="BB24" i="10"/>
  <c r="G63" i="10"/>
  <c r="G57" i="10" s="1"/>
  <c r="AP12" i="10"/>
  <c r="CP4" i="10"/>
  <c r="CQ4" i="10" s="1"/>
  <c r="CL20" i="10"/>
  <c r="Q25" i="10"/>
  <c r="BA4" i="10"/>
  <c r="CQ5" i="10"/>
  <c r="AC23" i="10"/>
  <c r="AC20" i="10" s="1"/>
  <c r="AO23" i="10"/>
  <c r="AI8" i="10"/>
  <c r="AU8" i="10"/>
  <c r="BR25" i="10"/>
  <c r="BS25" i="10" s="1"/>
  <c r="P27" i="10"/>
  <c r="H63" i="10"/>
  <c r="G19" i="10"/>
  <c r="CX35" i="10"/>
  <c r="CX36" i="10" s="1"/>
  <c r="H19" i="10"/>
  <c r="CY21" i="10"/>
  <c r="DC22" i="10"/>
  <c r="I58" i="11"/>
  <c r="DA21" i="10"/>
  <c r="AG26" i="10"/>
  <c r="W28" i="10"/>
  <c r="AC29" i="10"/>
  <c r="BA29" i="10"/>
  <c r="CE31" i="10"/>
  <c r="CQ28" i="10"/>
  <c r="CP29" i="10"/>
  <c r="CQ29" i="10" s="1"/>
  <c r="H68" i="10"/>
  <c r="G76" i="10"/>
  <c r="F78" i="10"/>
  <c r="CE24" i="10"/>
  <c r="DC24" i="10"/>
  <c r="CE28" i="10"/>
  <c r="CQ30" i="10"/>
  <c r="CL29" i="10"/>
  <c r="H34" i="11"/>
  <c r="H57" i="11"/>
  <c r="F64" i="10"/>
  <c r="F63" i="10" s="1"/>
  <c r="H15" i="10"/>
  <c r="BS28" i="10"/>
  <c r="AO29" i="10"/>
  <c r="BZ29" i="10"/>
  <c r="H6" i="11"/>
  <c r="S9" i="26" s="1"/>
  <c r="U8" i="11"/>
  <c r="U7" i="11" s="1"/>
  <c r="U6" i="11" s="1"/>
  <c r="V9" i="11"/>
  <c r="X32" i="11"/>
  <c r="H76" i="11"/>
  <c r="V45" i="11"/>
  <c r="G50" i="11"/>
  <c r="G79" i="11" s="1"/>
  <c r="AF34" i="10"/>
  <c r="AU28" i="10"/>
  <c r="G45" i="10"/>
  <c r="J77" i="10"/>
  <c r="E4" i="11"/>
  <c r="P5" i="10" s="1"/>
  <c r="W10" i="11"/>
  <c r="I7" i="11"/>
  <c r="J12" i="11"/>
  <c r="X14" i="11"/>
  <c r="K12" i="11" s="1"/>
  <c r="AF24" i="12"/>
  <c r="AF14" i="12"/>
  <c r="K18" i="12"/>
  <c r="G41" i="10"/>
  <c r="G30" i="10" s="1"/>
  <c r="H84" i="10"/>
  <c r="I54" i="12"/>
  <c r="J54" i="11"/>
  <c r="K74" i="11"/>
  <c r="H46" i="11"/>
  <c r="I35" i="10" s="1"/>
  <c r="J35" i="10" s="1"/>
  <c r="H70" i="11"/>
  <c r="W53" i="11"/>
  <c r="X79" i="11"/>
  <c r="AH5" i="12"/>
  <c r="AG7" i="12"/>
  <c r="AG6" i="12" s="1"/>
  <c r="AG10" i="12" s="1"/>
  <c r="AI9" i="12"/>
  <c r="AH8" i="12"/>
  <c r="U40" i="12"/>
  <c r="H32" i="12"/>
  <c r="H56" i="12" s="1"/>
  <c r="I8" i="12"/>
  <c r="H35" i="12"/>
  <c r="H59" i="12" s="1"/>
  <c r="J42" i="10"/>
  <c r="H45" i="10"/>
  <c r="X11" i="11"/>
  <c r="K8" i="11" s="1"/>
  <c r="W13" i="11"/>
  <c r="V12" i="11"/>
  <c r="I11" i="11"/>
  <c r="H13" i="11"/>
  <c r="V15" i="11"/>
  <c r="I20" i="11"/>
  <c r="L54" i="12"/>
  <c r="AF26" i="12"/>
  <c r="AG13" i="12"/>
  <c r="W4" i="11"/>
  <c r="V16" i="11"/>
  <c r="H30" i="11"/>
  <c r="H53" i="11"/>
  <c r="K71" i="11"/>
  <c r="L71" i="11" s="1"/>
  <c r="K48" i="11"/>
  <c r="K23" i="11"/>
  <c r="L23" i="11" s="1"/>
  <c r="L25" i="11"/>
  <c r="G57" i="11"/>
  <c r="G56" i="11" s="1"/>
  <c r="G33" i="11"/>
  <c r="H75" i="11"/>
  <c r="V44" i="11"/>
  <c r="L70" i="11"/>
  <c r="H12" i="11"/>
  <c r="J46" i="11"/>
  <c r="W78" i="11"/>
  <c r="W77" i="11" s="1"/>
  <c r="W96" i="11" s="1"/>
  <c r="W97" i="11" s="1"/>
  <c r="AI19" i="12"/>
  <c r="H74" i="13"/>
  <c r="H53" i="13"/>
  <c r="H86" i="13" s="1"/>
  <c r="J58" i="13"/>
  <c r="J91" i="13" s="1"/>
  <c r="I58" i="13"/>
  <c r="I91" i="13" s="1"/>
  <c r="H48" i="13"/>
  <c r="H81" i="13" s="1"/>
  <c r="I53" i="13"/>
  <c r="I86" i="13" s="1"/>
  <c r="I69" i="11"/>
  <c r="X80" i="11"/>
  <c r="J71" i="11"/>
  <c r="K35" i="12"/>
  <c r="L35" i="12" s="1"/>
  <c r="J42" i="12"/>
  <c r="J66" i="12" s="1"/>
  <c r="U16" i="11"/>
  <c r="H20" i="11" s="1"/>
  <c r="J69" i="11"/>
  <c r="H73" i="12"/>
  <c r="H72" i="12" s="1"/>
  <c r="H49" i="12"/>
  <c r="I77" i="12"/>
  <c r="W35" i="12"/>
  <c r="V36" i="12"/>
  <c r="J26" i="12"/>
  <c r="X48" i="12"/>
  <c r="K26" i="12" s="1"/>
  <c r="J50" i="10"/>
  <c r="I8" i="11"/>
  <c r="H15" i="11"/>
  <c r="J23" i="11"/>
  <c r="H71" i="11"/>
  <c r="S16" i="12"/>
  <c r="AH39" i="12"/>
  <c r="AI40" i="12"/>
  <c r="AG38" i="12"/>
  <c r="AG37" i="12" s="1"/>
  <c r="E70" i="13"/>
  <c r="E109" i="13" s="1"/>
  <c r="I71" i="11"/>
  <c r="J9" i="12"/>
  <c r="K73" i="12"/>
  <c r="I33" i="12"/>
  <c r="I57" i="12" s="1"/>
  <c r="AI39" i="12"/>
  <c r="AH38" i="12"/>
  <c r="AH37" i="12" s="1"/>
  <c r="I64" i="13"/>
  <c r="I97" i="13" s="1"/>
  <c r="J69" i="13"/>
  <c r="J102" i="13" s="1"/>
  <c r="I69" i="13"/>
  <c r="I102" i="13" s="1"/>
  <c r="J64" i="13"/>
  <c r="J97" i="13" s="1"/>
  <c r="H61" i="12"/>
  <c r="E52" i="12"/>
  <c r="E82" i="12" s="1"/>
  <c r="J59" i="12"/>
  <c r="J25" i="12"/>
  <c r="I26" i="12"/>
  <c r="F28" i="12"/>
  <c r="Q14" i="10" s="1"/>
  <c r="Q12" i="10" s="1"/>
  <c r="AF38" i="12"/>
  <c r="AF37" i="12" s="1"/>
  <c r="W45" i="12"/>
  <c r="U55" i="12"/>
  <c r="H78" i="12" s="1"/>
  <c r="Y57" i="12"/>
  <c r="L62" i="12"/>
  <c r="F60" i="12"/>
  <c r="F52" i="12" s="1"/>
  <c r="F82" i="12" s="1"/>
  <c r="E60" i="12"/>
  <c r="I51" i="13"/>
  <c r="H51" i="13"/>
  <c r="H46" i="13"/>
  <c r="J56" i="13"/>
  <c r="V64" i="13"/>
  <c r="V65" i="13" s="1"/>
  <c r="J68" i="13"/>
  <c r="J101" i="13" s="1"/>
  <c r="I22" i="14"/>
  <c r="K59" i="12"/>
  <c r="L59" i="12" s="1"/>
  <c r="H64" i="12"/>
  <c r="I64" i="12"/>
  <c r="AH40" i="12"/>
  <c r="L92" i="13"/>
  <c r="K88" i="13"/>
  <c r="L88" i="13" s="1"/>
  <c r="I15" i="12"/>
  <c r="J16" i="12"/>
  <c r="AI35" i="12"/>
  <c r="AI33" i="12" s="1"/>
  <c r="AI38" i="12" s="1"/>
  <c r="AI37" i="12" s="1"/>
  <c r="K61" i="13"/>
  <c r="K64" i="13"/>
  <c r="L64" i="13" s="1"/>
  <c r="L31" i="13"/>
  <c r="K99" i="13"/>
  <c r="K66" i="13"/>
  <c r="L33" i="13"/>
  <c r="Q50" i="13"/>
  <c r="Q51" i="13" s="1"/>
  <c r="H42" i="13" s="1"/>
  <c r="K63" i="13"/>
  <c r="L63" i="13" s="1"/>
  <c r="K73" i="13"/>
  <c r="L73" i="13" s="1"/>
  <c r="H108" i="13"/>
  <c r="BC34" i="10" s="1"/>
  <c r="BC29" i="10" s="1"/>
  <c r="T79" i="13"/>
  <c r="H66" i="12"/>
  <c r="H39" i="12"/>
  <c r="H42" i="12"/>
  <c r="H81" i="12"/>
  <c r="K49" i="12"/>
  <c r="AA50" i="13"/>
  <c r="AA51" i="13" s="1"/>
  <c r="J57" i="13"/>
  <c r="J90" i="13" s="1"/>
  <c r="H47" i="13"/>
  <c r="H80" i="13" s="1"/>
  <c r="I57" i="13"/>
  <c r="I90" i="13" s="1"/>
  <c r="I52" i="13"/>
  <c r="I85" i="13" s="1"/>
  <c r="H52" i="13"/>
  <c r="H85" i="13" s="1"/>
  <c r="I89" i="13"/>
  <c r="J83" i="13"/>
  <c r="I66" i="12"/>
  <c r="H33" i="12"/>
  <c r="H57" i="12" s="1"/>
  <c r="I42" i="12"/>
  <c r="V42" i="12"/>
  <c r="U6" i="13"/>
  <c r="H39" i="13"/>
  <c r="H72" i="13" s="1"/>
  <c r="G78" i="13"/>
  <c r="I37" i="14"/>
  <c r="I10" i="14" s="1"/>
  <c r="I5" i="14"/>
  <c r="L20" i="16"/>
  <c r="K19" i="16"/>
  <c r="L19" i="16" s="1"/>
  <c r="U57" i="12"/>
  <c r="V7" i="13"/>
  <c r="J39" i="13"/>
  <c r="BE14" i="10" s="1"/>
  <c r="L29" i="13"/>
  <c r="K69" i="13"/>
  <c r="L69" i="13" s="1"/>
  <c r="L36" i="13"/>
  <c r="I61" i="13"/>
  <c r="I66" i="13"/>
  <c r="Q58" i="13"/>
  <c r="H43" i="13" s="1"/>
  <c r="H76" i="13" s="1"/>
  <c r="J66" i="13"/>
  <c r="G70" i="13"/>
  <c r="G109" i="13" s="1"/>
  <c r="I59" i="12"/>
  <c r="I73" i="12"/>
  <c r="H74" i="12"/>
  <c r="J35" i="12"/>
  <c r="V45" i="12"/>
  <c r="U56" i="12"/>
  <c r="H79" i="12" s="1"/>
  <c r="AQ32" i="10" s="1"/>
  <c r="T14" i="13"/>
  <c r="I5" i="13" s="1"/>
  <c r="U15" i="13"/>
  <c r="H11" i="15"/>
  <c r="CA14" i="10" s="1"/>
  <c r="CA23" i="10" s="1"/>
  <c r="I6" i="15"/>
  <c r="I6" i="13"/>
  <c r="J27" i="13"/>
  <c r="Q57" i="13"/>
  <c r="J23" i="14"/>
  <c r="H4" i="15"/>
  <c r="H10" i="15"/>
  <c r="I5" i="15"/>
  <c r="J4" i="16"/>
  <c r="J15" i="16"/>
  <c r="J10" i="16"/>
  <c r="I19" i="16"/>
  <c r="I8" i="17"/>
  <c r="CZ33" i="10" s="1"/>
  <c r="J25" i="17"/>
  <c r="I7" i="17"/>
  <c r="CZ32" i="10" s="1"/>
  <c r="J37" i="17"/>
  <c r="H5" i="13"/>
  <c r="Q64" i="13"/>
  <c r="Q65" i="13" s="1"/>
  <c r="H44" i="13" s="1"/>
  <c r="H77" i="13" s="1"/>
  <c r="K68" i="13"/>
  <c r="L68" i="13" s="1"/>
  <c r="T8" i="14"/>
  <c r="U5" i="14"/>
  <c r="I20" i="15"/>
  <c r="T23" i="16"/>
  <c r="J96" i="13"/>
  <c r="S82" i="13"/>
  <c r="F9" i="17"/>
  <c r="H7" i="13"/>
  <c r="L34" i="13"/>
  <c r="T76" i="13"/>
  <c r="T78" i="13"/>
  <c r="K101" i="13"/>
  <c r="L101" i="13" s="1"/>
  <c r="Y21" i="14"/>
  <c r="Q22" i="14"/>
  <c r="K18" i="16"/>
  <c r="L18" i="16" s="1"/>
  <c r="L8" i="16"/>
  <c r="J61" i="13"/>
  <c r="H103" i="13"/>
  <c r="R21" i="14"/>
  <c r="Z8" i="14"/>
  <c r="U15" i="14"/>
  <c r="V10" i="14"/>
  <c r="AA15" i="14"/>
  <c r="W40" i="14"/>
  <c r="V40" i="14"/>
  <c r="U40" i="14"/>
  <c r="T40" i="14"/>
  <c r="S25" i="15"/>
  <c r="S22" i="15" s="1"/>
  <c r="S42" i="15" s="1"/>
  <c r="H14" i="16"/>
  <c r="H25" i="16" s="1"/>
  <c r="K11" i="16"/>
  <c r="L6" i="16"/>
  <c r="H30" i="17"/>
  <c r="H17" i="17"/>
  <c r="H15" i="17"/>
  <c r="H18" i="17"/>
  <c r="H10" i="17"/>
  <c r="R10" i="17"/>
  <c r="J22" i="17"/>
  <c r="L28" i="13"/>
  <c r="T75" i="13"/>
  <c r="K5" i="14"/>
  <c r="K37" i="14"/>
  <c r="K10" i="14" s="1"/>
  <c r="H7" i="14"/>
  <c r="AB20" i="14"/>
  <c r="H23" i="17"/>
  <c r="H6" i="17" s="1"/>
  <c r="CY31" i="10" s="1"/>
  <c r="S21" i="14"/>
  <c r="W25" i="15"/>
  <c r="W22" i="15" s="1"/>
  <c r="W42" i="15" s="1"/>
  <c r="U42" i="15"/>
  <c r="K4" i="16"/>
  <c r="I10" i="16"/>
  <c r="T39" i="14"/>
  <c r="V42" i="15"/>
  <c r="I15" i="16"/>
  <c r="H16" i="16"/>
  <c r="Y8" i="14"/>
  <c r="U17" i="14"/>
  <c r="U39" i="14"/>
  <c r="K10" i="16"/>
  <c r="K17" i="16"/>
  <c r="L17" i="16" s="1"/>
  <c r="H36" i="14"/>
  <c r="K15" i="16"/>
  <c r="L15" i="16" s="1"/>
  <c r="J36" i="14"/>
  <c r="T25" i="15"/>
  <c r="T22" i="15" s="1"/>
  <c r="T42" i="15" s="1"/>
  <c r="T15" i="14"/>
  <c r="S58" i="26" l="1"/>
  <c r="S69" i="26" s="1"/>
  <c r="S95" i="26"/>
  <c r="S23" i="26"/>
  <c r="S8" i="26"/>
  <c r="I4" i="13"/>
  <c r="T7" i="10" s="1"/>
  <c r="BD5" i="10"/>
  <c r="H49" i="13"/>
  <c r="H82" i="13" s="1"/>
  <c r="J59" i="13"/>
  <c r="J92" i="13" s="1"/>
  <c r="I54" i="13"/>
  <c r="I87" i="13" s="1"/>
  <c r="I59" i="13"/>
  <c r="I92" i="13" s="1"/>
  <c r="I88" i="13" s="1"/>
  <c r="H54" i="13"/>
  <c r="H87" i="13" s="1"/>
  <c r="H75" i="13"/>
  <c r="H40" i="13"/>
  <c r="AC35" i="10"/>
  <c r="AC36" i="10" s="1"/>
  <c r="AC21" i="10"/>
  <c r="Q21" i="10"/>
  <c r="CK21" i="10"/>
  <c r="CK35" i="10"/>
  <c r="BA35" i="10"/>
  <c r="BA21" i="10"/>
  <c r="AQ31" i="10"/>
  <c r="AN21" i="10"/>
  <c r="AN35" i="10"/>
  <c r="J67" i="13"/>
  <c r="J100" i="13" s="1"/>
  <c r="I67" i="13"/>
  <c r="I100" i="13" s="1"/>
  <c r="I62" i="13"/>
  <c r="I95" i="13" s="1"/>
  <c r="J62" i="13"/>
  <c r="J95" i="13" s="1"/>
  <c r="K67" i="13"/>
  <c r="K62" i="13"/>
  <c r="AI42" i="12"/>
  <c r="K22" i="12" s="1"/>
  <c r="AI41" i="12"/>
  <c r="K21" i="12" s="1"/>
  <c r="L10" i="14"/>
  <c r="BR13" i="10"/>
  <c r="J20" i="15"/>
  <c r="CB30" i="10"/>
  <c r="AG42" i="12"/>
  <c r="I22" i="12" s="1"/>
  <c r="AG41" i="12"/>
  <c r="I21" i="12" s="1"/>
  <c r="AA21" i="14"/>
  <c r="S22" i="14"/>
  <c r="I38" i="13"/>
  <c r="J49" i="12"/>
  <c r="J24" i="12"/>
  <c r="AS8" i="10"/>
  <c r="L26" i="12"/>
  <c r="K50" i="12"/>
  <c r="K24" i="12"/>
  <c r="L24" i="12" s="1"/>
  <c r="AT9" i="10"/>
  <c r="I66" i="11"/>
  <c r="I65" i="11" s="1"/>
  <c r="V55" i="11"/>
  <c r="V54" i="11" s="1"/>
  <c r="V49" i="11" s="1"/>
  <c r="I19" i="11"/>
  <c r="AF7" i="10" s="1"/>
  <c r="AF24" i="10" s="1"/>
  <c r="I43" i="11"/>
  <c r="I42" i="11" s="1"/>
  <c r="AF15" i="10" s="1"/>
  <c r="X53" i="11"/>
  <c r="L12" i="11"/>
  <c r="K35" i="11"/>
  <c r="L35" i="11" s="1"/>
  <c r="I62" i="10"/>
  <c r="J62" i="10" s="1"/>
  <c r="BY37" i="10"/>
  <c r="BY36" i="10"/>
  <c r="BM37" i="10"/>
  <c r="BM36" i="10"/>
  <c r="K16" i="14"/>
  <c r="L5" i="14"/>
  <c r="BR5" i="10"/>
  <c r="U8" i="14"/>
  <c r="V5" i="14"/>
  <c r="K25" i="17"/>
  <c r="J8" i="17"/>
  <c r="DA33" i="10" s="1"/>
  <c r="I10" i="15"/>
  <c r="J5" i="15"/>
  <c r="I4" i="15"/>
  <c r="CB5" i="10"/>
  <c r="I72" i="13"/>
  <c r="BD6" i="10"/>
  <c r="BD23" i="10" s="1"/>
  <c r="I16" i="14"/>
  <c r="BP5" i="10"/>
  <c r="L66" i="13"/>
  <c r="K65" i="13"/>
  <c r="J64" i="12"/>
  <c r="K16" i="12"/>
  <c r="J40" i="12"/>
  <c r="J55" i="13"/>
  <c r="J89" i="13"/>
  <c r="J88" i="13" s="1"/>
  <c r="H63" i="12"/>
  <c r="J74" i="12"/>
  <c r="J50" i="12"/>
  <c r="AS17" i="10" s="1"/>
  <c r="AS9" i="10"/>
  <c r="AS26" i="10" s="1"/>
  <c r="H19" i="11"/>
  <c r="H43" i="11"/>
  <c r="H42" i="11" s="1"/>
  <c r="I86" i="10"/>
  <c r="J86" i="10" s="1"/>
  <c r="AE31" i="10"/>
  <c r="S31" i="10"/>
  <c r="I13" i="11"/>
  <c r="W15" i="11"/>
  <c r="H69" i="11"/>
  <c r="J72" i="13"/>
  <c r="J35" i="11"/>
  <c r="J58" i="11" s="1"/>
  <c r="H52" i="11"/>
  <c r="H51" i="11" s="1"/>
  <c r="H5" i="11"/>
  <c r="AC10" i="7" s="1"/>
  <c r="AC9" i="7" s="1"/>
  <c r="H29" i="11"/>
  <c r="H28" i="11" s="1"/>
  <c r="AC70" i="7" s="1"/>
  <c r="L78" i="11"/>
  <c r="AH34" i="10"/>
  <c r="AI34" i="10" s="1"/>
  <c r="AB4" i="10"/>
  <c r="K37" i="17"/>
  <c r="J7" i="17"/>
  <c r="DA32" i="10" s="1"/>
  <c r="U14" i="13"/>
  <c r="V15" i="13"/>
  <c r="V14" i="13" s="1"/>
  <c r="J5" i="13"/>
  <c r="J38" i="13"/>
  <c r="V6" i="13"/>
  <c r="I74" i="12"/>
  <c r="I50" i="12"/>
  <c r="I24" i="12"/>
  <c r="AR9" i="10"/>
  <c r="I6" i="11"/>
  <c r="T9" i="26" s="1"/>
  <c r="V8" i="11"/>
  <c r="V7" i="11" s="1"/>
  <c r="V6" i="11" s="1"/>
  <c r="W9" i="11"/>
  <c r="AC15" i="14"/>
  <c r="I6" i="14"/>
  <c r="I24" i="14" s="1"/>
  <c r="L99" i="13"/>
  <c r="I38" i="14"/>
  <c r="U53" i="12"/>
  <c r="U59" i="12" s="1"/>
  <c r="H50" i="13"/>
  <c r="H84" i="13"/>
  <c r="H83" i="13" s="1"/>
  <c r="W58" i="12"/>
  <c r="W57" i="12"/>
  <c r="W56" i="12"/>
  <c r="J33" i="12"/>
  <c r="J57" i="12" s="1"/>
  <c r="K9" i="12"/>
  <c r="X4" i="11"/>
  <c r="X16" i="11" s="1"/>
  <c r="K20" i="11" s="1"/>
  <c r="W16" i="11"/>
  <c r="I57" i="11"/>
  <c r="I34" i="11"/>
  <c r="I10" i="11"/>
  <c r="V47" i="11" s="1"/>
  <c r="L74" i="11"/>
  <c r="AH30" i="10"/>
  <c r="K66" i="12"/>
  <c r="L66" i="12" s="1"/>
  <c r="K42" i="12"/>
  <c r="L42" i="12" s="1"/>
  <c r="L18" i="12"/>
  <c r="X10" i="11"/>
  <c r="K7" i="11" s="1"/>
  <c r="J7" i="11"/>
  <c r="I76" i="11"/>
  <c r="W45" i="11"/>
  <c r="CL35" i="10"/>
  <c r="CL21" i="10"/>
  <c r="J15" i="11"/>
  <c r="AG6" i="10" s="1"/>
  <c r="AG23" i="10" s="1"/>
  <c r="K16" i="11"/>
  <c r="J62" i="11"/>
  <c r="J61" i="11" s="1"/>
  <c r="CM35" i="10"/>
  <c r="CM21" i="10"/>
  <c r="F4" i="10"/>
  <c r="CJ37" i="10"/>
  <c r="CJ36" i="10"/>
  <c r="I17" i="17"/>
  <c r="I15" i="17"/>
  <c r="I31" i="17"/>
  <c r="I23" i="17"/>
  <c r="I6" i="17" s="1"/>
  <c r="CZ31" i="10" s="1"/>
  <c r="S10" i="17"/>
  <c r="I30" i="17"/>
  <c r="I18" i="17"/>
  <c r="I10" i="17"/>
  <c r="I18" i="10"/>
  <c r="BC7" i="10"/>
  <c r="J37" i="14"/>
  <c r="J10" i="14" s="1"/>
  <c r="J5" i="14"/>
  <c r="J38" i="14"/>
  <c r="K38" i="14"/>
  <c r="I26" i="14"/>
  <c r="BP34" i="10" s="1"/>
  <c r="H9" i="15"/>
  <c r="CA13" i="10"/>
  <c r="V57" i="12"/>
  <c r="V56" i="12"/>
  <c r="V58" i="12"/>
  <c r="I81" i="12" s="1"/>
  <c r="I108" i="13"/>
  <c r="BD34" i="10" s="1"/>
  <c r="U79" i="13"/>
  <c r="H79" i="13"/>
  <c r="H78" i="13" s="1"/>
  <c r="H45" i="13"/>
  <c r="BB35" i="10"/>
  <c r="BB21" i="10"/>
  <c r="AG34" i="10"/>
  <c r="H15" i="15"/>
  <c r="H14" i="15" s="1"/>
  <c r="I9" i="16"/>
  <c r="CN13" i="10"/>
  <c r="J60" i="13"/>
  <c r="I107" i="13"/>
  <c r="BD33" i="10" s="1"/>
  <c r="U78" i="13"/>
  <c r="T13" i="15"/>
  <c r="H22" i="15" s="1"/>
  <c r="I24" i="10"/>
  <c r="S9" i="10"/>
  <c r="H16" i="15"/>
  <c r="I99" i="13"/>
  <c r="I98" i="13" s="1"/>
  <c r="I65" i="13"/>
  <c r="K6" i="13"/>
  <c r="K39" i="13"/>
  <c r="L49" i="12"/>
  <c r="K48" i="12"/>
  <c r="L48" i="12" s="1"/>
  <c r="AT16" i="10"/>
  <c r="I50" i="13"/>
  <c r="BD15" i="10" s="1"/>
  <c r="BD24" i="10" s="1"/>
  <c r="I84" i="13"/>
  <c r="I83" i="13" s="1"/>
  <c r="AF42" i="12"/>
  <c r="H22" i="12" s="1"/>
  <c r="AF41" i="12"/>
  <c r="H21" i="12" s="1"/>
  <c r="J77" i="12"/>
  <c r="X35" i="12"/>
  <c r="K77" i="12" s="1"/>
  <c r="H35" i="11"/>
  <c r="H58" i="11" s="1"/>
  <c r="H56" i="11" s="1"/>
  <c r="AG26" i="12"/>
  <c r="AH13" i="12"/>
  <c r="AG24" i="12"/>
  <c r="P4" i="10"/>
  <c r="P22" i="10"/>
  <c r="P20" i="10" s="1"/>
  <c r="AE32" i="10"/>
  <c r="AZ35" i="10"/>
  <c r="AZ21" i="10"/>
  <c r="G4" i="10"/>
  <c r="BZ35" i="10"/>
  <c r="BZ21" i="10"/>
  <c r="AB20" i="10"/>
  <c r="H12" i="17"/>
  <c r="H5" i="17" s="1"/>
  <c r="H14" i="17"/>
  <c r="W42" i="12"/>
  <c r="H5" i="14"/>
  <c r="H38" i="14"/>
  <c r="H37" i="14"/>
  <c r="H10" i="14" s="1"/>
  <c r="I104" i="13"/>
  <c r="U75" i="13"/>
  <c r="Z21" i="14"/>
  <c r="R22" i="14"/>
  <c r="AB8" i="14"/>
  <c r="T21" i="14"/>
  <c r="I11" i="15"/>
  <c r="CB14" i="10" s="1"/>
  <c r="J6" i="15"/>
  <c r="CB6" i="10"/>
  <c r="J99" i="13"/>
  <c r="J98" i="13" s="1"/>
  <c r="J65" i="13"/>
  <c r="BE15" i="10" s="1"/>
  <c r="BE24" i="10" s="1"/>
  <c r="I39" i="12"/>
  <c r="I63" i="12" s="1"/>
  <c r="J15" i="12"/>
  <c r="I30" i="11"/>
  <c r="I53" i="11" s="1"/>
  <c r="BN37" i="10"/>
  <c r="BN36" i="10"/>
  <c r="H25" i="14"/>
  <c r="BO33" i="10" s="1"/>
  <c r="L10" i="16"/>
  <c r="K9" i="16"/>
  <c r="K14" i="16" s="1"/>
  <c r="CP13" i="10"/>
  <c r="I25" i="14"/>
  <c r="BP33" i="10" s="1"/>
  <c r="L4" i="16"/>
  <c r="V10" i="10"/>
  <c r="K22" i="17"/>
  <c r="I105" i="13"/>
  <c r="BD31" i="10" s="1"/>
  <c r="U76" i="13"/>
  <c r="T82" i="13"/>
  <c r="J9" i="16"/>
  <c r="U18" i="10" s="1"/>
  <c r="CO13" i="10"/>
  <c r="K23" i="14"/>
  <c r="BQ31" i="10"/>
  <c r="I72" i="12"/>
  <c r="I94" i="13"/>
  <c r="I93" i="13" s="1"/>
  <c r="I60" i="13"/>
  <c r="AQ34" i="10"/>
  <c r="K97" i="13"/>
  <c r="L97" i="13" s="1"/>
  <c r="J94" i="13"/>
  <c r="J93" i="13" s="1"/>
  <c r="J22" i="14"/>
  <c r="BP30" i="10"/>
  <c r="K96" i="13"/>
  <c r="L96" i="13" s="1"/>
  <c r="I7" i="10"/>
  <c r="AE6" i="10"/>
  <c r="AE23" i="10" s="1"/>
  <c r="AR30" i="10"/>
  <c r="X13" i="11"/>
  <c r="J11" i="11"/>
  <c r="W12" i="11"/>
  <c r="AH7" i="12"/>
  <c r="AH6" i="12" s="1"/>
  <c r="AH10" i="12" s="1"/>
  <c r="AI8" i="12"/>
  <c r="AI5" i="12"/>
  <c r="AI7" i="12" s="1"/>
  <c r="AI6" i="12" s="1"/>
  <c r="AI10" i="12" s="1"/>
  <c r="AF16" i="12"/>
  <c r="U9" i="12" s="1"/>
  <c r="H10" i="12" s="1"/>
  <c r="AP35" i="10"/>
  <c r="AP21" i="10"/>
  <c r="BX37" i="10"/>
  <c r="BX36" i="10"/>
  <c r="J14" i="16"/>
  <c r="J25" i="16" s="1"/>
  <c r="U10" i="10"/>
  <c r="U27" i="10" s="1"/>
  <c r="AH42" i="12"/>
  <c r="J22" i="12" s="1"/>
  <c r="AH41" i="12"/>
  <c r="J21" i="12" s="1"/>
  <c r="W44" i="11"/>
  <c r="I75" i="11"/>
  <c r="G89" i="10"/>
  <c r="G84" i="10" s="1"/>
  <c r="G90" i="10" s="1"/>
  <c r="G91" i="10" s="1"/>
  <c r="CW34" i="10"/>
  <c r="CW29" i="10" s="1"/>
  <c r="Q34" i="10"/>
  <c r="Q29" i="10" s="1"/>
  <c r="Q35" i="10" s="1"/>
  <c r="Q36" i="10" s="1"/>
  <c r="BP13" i="10"/>
  <c r="L73" i="12"/>
  <c r="I78" i="12"/>
  <c r="AR31" i="10" s="1"/>
  <c r="W36" i="12"/>
  <c r="G27" i="11"/>
  <c r="R13" i="10" s="1"/>
  <c r="H32" i="10"/>
  <c r="AD13" i="10"/>
  <c r="H36" i="11"/>
  <c r="H59" i="11"/>
  <c r="X45" i="12"/>
  <c r="H10" i="11"/>
  <c r="U47" i="11" s="1"/>
  <c r="U46" i="11" s="1"/>
  <c r="AB15" i="14"/>
  <c r="H6" i="14"/>
  <c r="U20" i="14"/>
  <c r="V17" i="14"/>
  <c r="H12" i="14"/>
  <c r="H18" i="14"/>
  <c r="I22" i="10"/>
  <c r="BO7" i="10"/>
  <c r="L11" i="16"/>
  <c r="K16" i="16"/>
  <c r="L16" i="16" s="1"/>
  <c r="CP14" i="10"/>
  <c r="H71" i="13"/>
  <c r="H4" i="13"/>
  <c r="S7" i="10" s="1"/>
  <c r="I16" i="10"/>
  <c r="BC5" i="10"/>
  <c r="K102" i="13"/>
  <c r="L102" i="13" s="1"/>
  <c r="I43" i="10"/>
  <c r="BC14" i="10"/>
  <c r="K60" i="13"/>
  <c r="L60" i="13" s="1"/>
  <c r="K94" i="13"/>
  <c r="L61" i="13"/>
  <c r="I31" i="11"/>
  <c r="I54" i="11" s="1"/>
  <c r="H48" i="12"/>
  <c r="I40" i="10" s="1"/>
  <c r="AQ16" i="10"/>
  <c r="AQ25" i="10" s="1"/>
  <c r="K69" i="11"/>
  <c r="L69" i="11" s="1"/>
  <c r="L48" i="11"/>
  <c r="K46" i="11"/>
  <c r="L46" i="11" s="1"/>
  <c r="AH17" i="10"/>
  <c r="K54" i="11"/>
  <c r="L54" i="11" s="1"/>
  <c r="K31" i="11"/>
  <c r="L31" i="11" s="1"/>
  <c r="L8" i="11"/>
  <c r="V40" i="12"/>
  <c r="J8" i="12"/>
  <c r="X78" i="11"/>
  <c r="AF27" i="12"/>
  <c r="AF28" i="12" s="1"/>
  <c r="U29" i="12" s="1"/>
  <c r="X54" i="12"/>
  <c r="W55" i="12"/>
  <c r="W53" i="12" s="1"/>
  <c r="W59" i="12" s="1"/>
  <c r="BL37" i="10"/>
  <c r="BL36" i="10"/>
  <c r="W10" i="14"/>
  <c r="W15" i="14" s="1"/>
  <c r="V15" i="14"/>
  <c r="H73" i="13"/>
  <c r="AO35" i="10"/>
  <c r="AO21" i="10"/>
  <c r="S57" i="26" l="1"/>
  <c r="S68" i="26" s="1"/>
  <c r="S94" i="26"/>
  <c r="AA94" i="26" s="1"/>
  <c r="T58" i="26"/>
  <c r="T69" i="26" s="1"/>
  <c r="T95" i="26"/>
  <c r="T23" i="26"/>
  <c r="T8" i="26"/>
  <c r="S7" i="26"/>
  <c r="S22" i="26"/>
  <c r="L14" i="16"/>
  <c r="K25" i="16"/>
  <c r="L25" i="16" s="1"/>
  <c r="I85" i="10"/>
  <c r="CY30" i="10"/>
  <c r="S30" i="10"/>
  <c r="L20" i="11"/>
  <c r="K43" i="11"/>
  <c r="K66" i="11" s="1"/>
  <c r="K19" i="11"/>
  <c r="X55" i="11"/>
  <c r="X54" i="11" s="1"/>
  <c r="X49" i="11" s="1"/>
  <c r="AR34" i="10"/>
  <c r="BP32" i="10"/>
  <c r="BP29" i="10" s="1"/>
  <c r="I21" i="14"/>
  <c r="AB35" i="10"/>
  <c r="AB36" i="10" s="1"/>
  <c r="AB21" i="10"/>
  <c r="J24" i="10"/>
  <c r="J108" i="13"/>
  <c r="BE34" i="10" s="1"/>
  <c r="V79" i="13"/>
  <c r="K108" i="13" s="1"/>
  <c r="I5" i="17"/>
  <c r="J66" i="11"/>
  <c r="J65" i="11" s="1"/>
  <c r="W55" i="11"/>
  <c r="W54" i="11" s="1"/>
  <c r="W49" i="11" s="1"/>
  <c r="J19" i="11"/>
  <c r="AG7" i="10" s="1"/>
  <c r="AG24" i="10" s="1"/>
  <c r="J43" i="11"/>
  <c r="J42" i="11" s="1"/>
  <c r="AG15" i="10" s="1"/>
  <c r="K5" i="13"/>
  <c r="K38" i="13"/>
  <c r="BP22" i="10"/>
  <c r="J10" i="15"/>
  <c r="K5" i="15"/>
  <c r="J4" i="15"/>
  <c r="CC5" i="10"/>
  <c r="BR22" i="10"/>
  <c r="BS5" i="10"/>
  <c r="I70" i="12"/>
  <c r="I46" i="12"/>
  <c r="L21" i="12"/>
  <c r="K45" i="12"/>
  <c r="K69" i="12"/>
  <c r="K20" i="12"/>
  <c r="AN37" i="10"/>
  <c r="AN36" i="10"/>
  <c r="H77" i="11"/>
  <c r="U42" i="11"/>
  <c r="AB21" i="14"/>
  <c r="T22" i="14"/>
  <c r="J37" i="13"/>
  <c r="U15" i="10" s="1"/>
  <c r="BE13" i="10"/>
  <c r="BE12" i="10" s="1"/>
  <c r="I9" i="15"/>
  <c r="T17" i="10" s="1"/>
  <c r="CB13" i="10"/>
  <c r="CB12" i="10" s="1"/>
  <c r="CO12" i="10"/>
  <c r="CO22" i="10"/>
  <c r="CO20" i="10" s="1"/>
  <c r="BZ36" i="10"/>
  <c r="BZ37" i="10"/>
  <c r="L39" i="13"/>
  <c r="BF14" i="10"/>
  <c r="BG14" i="10" s="1"/>
  <c r="J107" i="13"/>
  <c r="BE33" i="10" s="1"/>
  <c r="V78" i="13"/>
  <c r="K107" i="13" s="1"/>
  <c r="J76" i="11"/>
  <c r="X45" i="11"/>
  <c r="K76" i="11" s="1"/>
  <c r="AI30" i="10"/>
  <c r="K57" i="12"/>
  <c r="L57" i="12" s="1"/>
  <c r="K33" i="12"/>
  <c r="L33" i="12" s="1"/>
  <c r="L9" i="12"/>
  <c r="J4" i="13"/>
  <c r="U7" i="10" s="1"/>
  <c r="U24" i="10" s="1"/>
  <c r="J71" i="13"/>
  <c r="J70" i="13" s="1"/>
  <c r="BE5" i="10"/>
  <c r="I34" i="10"/>
  <c r="J34" i="10" s="1"/>
  <c r="AE15" i="10"/>
  <c r="I15" i="15"/>
  <c r="J48" i="12"/>
  <c r="AS16" i="10"/>
  <c r="AS25" i="10" s="1"/>
  <c r="L62" i="13"/>
  <c r="K95" i="13"/>
  <c r="L95" i="13" s="1"/>
  <c r="X56" i="12"/>
  <c r="X57" i="12"/>
  <c r="X58" i="12"/>
  <c r="AF31" i="10"/>
  <c r="T31" i="10"/>
  <c r="L23" i="14"/>
  <c r="BR31" i="10"/>
  <c r="BS31" i="10" s="1"/>
  <c r="H4" i="14"/>
  <c r="S8" i="10" s="1"/>
  <c r="H16" i="14"/>
  <c r="I20" i="10"/>
  <c r="BO5" i="10"/>
  <c r="H24" i="14"/>
  <c r="K70" i="12"/>
  <c r="L70" i="12" s="1"/>
  <c r="L22" i="12"/>
  <c r="K46" i="12"/>
  <c r="L46" i="12" s="1"/>
  <c r="X44" i="11"/>
  <c r="J75" i="11"/>
  <c r="I60" i="10"/>
  <c r="J60" i="10" s="1"/>
  <c r="J7" i="10"/>
  <c r="W10" i="10"/>
  <c r="AS30" i="10"/>
  <c r="L94" i="13"/>
  <c r="K93" i="13"/>
  <c r="L93" i="13" s="1"/>
  <c r="S24" i="10"/>
  <c r="I48" i="10"/>
  <c r="J48" i="10" s="1"/>
  <c r="BO15" i="10"/>
  <c r="AG27" i="12"/>
  <c r="AG28" i="12" s="1"/>
  <c r="V29" i="12" s="1"/>
  <c r="H69" i="12"/>
  <c r="H45" i="12"/>
  <c r="H20" i="12"/>
  <c r="L6" i="13"/>
  <c r="K72" i="13"/>
  <c r="L72" i="13" s="1"/>
  <c r="BF6" i="10"/>
  <c r="J16" i="14"/>
  <c r="J25" i="14"/>
  <c r="BQ33" i="10" s="1"/>
  <c r="BQ5" i="10"/>
  <c r="J15" i="17"/>
  <c r="J31" i="17"/>
  <c r="J23" i="17"/>
  <c r="J6" i="17" s="1"/>
  <c r="DA31" i="10" s="1"/>
  <c r="J18" i="17"/>
  <c r="J10" i="17"/>
  <c r="J30" i="17"/>
  <c r="J17" i="17"/>
  <c r="T10" i="17"/>
  <c r="AF32" i="10"/>
  <c r="I5" i="11"/>
  <c r="AD10" i="7" s="1"/>
  <c r="AD9" i="7" s="1"/>
  <c r="I29" i="11"/>
  <c r="I28" i="11" s="1"/>
  <c r="AD70" i="7" s="1"/>
  <c r="H33" i="11"/>
  <c r="I32" i="10" s="1"/>
  <c r="J13" i="11"/>
  <c r="X15" i="11"/>
  <c r="K13" i="11" s="1"/>
  <c r="H66" i="11"/>
  <c r="H65" i="11" s="1"/>
  <c r="H50" i="11" s="1"/>
  <c r="L16" i="14"/>
  <c r="K58" i="11"/>
  <c r="L58" i="11" s="1"/>
  <c r="AU9" i="10"/>
  <c r="AT26" i="10"/>
  <c r="AU26" i="10" s="1"/>
  <c r="J73" i="12"/>
  <c r="J72" i="12" s="1"/>
  <c r="K20" i="15"/>
  <c r="CC30" i="10"/>
  <c r="L67" i="13"/>
  <c r="K100" i="13"/>
  <c r="K6" i="14"/>
  <c r="AE15" i="14"/>
  <c r="BO24" i="10"/>
  <c r="AH26" i="10"/>
  <c r="AI26" i="10" s="1"/>
  <c r="AI17" i="10"/>
  <c r="L22" i="17"/>
  <c r="P35" i="10"/>
  <c r="P36" i="10" s="1"/>
  <c r="P21" i="10"/>
  <c r="CL36" i="10"/>
  <c r="CL37" i="10"/>
  <c r="J6" i="11"/>
  <c r="U9" i="26" s="1"/>
  <c r="W8" i="11"/>
  <c r="W7" i="11" s="1"/>
  <c r="W6" i="11" s="1"/>
  <c r="X9" i="11"/>
  <c r="J56" i="12"/>
  <c r="W40" i="12"/>
  <c r="J32" i="12"/>
  <c r="K8" i="12"/>
  <c r="X42" i="12"/>
  <c r="K81" i="12" s="1"/>
  <c r="J81" i="12"/>
  <c r="I56" i="12"/>
  <c r="H70" i="13"/>
  <c r="H109" i="13" s="1"/>
  <c r="V20" i="14"/>
  <c r="W17" i="14"/>
  <c r="W20" i="14" s="1"/>
  <c r="AD12" i="10"/>
  <c r="AD22" i="10"/>
  <c r="AD20" i="10" s="1"/>
  <c r="J69" i="12"/>
  <c r="J45" i="12"/>
  <c r="J20" i="12"/>
  <c r="AP37" i="10"/>
  <c r="AP36" i="10"/>
  <c r="J34" i="11"/>
  <c r="J10" i="11"/>
  <c r="W47" i="11" s="1"/>
  <c r="W46" i="11" s="1"/>
  <c r="J77" i="11" s="1"/>
  <c r="J57" i="11"/>
  <c r="I14" i="17"/>
  <c r="AG16" i="12"/>
  <c r="V9" i="12" s="1"/>
  <c r="I10" i="12" s="1"/>
  <c r="I17" i="12"/>
  <c r="H46" i="12"/>
  <c r="H70" i="12" s="1"/>
  <c r="V53" i="12"/>
  <c r="V59" i="12" s="1"/>
  <c r="BQ13" i="10"/>
  <c r="CM36" i="10"/>
  <c r="CM37" i="10"/>
  <c r="J30" i="11"/>
  <c r="J53" i="11" s="1"/>
  <c r="I36" i="11"/>
  <c r="I59" i="11"/>
  <c r="I8" i="10"/>
  <c r="AE7" i="10"/>
  <c r="L16" i="12"/>
  <c r="K40" i="12"/>
  <c r="L40" i="12" s="1"/>
  <c r="L25" i="17"/>
  <c r="K8" i="17"/>
  <c r="I37" i="13"/>
  <c r="T15" i="10" s="1"/>
  <c r="BD13" i="10"/>
  <c r="BD12" i="10" s="1"/>
  <c r="BS13" i="10"/>
  <c r="X77" i="11"/>
  <c r="X96" i="11" s="1"/>
  <c r="X97" i="11" s="1"/>
  <c r="X91" i="11"/>
  <c r="X90" i="11" s="1"/>
  <c r="X86" i="11" s="1"/>
  <c r="L77" i="12"/>
  <c r="AT30" i="10"/>
  <c r="I69" i="10"/>
  <c r="J16" i="10"/>
  <c r="I15" i="10"/>
  <c r="J15" i="10" s="1"/>
  <c r="AH24" i="12"/>
  <c r="AH27" i="12" s="1"/>
  <c r="AH28" i="12" s="1"/>
  <c r="W29" i="12" s="1"/>
  <c r="AH14" i="12"/>
  <c r="AO37" i="10"/>
  <c r="AO36" i="10"/>
  <c r="X55" i="12"/>
  <c r="X53" i="12" s="1"/>
  <c r="X59" i="12" s="1"/>
  <c r="I55" i="13"/>
  <c r="CQ14" i="10"/>
  <c r="CP23" i="10"/>
  <c r="CQ23" i="10" s="1"/>
  <c r="I7" i="14"/>
  <c r="AC20" i="14"/>
  <c r="H31" i="10"/>
  <c r="H30" i="10" s="1"/>
  <c r="H59" i="10"/>
  <c r="H58" i="10" s="1"/>
  <c r="H57" i="10" s="1"/>
  <c r="H90" i="10" s="1"/>
  <c r="H91" i="10" s="1"/>
  <c r="J46" i="12"/>
  <c r="J70" i="12" s="1"/>
  <c r="X12" i="11"/>
  <c r="K11" i="11"/>
  <c r="J105" i="13"/>
  <c r="BE31" i="10" s="1"/>
  <c r="V76" i="13"/>
  <c r="U82" i="13"/>
  <c r="CB23" i="10"/>
  <c r="J104" i="13"/>
  <c r="V75" i="13"/>
  <c r="K104" i="13" s="1"/>
  <c r="H4" i="17"/>
  <c r="H9" i="17" s="1"/>
  <c r="CY34" i="10" s="1"/>
  <c r="AZ37" i="10"/>
  <c r="AZ36" i="10"/>
  <c r="AH26" i="12"/>
  <c r="AI13" i="12"/>
  <c r="AI26" i="12" s="1"/>
  <c r="BB37" i="10"/>
  <c r="BB36" i="10"/>
  <c r="L7" i="11"/>
  <c r="K30" i="11"/>
  <c r="L30" i="11" s="1"/>
  <c r="V46" i="11"/>
  <c r="H4" i="11"/>
  <c r="S5" i="10" s="1"/>
  <c r="I6" i="10"/>
  <c r="AE5" i="10"/>
  <c r="W5" i="14"/>
  <c r="W8" i="14" s="1"/>
  <c r="V8" i="14"/>
  <c r="L50" i="12"/>
  <c r="AT17" i="10"/>
  <c r="AU17" i="10" s="1"/>
  <c r="BA37" i="10"/>
  <c r="BA36" i="10"/>
  <c r="I44" i="10"/>
  <c r="J44" i="10" s="1"/>
  <c r="BC15" i="10"/>
  <c r="BC12" i="10" s="1"/>
  <c r="H37" i="13"/>
  <c r="S15" i="10" s="1"/>
  <c r="BD4" i="10"/>
  <c r="AI24" i="12"/>
  <c r="I75" i="10"/>
  <c r="J75" i="10" s="1"/>
  <c r="J22" i="10"/>
  <c r="I22" i="15"/>
  <c r="CA32" i="10"/>
  <c r="CA29" i="10" s="1"/>
  <c r="H19" i="15"/>
  <c r="H25" i="15" s="1"/>
  <c r="J40" i="10"/>
  <c r="I67" i="10"/>
  <c r="J67" i="10" s="1"/>
  <c r="BC23" i="10"/>
  <c r="H11" i="14"/>
  <c r="H17" i="14"/>
  <c r="I21" i="10"/>
  <c r="BO6" i="10"/>
  <c r="R12" i="10"/>
  <c r="R22" i="10"/>
  <c r="R20" i="10" s="1"/>
  <c r="CW37" i="10"/>
  <c r="CW35" i="10"/>
  <c r="CW36" i="10" s="1"/>
  <c r="H34" i="12"/>
  <c r="H29" i="12" s="1"/>
  <c r="AC75" i="7" s="1"/>
  <c r="H5" i="12"/>
  <c r="K22" i="14"/>
  <c r="BQ30" i="10"/>
  <c r="CP12" i="10"/>
  <c r="CQ12" i="10" s="1"/>
  <c r="CQ13" i="10"/>
  <c r="CP22" i="10"/>
  <c r="I16" i="15"/>
  <c r="I103" i="13"/>
  <c r="BD30" i="10"/>
  <c r="BD29" i="10" s="1"/>
  <c r="CN12" i="10"/>
  <c r="CN22" i="10"/>
  <c r="CN20" i="10" s="1"/>
  <c r="CA12" i="10"/>
  <c r="CA22" i="10"/>
  <c r="CA20" i="10" s="1"/>
  <c r="BC24" i="10"/>
  <c r="K62" i="11"/>
  <c r="K15" i="11"/>
  <c r="L16" i="11"/>
  <c r="I33" i="11"/>
  <c r="I48" i="12"/>
  <c r="AR17" i="10"/>
  <c r="AR26" i="10" s="1"/>
  <c r="L37" i="17"/>
  <c r="K7" i="17"/>
  <c r="L65" i="13"/>
  <c r="BF15" i="10"/>
  <c r="CB4" i="10"/>
  <c r="CB22" i="10"/>
  <c r="AC8" i="14"/>
  <c r="U21" i="14"/>
  <c r="K74" i="12"/>
  <c r="T24" i="10"/>
  <c r="J63" i="12"/>
  <c r="J39" i="12"/>
  <c r="K15" i="12"/>
  <c r="BC22" i="10"/>
  <c r="BC4" i="10"/>
  <c r="AD15" i="14"/>
  <c r="J6" i="14"/>
  <c r="J43" i="10"/>
  <c r="I70" i="10"/>
  <c r="J70" i="10" s="1"/>
  <c r="I41" i="10"/>
  <c r="J41" i="10" s="1"/>
  <c r="J78" i="12"/>
  <c r="AS31" i="10" s="1"/>
  <c r="X36" i="12"/>
  <c r="H65" i="12"/>
  <c r="H41" i="12"/>
  <c r="AF20" i="12"/>
  <c r="H12" i="12" s="1"/>
  <c r="L9" i="16"/>
  <c r="V18" i="10"/>
  <c r="W18" i="10" s="1"/>
  <c r="K6" i="15"/>
  <c r="J11" i="15"/>
  <c r="CC14" i="10" s="1"/>
  <c r="CC6" i="10"/>
  <c r="BO13" i="10"/>
  <c r="I46" i="10"/>
  <c r="I12" i="17"/>
  <c r="AU16" i="10"/>
  <c r="AT25" i="10"/>
  <c r="AU25" i="10" s="1"/>
  <c r="T18" i="10"/>
  <c r="T27" i="10" s="1"/>
  <c r="I14" i="16"/>
  <c r="I25" i="16" s="1"/>
  <c r="I51" i="10"/>
  <c r="J51" i="10" s="1"/>
  <c r="S17" i="10"/>
  <c r="S26" i="10" s="1"/>
  <c r="J18" i="10"/>
  <c r="I56" i="11"/>
  <c r="I11" i="14"/>
  <c r="I17" i="14" s="1"/>
  <c r="BP6" i="10"/>
  <c r="U13" i="15"/>
  <c r="T9" i="10"/>
  <c r="T26" i="10" s="1"/>
  <c r="H26" i="14"/>
  <c r="I45" i="12"/>
  <c r="I44" i="12" s="1"/>
  <c r="AR15" i="10" s="1"/>
  <c r="I20" i="12"/>
  <c r="CK36" i="10"/>
  <c r="CK37" i="10"/>
  <c r="I71" i="13"/>
  <c r="I70" i="13" s="1"/>
  <c r="I109" i="13" s="1"/>
  <c r="S56" i="26" l="1"/>
  <c r="S67" i="26" s="1"/>
  <c r="S19" i="26"/>
  <c r="S93" i="26"/>
  <c r="U58" i="26"/>
  <c r="U69" i="26" s="1"/>
  <c r="U95" i="26"/>
  <c r="T57" i="26"/>
  <c r="T68" i="26" s="1"/>
  <c r="T94" i="26"/>
  <c r="AB94" i="26" s="1"/>
  <c r="AA8" i="26"/>
  <c r="AA14" i="26"/>
  <c r="AA10" i="26"/>
  <c r="AA16" i="26"/>
  <c r="AA7" i="26"/>
  <c r="S21" i="26"/>
  <c r="AA15" i="26"/>
  <c r="AA13" i="26"/>
  <c r="AA11" i="26"/>
  <c r="AA9" i="26"/>
  <c r="U8" i="26"/>
  <c r="U23" i="26"/>
  <c r="T7" i="26"/>
  <c r="T22" i="26"/>
  <c r="H58" i="12"/>
  <c r="H53" i="12" s="1"/>
  <c r="J32" i="10"/>
  <c r="I31" i="10"/>
  <c r="K65" i="11"/>
  <c r="L65" i="11" s="1"/>
  <c r="L66" i="11"/>
  <c r="I12" i="10"/>
  <c r="AQ6" i="10"/>
  <c r="H79" i="11"/>
  <c r="H27" i="11"/>
  <c r="S13" i="10" s="1"/>
  <c r="S22" i="10" s="1"/>
  <c r="AG33" i="10"/>
  <c r="K56" i="12"/>
  <c r="K32" i="12"/>
  <c r="L8" i="12"/>
  <c r="X40" i="12"/>
  <c r="L20" i="15"/>
  <c r="CD30" i="10"/>
  <c r="L107" i="13"/>
  <c r="BF33" i="10"/>
  <c r="BG33" i="10" s="1"/>
  <c r="J16" i="15"/>
  <c r="BO34" i="10"/>
  <c r="S34" i="10"/>
  <c r="I89" i="10"/>
  <c r="J89" i="10" s="1"/>
  <c r="I71" i="10"/>
  <c r="J71" i="10" s="1"/>
  <c r="J12" i="17"/>
  <c r="BC20" i="10"/>
  <c r="L62" i="11"/>
  <c r="K61" i="11"/>
  <c r="L61" i="11" s="1"/>
  <c r="I37" i="10"/>
  <c r="AQ13" i="10"/>
  <c r="AE8" i="14"/>
  <c r="W21" i="14"/>
  <c r="J103" i="13"/>
  <c r="BE30" i="10"/>
  <c r="BE29" i="10" s="1"/>
  <c r="J69" i="10"/>
  <c r="I68" i="10"/>
  <c r="J68" i="10" s="1"/>
  <c r="AE24" i="10"/>
  <c r="J7" i="14"/>
  <c r="AD20" i="14"/>
  <c r="J36" i="11"/>
  <c r="J33" i="11" s="1"/>
  <c r="J59" i="11"/>
  <c r="J56" i="11" s="1"/>
  <c r="BQ22" i="10"/>
  <c r="H44" i="12"/>
  <c r="AG31" i="10"/>
  <c r="U31" i="10"/>
  <c r="J73" i="11"/>
  <c r="I73" i="10"/>
  <c r="I19" i="10"/>
  <c r="J19" i="10" s="1"/>
  <c r="J20" i="10"/>
  <c r="I14" i="15"/>
  <c r="I4" i="17"/>
  <c r="I9" i="17" s="1"/>
  <c r="J46" i="10"/>
  <c r="DB32" i="10"/>
  <c r="DC32" i="10" s="1"/>
  <c r="L7" i="17"/>
  <c r="I61" i="10"/>
  <c r="J61" i="10" s="1"/>
  <c r="J8" i="10"/>
  <c r="I41" i="12"/>
  <c r="AG20" i="12"/>
  <c r="I19" i="12" s="1"/>
  <c r="I12" i="12" s="1"/>
  <c r="K17" i="14"/>
  <c r="L6" i="14"/>
  <c r="K11" i="14"/>
  <c r="BR6" i="10"/>
  <c r="K24" i="14"/>
  <c r="K25" i="14"/>
  <c r="K26" i="14"/>
  <c r="K75" i="11"/>
  <c r="X39" i="12"/>
  <c r="X38" i="12" s="1"/>
  <c r="K80" i="12" s="1"/>
  <c r="L20" i="12"/>
  <c r="AT7" i="10"/>
  <c r="BO12" i="10"/>
  <c r="I47" i="10"/>
  <c r="I45" i="10" s="1"/>
  <c r="J45" i="10" s="1"/>
  <c r="BO14" i="10"/>
  <c r="I34" i="12"/>
  <c r="I29" i="12" s="1"/>
  <c r="AD75" i="7" s="1"/>
  <c r="I5" i="12"/>
  <c r="AD15" i="7" s="1"/>
  <c r="H15" i="14"/>
  <c r="CA35" i="10"/>
  <c r="CA21" i="10"/>
  <c r="I27" i="11"/>
  <c r="T13" i="10" s="1"/>
  <c r="AF13" i="10"/>
  <c r="AF12" i="10" s="1"/>
  <c r="W42" i="11"/>
  <c r="H9" i="14"/>
  <c r="S16" i="10" s="1"/>
  <c r="S25" i="10" s="1"/>
  <c r="K39" i="12"/>
  <c r="K63" i="12"/>
  <c r="L15" i="12"/>
  <c r="CB20" i="10"/>
  <c r="S4" i="10"/>
  <c r="K105" i="13"/>
  <c r="V82" i="13"/>
  <c r="DB33" i="10"/>
  <c r="DC33" i="10" s="1"/>
  <c r="L8" i="17"/>
  <c r="J14" i="17"/>
  <c r="J44" i="12"/>
  <c r="AS15" i="10" s="1"/>
  <c r="K6" i="11"/>
  <c r="V9" i="26" s="1"/>
  <c r="X8" i="11"/>
  <c r="X7" i="11" s="1"/>
  <c r="X6" i="11" s="1"/>
  <c r="L100" i="13"/>
  <c r="K98" i="13"/>
  <c r="L98" i="13" s="1"/>
  <c r="I4" i="11"/>
  <c r="T5" i="10" s="1"/>
  <c r="AF5" i="10"/>
  <c r="K44" i="12"/>
  <c r="L45" i="12"/>
  <c r="CC4" i="10"/>
  <c r="L5" i="13"/>
  <c r="K71" i="13"/>
  <c r="K4" i="13"/>
  <c r="BF5" i="10"/>
  <c r="CY29" i="10"/>
  <c r="AE4" i="10"/>
  <c r="AU30" i="10"/>
  <c r="L69" i="12"/>
  <c r="K68" i="12"/>
  <c r="L68" i="12" s="1"/>
  <c r="BS22" i="10"/>
  <c r="L38" i="13"/>
  <c r="K37" i="13"/>
  <c r="BF13" i="10"/>
  <c r="L108" i="13"/>
  <c r="BF34" i="10"/>
  <c r="BG34" i="10" s="1"/>
  <c r="CC23" i="10"/>
  <c r="H43" i="12"/>
  <c r="H67" i="12" s="1"/>
  <c r="H60" i="12" s="1"/>
  <c r="H52" i="12" s="1"/>
  <c r="J11" i="14"/>
  <c r="J17" i="14" s="1"/>
  <c r="BQ6" i="10"/>
  <c r="J26" i="14"/>
  <c r="BQ34" i="10" s="1"/>
  <c r="CN35" i="10"/>
  <c r="CN21" i="10"/>
  <c r="AI14" i="12"/>
  <c r="I77" i="11"/>
  <c r="V42" i="11"/>
  <c r="I12" i="14"/>
  <c r="BP15" i="10" s="1"/>
  <c r="I18" i="14"/>
  <c r="I15" i="14" s="1"/>
  <c r="I27" i="14" s="1"/>
  <c r="BP7" i="10"/>
  <c r="I4" i="14"/>
  <c r="T8" i="10" s="1"/>
  <c r="J17" i="12"/>
  <c r="AH16" i="12"/>
  <c r="W9" i="12" s="1"/>
  <c r="J10" i="12" s="1"/>
  <c r="AE13" i="10"/>
  <c r="AE12" i="10" s="1"/>
  <c r="J68" i="12"/>
  <c r="AS34" i="10"/>
  <c r="I52" i="11"/>
  <c r="I51" i="11" s="1"/>
  <c r="I50" i="11" s="1"/>
  <c r="BF23" i="10"/>
  <c r="BG23" i="10" s="1"/>
  <c r="BG6" i="10"/>
  <c r="V27" i="10"/>
  <c r="W27" i="10" s="1"/>
  <c r="BE22" i="10"/>
  <c r="BE20" i="10" s="1"/>
  <c r="BE4" i="10"/>
  <c r="L76" i="11"/>
  <c r="AH32" i="10"/>
  <c r="AI32" i="10" s="1"/>
  <c r="CO35" i="10"/>
  <c r="CO21" i="10"/>
  <c r="V13" i="15"/>
  <c r="U9" i="10"/>
  <c r="J85" i="10"/>
  <c r="U22" i="14"/>
  <c r="AC21" i="14"/>
  <c r="J22" i="15"/>
  <c r="CB32" i="10"/>
  <c r="CB29" i="10" s="1"/>
  <c r="I19" i="15"/>
  <c r="H68" i="12"/>
  <c r="CZ30" i="10"/>
  <c r="T30" i="10"/>
  <c r="I59" i="10"/>
  <c r="I5" i="10"/>
  <c r="J6" i="10"/>
  <c r="W39" i="12"/>
  <c r="W38" i="12" s="1"/>
  <c r="J80" i="12" s="1"/>
  <c r="AS33" i="10" s="1"/>
  <c r="AS7" i="10"/>
  <c r="AS24" i="10" s="1"/>
  <c r="V39" i="12"/>
  <c r="V38" i="12" s="1"/>
  <c r="I80" i="12" s="1"/>
  <c r="AR33" i="10" s="1"/>
  <c r="AR7" i="10"/>
  <c r="AR24" i="10" s="1"/>
  <c r="BP14" i="10"/>
  <c r="I9" i="14"/>
  <c r="T16" i="10" s="1"/>
  <c r="H36" i="12"/>
  <c r="BG15" i="10"/>
  <c r="BF24" i="10"/>
  <c r="BG24" i="10" s="1"/>
  <c r="R35" i="10"/>
  <c r="R36" i="10" s="1"/>
  <c r="R21" i="10"/>
  <c r="AI27" i="12"/>
  <c r="K34" i="11"/>
  <c r="L11" i="11"/>
  <c r="K10" i="11"/>
  <c r="AD35" i="10"/>
  <c r="AD36" i="10" s="1"/>
  <c r="AD21" i="10"/>
  <c r="L81" i="12"/>
  <c r="AT34" i="10"/>
  <c r="AU34" i="10" s="1"/>
  <c r="J5" i="11"/>
  <c r="AE10" i="7" s="1"/>
  <c r="AE9" i="7" s="1"/>
  <c r="J29" i="11"/>
  <c r="J28" i="11" s="1"/>
  <c r="AE70" i="7" s="1"/>
  <c r="J109" i="13"/>
  <c r="AG32" i="10"/>
  <c r="K4" i="15"/>
  <c r="K15" i="15"/>
  <c r="K10" i="15"/>
  <c r="L5" i="15"/>
  <c r="CD5" i="10"/>
  <c r="I78" i="10"/>
  <c r="J78" i="10" s="1"/>
  <c r="CQ22" i="10"/>
  <c r="CP20" i="10"/>
  <c r="K11" i="15"/>
  <c r="L6" i="15"/>
  <c r="CD6" i="10"/>
  <c r="L22" i="14"/>
  <c r="BR30" i="10"/>
  <c r="BO32" i="10"/>
  <c r="BO29" i="10" s="1"/>
  <c r="H21" i="14"/>
  <c r="S32" i="10"/>
  <c r="S29" i="10" s="1"/>
  <c r="I87" i="10"/>
  <c r="J87" i="10" s="1"/>
  <c r="AE33" i="10"/>
  <c r="AE29" i="10" s="1"/>
  <c r="S33" i="10"/>
  <c r="H73" i="11"/>
  <c r="J9" i="15"/>
  <c r="U17" i="10" s="1"/>
  <c r="CC13" i="10"/>
  <c r="CC12" i="10" s="1"/>
  <c r="L19" i="11"/>
  <c r="AH7" i="10"/>
  <c r="I69" i="12"/>
  <c r="I68" i="12" s="1"/>
  <c r="K78" i="12"/>
  <c r="L74" i="12"/>
  <c r="K72" i="12"/>
  <c r="L72" i="12" s="1"/>
  <c r="L15" i="11"/>
  <c r="AH6" i="10"/>
  <c r="V37" i="12"/>
  <c r="I79" i="12" s="1"/>
  <c r="H4" i="12"/>
  <c r="S6" i="10" s="1"/>
  <c r="I11" i="10"/>
  <c r="AQ5" i="10"/>
  <c r="BO23" i="10"/>
  <c r="BD22" i="10"/>
  <c r="BD20" i="10" s="1"/>
  <c r="AD8" i="14"/>
  <c r="V21" i="14"/>
  <c r="K53" i="11"/>
  <c r="L53" i="11" s="1"/>
  <c r="L104" i="13"/>
  <c r="K103" i="13"/>
  <c r="L103" i="13" s="1"/>
  <c r="BF30" i="10"/>
  <c r="K64" i="12"/>
  <c r="L64" i="12" s="1"/>
  <c r="K7" i="14"/>
  <c r="K4" i="14" s="1"/>
  <c r="AE20" i="14"/>
  <c r="K59" i="11"/>
  <c r="L59" i="11" s="1"/>
  <c r="K36" i="11"/>
  <c r="L36" i="11" s="1"/>
  <c r="L13" i="11"/>
  <c r="K31" i="17"/>
  <c r="L31" i="17" s="1"/>
  <c r="K23" i="17"/>
  <c r="K18" i="17"/>
  <c r="L18" i="17" s="1"/>
  <c r="K10" i="17"/>
  <c r="K30" i="17"/>
  <c r="L30" i="17" s="1"/>
  <c r="K17" i="17"/>
  <c r="L17" i="17" s="1"/>
  <c r="K15" i="17"/>
  <c r="L15" i="17" s="1"/>
  <c r="J24" i="14"/>
  <c r="U39" i="12"/>
  <c r="U38" i="12" s="1"/>
  <c r="H80" i="12" s="1"/>
  <c r="AQ7" i="10"/>
  <c r="I13" i="10"/>
  <c r="BO4" i="10"/>
  <c r="BO22" i="10"/>
  <c r="BO20" i="10" s="1"/>
  <c r="J15" i="15"/>
  <c r="L43" i="11"/>
  <c r="K42" i="11"/>
  <c r="AR6" i="10" l="1"/>
  <c r="I85" i="12"/>
  <c r="AD16" i="7"/>
  <c r="AD14" i="7" s="1"/>
  <c r="I58" i="12"/>
  <c r="I53" i="12" s="1"/>
  <c r="I95" i="12"/>
  <c r="I2" i="12"/>
  <c r="I65" i="12"/>
  <c r="V58" i="26"/>
  <c r="V69" i="26" s="1"/>
  <c r="V95" i="26"/>
  <c r="T56" i="26"/>
  <c r="T67" i="26" s="1"/>
  <c r="T19" i="26"/>
  <c r="T93" i="26"/>
  <c r="U57" i="26"/>
  <c r="U68" i="26" s="1"/>
  <c r="U94" i="26"/>
  <c r="AC94" i="26" s="1"/>
  <c r="AB8" i="26"/>
  <c r="AB11" i="26"/>
  <c r="AB14" i="26"/>
  <c r="AB13" i="26"/>
  <c r="AB7" i="26"/>
  <c r="AB10" i="26"/>
  <c r="AB15" i="26"/>
  <c r="AB16" i="26"/>
  <c r="T21" i="26"/>
  <c r="AB9" i="26"/>
  <c r="V8" i="26"/>
  <c r="V23" i="26"/>
  <c r="U22" i="26"/>
  <c r="U7" i="26"/>
  <c r="J15" i="14"/>
  <c r="J27" i="14" s="1"/>
  <c r="H82" i="12"/>
  <c r="J34" i="12"/>
  <c r="J29" i="12" s="1"/>
  <c r="AE75" i="7" s="1"/>
  <c r="J5" i="12"/>
  <c r="AE15" i="7" s="1"/>
  <c r="AE14" i="7" s="1"/>
  <c r="L4" i="14"/>
  <c r="V8" i="10"/>
  <c r="T22" i="10"/>
  <c r="W13" i="15"/>
  <c r="L4" i="15"/>
  <c r="V9" i="10"/>
  <c r="J5" i="10"/>
  <c r="J65" i="12"/>
  <c r="J41" i="12"/>
  <c r="J12" i="12"/>
  <c r="AS6" i="10" s="1"/>
  <c r="AH20" i="12"/>
  <c r="J19" i="12" s="1"/>
  <c r="L34" i="11"/>
  <c r="K33" i="11"/>
  <c r="L33" i="11" s="1"/>
  <c r="T25" i="10"/>
  <c r="L63" i="12"/>
  <c r="L75" i="11"/>
  <c r="AH31" i="10"/>
  <c r="L17" i="14"/>
  <c r="K15" i="14"/>
  <c r="J73" i="10"/>
  <c r="J13" i="10"/>
  <c r="BD35" i="10"/>
  <c r="BD21" i="10"/>
  <c r="BS30" i="10"/>
  <c r="AI28" i="12"/>
  <c r="X29" i="12" s="1"/>
  <c r="BP12" i="10"/>
  <c r="BP24" i="10"/>
  <c r="BP4" i="10"/>
  <c r="CN37" i="10"/>
  <c r="CN36" i="10"/>
  <c r="AE22" i="10"/>
  <c r="AE20" i="10" s="1"/>
  <c r="CC22" i="10"/>
  <c r="CC20" i="10" s="1"/>
  <c r="L105" i="13"/>
  <c r="BF31" i="10"/>
  <c r="BG31" i="10" s="1"/>
  <c r="L39" i="12"/>
  <c r="I43" i="12"/>
  <c r="W22" i="14"/>
  <c r="AE21" i="14"/>
  <c r="BC35" i="10"/>
  <c r="BC21" i="10"/>
  <c r="L32" i="12"/>
  <c r="J12" i="10"/>
  <c r="BO35" i="10"/>
  <c r="BO21" i="10"/>
  <c r="L11" i="15"/>
  <c r="CD14" i="10"/>
  <c r="CE14" i="10" s="1"/>
  <c r="CO36" i="10"/>
  <c r="CO37" i="10"/>
  <c r="AQ24" i="10"/>
  <c r="L26" i="14"/>
  <c r="BR34" i="10"/>
  <c r="BS34" i="10" s="1"/>
  <c r="AH23" i="10"/>
  <c r="AI23" i="10" s="1"/>
  <c r="AI6" i="10"/>
  <c r="AQ33" i="10"/>
  <c r="AQ29" i="10" s="1"/>
  <c r="H76" i="12"/>
  <c r="BF29" i="10"/>
  <c r="BG29" i="10" s="1"/>
  <c r="BG30" i="10"/>
  <c r="AQ4" i="10"/>
  <c r="AQ22" i="10"/>
  <c r="L78" i="12"/>
  <c r="AT31" i="10"/>
  <c r="K21" i="14"/>
  <c r="L21" i="14" s="1"/>
  <c r="CE5" i="10"/>
  <c r="CD4" i="10"/>
  <c r="CE4" i="10" s="1"/>
  <c r="CY37" i="10"/>
  <c r="CY35" i="10"/>
  <c r="CY36" i="10" s="1"/>
  <c r="L44" i="12"/>
  <c r="AT15" i="10"/>
  <c r="AU15" i="10" s="1"/>
  <c r="K5" i="11"/>
  <c r="AF10" i="7" s="1"/>
  <c r="AF9" i="7" s="1"/>
  <c r="K29" i="11"/>
  <c r="L6" i="11"/>
  <c r="BP23" i="10"/>
  <c r="BP20" i="10" s="1"/>
  <c r="H27" i="14"/>
  <c r="L25" i="14"/>
  <c r="BR33" i="10"/>
  <c r="BS33" i="10" s="1"/>
  <c r="I36" i="12"/>
  <c r="CZ34" i="10"/>
  <c r="CZ29" i="10" s="1"/>
  <c r="T34" i="10"/>
  <c r="AG29" i="10"/>
  <c r="J12" i="14"/>
  <c r="BQ15" i="10" s="1"/>
  <c r="J18" i="14"/>
  <c r="BQ7" i="10"/>
  <c r="BQ24" i="10" s="1"/>
  <c r="J4" i="14"/>
  <c r="U8" i="10" s="1"/>
  <c r="I74" i="10"/>
  <c r="I72" i="10" s="1"/>
  <c r="J72" i="10" s="1"/>
  <c r="CE30" i="10"/>
  <c r="U33" i="10"/>
  <c r="V22" i="14"/>
  <c r="AD21" i="14"/>
  <c r="CQ20" i="10"/>
  <c r="CP35" i="10"/>
  <c r="CP21" i="10"/>
  <c r="K12" i="17"/>
  <c r="L12" i="17" s="1"/>
  <c r="L56" i="12"/>
  <c r="L42" i="11"/>
  <c r="AH15" i="10"/>
  <c r="AI15" i="10" s="1"/>
  <c r="BQ32" i="10"/>
  <c r="BQ29" i="10" s="1"/>
  <c r="J21" i="14"/>
  <c r="J11" i="10"/>
  <c r="I64" i="10"/>
  <c r="I10" i="10"/>
  <c r="J10" i="10" s="1"/>
  <c r="I88" i="10"/>
  <c r="CE6" i="10"/>
  <c r="CD23" i="10"/>
  <c r="CE23" i="10" s="1"/>
  <c r="J27" i="11"/>
  <c r="U13" i="10" s="1"/>
  <c r="AG13" i="10"/>
  <c r="AG12" i="10" s="1"/>
  <c r="U26" i="10"/>
  <c r="BE35" i="10"/>
  <c r="BE21" i="10"/>
  <c r="BF12" i="10"/>
  <c r="BG12" i="10" s="1"/>
  <c r="BG13" i="10"/>
  <c r="J4" i="17"/>
  <c r="BF22" i="10"/>
  <c r="BG5" i="10"/>
  <c r="BF4" i="10"/>
  <c r="BG4" i="10" s="1"/>
  <c r="CB35" i="10"/>
  <c r="CB21" i="10"/>
  <c r="I4" i="12"/>
  <c r="T6" i="10" s="1"/>
  <c r="T4" i="10" s="1"/>
  <c r="W37" i="12"/>
  <c r="J79" i="12" s="1"/>
  <c r="AR5" i="10"/>
  <c r="AT24" i="10"/>
  <c r="AU24" i="10" s="1"/>
  <c r="AU7" i="10"/>
  <c r="L24" i="14"/>
  <c r="BR32" i="10"/>
  <c r="BS32" i="10" s="1"/>
  <c r="I39" i="10"/>
  <c r="J39" i="10" s="1"/>
  <c r="AQ15" i="10"/>
  <c r="I38" i="10"/>
  <c r="J38" i="10" s="1"/>
  <c r="AQ14" i="10"/>
  <c r="AQ23" i="10" s="1"/>
  <c r="K18" i="14"/>
  <c r="L18" i="14" s="1"/>
  <c r="L7" i="14"/>
  <c r="K12" i="14"/>
  <c r="BR7" i="10"/>
  <c r="CA37" i="10"/>
  <c r="CA36" i="10"/>
  <c r="AH24" i="10"/>
  <c r="AI24" i="10" s="1"/>
  <c r="AI7" i="10"/>
  <c r="K16" i="15"/>
  <c r="L16" i="15" s="1"/>
  <c r="K9" i="15"/>
  <c r="L10" i="15"/>
  <c r="CD13" i="10"/>
  <c r="J4" i="11"/>
  <c r="U5" i="10" s="1"/>
  <c r="AG5" i="10"/>
  <c r="L10" i="11"/>
  <c r="X47" i="11"/>
  <c r="X46" i="11" s="1"/>
  <c r="T33" i="10"/>
  <c r="AF33" i="10"/>
  <c r="AF29" i="10" s="1"/>
  <c r="I73" i="11"/>
  <c r="I79" i="11" s="1"/>
  <c r="L37" i="13"/>
  <c r="V15" i="10"/>
  <c r="W15" i="10" s="1"/>
  <c r="J5" i="17"/>
  <c r="L4" i="13"/>
  <c r="V7" i="10"/>
  <c r="K14" i="17"/>
  <c r="L14" i="17" s="1"/>
  <c r="BS6" i="10"/>
  <c r="BR4" i="10"/>
  <c r="BS4" i="10" s="1"/>
  <c r="I25" i="15"/>
  <c r="BQ4" i="10"/>
  <c r="J37" i="10"/>
  <c r="I36" i="10"/>
  <c r="J36" i="10" s="1"/>
  <c r="J31" i="10"/>
  <c r="K22" i="15"/>
  <c r="CC32" i="10"/>
  <c r="CC29" i="10" s="1"/>
  <c r="J19" i="15"/>
  <c r="L10" i="17"/>
  <c r="K5" i="17"/>
  <c r="K4" i="17"/>
  <c r="J59" i="10"/>
  <c r="I58" i="10"/>
  <c r="L23" i="17"/>
  <c r="K6" i="17"/>
  <c r="J14" i="15"/>
  <c r="J25" i="15" s="1"/>
  <c r="AR32" i="10"/>
  <c r="AR29" i="10" s="1"/>
  <c r="T32" i="10"/>
  <c r="T29" i="10" s="1"/>
  <c r="I76" i="12"/>
  <c r="K14" i="15"/>
  <c r="L15" i="15"/>
  <c r="J52" i="11"/>
  <c r="J51" i="11" s="1"/>
  <c r="J50" i="11" s="1"/>
  <c r="J79" i="11" s="1"/>
  <c r="K57" i="11"/>
  <c r="AI16" i="12"/>
  <c r="X9" i="12" s="1"/>
  <c r="K10" i="12" s="1"/>
  <c r="K17" i="12"/>
  <c r="BQ14" i="10"/>
  <c r="BQ12" i="10" s="1"/>
  <c r="J9" i="14"/>
  <c r="U16" i="10" s="1"/>
  <c r="K70" i="13"/>
  <c r="L71" i="13"/>
  <c r="AF4" i="10"/>
  <c r="AF22" i="10"/>
  <c r="AF20" i="10" s="1"/>
  <c r="I28" i="12"/>
  <c r="T14" i="10" s="1"/>
  <c r="T12" i="10" s="1"/>
  <c r="AR13" i="10"/>
  <c r="L80" i="12"/>
  <c r="AT33" i="10"/>
  <c r="AU33" i="10" s="1"/>
  <c r="L11" i="14"/>
  <c r="BR14" i="10"/>
  <c r="K9" i="14"/>
  <c r="H28" i="12"/>
  <c r="S14" i="10" s="1"/>
  <c r="S12" i="10" s="1"/>
  <c r="AR14" i="10" l="1"/>
  <c r="AR23" i="10" s="1"/>
  <c r="I86" i="12"/>
  <c r="I88" i="12" s="1"/>
  <c r="I1" i="12"/>
  <c r="AD76" i="7"/>
  <c r="I67" i="12"/>
  <c r="I60" i="12" s="1"/>
  <c r="I52" i="12" s="1"/>
  <c r="I82" i="12" s="1"/>
  <c r="I97" i="12"/>
  <c r="U19" i="26"/>
  <c r="U93" i="26"/>
  <c r="V57" i="26"/>
  <c r="V68" i="26" s="1"/>
  <c r="V94" i="26"/>
  <c r="AD94" i="26" s="1"/>
  <c r="AC8" i="26"/>
  <c r="U56" i="26"/>
  <c r="U67" i="26" s="1"/>
  <c r="AC13" i="26"/>
  <c r="AC14" i="26"/>
  <c r="AC7" i="26"/>
  <c r="AC11" i="26"/>
  <c r="AC16" i="26"/>
  <c r="AC15" i="26"/>
  <c r="U21" i="26"/>
  <c r="AC10" i="26"/>
  <c r="AC9" i="26"/>
  <c r="V22" i="26"/>
  <c r="V7" i="26"/>
  <c r="L10" i="12"/>
  <c r="K34" i="12"/>
  <c r="K58" i="12" s="1"/>
  <c r="K5" i="12"/>
  <c r="AF15" i="7" s="1"/>
  <c r="AF14" i="7" s="1"/>
  <c r="CZ37" i="10"/>
  <c r="CZ35" i="10"/>
  <c r="CZ36" i="10" s="1"/>
  <c r="DA30" i="10"/>
  <c r="U30" i="10"/>
  <c r="K28" i="11"/>
  <c r="AF70" i="7" s="1"/>
  <c r="L29" i="11"/>
  <c r="BO36" i="10"/>
  <c r="BO37" i="10"/>
  <c r="AF35" i="10"/>
  <c r="AF36" i="10" s="1"/>
  <c r="AF21" i="10"/>
  <c r="I4" i="10"/>
  <c r="J4" i="10" s="1"/>
  <c r="L22" i="15"/>
  <c r="CD32" i="10"/>
  <c r="K19" i="15"/>
  <c r="L19" i="15" s="1"/>
  <c r="CD12" i="10"/>
  <c r="CE12" i="10" s="1"/>
  <c r="CE13" i="10"/>
  <c r="AQ12" i="10"/>
  <c r="AR22" i="10"/>
  <c r="AR20" i="10" s="1"/>
  <c r="AR4" i="10"/>
  <c r="J9" i="17"/>
  <c r="CP37" i="10"/>
  <c r="CQ35" i="10"/>
  <c r="CP36" i="10"/>
  <c r="U25" i="10"/>
  <c r="K52" i="11"/>
  <c r="CD22" i="10"/>
  <c r="I65" i="10"/>
  <c r="J65" i="10" s="1"/>
  <c r="X37" i="12"/>
  <c r="K79" i="12" s="1"/>
  <c r="J4" i="12"/>
  <c r="U6" i="10" s="1"/>
  <c r="AS5" i="10"/>
  <c r="S23" i="10"/>
  <c r="S20" i="10" s="1"/>
  <c r="L5" i="11"/>
  <c r="K4" i="11"/>
  <c r="AH5" i="10"/>
  <c r="K27" i="14"/>
  <c r="L27" i="14" s="1"/>
  <c r="L15" i="14"/>
  <c r="J58" i="10"/>
  <c r="I30" i="10"/>
  <c r="J30" i="10" s="1"/>
  <c r="AS32" i="10"/>
  <c r="AS29" i="10" s="1"/>
  <c r="J76" i="12"/>
  <c r="U32" i="10"/>
  <c r="BD37" i="10"/>
  <c r="BD36" i="10"/>
  <c r="W9" i="10"/>
  <c r="DB30" i="10"/>
  <c r="L5" i="17"/>
  <c r="V30" i="10"/>
  <c r="AG22" i="10"/>
  <c r="AG20" i="10" s="1"/>
  <c r="AG4" i="10"/>
  <c r="DB31" i="10"/>
  <c r="DC31" i="10" s="1"/>
  <c r="L6" i="17"/>
  <c r="U22" i="10"/>
  <c r="U4" i="10"/>
  <c r="BF20" i="10"/>
  <c r="BG22" i="10"/>
  <c r="L9" i="14"/>
  <c r="V16" i="10"/>
  <c r="W16" i="10" s="1"/>
  <c r="BS14" i="10"/>
  <c r="K109" i="13"/>
  <c r="L109" i="13" s="1"/>
  <c r="L70" i="13"/>
  <c r="L14" i="15"/>
  <c r="K25" i="15"/>
  <c r="L25" i="15" s="1"/>
  <c r="BR23" i="10"/>
  <c r="L9" i="15"/>
  <c r="V17" i="10"/>
  <c r="W17" i="10" s="1"/>
  <c r="BR24" i="10"/>
  <c r="BS24" i="10" s="1"/>
  <c r="BS7" i="10"/>
  <c r="T23" i="10"/>
  <c r="T20" i="10" s="1"/>
  <c r="AI31" i="10"/>
  <c r="AS13" i="10"/>
  <c r="K77" i="11"/>
  <c r="X42" i="11"/>
  <c r="AE35" i="10"/>
  <c r="AE36" i="10" s="1"/>
  <c r="AE21" i="10"/>
  <c r="W8" i="10"/>
  <c r="V25" i="10"/>
  <c r="W25" i="10" s="1"/>
  <c r="K56" i="11"/>
  <c r="L56" i="11" s="1"/>
  <c r="L57" i="11"/>
  <c r="BR29" i="10"/>
  <c r="BS29" i="10" s="1"/>
  <c r="K9" i="17"/>
  <c r="L4" i="17"/>
  <c r="L12" i="14"/>
  <c r="BR15" i="10"/>
  <c r="BS15" i="10" s="1"/>
  <c r="BQ23" i="10"/>
  <c r="BQ20" i="10" s="1"/>
  <c r="J88" i="10"/>
  <c r="I84" i="10"/>
  <c r="J84" i="10" s="1"/>
  <c r="BP35" i="10"/>
  <c r="BP21" i="10"/>
  <c r="AU31" i="10"/>
  <c r="I66" i="10"/>
  <c r="J66" i="10" s="1"/>
  <c r="V31" i="10"/>
  <c r="W31" i="10" s="1"/>
  <c r="J67" i="12"/>
  <c r="J60" i="12" s="1"/>
  <c r="J43" i="12"/>
  <c r="J36" i="12" s="1"/>
  <c r="J58" i="12"/>
  <c r="J53" i="12" s="1"/>
  <c r="V24" i="10"/>
  <c r="W24" i="10" s="1"/>
  <c r="W7" i="10"/>
  <c r="CB36" i="10"/>
  <c r="CB37" i="10"/>
  <c r="BC37" i="10"/>
  <c r="BC36" i="10"/>
  <c r="AR12" i="10"/>
  <c r="K41" i="12"/>
  <c r="K65" i="12"/>
  <c r="L17" i="12"/>
  <c r="AI20" i="12"/>
  <c r="K12" i="12"/>
  <c r="BE37" i="10"/>
  <c r="BE36" i="10"/>
  <c r="J64" i="10"/>
  <c r="AQ20" i="10"/>
  <c r="CC35" i="10"/>
  <c r="CC21" i="10"/>
  <c r="V19" i="26" l="1"/>
  <c r="V93" i="26"/>
  <c r="AD8" i="26"/>
  <c r="V56" i="26"/>
  <c r="V67" i="26" s="1"/>
  <c r="AD7" i="26"/>
  <c r="V21" i="26"/>
  <c r="AD15" i="26"/>
  <c r="AD10" i="26"/>
  <c r="AD11" i="26"/>
  <c r="AD13" i="26"/>
  <c r="AD14" i="26"/>
  <c r="AD16" i="26"/>
  <c r="AD9" i="26"/>
  <c r="AS14" i="10"/>
  <c r="AS23" i="10" s="1"/>
  <c r="J28" i="12"/>
  <c r="U14" i="10" s="1"/>
  <c r="U12" i="10" s="1"/>
  <c r="BS23" i="10"/>
  <c r="BR20" i="10"/>
  <c r="L12" i="12"/>
  <c r="AT6" i="10"/>
  <c r="BQ21" i="10"/>
  <c r="BQ35" i="10"/>
  <c r="AG35" i="10"/>
  <c r="AG36" i="10" s="1"/>
  <c r="AG21" i="10"/>
  <c r="AI5" i="10"/>
  <c r="AH4" i="10"/>
  <c r="AI4" i="10" s="1"/>
  <c r="CE22" i="10"/>
  <c r="CD20" i="10"/>
  <c r="DA29" i="10"/>
  <c r="K43" i="12"/>
  <c r="L43" i="12" s="1"/>
  <c r="K67" i="12"/>
  <c r="L67" i="12" s="1"/>
  <c r="L19" i="12"/>
  <c r="BF35" i="10"/>
  <c r="BF21" i="10"/>
  <c r="W30" i="10"/>
  <c r="L4" i="11"/>
  <c r="V5" i="10"/>
  <c r="K51" i="11"/>
  <c r="L52" i="11"/>
  <c r="AR35" i="10"/>
  <c r="AR21" i="10"/>
  <c r="S35" i="10"/>
  <c r="S36" i="10" s="1"/>
  <c r="S21" i="10"/>
  <c r="L5" i="12"/>
  <c r="K4" i="12"/>
  <c r="AT5" i="10"/>
  <c r="DA34" i="10"/>
  <c r="U34" i="10"/>
  <c r="U29" i="10" s="1"/>
  <c r="DB29" i="10"/>
  <c r="DC30" i="10"/>
  <c r="I63" i="10"/>
  <c r="L41" i="12"/>
  <c r="K36" i="12"/>
  <c r="DB34" i="10"/>
  <c r="DC34" i="10" s="1"/>
  <c r="L9" i="17"/>
  <c r="V34" i="10"/>
  <c r="W34" i="10" s="1"/>
  <c r="BR12" i="10"/>
  <c r="BS12" i="10" s="1"/>
  <c r="AS4" i="10"/>
  <c r="AS22" i="10"/>
  <c r="AS20" i="10" s="1"/>
  <c r="L34" i="12"/>
  <c r="K29" i="12"/>
  <c r="AF75" i="7" s="1"/>
  <c r="T35" i="10"/>
  <c r="T36" i="10" s="1"/>
  <c r="T21" i="10"/>
  <c r="CC37" i="10"/>
  <c r="CC36" i="10"/>
  <c r="AQ35" i="10"/>
  <c r="AQ21" i="10"/>
  <c r="L65" i="12"/>
  <c r="K60" i="12"/>
  <c r="L60" i="12" s="1"/>
  <c r="J52" i="12"/>
  <c r="J82" i="12" s="1"/>
  <c r="BP37" i="10"/>
  <c r="BP36" i="10"/>
  <c r="L77" i="11"/>
  <c r="AH33" i="10"/>
  <c r="V33" i="10"/>
  <c r="W33" i="10" s="1"/>
  <c r="K73" i="11"/>
  <c r="L73" i="11" s="1"/>
  <c r="V26" i="10"/>
  <c r="W26" i="10" s="1"/>
  <c r="L79" i="12"/>
  <c r="AT32" i="10"/>
  <c r="V32" i="10"/>
  <c r="W32" i="10" s="1"/>
  <c r="K76" i="12"/>
  <c r="L76" i="12" s="1"/>
  <c r="CE32" i="10"/>
  <c r="CD29" i="10"/>
  <c r="CE29" i="10" s="1"/>
  <c r="L28" i="11"/>
  <c r="K27" i="11"/>
  <c r="AH13" i="10"/>
  <c r="L58" i="12"/>
  <c r="K53" i="12"/>
  <c r="U23" i="10" l="1"/>
  <c r="U20" i="10" s="1"/>
  <c r="U35" i="10" s="1"/>
  <c r="U36" i="10" s="1"/>
  <c r="L29" i="12"/>
  <c r="K28" i="12"/>
  <c r="AT13" i="10"/>
  <c r="J63" i="10"/>
  <c r="I57" i="10"/>
  <c r="DA37" i="10"/>
  <c r="DA35" i="10"/>
  <c r="DA36" i="10" s="1"/>
  <c r="L53" i="12"/>
  <c r="K52" i="12"/>
  <c r="AU32" i="10"/>
  <c r="AT29" i="10"/>
  <c r="AU29" i="10" s="1"/>
  <c r="DC29" i="10"/>
  <c r="DB37" i="10"/>
  <c r="DB35" i="10"/>
  <c r="V29" i="10"/>
  <c r="W29" i="10" s="1"/>
  <c r="AU6" i="10"/>
  <c r="AT23" i="10"/>
  <c r="AU23" i="10" s="1"/>
  <c r="BQ37" i="10"/>
  <c r="BQ36" i="10"/>
  <c r="AI33" i="10"/>
  <c r="AH29" i="10"/>
  <c r="AI29" i="10" s="1"/>
  <c r="AH12" i="10"/>
  <c r="AI12" i="10" s="1"/>
  <c r="AI13" i="10"/>
  <c r="AQ37" i="10"/>
  <c r="AQ36" i="10"/>
  <c r="CD35" i="10"/>
  <c r="CE20" i="10"/>
  <c r="CD21" i="10"/>
  <c r="AS12" i="10"/>
  <c r="AR37" i="10"/>
  <c r="AR36" i="10"/>
  <c r="BF36" i="10"/>
  <c r="BF37" i="10"/>
  <c r="AS35" i="10"/>
  <c r="AS21" i="10"/>
  <c r="L27" i="11"/>
  <c r="V13" i="10"/>
  <c r="AH22" i="10"/>
  <c r="BR35" i="10"/>
  <c r="BS20" i="10"/>
  <c r="BR21" i="10"/>
  <c r="L36" i="12"/>
  <c r="AT14" i="10"/>
  <c r="AU14" i="10" s="1"/>
  <c r="AT22" i="10"/>
  <c r="AU5" i="10"/>
  <c r="AT4" i="10"/>
  <c r="AU4" i="10" s="1"/>
  <c r="L51" i="11"/>
  <c r="K50" i="11"/>
  <c r="L4" i="12"/>
  <c r="V6" i="10"/>
  <c r="W5" i="10"/>
  <c r="V4" i="10"/>
  <c r="W4" i="10" s="1"/>
  <c r="U21" i="10" l="1"/>
  <c r="AH20" i="10"/>
  <c r="AI22" i="10"/>
  <c r="I90" i="10"/>
  <c r="J57" i="10"/>
  <c r="AT20" i="10"/>
  <c r="AU22" i="10"/>
  <c r="DB36" i="10"/>
  <c r="DC35" i="10"/>
  <c r="W13" i="10"/>
  <c r="V22" i="10"/>
  <c r="AT12" i="10"/>
  <c r="AU12" i="10" s="1"/>
  <c r="AU13" i="10"/>
  <c r="AS36" i="10"/>
  <c r="AS37" i="10"/>
  <c r="CD36" i="10"/>
  <c r="CE35" i="10"/>
  <c r="CD37" i="10"/>
  <c r="L28" i="12"/>
  <c r="V14" i="10"/>
  <c r="W14" i="10" s="1"/>
  <c r="K82" i="12"/>
  <c r="L82" i="12" s="1"/>
  <c r="L52" i="12"/>
  <c r="K79" i="11"/>
  <c r="L79" i="11" s="1"/>
  <c r="L50" i="11"/>
  <c r="W6" i="10"/>
  <c r="BR37" i="10"/>
  <c r="BR36" i="10"/>
  <c r="AT35" i="10" l="1"/>
  <c r="AT21" i="10"/>
  <c r="AU20" i="10"/>
  <c r="W22" i="10"/>
  <c r="J90" i="10"/>
  <c r="I91" i="10"/>
  <c r="V23" i="10"/>
  <c r="W23" i="10" s="1"/>
  <c r="V12" i="10"/>
  <c r="W12" i="10" s="1"/>
  <c r="AH21" i="10"/>
  <c r="AI20" i="10"/>
  <c r="AH35" i="10"/>
  <c r="AH36" i="10" s="1"/>
  <c r="V20" i="10" l="1"/>
  <c r="AT37" i="10"/>
  <c r="AT36" i="10"/>
  <c r="AU35" i="10"/>
  <c r="V21" i="10" l="1"/>
  <c r="V35" i="10"/>
  <c r="V36" i="10" s="1"/>
  <c r="W20" i="10"/>
  <c r="AH45" i="8" l="1"/>
  <c r="AG45" i="8"/>
  <c r="AH43" i="8"/>
  <c r="AG43" i="8"/>
  <c r="W1281" i="8" l="1"/>
  <c r="W1294" i="8"/>
  <c r="J329" i="7" l="1"/>
  <c r="J327" i="7"/>
  <c r="H329" i="7"/>
  <c r="H327" i="7"/>
  <c r="I329" i="7"/>
  <c r="I327" i="7"/>
  <c r="J328" i="7"/>
  <c r="I328" i="7"/>
  <c r="H328" i="7"/>
  <c r="R308" i="7"/>
  <c r="R307" i="7" s="1"/>
  <c r="Q308" i="7"/>
  <c r="Q307" i="7" s="1"/>
  <c r="P308" i="7"/>
  <c r="P307" i="7" s="1"/>
  <c r="O308" i="7"/>
  <c r="O307" i="7" s="1"/>
  <c r="N308" i="7"/>
  <c r="N307" i="7" s="1"/>
  <c r="L308" i="7"/>
  <c r="L307" i="7" s="1"/>
  <c r="K308" i="7"/>
  <c r="K307" i="7" s="1"/>
  <c r="J308" i="7"/>
  <c r="J307" i="7" s="1"/>
  <c r="I308" i="7"/>
  <c r="I307" i="7" s="1"/>
  <c r="H308" i="7"/>
  <c r="H307" i="7" s="1"/>
  <c r="R305" i="7"/>
  <c r="Q305" i="7"/>
  <c r="P305" i="7"/>
  <c r="O305" i="7"/>
  <c r="N305" i="7"/>
  <c r="R304" i="7"/>
  <c r="Q304" i="7"/>
  <c r="P304" i="7"/>
  <c r="O304" i="7"/>
  <c r="N304" i="7"/>
  <c r="L305" i="7"/>
  <c r="M305" i="7" s="1"/>
  <c r="L304" i="7"/>
  <c r="M304" i="7" s="1"/>
  <c r="K305" i="7"/>
  <c r="J305" i="7"/>
  <c r="I305" i="7"/>
  <c r="K304" i="7"/>
  <c r="J304" i="7"/>
  <c r="I304" i="7"/>
  <c r="H305" i="7"/>
  <c r="H304" i="7"/>
  <c r="I301" i="7"/>
  <c r="J301" i="7" s="1"/>
  <c r="K301" i="7" s="1"/>
  <c r="L301" i="7" s="1"/>
  <c r="N301" i="7" s="1"/>
  <c r="O301" i="7" s="1"/>
  <c r="P301" i="7" s="1"/>
  <c r="Q301" i="7" s="1"/>
  <c r="R301" i="7" s="1"/>
  <c r="F294" i="7"/>
  <c r="F293" i="7"/>
  <c r="J294" i="7"/>
  <c r="J293" i="7"/>
  <c r="I294" i="7"/>
  <c r="I293" i="7"/>
  <c r="H294" i="7"/>
  <c r="H293" i="7"/>
  <c r="X1290" i="8"/>
  <c r="W1290" i="8"/>
  <c r="F286" i="7"/>
  <c r="K286" i="7" s="1"/>
  <c r="F285" i="7"/>
  <c r="K285" i="7" s="1"/>
  <c r="J286" i="7"/>
  <c r="J285" i="7"/>
  <c r="I286" i="7"/>
  <c r="I285" i="7"/>
  <c r="H286" i="7"/>
  <c r="H285" i="7"/>
  <c r="F290" i="7"/>
  <c r="K290" i="7" s="1"/>
  <c r="F289" i="7"/>
  <c r="K289" i="7" s="1"/>
  <c r="J290" i="7"/>
  <c r="J289" i="7"/>
  <c r="I290" i="7"/>
  <c r="I289" i="7"/>
  <c r="H290" i="7"/>
  <c r="H289" i="7"/>
  <c r="R286" i="7"/>
  <c r="Q286" i="7"/>
  <c r="P286" i="7"/>
  <c r="O286" i="7"/>
  <c r="R285" i="7"/>
  <c r="Q285" i="7"/>
  <c r="P285" i="7"/>
  <c r="O285" i="7"/>
  <c r="N286" i="7"/>
  <c r="N285" i="7"/>
  <c r="L286" i="7"/>
  <c r="L285" i="7"/>
  <c r="R290" i="7"/>
  <c r="Q290" i="7"/>
  <c r="P290" i="7"/>
  <c r="O290" i="7"/>
  <c r="R289" i="7"/>
  <c r="Q289" i="7"/>
  <c r="P289" i="7"/>
  <c r="O289" i="7"/>
  <c r="N290" i="7"/>
  <c r="N289" i="7"/>
  <c r="L290" i="7"/>
  <c r="L289" i="7"/>
  <c r="I282" i="7"/>
  <c r="J282" i="7" s="1"/>
  <c r="K282" i="7" s="1"/>
  <c r="L282" i="7" s="1"/>
  <c r="N282" i="7" s="1"/>
  <c r="O282" i="7" s="1"/>
  <c r="P282" i="7" s="1"/>
  <c r="Q282" i="7" s="1"/>
  <c r="R282" i="7" s="1"/>
  <c r="R177" i="7"/>
  <c r="Q177" i="7"/>
  <c r="P177" i="7"/>
  <c r="O177" i="7"/>
  <c r="N177" i="7"/>
  <c r="L177" i="7"/>
  <c r="K177" i="7"/>
  <c r="J177" i="7"/>
  <c r="I177" i="7"/>
  <c r="R176" i="7"/>
  <c r="Q176" i="7"/>
  <c r="P176" i="7"/>
  <c r="O176" i="7"/>
  <c r="N176" i="7"/>
  <c r="L176" i="7"/>
  <c r="K176" i="7"/>
  <c r="J176" i="7"/>
  <c r="I176" i="7"/>
  <c r="R175" i="7"/>
  <c r="Q175" i="7"/>
  <c r="P175" i="7"/>
  <c r="O175" i="7"/>
  <c r="N175" i="7"/>
  <c r="L175" i="7"/>
  <c r="K175" i="7"/>
  <c r="J175" i="7"/>
  <c r="I175" i="7"/>
  <c r="R174" i="7"/>
  <c r="Q174" i="7"/>
  <c r="P174" i="7"/>
  <c r="O174" i="7"/>
  <c r="N174" i="7"/>
  <c r="L174" i="7"/>
  <c r="K174" i="7"/>
  <c r="J174" i="7"/>
  <c r="I174" i="7"/>
  <c r="R173" i="7"/>
  <c r="Q173" i="7"/>
  <c r="P173" i="7"/>
  <c r="O173" i="7"/>
  <c r="N173" i="7"/>
  <c r="L173" i="7"/>
  <c r="K173" i="7"/>
  <c r="J173" i="7"/>
  <c r="I173" i="7"/>
  <c r="R172" i="7"/>
  <c r="Q172" i="7"/>
  <c r="P172" i="7"/>
  <c r="O172" i="7"/>
  <c r="N172" i="7"/>
  <c r="L172" i="7"/>
  <c r="K172" i="7"/>
  <c r="J172" i="7"/>
  <c r="I172" i="7"/>
  <c r="H177" i="7"/>
  <c r="H176" i="7"/>
  <c r="H175" i="7"/>
  <c r="H174" i="7"/>
  <c r="H173" i="7"/>
  <c r="H172" i="7"/>
  <c r="R86" i="7"/>
  <c r="AL86" i="7" s="1"/>
  <c r="Q86" i="7"/>
  <c r="AK86" i="7" s="1"/>
  <c r="P86" i="7"/>
  <c r="AJ86" i="7" s="1"/>
  <c r="O86" i="7"/>
  <c r="AI86" i="7" s="1"/>
  <c r="N86" i="7"/>
  <c r="AH86" i="7" s="1"/>
  <c r="L86" i="7"/>
  <c r="K86" i="7"/>
  <c r="J86" i="7"/>
  <c r="I86" i="7"/>
  <c r="R85" i="7"/>
  <c r="AL85" i="7" s="1"/>
  <c r="Q85" i="7"/>
  <c r="AK85" i="7" s="1"/>
  <c r="P85" i="7"/>
  <c r="AJ85" i="7" s="1"/>
  <c r="O85" i="7"/>
  <c r="AI85" i="7" s="1"/>
  <c r="N85" i="7"/>
  <c r="AH85" i="7" s="1"/>
  <c r="L85" i="7"/>
  <c r="K85" i="7"/>
  <c r="J85" i="7"/>
  <c r="I85" i="7"/>
  <c r="R84" i="7"/>
  <c r="AL84" i="7" s="1"/>
  <c r="Q84" i="7"/>
  <c r="AK84" i="7" s="1"/>
  <c r="P84" i="7"/>
  <c r="AJ84" i="7" s="1"/>
  <c r="O84" i="7"/>
  <c r="AI84" i="7" s="1"/>
  <c r="N84" i="7"/>
  <c r="AH84" i="7" s="1"/>
  <c r="L84" i="7"/>
  <c r="K84" i="7"/>
  <c r="J84" i="7"/>
  <c r="I84" i="7"/>
  <c r="R83" i="7"/>
  <c r="AL83" i="7" s="1"/>
  <c r="Q83" i="7"/>
  <c r="AK83" i="7" s="1"/>
  <c r="P83" i="7"/>
  <c r="AJ83" i="7" s="1"/>
  <c r="O83" i="7"/>
  <c r="AI83" i="7" s="1"/>
  <c r="N83" i="7"/>
  <c r="AH83" i="7" s="1"/>
  <c r="L83" i="7"/>
  <c r="K83" i="7"/>
  <c r="J83" i="7"/>
  <c r="I83" i="7"/>
  <c r="R81" i="7"/>
  <c r="AL81" i="7" s="1"/>
  <c r="Q81" i="7"/>
  <c r="AK81" i="7" s="1"/>
  <c r="P81" i="7"/>
  <c r="AJ81" i="7" s="1"/>
  <c r="O81" i="7"/>
  <c r="AI81" i="7" s="1"/>
  <c r="N81" i="7"/>
  <c r="AH81" i="7" s="1"/>
  <c r="L81" i="7"/>
  <c r="K81" i="7"/>
  <c r="J81" i="7"/>
  <c r="I81" i="7"/>
  <c r="R80" i="7"/>
  <c r="AL80" i="7" s="1"/>
  <c r="Q80" i="7"/>
  <c r="AK80" i="7" s="1"/>
  <c r="P80" i="7"/>
  <c r="AJ80" i="7" s="1"/>
  <c r="O80" i="7"/>
  <c r="AI80" i="7" s="1"/>
  <c r="N80" i="7"/>
  <c r="AH80" i="7" s="1"/>
  <c r="L80" i="7"/>
  <c r="K80" i="7"/>
  <c r="J80" i="7"/>
  <c r="I80" i="7"/>
  <c r="R78" i="7"/>
  <c r="AL78" i="7" s="1"/>
  <c r="Q78" i="7"/>
  <c r="AK78" i="7" s="1"/>
  <c r="P78" i="7"/>
  <c r="AJ78" i="7" s="1"/>
  <c r="O78" i="7"/>
  <c r="AI78" i="7" s="1"/>
  <c r="N78" i="7"/>
  <c r="AH78" i="7" s="1"/>
  <c r="L78" i="7"/>
  <c r="K78" i="7"/>
  <c r="J78" i="7"/>
  <c r="I78" i="7"/>
  <c r="R77" i="7"/>
  <c r="AL77" i="7" s="1"/>
  <c r="Q77" i="7"/>
  <c r="AK77" i="7" s="1"/>
  <c r="P77" i="7"/>
  <c r="AJ77" i="7" s="1"/>
  <c r="O77" i="7"/>
  <c r="AI77" i="7" s="1"/>
  <c r="N77" i="7"/>
  <c r="AH77" i="7" s="1"/>
  <c r="L77" i="7"/>
  <c r="K77" i="7"/>
  <c r="J77" i="7"/>
  <c r="I77" i="7"/>
  <c r="R76" i="7"/>
  <c r="AL76" i="7" s="1"/>
  <c r="Q76" i="7"/>
  <c r="AK76" i="7" s="1"/>
  <c r="P76" i="7"/>
  <c r="AJ76" i="7" s="1"/>
  <c r="O76" i="7"/>
  <c r="AI76" i="7" s="1"/>
  <c r="N76" i="7"/>
  <c r="AH76" i="7" s="1"/>
  <c r="L76" i="7"/>
  <c r="K76" i="7"/>
  <c r="J76" i="7"/>
  <c r="I76" i="7"/>
  <c r="R75" i="7"/>
  <c r="AL75" i="7" s="1"/>
  <c r="Q75" i="7"/>
  <c r="AK75" i="7" s="1"/>
  <c r="P75" i="7"/>
  <c r="AJ75" i="7" s="1"/>
  <c r="O75" i="7"/>
  <c r="AI75" i="7" s="1"/>
  <c r="N75" i="7"/>
  <c r="AH75" i="7" s="1"/>
  <c r="L75" i="7"/>
  <c r="K75" i="7"/>
  <c r="J75" i="7"/>
  <c r="I75" i="7"/>
  <c r="R73" i="7"/>
  <c r="AL73" i="7" s="1"/>
  <c r="Q73" i="7"/>
  <c r="AK73" i="7" s="1"/>
  <c r="P73" i="7"/>
  <c r="AJ73" i="7" s="1"/>
  <c r="O73" i="7"/>
  <c r="AI73" i="7" s="1"/>
  <c r="N73" i="7"/>
  <c r="AH73" i="7" s="1"/>
  <c r="L73" i="7"/>
  <c r="K73" i="7"/>
  <c r="J73" i="7"/>
  <c r="I73" i="7"/>
  <c r="R72" i="7"/>
  <c r="AL72" i="7" s="1"/>
  <c r="Q72" i="7"/>
  <c r="AK72" i="7" s="1"/>
  <c r="P72" i="7"/>
  <c r="AJ72" i="7" s="1"/>
  <c r="O72" i="7"/>
  <c r="AI72" i="7" s="1"/>
  <c r="N72" i="7"/>
  <c r="AH72" i="7" s="1"/>
  <c r="L72" i="7"/>
  <c r="K72" i="7"/>
  <c r="J72" i="7"/>
  <c r="I72" i="7"/>
  <c r="R71" i="7"/>
  <c r="AL71" i="7" s="1"/>
  <c r="Q71" i="7"/>
  <c r="AK71" i="7" s="1"/>
  <c r="P71" i="7"/>
  <c r="AJ71" i="7" s="1"/>
  <c r="O71" i="7"/>
  <c r="AI71" i="7" s="1"/>
  <c r="N71" i="7"/>
  <c r="AH71" i="7" s="1"/>
  <c r="L71" i="7"/>
  <c r="K71" i="7"/>
  <c r="J71" i="7"/>
  <c r="I71" i="7"/>
  <c r="R70" i="7"/>
  <c r="Q70" i="7"/>
  <c r="P70" i="7"/>
  <c r="O70" i="7"/>
  <c r="N70" i="7"/>
  <c r="L70" i="7"/>
  <c r="K70" i="7"/>
  <c r="J70" i="7"/>
  <c r="I70" i="7"/>
  <c r="H86" i="7"/>
  <c r="H85" i="7"/>
  <c r="H84" i="7"/>
  <c r="H83" i="7"/>
  <c r="H81" i="7"/>
  <c r="H80" i="7"/>
  <c r="H78" i="7"/>
  <c r="H77" i="7"/>
  <c r="H76" i="7"/>
  <c r="H75" i="7"/>
  <c r="H73" i="7"/>
  <c r="H72" i="7"/>
  <c r="H71" i="7"/>
  <c r="H69" i="7"/>
  <c r="H70" i="7"/>
  <c r="R26" i="7"/>
  <c r="AL26" i="7" s="1"/>
  <c r="Q26" i="7"/>
  <c r="AK26" i="7" s="1"/>
  <c r="P26" i="7"/>
  <c r="AJ26" i="7" s="1"/>
  <c r="O26" i="7"/>
  <c r="AI26" i="7" s="1"/>
  <c r="N26" i="7"/>
  <c r="AH26" i="7" s="1"/>
  <c r="L26" i="7"/>
  <c r="X26" i="7" s="1"/>
  <c r="K26" i="7"/>
  <c r="W26" i="7" s="1"/>
  <c r="J26" i="7"/>
  <c r="I26" i="7"/>
  <c r="R25" i="7"/>
  <c r="AL25" i="7" s="1"/>
  <c r="Q25" i="7"/>
  <c r="AK25" i="7" s="1"/>
  <c r="P25" i="7"/>
  <c r="AJ25" i="7" s="1"/>
  <c r="O25" i="7"/>
  <c r="AI25" i="7" s="1"/>
  <c r="N25" i="7"/>
  <c r="AH25" i="7" s="1"/>
  <c r="L25" i="7"/>
  <c r="X25" i="7" s="1"/>
  <c r="K25" i="7"/>
  <c r="W25" i="7" s="1"/>
  <c r="J25" i="7"/>
  <c r="I25" i="7"/>
  <c r="R24" i="7"/>
  <c r="AL24" i="7" s="1"/>
  <c r="Q24" i="7"/>
  <c r="AK24" i="7" s="1"/>
  <c r="P24" i="7"/>
  <c r="AJ24" i="7" s="1"/>
  <c r="O24" i="7"/>
  <c r="AI24" i="7" s="1"/>
  <c r="N24" i="7"/>
  <c r="AH24" i="7" s="1"/>
  <c r="L24" i="7"/>
  <c r="X24" i="7" s="1"/>
  <c r="K24" i="7"/>
  <c r="W24" i="7" s="1"/>
  <c r="J24" i="7"/>
  <c r="I24" i="7"/>
  <c r="R23" i="7"/>
  <c r="AL23" i="7" s="1"/>
  <c r="Q23" i="7"/>
  <c r="AK23" i="7" s="1"/>
  <c r="P23" i="7"/>
  <c r="AJ23" i="7" s="1"/>
  <c r="O23" i="7"/>
  <c r="AI23" i="7" s="1"/>
  <c r="N23" i="7"/>
  <c r="AH23" i="7" s="1"/>
  <c r="L23" i="7"/>
  <c r="X23" i="7" s="1"/>
  <c r="K23" i="7"/>
  <c r="W23" i="7" s="1"/>
  <c r="J23" i="7"/>
  <c r="I23" i="7"/>
  <c r="R21" i="7"/>
  <c r="AL21" i="7" s="1"/>
  <c r="Q21" i="7"/>
  <c r="AK21" i="7" s="1"/>
  <c r="P21" i="7"/>
  <c r="AJ21" i="7" s="1"/>
  <c r="O21" i="7"/>
  <c r="AI21" i="7" s="1"/>
  <c r="N21" i="7"/>
  <c r="AH21" i="7" s="1"/>
  <c r="L21" i="7"/>
  <c r="X21" i="7" s="1"/>
  <c r="K21" i="7"/>
  <c r="W21" i="7" s="1"/>
  <c r="J21" i="7"/>
  <c r="I21" i="7"/>
  <c r="R20" i="7"/>
  <c r="AL20" i="7" s="1"/>
  <c r="Q20" i="7"/>
  <c r="AK20" i="7" s="1"/>
  <c r="P20" i="7"/>
  <c r="AJ20" i="7" s="1"/>
  <c r="O20" i="7"/>
  <c r="AI20" i="7" s="1"/>
  <c r="N20" i="7"/>
  <c r="AH20" i="7" s="1"/>
  <c r="L20" i="7"/>
  <c r="X20" i="7" s="1"/>
  <c r="K20" i="7"/>
  <c r="W20" i="7" s="1"/>
  <c r="J20" i="7"/>
  <c r="I20" i="7"/>
  <c r="R18" i="7"/>
  <c r="AL18" i="7" s="1"/>
  <c r="Q18" i="7"/>
  <c r="AK18" i="7" s="1"/>
  <c r="P18" i="7"/>
  <c r="AJ18" i="7" s="1"/>
  <c r="O18" i="7"/>
  <c r="AI18" i="7" s="1"/>
  <c r="N18" i="7"/>
  <c r="AH18" i="7" s="1"/>
  <c r="L18" i="7"/>
  <c r="K18" i="7"/>
  <c r="W18" i="7" s="1"/>
  <c r="J18" i="7"/>
  <c r="I18" i="7"/>
  <c r="R17" i="7"/>
  <c r="AL17" i="7" s="1"/>
  <c r="Q17" i="7"/>
  <c r="AK17" i="7" s="1"/>
  <c r="P17" i="7"/>
  <c r="AJ17" i="7" s="1"/>
  <c r="O17" i="7"/>
  <c r="AI17" i="7" s="1"/>
  <c r="N17" i="7"/>
  <c r="AH17" i="7" s="1"/>
  <c r="L17" i="7"/>
  <c r="X17" i="7" s="1"/>
  <c r="K17" i="7"/>
  <c r="W17" i="7" s="1"/>
  <c r="J17" i="7"/>
  <c r="I17" i="7"/>
  <c r="R16" i="7"/>
  <c r="AL16" i="7" s="1"/>
  <c r="Q16" i="7"/>
  <c r="AK16" i="7" s="1"/>
  <c r="P16" i="7"/>
  <c r="AJ16" i="7" s="1"/>
  <c r="O16" i="7"/>
  <c r="AI16" i="7" s="1"/>
  <c r="N16" i="7"/>
  <c r="AH16" i="7" s="1"/>
  <c r="L16" i="7"/>
  <c r="X16" i="7" s="1"/>
  <c r="K16" i="7"/>
  <c r="W16" i="7" s="1"/>
  <c r="J16" i="7"/>
  <c r="I16" i="7"/>
  <c r="R15" i="7"/>
  <c r="AL15" i="7" s="1"/>
  <c r="Q15" i="7"/>
  <c r="AK15" i="7" s="1"/>
  <c r="P15" i="7"/>
  <c r="AJ15" i="7" s="1"/>
  <c r="O15" i="7"/>
  <c r="AI15" i="7" s="1"/>
  <c r="N15" i="7"/>
  <c r="AH15" i="7" s="1"/>
  <c r="L15" i="7"/>
  <c r="X15" i="7" s="1"/>
  <c r="K15" i="7"/>
  <c r="W15" i="7" s="1"/>
  <c r="J15" i="7"/>
  <c r="I15" i="7"/>
  <c r="R13" i="7"/>
  <c r="AL13" i="7" s="1"/>
  <c r="Q13" i="7"/>
  <c r="AK13" i="7" s="1"/>
  <c r="P13" i="7"/>
  <c r="AJ13" i="7" s="1"/>
  <c r="O13" i="7"/>
  <c r="AI13" i="7" s="1"/>
  <c r="N13" i="7"/>
  <c r="AH13" i="7" s="1"/>
  <c r="L13" i="7"/>
  <c r="X13" i="7" s="1"/>
  <c r="K13" i="7"/>
  <c r="W13" i="7" s="1"/>
  <c r="J13" i="7"/>
  <c r="I13" i="7"/>
  <c r="R12" i="7"/>
  <c r="AL12" i="7" s="1"/>
  <c r="Q12" i="7"/>
  <c r="AK12" i="7" s="1"/>
  <c r="P12" i="7"/>
  <c r="AJ12" i="7" s="1"/>
  <c r="O12" i="7"/>
  <c r="AI12" i="7" s="1"/>
  <c r="N12" i="7"/>
  <c r="AH12" i="7" s="1"/>
  <c r="L12" i="7"/>
  <c r="X12" i="7" s="1"/>
  <c r="K12" i="7"/>
  <c r="W12" i="7" s="1"/>
  <c r="J12" i="7"/>
  <c r="I12" i="7"/>
  <c r="R11" i="7"/>
  <c r="AL11" i="7" s="1"/>
  <c r="Q11" i="7"/>
  <c r="AK11" i="7" s="1"/>
  <c r="P11" i="7"/>
  <c r="AJ11" i="7" s="1"/>
  <c r="O11" i="7"/>
  <c r="AI11" i="7" s="1"/>
  <c r="N11" i="7"/>
  <c r="AH11" i="7" s="1"/>
  <c r="L11" i="7"/>
  <c r="X11" i="7" s="1"/>
  <c r="K11" i="7"/>
  <c r="W11" i="7" s="1"/>
  <c r="J11" i="7"/>
  <c r="I11" i="7"/>
  <c r="R10" i="7"/>
  <c r="AL10" i="7" s="1"/>
  <c r="Q10" i="7"/>
  <c r="AK10" i="7" s="1"/>
  <c r="P10" i="7"/>
  <c r="AJ10" i="7" s="1"/>
  <c r="O10" i="7"/>
  <c r="AI10" i="7" s="1"/>
  <c r="N10" i="7"/>
  <c r="AH10" i="7" s="1"/>
  <c r="L10" i="7"/>
  <c r="K10" i="7"/>
  <c r="J10" i="7"/>
  <c r="I10" i="7"/>
  <c r="H26" i="7"/>
  <c r="H25" i="7"/>
  <c r="H24" i="7"/>
  <c r="H21" i="7"/>
  <c r="H18" i="7"/>
  <c r="H17" i="7"/>
  <c r="H16" i="7"/>
  <c r="H13" i="7"/>
  <c r="H134" i="7" s="1"/>
  <c r="H12" i="7"/>
  <c r="H133" i="7" s="1"/>
  <c r="H11" i="7"/>
  <c r="H132" i="7" s="1"/>
  <c r="H23" i="7"/>
  <c r="H20" i="7"/>
  <c r="H15" i="7"/>
  <c r="H116" i="7" s="1"/>
  <c r="H10" i="7"/>
  <c r="I6" i="7"/>
  <c r="J6" i="7" s="1"/>
  <c r="K6" i="7" s="1"/>
  <c r="L6" i="7" s="1"/>
  <c r="N6" i="7" s="1"/>
  <c r="O6" i="7" s="1"/>
  <c r="P6" i="7" s="1"/>
  <c r="Q6" i="7" s="1"/>
  <c r="R6" i="7" s="1"/>
  <c r="K293" i="7" l="1"/>
  <c r="M293" i="7" s="1"/>
  <c r="N293" i="7" s="1"/>
  <c r="O293" i="7" s="1"/>
  <c r="P293" i="7" s="1"/>
  <c r="Q293" i="7" s="1"/>
  <c r="R293" i="7" s="1"/>
  <c r="J284" i="7"/>
  <c r="I284" i="7"/>
  <c r="H136" i="7"/>
  <c r="H284" i="7"/>
  <c r="K294" i="7"/>
  <c r="M294" i="7" s="1"/>
  <c r="N294" i="7" s="1"/>
  <c r="O294" i="7" s="1"/>
  <c r="P294" i="7" s="1"/>
  <c r="Q294" i="7" s="1"/>
  <c r="R294" i="7" s="1"/>
  <c r="AJ70" i="7"/>
  <c r="AK70" i="7"/>
  <c r="AL70" i="7"/>
  <c r="AH70" i="7"/>
  <c r="H131" i="7"/>
  <c r="W10" i="7"/>
  <c r="AI70" i="7"/>
  <c r="M290" i="7"/>
  <c r="H19" i="7"/>
  <c r="I127" i="7"/>
  <c r="L284" i="7"/>
  <c r="L209" i="7" s="1"/>
  <c r="R284" i="7"/>
  <c r="R209" i="7" s="1"/>
  <c r="H303" i="7"/>
  <c r="H311" i="7" s="1"/>
  <c r="P303" i="7"/>
  <c r="P311" i="7" s="1"/>
  <c r="Q303" i="7"/>
  <c r="Q311" i="7" s="1"/>
  <c r="R303" i="7"/>
  <c r="R311" i="7" s="1"/>
  <c r="N303" i="7"/>
  <c r="N311" i="7" s="1"/>
  <c r="Q288" i="7"/>
  <c r="Q208" i="7" s="1"/>
  <c r="N284" i="7"/>
  <c r="N209" i="7" s="1"/>
  <c r="Q284" i="7"/>
  <c r="Q209" i="7" s="1"/>
  <c r="R288" i="7"/>
  <c r="R208" i="7" s="1"/>
  <c r="O303" i="7"/>
  <c r="O311" i="7" s="1"/>
  <c r="O288" i="7"/>
  <c r="O208" i="7" s="1"/>
  <c r="O284" i="7"/>
  <c r="O209" i="7" s="1"/>
  <c r="P284" i="7"/>
  <c r="P209" i="7" s="1"/>
  <c r="L288" i="7"/>
  <c r="L208" i="7" s="1"/>
  <c r="I303" i="7"/>
  <c r="I311" i="7" s="1"/>
  <c r="M308" i="7"/>
  <c r="M307" i="7" s="1"/>
  <c r="N92" i="7"/>
  <c r="N288" i="7"/>
  <c r="N208" i="7" s="1"/>
  <c r="J303" i="7"/>
  <c r="J311" i="7" s="1"/>
  <c r="K303" i="7"/>
  <c r="K311" i="7" s="1"/>
  <c r="P288" i="7"/>
  <c r="P208" i="7" s="1"/>
  <c r="M303" i="7"/>
  <c r="L303" i="7"/>
  <c r="L311" i="7" s="1"/>
  <c r="U23" i="7"/>
  <c r="M289" i="7"/>
  <c r="M285" i="7"/>
  <c r="K284" i="7"/>
  <c r="M286" i="7"/>
  <c r="K288" i="7"/>
  <c r="J288" i="7"/>
  <c r="I288" i="7"/>
  <c r="H288" i="7"/>
  <c r="H119" i="7"/>
  <c r="P116" i="7"/>
  <c r="J122" i="7"/>
  <c r="I124" i="7"/>
  <c r="R124" i="7"/>
  <c r="Q125" i="7"/>
  <c r="P126" i="7"/>
  <c r="O127" i="7"/>
  <c r="R113" i="7"/>
  <c r="J113" i="7"/>
  <c r="Q116" i="7"/>
  <c r="O118" i="7"/>
  <c r="N119" i="7"/>
  <c r="J124" i="7"/>
  <c r="I125" i="7"/>
  <c r="R125" i="7"/>
  <c r="Q126" i="7"/>
  <c r="P127" i="7"/>
  <c r="J112" i="7"/>
  <c r="N118" i="7"/>
  <c r="L111" i="7"/>
  <c r="R114" i="7"/>
  <c r="H122" i="7"/>
  <c r="Q114" i="7"/>
  <c r="L119" i="7"/>
  <c r="P117" i="7"/>
  <c r="I113" i="7"/>
  <c r="O117" i="7"/>
  <c r="I114" i="7"/>
  <c r="H117" i="7"/>
  <c r="I116" i="7"/>
  <c r="I111" i="7"/>
  <c r="O114" i="7"/>
  <c r="O125" i="7"/>
  <c r="N126" i="7"/>
  <c r="L127" i="7"/>
  <c r="H126" i="7"/>
  <c r="P111" i="7"/>
  <c r="O112" i="7"/>
  <c r="N113" i="7"/>
  <c r="J117" i="7"/>
  <c r="I118" i="7"/>
  <c r="R118" i="7"/>
  <c r="Q119" i="7"/>
  <c r="P121" i="7"/>
  <c r="O122" i="7"/>
  <c r="N124" i="7"/>
  <c r="J127" i="7"/>
  <c r="H124" i="7"/>
  <c r="H125" i="7"/>
  <c r="N112" i="7"/>
  <c r="I117" i="7"/>
  <c r="R117" i="7"/>
  <c r="P119" i="7"/>
  <c r="O121" i="7"/>
  <c r="N122" i="7"/>
  <c r="J126" i="7"/>
  <c r="R127" i="7"/>
  <c r="H127" i="7"/>
  <c r="P112" i="7"/>
  <c r="O113" i="7"/>
  <c r="N114" i="7"/>
  <c r="J118" i="7"/>
  <c r="R119" i="7"/>
  <c r="Q121" i="7"/>
  <c r="O124" i="7"/>
  <c r="N125" i="7"/>
  <c r="O111" i="7"/>
  <c r="J116" i="7"/>
  <c r="Q118" i="7"/>
  <c r="R121" i="7"/>
  <c r="K122" i="7"/>
  <c r="L124" i="7"/>
  <c r="R111" i="7"/>
  <c r="Q112" i="7"/>
  <c r="P113" i="7"/>
  <c r="N116" i="7"/>
  <c r="J119" i="7"/>
  <c r="I121" i="7"/>
  <c r="Q122" i="7"/>
  <c r="P124" i="7"/>
  <c r="K112" i="7"/>
  <c r="L113" i="7"/>
  <c r="R112" i="7"/>
  <c r="O116" i="7"/>
  <c r="I122" i="7"/>
  <c r="Q124" i="7"/>
  <c r="N127" i="7"/>
  <c r="H118" i="7"/>
  <c r="K118" i="7"/>
  <c r="J111" i="7"/>
  <c r="I112" i="7"/>
  <c r="Q113" i="7"/>
  <c r="P114" i="7"/>
  <c r="N117" i="7"/>
  <c r="J121" i="7"/>
  <c r="R122" i="7"/>
  <c r="P125" i="7"/>
  <c r="O126" i="7"/>
  <c r="K126" i="7"/>
  <c r="N111" i="7"/>
  <c r="J114" i="7"/>
  <c r="R116" i="7"/>
  <c r="Q117" i="7"/>
  <c r="P118" i="7"/>
  <c r="O119" i="7"/>
  <c r="N121" i="7"/>
  <c r="J125" i="7"/>
  <c r="I126" i="7"/>
  <c r="R126" i="7"/>
  <c r="Q127" i="7"/>
  <c r="Q111" i="7"/>
  <c r="L116" i="7"/>
  <c r="I119" i="7"/>
  <c r="P122" i="7"/>
  <c r="L126" i="7"/>
  <c r="K127" i="7"/>
  <c r="K119" i="7"/>
  <c r="K114" i="7"/>
  <c r="L114" i="7"/>
  <c r="K117" i="7"/>
  <c r="L122" i="7"/>
  <c r="K125" i="7"/>
  <c r="K111" i="7"/>
  <c r="L117" i="7"/>
  <c r="H121" i="7"/>
  <c r="L125" i="7"/>
  <c r="L112" i="7"/>
  <c r="L118" i="7"/>
  <c r="K121" i="7"/>
  <c r="K113" i="7"/>
  <c r="K116" i="7"/>
  <c r="L121" i="7"/>
  <c r="K124" i="7"/>
  <c r="Y12" i="7"/>
  <c r="J104" i="7"/>
  <c r="N97" i="7"/>
  <c r="I51" i="7"/>
  <c r="H98" i="7"/>
  <c r="J90" i="7"/>
  <c r="I91" i="7"/>
  <c r="R91" i="7"/>
  <c r="Q92" i="7"/>
  <c r="P93" i="7"/>
  <c r="O95" i="7"/>
  <c r="N96" i="7"/>
  <c r="L97" i="7"/>
  <c r="K98" i="7"/>
  <c r="J100" i="7"/>
  <c r="I101" i="7"/>
  <c r="R101" i="7"/>
  <c r="Y23" i="7"/>
  <c r="Y26" i="7"/>
  <c r="R93" i="7"/>
  <c r="I104" i="7"/>
  <c r="P91" i="7"/>
  <c r="L95" i="7"/>
  <c r="J97" i="7"/>
  <c r="Q100" i="7"/>
  <c r="I90" i="7"/>
  <c r="R90" i="7"/>
  <c r="Q91" i="7"/>
  <c r="P92" i="7"/>
  <c r="O93" i="7"/>
  <c r="N95" i="7"/>
  <c r="L96" i="7"/>
  <c r="K97" i="7"/>
  <c r="J98" i="7"/>
  <c r="I100" i="7"/>
  <c r="R100" i="7"/>
  <c r="Q101" i="7"/>
  <c r="P103" i="7"/>
  <c r="O104" i="7"/>
  <c r="N105" i="7"/>
  <c r="L106" i="7"/>
  <c r="R57" i="7"/>
  <c r="Q58" i="7"/>
  <c r="L91" i="7"/>
  <c r="O98" i="7"/>
  <c r="H97" i="7"/>
  <c r="I53" i="7"/>
  <c r="R104" i="7"/>
  <c r="P106" i="7"/>
  <c r="P50" i="7"/>
  <c r="J56" i="7"/>
  <c r="P60" i="7"/>
  <c r="J66" i="7"/>
  <c r="Q103" i="7"/>
  <c r="P104" i="7"/>
  <c r="O105" i="7"/>
  <c r="N106" i="7"/>
  <c r="O51" i="7"/>
  <c r="O61" i="7"/>
  <c r="R105" i="7"/>
  <c r="N93" i="7"/>
  <c r="H103" i="7"/>
  <c r="J93" i="7"/>
  <c r="Q96" i="7"/>
  <c r="N100" i="7"/>
  <c r="J51" i="7"/>
  <c r="I92" i="7"/>
  <c r="R52" i="7"/>
  <c r="Q53" i="7"/>
  <c r="O56" i="7"/>
  <c r="J61" i="7"/>
  <c r="I63" i="7"/>
  <c r="R63" i="7"/>
  <c r="Q64" i="7"/>
  <c r="P65" i="7"/>
  <c r="I96" i="7"/>
  <c r="I106" i="7"/>
  <c r="H100" i="7"/>
  <c r="P53" i="7"/>
  <c r="Y17" i="7"/>
  <c r="Q63" i="7"/>
  <c r="H101" i="7"/>
  <c r="K91" i="7"/>
  <c r="I93" i="7"/>
  <c r="P96" i="7"/>
  <c r="N98" i="7"/>
  <c r="L100" i="7"/>
  <c r="J103" i="7"/>
  <c r="Q105" i="7"/>
  <c r="N90" i="7"/>
  <c r="K92" i="7"/>
  <c r="R95" i="7"/>
  <c r="K103" i="7"/>
  <c r="I105" i="7"/>
  <c r="Q106" i="7"/>
  <c r="H104" i="7"/>
  <c r="N91" i="7"/>
  <c r="O90" i="7"/>
  <c r="L92" i="7"/>
  <c r="K93" i="7"/>
  <c r="J95" i="7"/>
  <c r="R96" i="7"/>
  <c r="Q97" i="7"/>
  <c r="P98" i="7"/>
  <c r="O100" i="7"/>
  <c r="N101" i="7"/>
  <c r="L103" i="7"/>
  <c r="K104" i="7"/>
  <c r="J105" i="7"/>
  <c r="R106" i="7"/>
  <c r="Y11" i="7"/>
  <c r="Y21" i="7"/>
  <c r="I64" i="7"/>
  <c r="H105" i="7"/>
  <c r="P90" i="7"/>
  <c r="O91" i="7"/>
  <c r="L93" i="7"/>
  <c r="K95" i="7"/>
  <c r="J96" i="7"/>
  <c r="I97" i="7"/>
  <c r="R97" i="7"/>
  <c r="Q98" i="7"/>
  <c r="P100" i="7"/>
  <c r="O101" i="7"/>
  <c r="N103" i="7"/>
  <c r="L104" i="7"/>
  <c r="K105" i="7"/>
  <c r="J106" i="7"/>
  <c r="H96" i="7"/>
  <c r="H106" i="7"/>
  <c r="Q90" i="7"/>
  <c r="O92" i="7"/>
  <c r="K96" i="7"/>
  <c r="I98" i="7"/>
  <c r="R98" i="7"/>
  <c r="P101" i="7"/>
  <c r="O103" i="7"/>
  <c r="N104" i="7"/>
  <c r="L105" i="7"/>
  <c r="K106" i="7"/>
  <c r="J91" i="7"/>
  <c r="R92" i="7"/>
  <c r="Q93" i="7"/>
  <c r="O96" i="7"/>
  <c r="K100" i="7"/>
  <c r="I103" i="7"/>
  <c r="R103" i="7"/>
  <c r="P105" i="7"/>
  <c r="J101" i="7"/>
  <c r="Q104" i="7"/>
  <c r="P55" i="7"/>
  <c r="P95" i="7"/>
  <c r="O66" i="7"/>
  <c r="O106" i="7"/>
  <c r="X18" i="7"/>
  <c r="Y18" i="7" s="1"/>
  <c r="L98" i="7"/>
  <c r="X10" i="7"/>
  <c r="L90" i="7"/>
  <c r="J52" i="7"/>
  <c r="J92" i="7"/>
  <c r="R53" i="7"/>
  <c r="Q55" i="7"/>
  <c r="Q95" i="7"/>
  <c r="P56" i="7"/>
  <c r="O57" i="7"/>
  <c r="O97" i="7"/>
  <c r="J63" i="7"/>
  <c r="H95" i="7"/>
  <c r="K90" i="7"/>
  <c r="Q65" i="7"/>
  <c r="K101" i="7"/>
  <c r="J53" i="7"/>
  <c r="I55" i="7"/>
  <c r="Q56" i="7"/>
  <c r="P57" i="7"/>
  <c r="J64" i="7"/>
  <c r="Q66" i="7"/>
  <c r="P97" i="7"/>
  <c r="L101" i="7"/>
  <c r="Y13" i="7"/>
  <c r="I56" i="7"/>
  <c r="R56" i="7"/>
  <c r="P58" i="7"/>
  <c r="J65" i="7"/>
  <c r="R66" i="7"/>
  <c r="R64" i="7"/>
  <c r="Q50" i="7"/>
  <c r="O52" i="7"/>
  <c r="R58" i="7"/>
  <c r="P61" i="7"/>
  <c r="I95" i="7"/>
  <c r="I50" i="7"/>
  <c r="P52" i="7"/>
  <c r="P66" i="7"/>
  <c r="P51" i="7"/>
  <c r="J57" i="7"/>
  <c r="Q60" i="7"/>
  <c r="O63" i="7"/>
  <c r="Q52" i="7"/>
  <c r="J60" i="7"/>
  <c r="P64" i="7"/>
  <c r="Y16" i="7"/>
  <c r="I58" i="7"/>
  <c r="Q51" i="7"/>
  <c r="I60" i="7"/>
  <c r="Q61" i="7"/>
  <c r="J50" i="7"/>
  <c r="R51" i="7"/>
  <c r="O55" i="7"/>
  <c r="I61" i="7"/>
  <c r="R61" i="7"/>
  <c r="O65" i="7"/>
  <c r="Q57" i="7"/>
  <c r="R50" i="7"/>
  <c r="J58" i="7"/>
  <c r="R60" i="7"/>
  <c r="O64" i="7"/>
  <c r="I52" i="7"/>
  <c r="R55" i="7"/>
  <c r="Y20" i="7"/>
  <c r="O50" i="7"/>
  <c r="J55" i="7"/>
  <c r="O60" i="7"/>
  <c r="I66" i="7"/>
  <c r="O58" i="7"/>
  <c r="R65" i="7"/>
  <c r="I65" i="7"/>
  <c r="I57" i="7"/>
  <c r="Y15" i="7"/>
  <c r="Y25" i="7"/>
  <c r="Y24" i="7"/>
  <c r="O53" i="7"/>
  <c r="P63" i="7"/>
  <c r="M18" i="7"/>
  <c r="AG18" i="7" s="1"/>
  <c r="J19" i="7"/>
  <c r="M72" i="7"/>
  <c r="AG72" i="7" s="1"/>
  <c r="M16" i="7"/>
  <c r="AG16" i="7" s="1"/>
  <c r="M70" i="7"/>
  <c r="M12" i="7"/>
  <c r="AG12" i="7" s="1"/>
  <c r="M23" i="7"/>
  <c r="AG23" i="7" s="1"/>
  <c r="M76" i="7"/>
  <c r="AG76" i="7" s="1"/>
  <c r="Q79" i="7"/>
  <c r="M86" i="7"/>
  <c r="AG86" i="7" s="1"/>
  <c r="M173" i="7"/>
  <c r="L79" i="7"/>
  <c r="M81" i="7"/>
  <c r="AG81" i="7" s="1"/>
  <c r="M176" i="7"/>
  <c r="O19" i="7"/>
  <c r="AI19" i="7" s="1"/>
  <c r="H14" i="7"/>
  <c r="L19" i="7"/>
  <c r="M21" i="7"/>
  <c r="AG21" i="7" s="1"/>
  <c r="M75" i="7"/>
  <c r="AG75" i="7" s="1"/>
  <c r="M85" i="7"/>
  <c r="AG85" i="7" s="1"/>
  <c r="M177" i="7"/>
  <c r="N79" i="7"/>
  <c r="M13" i="7"/>
  <c r="AG13" i="7" s="1"/>
  <c r="M24" i="7"/>
  <c r="AG24" i="7" s="1"/>
  <c r="M77" i="7"/>
  <c r="AG77" i="7" s="1"/>
  <c r="M15" i="7"/>
  <c r="AG15" i="7" s="1"/>
  <c r="M25" i="7"/>
  <c r="AG25" i="7" s="1"/>
  <c r="M78" i="7"/>
  <c r="AG78" i="7" s="1"/>
  <c r="I69" i="7"/>
  <c r="Q69" i="7"/>
  <c r="O82" i="7"/>
  <c r="N22" i="7"/>
  <c r="AH22" i="7" s="1"/>
  <c r="O74" i="7"/>
  <c r="M174" i="7"/>
  <c r="R69" i="7"/>
  <c r="M172" i="7"/>
  <c r="M17" i="7"/>
  <c r="AG17" i="7" s="1"/>
  <c r="Q19" i="7"/>
  <c r="AK19" i="7" s="1"/>
  <c r="M26" i="7"/>
  <c r="AG26" i="7" s="1"/>
  <c r="J79" i="7"/>
  <c r="M175" i="7"/>
  <c r="R19" i="7"/>
  <c r="AL19" i="7" s="1"/>
  <c r="M71" i="7"/>
  <c r="AG71" i="7" s="1"/>
  <c r="M11" i="7"/>
  <c r="AG11" i="7" s="1"/>
  <c r="M20" i="7"/>
  <c r="AG20" i="7" s="1"/>
  <c r="M73" i="7"/>
  <c r="AG73" i="7" s="1"/>
  <c r="M83" i="7"/>
  <c r="M84" i="7"/>
  <c r="R79" i="7"/>
  <c r="M80" i="7"/>
  <c r="AG80" i="7" s="1"/>
  <c r="O14" i="7"/>
  <c r="AI14" i="7" s="1"/>
  <c r="I79" i="7"/>
  <c r="K9" i="7"/>
  <c r="O22" i="7"/>
  <c r="AI22" i="7" s="1"/>
  <c r="H79" i="7"/>
  <c r="Q22" i="7"/>
  <c r="AK22" i="7" s="1"/>
  <c r="M10" i="7"/>
  <c r="AG10" i="7" s="1"/>
  <c r="I22" i="7"/>
  <c r="R22" i="7"/>
  <c r="AL22" i="7" s="1"/>
  <c r="P22" i="7"/>
  <c r="AJ22" i="7" s="1"/>
  <c r="O69" i="7"/>
  <c r="I14" i="7"/>
  <c r="R14" i="7"/>
  <c r="AL14" i="7" s="1"/>
  <c r="Q14" i="7"/>
  <c r="AK14" i="7" s="1"/>
  <c r="P14" i="7"/>
  <c r="AJ14" i="7" s="1"/>
  <c r="K19" i="7"/>
  <c r="O9" i="7"/>
  <c r="AI9" i="7" s="1"/>
  <c r="N9" i="7"/>
  <c r="AH9" i="7" s="1"/>
  <c r="N19" i="7"/>
  <c r="AH19" i="7" s="1"/>
  <c r="H74" i="7"/>
  <c r="O79" i="7"/>
  <c r="O99" i="7" s="1"/>
  <c r="P69" i="7"/>
  <c r="L22" i="7"/>
  <c r="H171" i="7"/>
  <c r="H271" i="7" s="1"/>
  <c r="P19" i="7"/>
  <c r="AJ19" i="7" s="1"/>
  <c r="J22" i="7"/>
  <c r="H22" i="7"/>
  <c r="L9" i="7"/>
  <c r="I19" i="7"/>
  <c r="P82" i="7"/>
  <c r="P74" i="7"/>
  <c r="L171" i="7"/>
  <c r="H82" i="7"/>
  <c r="N69" i="7"/>
  <c r="N89" i="7" s="1"/>
  <c r="L69" i="7"/>
  <c r="K69" i="7"/>
  <c r="J69" i="7"/>
  <c r="Q9" i="7"/>
  <c r="AK9" i="7" s="1"/>
  <c r="I74" i="7"/>
  <c r="R74" i="7"/>
  <c r="Q74" i="7"/>
  <c r="P79" i="7"/>
  <c r="K171" i="7"/>
  <c r="J171" i="7"/>
  <c r="J271" i="7" s="1"/>
  <c r="I171" i="7"/>
  <c r="I271" i="7" s="1"/>
  <c r="R171" i="7"/>
  <c r="S171" i="7" s="1"/>
  <c r="Q171" i="7"/>
  <c r="J9" i="7"/>
  <c r="I9" i="7"/>
  <c r="R9" i="7"/>
  <c r="AL9" i="7" s="1"/>
  <c r="P9" i="7"/>
  <c r="AJ9" i="7" s="1"/>
  <c r="N82" i="7"/>
  <c r="L82" i="7"/>
  <c r="K82" i="7"/>
  <c r="J82" i="7"/>
  <c r="K14" i="7"/>
  <c r="L74" i="7"/>
  <c r="H9" i="7"/>
  <c r="K22" i="7"/>
  <c r="N74" i="7"/>
  <c r="K74" i="7"/>
  <c r="J74" i="7"/>
  <c r="K79" i="7"/>
  <c r="P171" i="7"/>
  <c r="O171" i="7"/>
  <c r="N171" i="7"/>
  <c r="N14" i="7"/>
  <c r="AH14" i="7" s="1"/>
  <c r="L14" i="7"/>
  <c r="J14" i="7"/>
  <c r="I82" i="7"/>
  <c r="R82" i="7"/>
  <c r="Q82" i="7"/>
  <c r="P94" i="7" l="1"/>
  <c r="M288" i="7"/>
  <c r="Y10" i="7"/>
  <c r="L115" i="7"/>
  <c r="P134" i="7"/>
  <c r="L141" i="7"/>
  <c r="L137" i="7"/>
  <c r="K147" i="7"/>
  <c r="I146" i="7"/>
  <c r="N131" i="7"/>
  <c r="Q133" i="7"/>
  <c r="O136" i="7"/>
  <c r="N136" i="7"/>
  <c r="J136" i="7"/>
  <c r="O133" i="7"/>
  <c r="R137" i="7"/>
  <c r="P141" i="7"/>
  <c r="H146" i="7"/>
  <c r="I134" i="7"/>
  <c r="L131" i="7"/>
  <c r="N139" i="7"/>
  <c r="R144" i="7"/>
  <c r="H141" i="7"/>
  <c r="J139" i="7"/>
  <c r="O142" i="7"/>
  <c r="H137" i="7"/>
  <c r="J144" i="7"/>
  <c r="K136" i="7"/>
  <c r="K131" i="7"/>
  <c r="L146" i="7"/>
  <c r="J145" i="7"/>
  <c r="K146" i="7"/>
  <c r="I132" i="7"/>
  <c r="R132" i="7"/>
  <c r="P133" i="7"/>
  <c r="O131" i="7"/>
  <c r="P132" i="7"/>
  <c r="I137" i="7"/>
  <c r="Q139" i="7"/>
  <c r="L147" i="7"/>
  <c r="O137" i="7"/>
  <c r="N138" i="7"/>
  <c r="O138" i="7"/>
  <c r="I144" i="7"/>
  <c r="I147" i="7"/>
  <c r="R146" i="7"/>
  <c r="N134" i="7"/>
  <c r="Q145" i="7"/>
  <c r="K133" i="7"/>
  <c r="K145" i="7"/>
  <c r="P142" i="7"/>
  <c r="N141" i="7"/>
  <c r="O146" i="7"/>
  <c r="J131" i="7"/>
  <c r="L133" i="7"/>
  <c r="Q132" i="7"/>
  <c r="N145" i="7"/>
  <c r="H147" i="7"/>
  <c r="N132" i="7"/>
  <c r="R138" i="7"/>
  <c r="N146" i="7"/>
  <c r="I133" i="7"/>
  <c r="J132" i="7"/>
  <c r="Q136" i="7"/>
  <c r="J142" i="7"/>
  <c r="K144" i="7"/>
  <c r="K141" i="7"/>
  <c r="L142" i="7"/>
  <c r="I139" i="7"/>
  <c r="O139" i="7"/>
  <c r="P145" i="7"/>
  <c r="K138" i="7"/>
  <c r="K132" i="7"/>
  <c r="R131" i="7"/>
  <c r="O144" i="7"/>
  <c r="R147" i="7"/>
  <c r="H145" i="7"/>
  <c r="I138" i="7"/>
  <c r="O145" i="7"/>
  <c r="P137" i="7"/>
  <c r="P147" i="7"/>
  <c r="J133" i="7"/>
  <c r="P136" i="7"/>
  <c r="K139" i="7"/>
  <c r="P139" i="7"/>
  <c r="L138" i="7"/>
  <c r="K137" i="7"/>
  <c r="L136" i="7"/>
  <c r="P138" i="7"/>
  <c r="R142" i="7"/>
  <c r="H138" i="7"/>
  <c r="P144" i="7"/>
  <c r="L144" i="7"/>
  <c r="Q141" i="7"/>
  <c r="J146" i="7"/>
  <c r="H144" i="7"/>
  <c r="J137" i="7"/>
  <c r="O134" i="7"/>
  <c r="L139" i="7"/>
  <c r="Q146" i="7"/>
  <c r="R133" i="7"/>
  <c r="H139" i="7"/>
  <c r="I142" i="7"/>
  <c r="L132" i="7"/>
  <c r="L134" i="7"/>
  <c r="Q131" i="7"/>
  <c r="Q137" i="7"/>
  <c r="J141" i="7"/>
  <c r="N147" i="7"/>
  <c r="Q142" i="7"/>
  <c r="K142" i="7"/>
  <c r="R139" i="7"/>
  <c r="N142" i="7"/>
  <c r="J147" i="7"/>
  <c r="N133" i="7"/>
  <c r="I131" i="7"/>
  <c r="Q134" i="7"/>
  <c r="R145" i="7"/>
  <c r="O147" i="7"/>
  <c r="J134" i="7"/>
  <c r="Q138" i="7"/>
  <c r="P131" i="7"/>
  <c r="R134" i="7"/>
  <c r="L145" i="7"/>
  <c r="K134" i="7"/>
  <c r="Q147" i="7"/>
  <c r="R136" i="7"/>
  <c r="N137" i="7"/>
  <c r="Q144" i="7"/>
  <c r="I141" i="7"/>
  <c r="R141" i="7"/>
  <c r="J138" i="7"/>
  <c r="O141" i="7"/>
  <c r="N144" i="7"/>
  <c r="O132" i="7"/>
  <c r="I136" i="7"/>
  <c r="H142" i="7"/>
  <c r="I145" i="7"/>
  <c r="P146" i="7"/>
  <c r="AG70" i="7"/>
  <c r="M104" i="7"/>
  <c r="AG84" i="7"/>
  <c r="M103" i="7"/>
  <c r="AG83" i="7"/>
  <c r="H99" i="7"/>
  <c r="J312" i="7"/>
  <c r="P312" i="7"/>
  <c r="P210" i="7" s="1"/>
  <c r="O312" i="7"/>
  <c r="O210" i="7" s="1"/>
  <c r="R312" i="7"/>
  <c r="R210" i="7" s="1"/>
  <c r="I312" i="7"/>
  <c r="Q312" i="7"/>
  <c r="Q210" i="7" s="1"/>
  <c r="U3" i="7"/>
  <c r="M311" i="7"/>
  <c r="M312" i="7" s="1"/>
  <c r="L312" i="7"/>
  <c r="L210" i="7" s="1"/>
  <c r="K312" i="7"/>
  <c r="M284" i="7"/>
  <c r="J260" i="7"/>
  <c r="T3" i="7"/>
  <c r="Q260" i="7"/>
  <c r="R260" i="7"/>
  <c r="I260" i="7"/>
  <c r="N260" i="7"/>
  <c r="O260" i="7"/>
  <c r="P260" i="7"/>
  <c r="L260" i="7"/>
  <c r="H260" i="7"/>
  <c r="R120" i="7"/>
  <c r="I110" i="7"/>
  <c r="P120" i="7"/>
  <c r="O110" i="7"/>
  <c r="M122" i="7"/>
  <c r="R123" i="7"/>
  <c r="O115" i="7"/>
  <c r="M114" i="7"/>
  <c r="I115" i="7"/>
  <c r="Q120" i="7"/>
  <c r="J115" i="7"/>
  <c r="P110" i="7"/>
  <c r="J110" i="7"/>
  <c r="I123" i="7"/>
  <c r="J120" i="7"/>
  <c r="M111" i="7"/>
  <c r="P115" i="7"/>
  <c r="X19" i="7"/>
  <c r="L120" i="7"/>
  <c r="W14" i="7"/>
  <c r="K115" i="7"/>
  <c r="X22" i="7"/>
  <c r="L123" i="7"/>
  <c r="M58" i="7"/>
  <c r="M119" i="7"/>
  <c r="Q110" i="7"/>
  <c r="Q115" i="7"/>
  <c r="Q123" i="7"/>
  <c r="N123" i="7"/>
  <c r="M64" i="7"/>
  <c r="M125" i="7"/>
  <c r="H115" i="7"/>
  <c r="W19" i="7"/>
  <c r="K120" i="7"/>
  <c r="O120" i="7"/>
  <c r="M65" i="7"/>
  <c r="M126" i="7"/>
  <c r="M55" i="7"/>
  <c r="M116" i="7"/>
  <c r="X9" i="7"/>
  <c r="L110" i="7"/>
  <c r="R115" i="7"/>
  <c r="M127" i="7"/>
  <c r="X14" i="7"/>
  <c r="W22" i="7"/>
  <c r="K123" i="7"/>
  <c r="H123" i="7"/>
  <c r="N120" i="7"/>
  <c r="W9" i="7"/>
  <c r="K110" i="7"/>
  <c r="M60" i="7"/>
  <c r="M121" i="7"/>
  <c r="M57" i="7"/>
  <c r="M118" i="7"/>
  <c r="I59" i="7"/>
  <c r="I120" i="7"/>
  <c r="M63" i="7"/>
  <c r="M124" i="7"/>
  <c r="O123" i="7"/>
  <c r="M52" i="7"/>
  <c r="M113" i="7"/>
  <c r="N115" i="7"/>
  <c r="H89" i="7"/>
  <c r="H110" i="7"/>
  <c r="R110" i="7"/>
  <c r="J123" i="7"/>
  <c r="N110" i="7"/>
  <c r="P123" i="7"/>
  <c r="M51" i="7"/>
  <c r="M112" i="7"/>
  <c r="M56" i="7"/>
  <c r="M117" i="7"/>
  <c r="H120" i="7"/>
  <c r="M101" i="7"/>
  <c r="M95" i="7"/>
  <c r="N55" i="7"/>
  <c r="Q94" i="7"/>
  <c r="M98" i="7"/>
  <c r="I102" i="7"/>
  <c r="J99" i="7"/>
  <c r="R94" i="7"/>
  <c r="K99" i="7"/>
  <c r="R99" i="7"/>
  <c r="L89" i="7"/>
  <c r="O89" i="7"/>
  <c r="I89" i="7"/>
  <c r="M90" i="7"/>
  <c r="P99" i="7"/>
  <c r="I99" i="7"/>
  <c r="M105" i="7"/>
  <c r="L99" i="7"/>
  <c r="M92" i="7"/>
  <c r="I94" i="7"/>
  <c r="O94" i="7"/>
  <c r="Q99" i="7"/>
  <c r="L94" i="7"/>
  <c r="R102" i="7"/>
  <c r="J94" i="7"/>
  <c r="J54" i="7"/>
  <c r="O102" i="7"/>
  <c r="H102" i="7"/>
  <c r="O54" i="7"/>
  <c r="M91" i="7"/>
  <c r="R89" i="7"/>
  <c r="Q102" i="7"/>
  <c r="M100" i="7"/>
  <c r="M106" i="7"/>
  <c r="N58" i="7"/>
  <c r="M97" i="7"/>
  <c r="P102" i="7"/>
  <c r="Q62" i="7"/>
  <c r="J102" i="7"/>
  <c r="K102" i="7"/>
  <c r="P89" i="7"/>
  <c r="M96" i="7"/>
  <c r="K94" i="7"/>
  <c r="L102" i="7"/>
  <c r="J89" i="7"/>
  <c r="N94" i="7"/>
  <c r="N102" i="7"/>
  <c r="K89" i="7"/>
  <c r="H94" i="7"/>
  <c r="M93" i="7"/>
  <c r="Q89" i="7"/>
  <c r="N99" i="7"/>
  <c r="J62" i="7"/>
  <c r="P62" i="7"/>
  <c r="N57" i="7"/>
  <c r="Q49" i="7"/>
  <c r="Q54" i="7"/>
  <c r="O59" i="7"/>
  <c r="Q59" i="7"/>
  <c r="N64" i="7"/>
  <c r="I54" i="7"/>
  <c r="O62" i="7"/>
  <c r="N51" i="7"/>
  <c r="P49" i="7"/>
  <c r="N60" i="7"/>
  <c r="R54" i="7"/>
  <c r="N66" i="7"/>
  <c r="M66" i="7"/>
  <c r="R49" i="7"/>
  <c r="P59" i="7"/>
  <c r="R62" i="7"/>
  <c r="R59" i="7"/>
  <c r="N61" i="7"/>
  <c r="M61" i="7"/>
  <c r="J59" i="7"/>
  <c r="N52" i="7"/>
  <c r="M53" i="7"/>
  <c r="N53" i="7"/>
  <c r="N63" i="7"/>
  <c r="I49" i="7"/>
  <c r="O49" i="7"/>
  <c r="J49" i="7"/>
  <c r="I62" i="7"/>
  <c r="P54" i="7"/>
  <c r="N50" i="7"/>
  <c r="M50" i="7"/>
  <c r="N65" i="7"/>
  <c r="N56" i="7"/>
  <c r="M79" i="7"/>
  <c r="M19" i="7"/>
  <c r="AG19" i="7" s="1"/>
  <c r="O68" i="7"/>
  <c r="O318" i="7" s="1"/>
  <c r="N68" i="7"/>
  <c r="N318" i="7" s="1"/>
  <c r="N8" i="7"/>
  <c r="N180" i="7" s="1"/>
  <c r="M22" i="7"/>
  <c r="AG22" i="7" s="1"/>
  <c r="P8" i="7"/>
  <c r="P180" i="7" s="1"/>
  <c r="M69" i="7"/>
  <c r="O8" i="7"/>
  <c r="O180" i="7" s="1"/>
  <c r="M9" i="7"/>
  <c r="AG9" i="7" s="1"/>
  <c r="R8" i="7"/>
  <c r="S8" i="7" s="1"/>
  <c r="I8" i="7"/>
  <c r="J8" i="7"/>
  <c r="J269" i="7" s="1"/>
  <c r="R68" i="7"/>
  <c r="K68" i="7"/>
  <c r="K318" i="7" s="1"/>
  <c r="M74" i="7"/>
  <c r="K260" i="7"/>
  <c r="M171" i="7"/>
  <c r="L68" i="7"/>
  <c r="L318" i="7" s="1"/>
  <c r="M14" i="7"/>
  <c r="AG14" i="7" s="1"/>
  <c r="J68" i="7"/>
  <c r="M82" i="7"/>
  <c r="Q8" i="7"/>
  <c r="Q180" i="7" s="1"/>
  <c r="I68" i="7"/>
  <c r="K8" i="7"/>
  <c r="K180" i="7" s="1"/>
  <c r="L8" i="7"/>
  <c r="H8" i="7"/>
  <c r="P68" i="7"/>
  <c r="P318" i="7" s="1"/>
  <c r="Q68" i="7"/>
  <c r="Q318" i="7" s="1"/>
  <c r="H68" i="7"/>
  <c r="Y14" i="7" l="1"/>
  <c r="R318" i="7"/>
  <c r="R323" i="7" s="1"/>
  <c r="S68" i="7"/>
  <c r="S189" i="7" s="1"/>
  <c r="S197" i="7" s="1"/>
  <c r="S196" i="7" s="1"/>
  <c r="S195" i="7" s="1"/>
  <c r="H318" i="7"/>
  <c r="H270" i="7"/>
  <c r="I318" i="7"/>
  <c r="I322" i="7" s="1"/>
  <c r="I270" i="7"/>
  <c r="J318" i="7"/>
  <c r="J323" i="7" s="1"/>
  <c r="J270" i="7"/>
  <c r="I180" i="7"/>
  <c r="I269" i="7"/>
  <c r="H180" i="7"/>
  <c r="H269" i="7"/>
  <c r="H135" i="7"/>
  <c r="M134" i="7"/>
  <c r="M138" i="7"/>
  <c r="L143" i="7"/>
  <c r="M133" i="7"/>
  <c r="I143" i="7"/>
  <c r="R143" i="7"/>
  <c r="M131" i="7"/>
  <c r="K143" i="7"/>
  <c r="J140" i="7"/>
  <c r="M141" i="7"/>
  <c r="N143" i="7"/>
  <c r="M142" i="7"/>
  <c r="N130" i="7"/>
  <c r="O143" i="7"/>
  <c r="Q143" i="7"/>
  <c r="P130" i="7"/>
  <c r="O130" i="7"/>
  <c r="H143" i="7"/>
  <c r="N135" i="7"/>
  <c r="M145" i="7"/>
  <c r="M146" i="7"/>
  <c r="J130" i="7"/>
  <c r="J143" i="7"/>
  <c r="M144" i="7"/>
  <c r="K130" i="7"/>
  <c r="M147" i="7"/>
  <c r="O140" i="7"/>
  <c r="Q135" i="7"/>
  <c r="L140" i="7"/>
  <c r="J135" i="7"/>
  <c r="P140" i="7"/>
  <c r="H140" i="7"/>
  <c r="R130" i="7"/>
  <c r="R135" i="7"/>
  <c r="K140" i="7"/>
  <c r="Q130" i="7"/>
  <c r="Q140" i="7"/>
  <c r="I130" i="7"/>
  <c r="M132" i="7"/>
  <c r="M136" i="7"/>
  <c r="O135" i="7"/>
  <c r="P143" i="7"/>
  <c r="L135" i="7"/>
  <c r="K135" i="7"/>
  <c r="M137" i="7"/>
  <c r="H130" i="7"/>
  <c r="I140" i="7"/>
  <c r="N140" i="7"/>
  <c r="L130" i="7"/>
  <c r="M139" i="7"/>
  <c r="P135" i="7"/>
  <c r="I135" i="7"/>
  <c r="R140" i="7"/>
  <c r="N312" i="7"/>
  <c r="N210" i="7" s="1"/>
  <c r="U2" i="7"/>
  <c r="R322" i="7"/>
  <c r="P322" i="7"/>
  <c r="P323" i="7"/>
  <c r="I181" i="7"/>
  <c r="I182" i="7"/>
  <c r="I317" i="7"/>
  <c r="I321" i="7" s="1"/>
  <c r="I183" i="7"/>
  <c r="I185" i="7"/>
  <c r="I184" i="7"/>
  <c r="I186" i="7"/>
  <c r="L186" i="7"/>
  <c r="L183" i="7"/>
  <c r="L317" i="7"/>
  <c r="L182" i="7"/>
  <c r="L185" i="7"/>
  <c r="L181" i="7"/>
  <c r="L184" i="7"/>
  <c r="K317" i="7"/>
  <c r="K321" i="7" s="1"/>
  <c r="K186" i="7"/>
  <c r="K183" i="7"/>
  <c r="K185" i="7"/>
  <c r="K182" i="7"/>
  <c r="K184" i="7"/>
  <c r="K181" i="7"/>
  <c r="O317" i="7"/>
  <c r="O321" i="7" s="1"/>
  <c r="O182" i="7"/>
  <c r="O185" i="7"/>
  <c r="O186" i="7"/>
  <c r="O183" i="7"/>
  <c r="O184" i="7"/>
  <c r="O181" i="7"/>
  <c r="Q317" i="7"/>
  <c r="Q321" i="7" s="1"/>
  <c r="Q183" i="7"/>
  <c r="Q181" i="7"/>
  <c r="Q184" i="7"/>
  <c r="Q182" i="7"/>
  <c r="Q186" i="7"/>
  <c r="Q185" i="7"/>
  <c r="K323" i="7"/>
  <c r="K322" i="7"/>
  <c r="P317" i="7"/>
  <c r="P321" i="7" s="1"/>
  <c r="P184" i="7"/>
  <c r="P182" i="7"/>
  <c r="P185" i="7"/>
  <c r="P183" i="7"/>
  <c r="P181" i="7"/>
  <c r="P186" i="7"/>
  <c r="J317" i="7"/>
  <c r="J321" i="7" s="1"/>
  <c r="J181" i="7"/>
  <c r="J186" i="7"/>
  <c r="J184" i="7"/>
  <c r="J183" i="7"/>
  <c r="J185" i="7"/>
  <c r="J182" i="7"/>
  <c r="N183" i="7"/>
  <c r="N182" i="7"/>
  <c r="N184" i="7"/>
  <c r="N317" i="7"/>
  <c r="N321" i="7" s="1"/>
  <c r="N185" i="7"/>
  <c r="N181" i="7"/>
  <c r="N186" i="7"/>
  <c r="H185" i="7"/>
  <c r="H184" i="7"/>
  <c r="H317" i="7"/>
  <c r="H186" i="7"/>
  <c r="H182" i="7"/>
  <c r="H181" i="7"/>
  <c r="H183" i="7"/>
  <c r="R3" i="7"/>
  <c r="R317" i="7"/>
  <c r="R321" i="7" s="1"/>
  <c r="R186" i="7"/>
  <c r="R181" i="7"/>
  <c r="R183" i="7"/>
  <c r="R185" i="7"/>
  <c r="R182" i="7"/>
  <c r="R184" i="7"/>
  <c r="O322" i="7"/>
  <c r="O323" i="7"/>
  <c r="R180" i="7"/>
  <c r="J180" i="7"/>
  <c r="Q322" i="7"/>
  <c r="Q323" i="7"/>
  <c r="N323" i="7"/>
  <c r="N322" i="7"/>
  <c r="L180" i="7"/>
  <c r="Y22" i="7"/>
  <c r="K109" i="7"/>
  <c r="K150" i="7" s="1"/>
  <c r="Y19" i="7"/>
  <c r="O109" i="7"/>
  <c r="O163" i="7" s="1"/>
  <c r="Y9" i="7"/>
  <c r="P109" i="7"/>
  <c r="P163" i="7" s="1"/>
  <c r="M49" i="7"/>
  <c r="M110" i="7"/>
  <c r="Q109" i="7"/>
  <c r="Q155" i="7" s="1"/>
  <c r="L34" i="7"/>
  <c r="L109" i="7"/>
  <c r="L160" i="7" s="1"/>
  <c r="M59" i="7"/>
  <c r="M120" i="7"/>
  <c r="I42" i="7"/>
  <c r="I109" i="7"/>
  <c r="I150" i="7" s="1"/>
  <c r="M62" i="7"/>
  <c r="M123" i="7"/>
  <c r="J109" i="7"/>
  <c r="J160" i="7" s="1"/>
  <c r="N34" i="7"/>
  <c r="N109" i="7"/>
  <c r="N155" i="7" s="1"/>
  <c r="M54" i="7"/>
  <c r="M115" i="7"/>
  <c r="H109" i="7"/>
  <c r="H150" i="7" s="1"/>
  <c r="R109" i="7"/>
  <c r="J48" i="7"/>
  <c r="M102" i="7"/>
  <c r="Q48" i="7"/>
  <c r="I34" i="7"/>
  <c r="I39" i="7"/>
  <c r="I29" i="7"/>
  <c r="M94" i="7"/>
  <c r="L259" i="7"/>
  <c r="L88" i="7"/>
  <c r="O259" i="7"/>
  <c r="O88" i="7"/>
  <c r="I259" i="7"/>
  <c r="I88" i="7"/>
  <c r="M89" i="7"/>
  <c r="M99" i="7"/>
  <c r="R259" i="7"/>
  <c r="R88" i="7"/>
  <c r="J259" i="7"/>
  <c r="J88" i="7"/>
  <c r="K88" i="7"/>
  <c r="H259" i="7"/>
  <c r="H88" i="7"/>
  <c r="Q259" i="7"/>
  <c r="Q88" i="7"/>
  <c r="P259" i="7"/>
  <c r="P88" i="7"/>
  <c r="N259" i="7"/>
  <c r="N88" i="7"/>
  <c r="P48" i="7"/>
  <c r="N49" i="7"/>
  <c r="J29" i="7"/>
  <c r="P34" i="7"/>
  <c r="R48" i="7"/>
  <c r="N59" i="7"/>
  <c r="K42" i="7"/>
  <c r="O29" i="7"/>
  <c r="O48" i="7"/>
  <c r="P39" i="7"/>
  <c r="N62" i="7"/>
  <c r="N54" i="7"/>
  <c r="N39" i="7"/>
  <c r="Q39" i="7"/>
  <c r="I48" i="7"/>
  <c r="Q42" i="7"/>
  <c r="H28" i="7"/>
  <c r="H46" i="7"/>
  <c r="H38" i="7"/>
  <c r="H35" i="7"/>
  <c r="H45" i="7"/>
  <c r="H31" i="7"/>
  <c r="H33" i="7"/>
  <c r="H39" i="7"/>
  <c r="H32" i="7"/>
  <c r="H30" i="7"/>
  <c r="H36" i="7"/>
  <c r="H43" i="7"/>
  <c r="H44" i="7"/>
  <c r="H37" i="7"/>
  <c r="H41" i="7"/>
  <c r="H40" i="7"/>
  <c r="R37" i="7"/>
  <c r="R31" i="7"/>
  <c r="R28" i="7"/>
  <c r="R41" i="7"/>
  <c r="R33" i="7"/>
  <c r="R44" i="7"/>
  <c r="R40" i="7"/>
  <c r="R38" i="7"/>
  <c r="R36" i="7"/>
  <c r="R45" i="7"/>
  <c r="R46" i="7"/>
  <c r="R30" i="7"/>
  <c r="R43" i="7"/>
  <c r="R32" i="7"/>
  <c r="R35" i="7"/>
  <c r="R29" i="7"/>
  <c r="O28" i="7"/>
  <c r="O41" i="7"/>
  <c r="O32" i="7"/>
  <c r="O31" i="7"/>
  <c r="O37" i="7"/>
  <c r="O36" i="7"/>
  <c r="O45" i="7"/>
  <c r="O43" i="7"/>
  <c r="O35" i="7"/>
  <c r="O30" i="7"/>
  <c r="O46" i="7"/>
  <c r="O44" i="7"/>
  <c r="O40" i="7"/>
  <c r="O38" i="7"/>
  <c r="O33" i="7"/>
  <c r="L42" i="7"/>
  <c r="R39" i="7"/>
  <c r="K45" i="7"/>
  <c r="K36" i="7"/>
  <c r="K28" i="7"/>
  <c r="K46" i="7"/>
  <c r="K38" i="7"/>
  <c r="K43" i="7"/>
  <c r="K44" i="7"/>
  <c r="K35" i="7"/>
  <c r="K40" i="7"/>
  <c r="K37" i="7"/>
  <c r="K32" i="7"/>
  <c r="K31" i="7"/>
  <c r="K41" i="7"/>
  <c r="K30" i="7"/>
  <c r="K33" i="7"/>
  <c r="O42" i="7"/>
  <c r="L28" i="7"/>
  <c r="L33" i="7"/>
  <c r="L35" i="7"/>
  <c r="L37" i="7"/>
  <c r="L40" i="7"/>
  <c r="L38" i="7"/>
  <c r="L44" i="7"/>
  <c r="L31" i="7"/>
  <c r="L46" i="7"/>
  <c r="L32" i="7"/>
  <c r="L45" i="7"/>
  <c r="L41" i="7"/>
  <c r="L36" i="7"/>
  <c r="L30" i="7"/>
  <c r="L43" i="7"/>
  <c r="Q43" i="7"/>
  <c r="Q35" i="7"/>
  <c r="Q40" i="7"/>
  <c r="Q32" i="7"/>
  <c r="Q28" i="7"/>
  <c r="Q33" i="7"/>
  <c r="Q38" i="7"/>
  <c r="Q45" i="7"/>
  <c r="Q37" i="7"/>
  <c r="Q41" i="7"/>
  <c r="Q46" i="7"/>
  <c r="Q30" i="7"/>
  <c r="Q36" i="7"/>
  <c r="Q31" i="7"/>
  <c r="Q44" i="7"/>
  <c r="P28" i="7"/>
  <c r="P30" i="7"/>
  <c r="P46" i="7"/>
  <c r="P31" i="7"/>
  <c r="P33" i="7"/>
  <c r="P37" i="7"/>
  <c r="P32" i="7"/>
  <c r="P43" i="7"/>
  <c r="P45" i="7"/>
  <c r="P38" i="7"/>
  <c r="P36" i="7"/>
  <c r="P44" i="7"/>
  <c r="P41" i="7"/>
  <c r="P35" i="7"/>
  <c r="P40" i="7"/>
  <c r="K29" i="7"/>
  <c r="R34" i="7"/>
  <c r="H34" i="7"/>
  <c r="K39" i="7"/>
  <c r="Q29" i="7"/>
  <c r="H29" i="7"/>
  <c r="P42" i="7"/>
  <c r="L29" i="7"/>
  <c r="H42" i="7"/>
  <c r="O39" i="7"/>
  <c r="J40" i="7"/>
  <c r="J32" i="7"/>
  <c r="J37" i="7"/>
  <c r="J28" i="7"/>
  <c r="J46" i="7"/>
  <c r="J35" i="7"/>
  <c r="J38" i="7"/>
  <c r="J44" i="7"/>
  <c r="J45" i="7"/>
  <c r="J43" i="7"/>
  <c r="J41" i="7"/>
  <c r="J31" i="7"/>
  <c r="J36" i="7"/>
  <c r="J30" i="7"/>
  <c r="J33" i="7"/>
  <c r="N28" i="7"/>
  <c r="N44" i="7"/>
  <c r="N36" i="7"/>
  <c r="N33" i="7"/>
  <c r="N43" i="7"/>
  <c r="N37" i="7"/>
  <c r="N40" i="7"/>
  <c r="N35" i="7"/>
  <c r="N30" i="7"/>
  <c r="N45" i="7"/>
  <c r="N46" i="7"/>
  <c r="N41" i="7"/>
  <c r="N32" i="7"/>
  <c r="N31" i="7"/>
  <c r="N38" i="7"/>
  <c r="N29" i="7"/>
  <c r="Q34" i="7"/>
  <c r="J34" i="7"/>
  <c r="J39" i="7"/>
  <c r="O34" i="7"/>
  <c r="I44" i="7"/>
  <c r="I28" i="7"/>
  <c r="I32" i="7"/>
  <c r="I33" i="7"/>
  <c r="I36" i="7"/>
  <c r="I37" i="7"/>
  <c r="I41" i="7"/>
  <c r="I43" i="7"/>
  <c r="I45" i="7"/>
  <c r="I46" i="7"/>
  <c r="I31" i="7"/>
  <c r="I35" i="7"/>
  <c r="I30" i="7"/>
  <c r="I38" i="7"/>
  <c r="I40" i="7"/>
  <c r="J42" i="7"/>
  <c r="P29" i="7"/>
  <c r="N42" i="7"/>
  <c r="L39" i="7"/>
  <c r="R42" i="7"/>
  <c r="K34" i="7"/>
  <c r="Q258" i="7"/>
  <c r="Q189" i="7"/>
  <c r="Q197" i="7" s="1"/>
  <c r="Q195" i="7" s="1"/>
  <c r="P258" i="7"/>
  <c r="P189" i="7"/>
  <c r="P197" i="7" s="1"/>
  <c r="P195" i="7" s="1"/>
  <c r="J258" i="7"/>
  <c r="J189" i="7"/>
  <c r="N258" i="7"/>
  <c r="N189" i="7"/>
  <c r="I258" i="7"/>
  <c r="I189" i="7"/>
  <c r="H258" i="7"/>
  <c r="H189" i="7"/>
  <c r="R258" i="7"/>
  <c r="R189" i="7"/>
  <c r="R197" i="7" s="1"/>
  <c r="R195" i="7" s="1"/>
  <c r="L258" i="7"/>
  <c r="L189" i="7"/>
  <c r="K189" i="7"/>
  <c r="K190" i="7" s="1"/>
  <c r="O258" i="7"/>
  <c r="O189" i="7"/>
  <c r="O197" i="7" s="1"/>
  <c r="O195" i="7" s="1"/>
  <c r="K258" i="7"/>
  <c r="M8" i="7"/>
  <c r="K259" i="7"/>
  <c r="M68" i="7"/>
  <c r="M318" i="7" s="1"/>
  <c r="I323" i="7" l="1"/>
  <c r="J322" i="7"/>
  <c r="S190" i="7"/>
  <c r="S109" i="7"/>
  <c r="N190" i="7"/>
  <c r="N195" i="7"/>
  <c r="R190" i="7"/>
  <c r="P190" i="7"/>
  <c r="O190" i="7"/>
  <c r="Q190" i="7"/>
  <c r="L190" i="7"/>
  <c r="L207" i="7"/>
  <c r="L212" i="7" s="1"/>
  <c r="L215" i="7" s="1"/>
  <c r="J190" i="7"/>
  <c r="J272" i="7"/>
  <c r="H190" i="7"/>
  <c r="H272" i="7"/>
  <c r="I190" i="7"/>
  <c r="I272" i="7"/>
  <c r="J163" i="7"/>
  <c r="H163" i="7"/>
  <c r="I160" i="7"/>
  <c r="K160" i="7"/>
  <c r="J150" i="7"/>
  <c r="N163" i="7"/>
  <c r="O160" i="7"/>
  <c r="L163" i="7"/>
  <c r="Q163" i="7"/>
  <c r="L155" i="7"/>
  <c r="J155" i="7"/>
  <c r="M130" i="7"/>
  <c r="P155" i="7"/>
  <c r="P160" i="7"/>
  <c r="R129" i="7"/>
  <c r="R149" i="7"/>
  <c r="R153" i="7"/>
  <c r="R156" i="7"/>
  <c r="R164" i="7"/>
  <c r="R152" i="7"/>
  <c r="R166" i="7"/>
  <c r="R151" i="7"/>
  <c r="R162" i="7"/>
  <c r="R165" i="7"/>
  <c r="R161" i="7"/>
  <c r="R154" i="7"/>
  <c r="R159" i="7"/>
  <c r="R157" i="7"/>
  <c r="R158" i="7"/>
  <c r="R167" i="7"/>
  <c r="H129" i="7"/>
  <c r="H154" i="7"/>
  <c r="H153" i="7"/>
  <c r="H152" i="7"/>
  <c r="H151" i="7"/>
  <c r="H149" i="7"/>
  <c r="H156" i="7"/>
  <c r="H165" i="7"/>
  <c r="H162" i="7"/>
  <c r="H158" i="7"/>
  <c r="H166" i="7"/>
  <c r="H157" i="7"/>
  <c r="H167" i="7"/>
  <c r="H159" i="7"/>
  <c r="H161" i="7"/>
  <c r="H164" i="7"/>
  <c r="I129" i="7"/>
  <c r="I149" i="7"/>
  <c r="I166" i="7"/>
  <c r="I152" i="7"/>
  <c r="I167" i="7"/>
  <c r="I159" i="7"/>
  <c r="I154" i="7"/>
  <c r="I162" i="7"/>
  <c r="I157" i="7"/>
  <c r="I153" i="7"/>
  <c r="I158" i="7"/>
  <c r="I161" i="7"/>
  <c r="I165" i="7"/>
  <c r="I156" i="7"/>
  <c r="I164" i="7"/>
  <c r="I151" i="7"/>
  <c r="M140" i="7"/>
  <c r="M135" i="7"/>
  <c r="R163" i="7"/>
  <c r="N129" i="7"/>
  <c r="N149" i="7"/>
  <c r="N156" i="7"/>
  <c r="N159" i="7"/>
  <c r="N165" i="7"/>
  <c r="N166" i="7"/>
  <c r="N167" i="7"/>
  <c r="N162" i="7"/>
  <c r="N152" i="7"/>
  <c r="N153" i="7"/>
  <c r="N154" i="7"/>
  <c r="N151" i="7"/>
  <c r="N158" i="7"/>
  <c r="N164" i="7"/>
  <c r="N157" i="7"/>
  <c r="N161" i="7"/>
  <c r="O129" i="7"/>
  <c r="O149" i="7"/>
  <c r="O162" i="7"/>
  <c r="O157" i="7"/>
  <c r="O166" i="7"/>
  <c r="O161" i="7"/>
  <c r="O158" i="7"/>
  <c r="O159" i="7"/>
  <c r="O154" i="7"/>
  <c r="O165" i="7"/>
  <c r="O167" i="7"/>
  <c r="O153" i="7"/>
  <c r="O164" i="7"/>
  <c r="O152" i="7"/>
  <c r="O156" i="7"/>
  <c r="O151" i="7"/>
  <c r="R160" i="7"/>
  <c r="L150" i="7"/>
  <c r="O155" i="7"/>
  <c r="Q160" i="7"/>
  <c r="R150" i="7"/>
  <c r="O150" i="7"/>
  <c r="N150" i="7"/>
  <c r="I163" i="7"/>
  <c r="R155" i="7"/>
  <c r="L129" i="7"/>
  <c r="L149" i="7"/>
  <c r="L164" i="7"/>
  <c r="L154" i="7"/>
  <c r="L152" i="7"/>
  <c r="L165" i="7"/>
  <c r="L161" i="7"/>
  <c r="L166" i="7"/>
  <c r="L158" i="7"/>
  <c r="L157" i="7"/>
  <c r="L153" i="7"/>
  <c r="L162" i="7"/>
  <c r="L159" i="7"/>
  <c r="L151" i="7"/>
  <c r="L167" i="7"/>
  <c r="L156" i="7"/>
  <c r="P129" i="7"/>
  <c r="P149" i="7"/>
  <c r="P154" i="7"/>
  <c r="P161" i="7"/>
  <c r="P152" i="7"/>
  <c r="P167" i="7"/>
  <c r="P159" i="7"/>
  <c r="P158" i="7"/>
  <c r="P153" i="7"/>
  <c r="P165" i="7"/>
  <c r="P156" i="7"/>
  <c r="P166" i="7"/>
  <c r="P151" i="7"/>
  <c r="P162" i="7"/>
  <c r="P164" i="7"/>
  <c r="P157" i="7"/>
  <c r="J129" i="7"/>
  <c r="J149" i="7"/>
  <c r="J162" i="7"/>
  <c r="J157" i="7"/>
  <c r="J156" i="7"/>
  <c r="J151" i="7"/>
  <c r="J153" i="7"/>
  <c r="J167" i="7"/>
  <c r="J164" i="7"/>
  <c r="J166" i="7"/>
  <c r="J154" i="7"/>
  <c r="J165" i="7"/>
  <c r="J152" i="7"/>
  <c r="J159" i="7"/>
  <c r="J161" i="7"/>
  <c r="J158" i="7"/>
  <c r="K129" i="7"/>
  <c r="K149" i="7"/>
  <c r="K151" i="7"/>
  <c r="K153" i="7"/>
  <c r="K152" i="7"/>
  <c r="K154" i="7"/>
  <c r="K165" i="7"/>
  <c r="K164" i="7"/>
  <c r="K161" i="7"/>
  <c r="K157" i="7"/>
  <c r="K162" i="7"/>
  <c r="K156" i="7"/>
  <c r="K166" i="7"/>
  <c r="K158" i="7"/>
  <c r="K159" i="7"/>
  <c r="K167" i="7"/>
  <c r="I155" i="7"/>
  <c r="N160" i="7"/>
  <c r="K155" i="7"/>
  <c r="Q150" i="7"/>
  <c r="H160" i="7"/>
  <c r="P150" i="7"/>
  <c r="K163" i="7"/>
  <c r="H155" i="7"/>
  <c r="M143" i="7"/>
  <c r="Q129" i="7"/>
  <c r="Q149" i="7"/>
  <c r="Q154" i="7"/>
  <c r="Q158" i="7"/>
  <c r="Q164" i="7"/>
  <c r="Q156" i="7"/>
  <c r="Q153" i="7"/>
  <c r="Q161" i="7"/>
  <c r="Q151" i="7"/>
  <c r="Q162" i="7"/>
  <c r="Q167" i="7"/>
  <c r="Q159" i="7"/>
  <c r="Q157" i="7"/>
  <c r="Q166" i="7"/>
  <c r="Q152" i="7"/>
  <c r="Q165" i="7"/>
  <c r="M317" i="7"/>
  <c r="M186" i="7"/>
  <c r="M182" i="7"/>
  <c r="M183" i="7"/>
  <c r="M181" i="7"/>
  <c r="M185" i="7"/>
  <c r="M184" i="7"/>
  <c r="M180" i="7"/>
  <c r="N48" i="7"/>
  <c r="M109" i="7"/>
  <c r="M163" i="7" s="1"/>
  <c r="M88" i="7"/>
  <c r="M29" i="7"/>
  <c r="M48" i="7"/>
  <c r="M34" i="7"/>
  <c r="M42" i="7"/>
  <c r="M28" i="7"/>
  <c r="M32" i="7"/>
  <c r="M41" i="7"/>
  <c r="M45" i="7"/>
  <c r="M44" i="7"/>
  <c r="M31" i="7"/>
  <c r="M35" i="7"/>
  <c r="M38" i="7"/>
  <c r="M46" i="7"/>
  <c r="M40" i="7"/>
  <c r="M36" i="7"/>
  <c r="M33" i="7"/>
  <c r="M37" i="7"/>
  <c r="M30" i="7"/>
  <c r="M43" i="7"/>
  <c r="M39" i="7"/>
  <c r="M189" i="7"/>
  <c r="M196" i="7" l="1"/>
  <c r="M195" i="7" s="1"/>
  <c r="M197" i="7"/>
  <c r="S199" i="7"/>
  <c r="Q199" i="7"/>
  <c r="R199" i="7"/>
  <c r="P199" i="7"/>
  <c r="O199" i="7"/>
  <c r="O200" i="7" s="1"/>
  <c r="O201" i="7" s="1"/>
  <c r="M190" i="7"/>
  <c r="N199" i="7"/>
  <c r="M155" i="7"/>
  <c r="M160" i="7"/>
  <c r="M129" i="7"/>
  <c r="M149" i="7"/>
  <c r="M153" i="7"/>
  <c r="M162" i="7"/>
  <c r="M165" i="7"/>
  <c r="M164" i="7"/>
  <c r="M156" i="7"/>
  <c r="M161" i="7"/>
  <c r="M154" i="7"/>
  <c r="M166" i="7"/>
  <c r="M157" i="7"/>
  <c r="M158" i="7"/>
  <c r="M167" i="7"/>
  <c r="M159" i="7"/>
  <c r="M151" i="7"/>
  <c r="M152" i="7"/>
  <c r="M150" i="7"/>
  <c r="P200" i="7" l="1"/>
  <c r="R200" i="7"/>
  <c r="R201" i="7" s="1"/>
  <c r="Q200" i="7"/>
  <c r="Q201" i="7" s="1"/>
  <c r="Q202" i="7" s="1"/>
  <c r="S200" i="7"/>
  <c r="O202" i="7"/>
  <c r="O207" i="7" s="1"/>
  <c r="O212" i="7" s="1"/>
  <c r="O215" i="7" s="1"/>
  <c r="N200" i="7"/>
  <c r="N201" i="7" s="1"/>
  <c r="M199" i="7"/>
  <c r="Q194" i="7" l="1"/>
  <c r="P201" i="7"/>
  <c r="P202" i="7" s="1"/>
  <c r="S201" i="7"/>
  <c r="S202" i="7" s="1"/>
  <c r="S203" i="7" s="1"/>
  <c r="O194" i="7"/>
  <c r="P207" i="7"/>
  <c r="P212" i="7" s="1"/>
  <c r="P215" i="7" s="1"/>
  <c r="S207" i="7"/>
  <c r="S212" i="7" s="1"/>
  <c r="S215" i="7" s="1"/>
  <c r="O203" i="7"/>
  <c r="Q203" i="7"/>
  <c r="Q207" i="7"/>
  <c r="Q212" i="7" s="1"/>
  <c r="Q215" i="7" s="1"/>
  <c r="N202" i="7"/>
  <c r="N192" i="7" s="1"/>
  <c r="N207" i="7" s="1"/>
  <c r="N212" i="7" s="1"/>
  <c r="N215" i="7" s="1"/>
  <c r="R202" i="7"/>
  <c r="R203" i="7" s="1"/>
  <c r="M200" i="7"/>
  <c r="M201" i="7" s="1"/>
  <c r="P203" i="7" l="1"/>
  <c r="P194" i="7"/>
  <c r="S194" i="7"/>
  <c r="N194" i="7"/>
  <c r="R194" i="7"/>
  <c r="N203" i="7"/>
  <c r="R207" i="7"/>
  <c r="R212" i="7" s="1"/>
  <c r="R215" i="7" s="1"/>
  <c r="S217" i="7" s="1"/>
  <c r="M202" i="7"/>
  <c r="S220" i="7" l="1"/>
  <c r="U217" i="7"/>
  <c r="M203" i="7"/>
  <c r="M194" i="7"/>
  <c r="M207" i="7"/>
  <c r="M212" i="7" s="1"/>
  <c r="S224" i="7" l="1"/>
  <c r="D239"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tc={949A2D8F-F11F-4327-A030-0E8722ADB416}</author>
    <author>tc={42EAB490-7E76-42B8-9F70-AF6C8B2EF96D}</author>
    <author>Haze</author>
  </authors>
  <commentList>
    <comment ref="Z3" authorId="0" shapeId="0" xr:uid="{949A2D8F-F11F-4327-A030-0E8722ADB416}">
      <text>
        <t>[스레드 댓글]
사용 중인 버전의 Excel에서 이 스레드 댓글을 읽을 수 있지만 파일을 이후 버전의 Excel에서 열면 편집 내용이 모두 제거됩니다. 자세한 정보: https://go.microsoft.com/fwlink/?linkid=870924.
댓글:
    [CAGR] 연평균 성장률
 - Compound Annual Growth Rate</t>
      </text>
    </comment>
    <comment ref="Q32" authorId="1" shapeId="0" xr:uid="{42EAB490-7E76-42B8-9F70-AF6C8B2EF96D}">
      <text>
        <t>[스레드 댓글]
사용 중인 버전의 Excel에서 이 스레드 댓글을 읽을 수 있지만 파일을 이후 버전의 Excel에서 열면 편집 내용이 모두 제거됩니다. 자세한 정보: https://go.microsoft.com/fwlink/?linkid=870924.
댓글:
    [ARPPU] 유저당 평균매출액
 - Average Revenue Per Paying User</t>
      </text>
    </comment>
    <comment ref="U48" authorId="2" shapeId="0" xr:uid="{B648A690-DE62-4A10-B93D-7554555BB5A1}">
      <text>
        <r>
          <rPr>
            <b/>
            <sz val="9"/>
            <color indexed="81"/>
            <rFont val="Tahoma"/>
            <family val="2"/>
          </rPr>
          <t>Haze:</t>
        </r>
        <r>
          <rPr>
            <sz val="9"/>
            <color indexed="81"/>
            <rFont val="Tahoma"/>
            <family val="2"/>
          </rPr>
          <t xml:space="preserve">
B</t>
        </r>
        <r>
          <rPr>
            <sz val="9"/>
            <color indexed="81"/>
            <rFont val="돋움"/>
            <family val="3"/>
            <charset val="129"/>
          </rPr>
          <t>사</t>
        </r>
        <r>
          <rPr>
            <sz val="9"/>
            <color indexed="81"/>
            <rFont val="Tahoma"/>
            <family val="2"/>
          </rPr>
          <t xml:space="preserve"> </t>
        </r>
        <r>
          <rPr>
            <sz val="9"/>
            <color indexed="81"/>
            <rFont val="돋움"/>
            <family val="3"/>
            <charset val="129"/>
          </rPr>
          <t>메타</t>
        </r>
        <r>
          <rPr>
            <sz val="9"/>
            <color indexed="81"/>
            <rFont val="Tahoma"/>
            <family val="2"/>
          </rPr>
          <t>DB 4</t>
        </r>
        <r>
          <rPr>
            <sz val="9"/>
            <color indexed="81"/>
            <rFont val="돋움"/>
            <family val="3"/>
            <charset val="129"/>
          </rPr>
          <t>월</t>
        </r>
        <r>
          <rPr>
            <sz val="9"/>
            <color indexed="81"/>
            <rFont val="Tahoma"/>
            <family val="2"/>
          </rPr>
          <t xml:space="preserve"> </t>
        </r>
        <r>
          <rPr>
            <sz val="9"/>
            <color indexed="81"/>
            <rFont val="돋움"/>
            <family val="3"/>
            <charset val="129"/>
          </rPr>
          <t>계약종료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Roy</author>
  </authors>
  <commentList>
    <comment ref="M9" authorId="0" shapeId="0" xr:uid="{29E9D439-3ED9-4D4F-BA3B-E15DE9F958F3}">
      <text>
        <r>
          <rPr>
            <b/>
            <sz val="9"/>
            <color indexed="81"/>
            <rFont val="Tahoma"/>
            <family val="2"/>
          </rPr>
          <t>Roy:</t>
        </r>
        <r>
          <rPr>
            <sz val="9"/>
            <color indexed="81"/>
            <rFont val="Tahoma"/>
            <family val="2"/>
          </rPr>
          <t xml:space="preserve">
- '21</t>
        </r>
        <r>
          <rPr>
            <sz val="9"/>
            <color indexed="81"/>
            <rFont val="돋움"/>
            <family val="3"/>
            <charset val="129"/>
          </rPr>
          <t>년</t>
        </r>
        <r>
          <rPr>
            <sz val="9"/>
            <color indexed="81"/>
            <rFont val="Tahoma"/>
            <family val="2"/>
          </rPr>
          <t xml:space="preserve"> </t>
        </r>
        <r>
          <rPr>
            <sz val="9"/>
            <color indexed="81"/>
            <rFont val="돋움"/>
            <family val="3"/>
            <charset val="129"/>
          </rPr>
          <t>매출</t>
        </r>
        <r>
          <rPr>
            <sz val="9"/>
            <color indexed="81"/>
            <rFont val="Tahoma"/>
            <family val="2"/>
          </rPr>
          <t xml:space="preserve">: </t>
        </r>
        <r>
          <rPr>
            <sz val="9"/>
            <color indexed="81"/>
            <rFont val="돋움"/>
            <family val="3"/>
            <charset val="129"/>
          </rPr>
          <t>소니</t>
        </r>
        <r>
          <rPr>
            <sz val="9"/>
            <color indexed="81"/>
            <rFont val="Tahoma"/>
            <family val="2"/>
          </rPr>
          <t xml:space="preserve"> </t>
        </r>
        <r>
          <rPr>
            <sz val="9"/>
            <color indexed="81"/>
            <rFont val="돋움"/>
            <family val="3"/>
            <charset val="129"/>
          </rPr>
          <t>음반</t>
        </r>
        <r>
          <rPr>
            <sz val="9"/>
            <color indexed="81"/>
            <rFont val="Tahoma"/>
            <family val="2"/>
          </rPr>
          <t xml:space="preserve"> 28</t>
        </r>
        <r>
          <rPr>
            <sz val="9"/>
            <color indexed="81"/>
            <rFont val="돋움"/>
            <family val="3"/>
            <charset val="129"/>
          </rPr>
          <t>억</t>
        </r>
        <r>
          <rPr>
            <sz val="9"/>
            <color indexed="81"/>
            <rFont val="Tahoma"/>
            <family val="2"/>
          </rPr>
          <t xml:space="preserve">, </t>
        </r>
        <r>
          <rPr>
            <sz val="9"/>
            <color indexed="81"/>
            <rFont val="돋움"/>
            <family val="3"/>
            <charset val="129"/>
          </rPr>
          <t>음원</t>
        </r>
        <r>
          <rPr>
            <sz val="9"/>
            <color indexed="81"/>
            <rFont val="Tahoma"/>
            <family val="2"/>
          </rPr>
          <t xml:space="preserve"> 34</t>
        </r>
        <r>
          <rPr>
            <sz val="9"/>
            <color indexed="81"/>
            <rFont val="돋움"/>
            <family val="3"/>
            <charset val="129"/>
          </rPr>
          <t>억</t>
        </r>
        <r>
          <rPr>
            <sz val="9"/>
            <color indexed="81"/>
            <rFont val="Tahoma"/>
            <family val="2"/>
          </rPr>
          <t xml:space="preserve"> / </t>
        </r>
        <r>
          <rPr>
            <sz val="9"/>
            <color indexed="81"/>
            <rFont val="돋움"/>
            <family val="3"/>
            <charset val="129"/>
          </rPr>
          <t>카카오</t>
        </r>
        <r>
          <rPr>
            <sz val="9"/>
            <color indexed="81"/>
            <rFont val="Tahoma"/>
            <family val="2"/>
          </rPr>
          <t xml:space="preserve"> </t>
        </r>
        <r>
          <rPr>
            <sz val="9"/>
            <color indexed="81"/>
            <rFont val="돋움"/>
            <family val="3"/>
            <charset val="129"/>
          </rPr>
          <t>음반</t>
        </r>
        <r>
          <rPr>
            <sz val="9"/>
            <color indexed="81"/>
            <rFont val="Tahoma"/>
            <family val="2"/>
          </rPr>
          <t xml:space="preserve"> 85</t>
        </r>
        <r>
          <rPr>
            <sz val="9"/>
            <color indexed="81"/>
            <rFont val="돋움"/>
            <family val="3"/>
            <charset val="129"/>
          </rPr>
          <t>억</t>
        </r>
        <r>
          <rPr>
            <sz val="9"/>
            <color indexed="81"/>
            <rFont val="Tahoma"/>
            <family val="2"/>
          </rPr>
          <t xml:space="preserve">, </t>
        </r>
        <r>
          <rPr>
            <sz val="9"/>
            <color indexed="81"/>
            <rFont val="돋움"/>
            <family val="3"/>
            <charset val="129"/>
          </rPr>
          <t>음원</t>
        </r>
        <r>
          <rPr>
            <sz val="9"/>
            <color indexed="81"/>
            <rFont val="Tahoma"/>
            <family val="2"/>
          </rPr>
          <t xml:space="preserve"> 47</t>
        </r>
        <r>
          <rPr>
            <sz val="9"/>
            <color indexed="81"/>
            <rFont val="돋움"/>
            <family val="3"/>
            <charset val="129"/>
          </rPr>
          <t xml:space="preserve">억
</t>
        </r>
        <r>
          <rPr>
            <sz val="9"/>
            <color indexed="81"/>
            <rFont val="Tahoma"/>
            <family val="2"/>
          </rPr>
          <t xml:space="preserve">- </t>
        </r>
        <r>
          <rPr>
            <sz val="9"/>
            <color indexed="81"/>
            <rFont val="돋움"/>
            <family val="3"/>
            <charset val="129"/>
          </rPr>
          <t>계약기간</t>
        </r>
        <r>
          <rPr>
            <sz val="9"/>
            <color indexed="81"/>
            <rFont val="Tahoma"/>
            <family val="2"/>
          </rPr>
          <t xml:space="preserve">: </t>
        </r>
        <r>
          <rPr>
            <sz val="9"/>
            <color indexed="81"/>
            <rFont val="돋움"/>
            <family val="3"/>
            <charset val="129"/>
          </rPr>
          <t>소니</t>
        </r>
        <r>
          <rPr>
            <sz val="9"/>
            <color indexed="81"/>
            <rFont val="Tahoma"/>
            <family val="2"/>
          </rPr>
          <t xml:space="preserve"> ~'24</t>
        </r>
        <r>
          <rPr>
            <sz val="9"/>
            <color indexed="81"/>
            <rFont val="돋움"/>
            <family val="3"/>
            <charset val="129"/>
          </rPr>
          <t>년</t>
        </r>
        <r>
          <rPr>
            <sz val="9"/>
            <color indexed="81"/>
            <rFont val="Tahoma"/>
            <family val="2"/>
          </rPr>
          <t xml:space="preserve"> 7</t>
        </r>
        <r>
          <rPr>
            <sz val="9"/>
            <color indexed="81"/>
            <rFont val="돋움"/>
            <family val="3"/>
            <charset val="129"/>
          </rPr>
          <t>월</t>
        </r>
        <r>
          <rPr>
            <sz val="9"/>
            <color indexed="81"/>
            <rFont val="Tahoma"/>
            <family val="2"/>
          </rPr>
          <t xml:space="preserve">, </t>
        </r>
        <r>
          <rPr>
            <sz val="9"/>
            <color indexed="81"/>
            <rFont val="돋움"/>
            <family val="3"/>
            <charset val="129"/>
          </rPr>
          <t>카카오</t>
        </r>
        <r>
          <rPr>
            <sz val="9"/>
            <color indexed="81"/>
            <rFont val="Tahoma"/>
            <family val="2"/>
          </rPr>
          <t xml:space="preserve"> ~'24</t>
        </r>
        <r>
          <rPr>
            <sz val="9"/>
            <color indexed="81"/>
            <rFont val="돋움"/>
            <family val="3"/>
            <charset val="129"/>
          </rPr>
          <t>년</t>
        </r>
        <r>
          <rPr>
            <sz val="9"/>
            <color indexed="81"/>
            <rFont val="Tahoma"/>
            <family val="2"/>
          </rPr>
          <t xml:space="preserve"> 12</t>
        </r>
        <r>
          <rPr>
            <sz val="9"/>
            <color indexed="81"/>
            <rFont val="돋움"/>
            <family val="3"/>
            <charset val="129"/>
          </rPr>
          <t>월</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<sst xmlns="http://schemas.openxmlformats.org/spreadsheetml/2006/main" count="10925" uniqueCount="3812">
  <si>
    <t>주가가 너무 내려가 있는데, 시장가격에서 손상징후는 보지 않는건가?</t>
    <phoneticPr fontId="2" type="noConversion"/>
  </si>
  <si>
    <t>Description</t>
    <phoneticPr fontId="2" type="noConversion"/>
  </si>
  <si>
    <t>Project Name</t>
    <phoneticPr fontId="2" type="noConversion"/>
  </si>
  <si>
    <t>Dreamus Company 손상검토보고서</t>
    <phoneticPr fontId="2" type="noConversion"/>
  </si>
  <si>
    <t>Client</t>
    <phoneticPr fontId="2" type="noConversion"/>
  </si>
  <si>
    <t>SK스퀘어</t>
    <phoneticPr fontId="2" type="noConversion"/>
  </si>
  <si>
    <t>Target Company</t>
    <phoneticPr fontId="2" type="noConversion"/>
  </si>
  <si>
    <t>드림어스컴퍼니</t>
    <phoneticPr fontId="2" type="noConversion"/>
  </si>
  <si>
    <t>Valuation Date</t>
    <phoneticPr fontId="2" type="noConversion"/>
  </si>
  <si>
    <t>Market Data Date</t>
    <phoneticPr fontId="2" type="noConversion"/>
  </si>
  <si>
    <t>Year End after Valuation Date</t>
    <phoneticPr fontId="2" type="noConversion"/>
  </si>
  <si>
    <t>Partial Period Factor</t>
    <phoneticPr fontId="2" type="noConversion"/>
  </si>
  <si>
    <t>Projection Period</t>
    <phoneticPr fontId="2" type="noConversion"/>
  </si>
  <si>
    <t>2022/10/31 ~ 2027/12/31</t>
    <phoneticPr fontId="2" type="noConversion"/>
  </si>
  <si>
    <t>Work-In-Progress Disclaimer</t>
  </si>
  <si>
    <t>DRAFT - For Discussion Purposes Only</t>
  </si>
  <si>
    <t>Currency &amp; Unit</t>
    <phoneticPr fontId="2" type="noConversion"/>
  </si>
  <si>
    <t>백만원</t>
    <phoneticPr fontId="2" type="noConversion"/>
  </si>
  <si>
    <t>12M</t>
  </si>
  <si>
    <t>10M</t>
    <phoneticPr fontId="2" type="noConversion"/>
  </si>
  <si>
    <t>2M</t>
    <phoneticPr fontId="2" type="noConversion"/>
  </si>
  <si>
    <t>Ref.</t>
    <phoneticPr fontId="2" type="noConversion"/>
  </si>
  <si>
    <t>이용권</t>
    <phoneticPr fontId="2" type="noConversion"/>
  </si>
  <si>
    <t>매출액 비중</t>
    <phoneticPr fontId="2" type="noConversion"/>
  </si>
  <si>
    <t>매출액</t>
    <phoneticPr fontId="2" type="noConversion"/>
  </si>
  <si>
    <t>사업계획</t>
    <phoneticPr fontId="2" type="noConversion"/>
  </si>
  <si>
    <t>MNO</t>
  </si>
  <si>
    <t>FLO앤데이터</t>
  </si>
  <si>
    <t>MNO종량제</t>
  </si>
  <si>
    <t>기타MNO</t>
  </si>
  <si>
    <t>자체(FLO/제휴)</t>
  </si>
  <si>
    <t>일반판매</t>
  </si>
  <si>
    <t>프로모션</t>
  </si>
  <si>
    <t>기타FLO</t>
  </si>
  <si>
    <t>Check</t>
    <phoneticPr fontId="2" type="noConversion"/>
  </si>
  <si>
    <t>보고서</t>
    <phoneticPr fontId="2" type="noConversion"/>
  </si>
  <si>
    <t>매출액 변동률</t>
    <phoneticPr fontId="2" type="noConversion"/>
  </si>
  <si>
    <t>이용자 수 비중</t>
  </si>
  <si>
    <t>MAU (명)</t>
    <phoneticPr fontId="2" type="noConversion"/>
  </si>
  <si>
    <t>사업계획</t>
  </si>
  <si>
    <t>무료이용자</t>
    <phoneticPr fontId="2" type="noConversion"/>
  </si>
  <si>
    <t>MAU 변동률</t>
    <phoneticPr fontId="2" type="noConversion"/>
  </si>
  <si>
    <t>ARPU (원/명)</t>
    <phoneticPr fontId="2" type="noConversion"/>
  </si>
  <si>
    <t>ARPU 변동률</t>
    <phoneticPr fontId="2" type="noConversion"/>
  </si>
  <si>
    <t>매출원가</t>
    <phoneticPr fontId="2" type="noConversion"/>
  </si>
  <si>
    <t>매출원가율</t>
    <phoneticPr fontId="2" type="noConversion"/>
  </si>
  <si>
    <t>0.5%씩 상승 가정</t>
    <phoneticPr fontId="2" type="noConversion"/>
  </si>
  <si>
    <t>유지 가정</t>
    <phoneticPr fontId="2" type="noConversion"/>
  </si>
  <si>
    <t>매출총이익</t>
    <phoneticPr fontId="2" type="noConversion"/>
  </si>
  <si>
    <t>리스부채 빼고 계산</t>
    <phoneticPr fontId="2" type="noConversion"/>
  </si>
  <si>
    <t>근데 영업비용에 리스료는 없다??</t>
    <phoneticPr fontId="2" type="noConversion"/>
  </si>
  <si>
    <t>CAGR</t>
    <phoneticPr fontId="2" type="noConversion"/>
  </si>
  <si>
    <t>Historical</t>
    <phoneticPr fontId="2" type="noConversion"/>
  </si>
  <si>
    <t>Forecast</t>
    <phoneticPr fontId="2" type="noConversion"/>
  </si>
  <si>
    <t>구분</t>
    <phoneticPr fontId="2" type="noConversion"/>
  </si>
  <si>
    <t>Terminal</t>
    <phoneticPr fontId="2" type="noConversion"/>
  </si>
  <si>
    <t>Diff</t>
    <phoneticPr fontId="2" type="noConversion"/>
  </si>
  <si>
    <t>단위: 백만원</t>
    <phoneticPr fontId="2" type="noConversion"/>
  </si>
  <si>
    <t>Logic Memo</t>
  </si>
  <si>
    <t>12M</t>
    <phoneticPr fontId="2" type="noConversion"/>
  </si>
  <si>
    <t>매출액 항목별 설명 필요 / 사업구조 및 약자</t>
    <phoneticPr fontId="2" type="noConversion"/>
  </si>
  <si>
    <t>월환산</t>
    <phoneticPr fontId="2" type="noConversion"/>
  </si>
  <si>
    <t>추정</t>
    <phoneticPr fontId="2" type="noConversion"/>
  </si>
  <si>
    <t>플랫폼</t>
  </si>
  <si>
    <t>이용권</t>
  </si>
  <si>
    <t>사업계획 준용</t>
    <phoneticPr fontId="2" type="noConversion"/>
  </si>
  <si>
    <t>오디오와 이용권 차이는?</t>
    <phoneticPr fontId="2" type="noConversion"/>
  </si>
  <si>
    <t>오디오</t>
  </si>
  <si>
    <t>사업계획 준용</t>
  </si>
  <si>
    <t>유사기업 매출 기반 예상</t>
    <phoneticPr fontId="2" type="noConversion"/>
  </si>
  <si>
    <t>신사업은 기투자된 부분인지? (1036호 48문단)</t>
    <phoneticPr fontId="2" type="noConversion"/>
  </si>
  <si>
    <t>기타</t>
  </si>
  <si>
    <t>V컬러링 매출</t>
    <phoneticPr fontId="2" type="noConversion"/>
  </si>
  <si>
    <t>돌핀 *1</t>
  </si>
  <si>
    <t>스튜디오 돌핀 (자회사)</t>
    <phoneticPr fontId="2" type="noConversion"/>
  </si>
  <si>
    <t>사업계획보다 크게 잡힌 이유?</t>
    <phoneticPr fontId="2" type="noConversion"/>
  </si>
  <si>
    <t>콘텐츠</t>
  </si>
  <si>
    <t>음반</t>
  </si>
  <si>
    <t>음반유통수수료. 23년 이후 SM 제외</t>
    <phoneticPr fontId="2" type="noConversion"/>
  </si>
  <si>
    <t>신규 제외되어 있음</t>
    <phoneticPr fontId="2" type="noConversion"/>
  </si>
  <si>
    <t>음원</t>
  </si>
  <si>
    <t>23년 이후 SM 제외</t>
    <phoneticPr fontId="2" type="noConversion"/>
  </si>
  <si>
    <t>11~12월 매출이 상당히 크다</t>
    <phoneticPr fontId="2" type="noConversion"/>
  </si>
  <si>
    <t>MD</t>
  </si>
  <si>
    <t>응원봉 등</t>
    <phoneticPr fontId="2" type="noConversion"/>
  </si>
  <si>
    <t>LDC</t>
  </si>
  <si>
    <t>공연시장 성장률</t>
    <phoneticPr fontId="2" type="noConversion"/>
  </si>
  <si>
    <t>SM 아이돌의 일본 공연 MD 매출 등 / 여기서는 리커링 계약 된건지?</t>
    <phoneticPr fontId="2" type="noConversion"/>
  </si>
  <si>
    <t>엔터</t>
  </si>
  <si>
    <t>공연</t>
  </si>
  <si>
    <t>아티스트 티켓 파워 경험치</t>
    <phoneticPr fontId="2" type="noConversion"/>
  </si>
  <si>
    <t>10억씩 더 큰 이유?</t>
    <phoneticPr fontId="2" type="noConversion"/>
  </si>
  <si>
    <t>IP사업</t>
  </si>
  <si>
    <t>방송 등 콘텐츠 제작 매출</t>
    <phoneticPr fontId="2" type="noConversion"/>
  </si>
  <si>
    <t>디바이스</t>
  </si>
  <si>
    <t>플랫폼-돌핀과의 차이</t>
    <phoneticPr fontId="2" type="noConversion"/>
  </si>
  <si>
    <t>A&amp;K</t>
  </si>
  <si>
    <t>시장규모 x 점유율</t>
    <phoneticPr fontId="2" type="noConversion"/>
  </si>
  <si>
    <t>IRIVER</t>
  </si>
  <si>
    <t>타사 제휴 매출</t>
    <phoneticPr fontId="2" type="noConversion"/>
  </si>
  <si>
    <t>B2B</t>
  </si>
  <si>
    <t>협력사 계약 기반 추정</t>
    <phoneticPr fontId="2" type="noConversion"/>
  </si>
  <si>
    <t>e-book</t>
    <phoneticPr fontId="2" type="noConversion"/>
  </si>
  <si>
    <t>ICN</t>
  </si>
  <si>
    <t>매출액_비중</t>
    <phoneticPr fontId="2" type="noConversion"/>
  </si>
  <si>
    <t>매출액_성장률</t>
    <phoneticPr fontId="2" type="noConversion"/>
  </si>
  <si>
    <t>n/a</t>
    <phoneticPr fontId="2" type="noConversion"/>
  </si>
  <si>
    <t>2.8개년 원가율</t>
    <phoneticPr fontId="2" type="noConversion"/>
  </si>
  <si>
    <t>사업계획상 원가율</t>
    <phoneticPr fontId="2" type="noConversion"/>
  </si>
  <si>
    <t>사업계획상 원가율</t>
  </si>
  <si>
    <t>플랫폼사업부향 지급수수료 포함</t>
    <phoneticPr fontId="2" type="noConversion"/>
  </si>
  <si>
    <t>각 권리사별 정산금</t>
    <phoneticPr fontId="2" type="noConversion"/>
  </si>
  <si>
    <t>22년 원가율 유지가정</t>
    <phoneticPr fontId="2" type="noConversion"/>
  </si>
  <si>
    <t>23년 원가율 유지 가정</t>
    <phoneticPr fontId="2" type="noConversion"/>
  </si>
  <si>
    <t>23년 원가율 유지 가정</t>
  </si>
  <si>
    <t>매출원가_매출대비 비율</t>
    <phoneticPr fontId="2" type="noConversion"/>
  </si>
  <si>
    <t>각 사업별 원가 구성항목 필요</t>
    <phoneticPr fontId="2" type="noConversion"/>
  </si>
  <si>
    <t>60% 근거?</t>
    <phoneticPr fontId="2" type="noConversion"/>
  </si>
  <si>
    <t>매출원가 미발생 이유?</t>
    <phoneticPr fontId="2" type="noConversion"/>
  </si>
  <si>
    <t>22년 10M 원가율 너무 높은 이유 / 과거 원가율 기반 추정인데 23년부터 급격히 낮아지는 근거?</t>
    <phoneticPr fontId="2" type="noConversion"/>
  </si>
  <si>
    <t>매출은 음반유통수수료로 발생하는데, 과거 원가율이 지속적으로 개선된 이유 / 23년 원가율이 38%가 되는 이유?</t>
    <phoneticPr fontId="2" type="noConversion"/>
  </si>
  <si>
    <t>22년 원가율 유지가정이라는데 원가율 변한다? / 원가율은 21~22년 83%정도로 일관되는데  23년부터 3%p 개선할 수 있는 근거는?</t>
    <phoneticPr fontId="2" type="noConversion"/>
  </si>
  <si>
    <t>23년 원가율 유지가정이라는데 원가율 변한다?</t>
    <phoneticPr fontId="2" type="noConversion"/>
  </si>
  <si>
    <t>19~22.10M 원가율 요동치는 이유(사업 특성) 설명 + 11~12월 매출 비중이 큰데 원가율이 급격히 악화되는 이유 / 23년에는 크게 개선되고, 이후 과거 달성하지 못한 원가율 가능한 이유</t>
    <phoneticPr fontId="2" type="noConversion"/>
  </si>
  <si>
    <t>23년 100% 초과 후 지속적 개선 근거는?</t>
    <phoneticPr fontId="2" type="noConversion"/>
  </si>
  <si>
    <t>매출총이익 %</t>
    <phoneticPr fontId="2" type="noConversion"/>
  </si>
  <si>
    <t>매출총이익 비중</t>
    <phoneticPr fontId="2" type="noConversion"/>
  </si>
  <si>
    <t>판매관리비</t>
    <phoneticPr fontId="2" type="noConversion"/>
  </si>
  <si>
    <t>인건비</t>
  </si>
  <si>
    <t>인건비성 경비</t>
  </si>
  <si>
    <t>고정비</t>
  </si>
  <si>
    <t>변동비</t>
  </si>
  <si>
    <t>대손상각비</t>
  </si>
  <si>
    <t>고정자산 상각비</t>
  </si>
  <si>
    <t>판매관리비_매출 대비 비중</t>
    <phoneticPr fontId="2" type="noConversion"/>
  </si>
  <si>
    <t>인건비 갈수록 작아지는 근거</t>
    <phoneticPr fontId="2" type="noConversion"/>
  </si>
  <si>
    <t>고정비도 매출 규모대비 작아질수 있나?</t>
    <phoneticPr fontId="2" type="noConversion"/>
  </si>
  <si>
    <t>영업이익</t>
    <phoneticPr fontId="2" type="noConversion"/>
  </si>
  <si>
    <t>영업이익 %</t>
    <phoneticPr fontId="2" type="noConversion"/>
  </si>
  <si>
    <t>법인세비용</t>
    <phoneticPr fontId="2" type="noConversion"/>
  </si>
  <si>
    <t>법인세비용 (회사제시)</t>
    <phoneticPr fontId="2" type="noConversion"/>
  </si>
  <si>
    <t>법인세비용 (재계산)</t>
    <phoneticPr fontId="2" type="noConversion"/>
  </si>
  <si>
    <t>과세표준</t>
    <phoneticPr fontId="2" type="noConversion"/>
  </si>
  <si>
    <t>과세표준_이월결손 반영</t>
    <phoneticPr fontId="2" type="noConversion"/>
  </si>
  <si>
    <t>과세표준_이월결손 반영 X</t>
    <phoneticPr fontId="2" type="noConversion"/>
  </si>
  <si>
    <t>결손금</t>
    <phoneticPr fontId="2" type="noConversion"/>
  </si>
  <si>
    <t>300,000 초과</t>
  </si>
  <si>
    <t>세후영업이익</t>
    <phoneticPr fontId="2" type="noConversion"/>
  </si>
  <si>
    <t>D&amp;A</t>
    <phoneticPr fontId="2" type="noConversion"/>
  </si>
  <si>
    <t>CAPEX</t>
    <phoneticPr fontId="2" type="noConversion"/>
  </si>
  <si>
    <t>순운전자본의 변동</t>
    <phoneticPr fontId="2" type="noConversion"/>
  </si>
  <si>
    <t>FCFF</t>
    <phoneticPr fontId="2" type="noConversion"/>
  </si>
  <si>
    <t>WACC</t>
    <phoneticPr fontId="2" type="noConversion"/>
  </si>
  <si>
    <t>영구성장률</t>
    <phoneticPr fontId="2" type="noConversion"/>
  </si>
  <si>
    <t>할인기간</t>
    <phoneticPr fontId="2" type="noConversion"/>
  </si>
  <si>
    <t>할인계수</t>
    <phoneticPr fontId="2" type="noConversion"/>
  </si>
  <si>
    <t>FCFF의 현재가치</t>
    <phoneticPr fontId="2" type="noConversion"/>
  </si>
  <si>
    <t>영업가치</t>
    <phoneticPr fontId="2" type="noConversion"/>
  </si>
  <si>
    <t>check</t>
    <phoneticPr fontId="2" type="noConversion"/>
  </si>
  <si>
    <t>*1 ’23년 이후 추정기간 동안의 돌핀 매출에는 드림어스 플랫폼 사업부 向 내부거래가 포함되어 있으며, 동 금액만큼 지급수수료에 포함되어 있습니다.</t>
    <phoneticPr fontId="2" type="noConversion"/>
  </si>
  <si>
    <t>Dart Check</t>
    <phoneticPr fontId="2" type="noConversion"/>
  </si>
  <si>
    <t>매출</t>
    <phoneticPr fontId="2" type="noConversion"/>
  </si>
  <si>
    <t>1036호</t>
    <phoneticPr fontId="2" type="noConversion"/>
  </si>
  <si>
    <t>문단 48</t>
    <phoneticPr fontId="2" type="noConversion"/>
  </si>
  <si>
    <t>기업이 자산의 성능을 개선하거나 향상하는 현금유출을 하기 전까지는 그 현금유출과 관련된 경제적 효익의 증가로 생길 것으로 예상되는 추정 미래현금유입은 미래현금흐름 추정치에 포함하지 아니한다.</t>
    <phoneticPr fontId="2" type="noConversion"/>
  </si>
  <si>
    <t>22년 9개월</t>
    <phoneticPr fontId="2" type="noConversion"/>
  </si>
  <si>
    <t>유형자산</t>
    <phoneticPr fontId="2" type="noConversion"/>
  </si>
  <si>
    <t>무형자산</t>
    <phoneticPr fontId="2" type="noConversion"/>
  </si>
  <si>
    <t>무형자산 상각비 과거에 줄어든 이유? // 20년에 기타무형자산 상당부분 손상</t>
    <phoneticPr fontId="2" type="noConversion"/>
  </si>
  <si>
    <t>기타무형자산손상된 상태에서 손상후 가액 기준으로 CAPEX 산정하는게 맞을까?</t>
    <phoneticPr fontId="2" type="noConversion"/>
  </si>
  <si>
    <t>장부가액</t>
    <phoneticPr fontId="2" type="noConversion"/>
  </si>
  <si>
    <t>재계산</t>
    <phoneticPr fontId="2" type="noConversion"/>
  </si>
  <si>
    <t>운전자산</t>
    <phoneticPr fontId="2" type="noConversion"/>
  </si>
  <si>
    <t>매출채권</t>
    <phoneticPr fontId="2" type="noConversion"/>
  </si>
  <si>
    <t>매출액 대비 회전율</t>
  </si>
  <si>
    <t>재고자산</t>
    <phoneticPr fontId="2" type="noConversion"/>
  </si>
  <si>
    <t>매출원가 대비 회전율</t>
    <phoneticPr fontId="2" type="noConversion"/>
  </si>
  <si>
    <t>운전부채</t>
    <phoneticPr fontId="2" type="noConversion"/>
  </si>
  <si>
    <t>매입채무</t>
    <phoneticPr fontId="2" type="noConversion"/>
  </si>
  <si>
    <t>순운전자본</t>
    <phoneticPr fontId="2" type="noConversion"/>
  </si>
  <si>
    <t>회전율 역산</t>
    <phoneticPr fontId="2" type="noConversion"/>
  </si>
  <si>
    <t>Driver</t>
    <phoneticPr fontId="2" type="noConversion"/>
  </si>
  <si>
    <t>회전율</t>
    <phoneticPr fontId="2" type="noConversion"/>
  </si>
  <si>
    <t>재고자산 회전율이 과거 대비 낮아짐 (=잘 안팔리는 이유?) / 재고자산이 뭐가 있지?</t>
    <phoneticPr fontId="2" type="noConversion"/>
  </si>
  <si>
    <t>Terminal CF</t>
  </si>
  <si>
    <t>Sales</t>
  </si>
  <si>
    <t>COGS</t>
  </si>
  <si>
    <t>GP</t>
  </si>
  <si>
    <t>GP %</t>
  </si>
  <si>
    <t>SG&amp;A</t>
  </si>
  <si>
    <t>EBIT</t>
  </si>
  <si>
    <t>EBIT %</t>
  </si>
  <si>
    <t>(-)13.58%</t>
  </si>
  <si>
    <t>(-)5.25%</t>
  </si>
  <si>
    <t>(-)0.91%</t>
  </si>
  <si>
    <t>(-)14.71%</t>
  </si>
  <si>
    <t>(-)3.39%</t>
  </si>
  <si>
    <t>(-)2.34%</t>
  </si>
  <si>
    <t>Tax on EBIT</t>
  </si>
  <si>
    <t>-</t>
  </si>
  <si>
    <t>NOPLAT</t>
  </si>
  <si>
    <t>D&amp;A</t>
  </si>
  <si>
    <t>CAPEX</t>
  </si>
  <si>
    <t>NWC changes</t>
  </si>
  <si>
    <t>FCF</t>
  </si>
  <si>
    <t>PVIF</t>
  </si>
  <si>
    <t>PV of FCF</t>
  </si>
  <si>
    <t>뮤직사업부문</t>
    <phoneticPr fontId="2" type="noConversion"/>
  </si>
  <si>
    <t>엔터</t>
    <phoneticPr fontId="2" type="noConversion"/>
  </si>
  <si>
    <t>엔터+엠디</t>
    <phoneticPr fontId="2" type="noConversion"/>
  </si>
  <si>
    <t>Sales</t>
    <phoneticPr fontId="2" type="noConversion"/>
  </si>
  <si>
    <t>- 이용권</t>
  </si>
  <si>
    <t>- 오디오</t>
  </si>
  <si>
    <t>- 기타</t>
  </si>
  <si>
    <t>- 음반</t>
  </si>
  <si>
    <t>- 음원</t>
  </si>
  <si>
    <t>- MD</t>
  </si>
  <si>
    <t>- LDC</t>
  </si>
  <si>
    <t>- 공연</t>
  </si>
  <si>
    <t>- IP사업</t>
  </si>
  <si>
    <t>- A&amp;K</t>
  </si>
  <si>
    <t>- IRIVER</t>
  </si>
  <si>
    <t>- B2B</t>
  </si>
  <si>
    <t>- ICN</t>
  </si>
  <si>
    <t>Total Sales</t>
    <phoneticPr fontId="2" type="noConversion"/>
  </si>
  <si>
    <t>CoGS</t>
    <phoneticPr fontId="2" type="noConversion"/>
  </si>
  <si>
    <t>Total COGS</t>
    <phoneticPr fontId="2" type="noConversion"/>
  </si>
  <si>
    <t>SG&amp;A</t>
    <phoneticPr fontId="2" type="noConversion"/>
  </si>
  <si>
    <t>Total Sales</t>
  </si>
  <si>
    <t>- 인건비</t>
  </si>
  <si>
    <t>- 인건비성 경비</t>
  </si>
  <si>
    <t>- 고정비</t>
  </si>
  <si>
    <t>- 변동비</t>
  </si>
  <si>
    <t>- 대손상각비</t>
  </si>
  <si>
    <t>- 고정자산 상각비</t>
  </si>
  <si>
    <t>Total SG&amp;A</t>
  </si>
  <si>
    <t>%ofSales</t>
  </si>
  <si>
    <t>유형자산</t>
  </si>
  <si>
    <t>무형자산</t>
  </si>
  <si>
    <t>Total Capex</t>
  </si>
  <si>
    <t>기존자산</t>
  </si>
  <si>
    <t>신규자산</t>
  </si>
  <si>
    <t>Total D&amp;A</t>
  </si>
  <si>
    <t>운전자산</t>
  </si>
  <si>
    <t>매출채권</t>
  </si>
  <si>
    <t>재고자산</t>
  </si>
  <si>
    <t>운전부채</t>
  </si>
  <si>
    <t>매입채무</t>
  </si>
  <si>
    <t>순운전자본</t>
  </si>
  <si>
    <t> 연 결 재 무 상 태 표</t>
  </si>
  <si>
    <t>연 결 재 무 상 태 표</t>
  </si>
  <si>
    <t>연결 재무상태표</t>
  </si>
  <si>
    <t>제 22 기 2020년 12월 31일 현재</t>
  </si>
  <si>
    <t>제 23 기 2021년 12월 31일 현재</t>
  </si>
  <si>
    <t>제 24 기 3분기말 2022.09.30 현재</t>
  </si>
  <si>
    <t>제 21 기 2019년 12월 31일 현재</t>
  </si>
  <si>
    <t>제 23 기말          2021.12.31 현재</t>
  </si>
  <si>
    <t>회사명 : 주식회사 드림어스컴퍼니와 그 종속기업</t>
  </si>
  <si>
    <t>(단위 : 원)</t>
  </si>
  <si>
    <t>과                        목</t>
  </si>
  <si>
    <t>주석</t>
  </si>
  <si>
    <t>제 22(당) 기</t>
  </si>
  <si>
    <t>제 21(전) 기</t>
  </si>
  <si>
    <t>과                        목</t>
  </si>
  <si>
    <t>제 23(당) 기</t>
  </si>
  <si>
    <t>제 22(전) 기</t>
  </si>
  <si>
    <t>제 24 기 3분기말</t>
  </si>
  <si>
    <t>제 23 기말</t>
  </si>
  <si>
    <t>자                        산</t>
  </si>
  <si>
    <t>자산</t>
  </si>
  <si>
    <t>I. 유동자산</t>
  </si>
  <si>
    <t>  I. 유동자산</t>
  </si>
  <si>
    <t>　유동자산</t>
  </si>
  <si>
    <t>   현금및현금성자산</t>
  </si>
  <si>
    <t>5, 6, 7</t>
  </si>
  <si>
    <t>   현금및현금성자산</t>
  </si>
  <si>
    <t>　　현금및현금성자산</t>
  </si>
  <si>
    <t>   매출채권및기타채권</t>
  </si>
  <si>
    <t>5, 6, 25</t>
  </si>
  <si>
    <t>   단기금융상품</t>
  </si>
  <si>
    <t>5, 6</t>
  </si>
  <si>
    <t>　　단기금융상품</t>
  </si>
  <si>
    <t>   재고자산</t>
  </si>
  <si>
    <t>   매출채권및기타채권</t>
  </si>
  <si>
    <t>5, 6, 8, 30</t>
  </si>
  <si>
    <t>　　매출채권및기타채권</t>
  </si>
  <si>
    <t>   당기법인세자산</t>
  </si>
  <si>
    <t>   재고자산</t>
  </si>
  <si>
    <t>　　재고자산</t>
  </si>
  <si>
    <t>   기타유동자산</t>
  </si>
  <si>
    <t>4, 9</t>
  </si>
  <si>
    <t>   당기법인세자산</t>
  </si>
  <si>
    <t>　　당기법인세자산</t>
  </si>
  <si>
    <t>II. 비유동자산</t>
  </si>
  <si>
    <t>   기타유동자산</t>
  </si>
  <si>
    <t>　　기타유동자산</t>
  </si>
  <si>
    <t>  II. 비유동자산</t>
  </si>
  <si>
    <t>　비유동자산</t>
  </si>
  <si>
    <t>   장기투자자산</t>
  </si>
  <si>
    <t>   유형자산</t>
  </si>
  <si>
    <t>10, 25, 26, 27</t>
  </si>
  <si>
    <t>   장기투자자산</t>
  </si>
  <si>
    <t>　　장기투자자산</t>
  </si>
  <si>
    <t>   무형자산</t>
  </si>
  <si>
    <t>11, 26</t>
  </si>
  <si>
    <t>   관계기업투자주식</t>
  </si>
  <si>
    <t>　　관계기업투자주식</t>
  </si>
  <si>
    <t>   기타비유동자산</t>
  </si>
  <si>
    <t>   유형자산</t>
  </si>
  <si>
    <t>12, 14, 30, 31</t>
  </si>
  <si>
    <t>　　유형자산</t>
  </si>
  <si>
    <t>자      산      총      계</t>
  </si>
  <si>
    <t>   무형자산</t>
  </si>
  <si>
    <t>13, 31, 32</t>
  </si>
  <si>
    <t>　　무형자산</t>
  </si>
  <si>
    <t>부                        채</t>
  </si>
  <si>
    <t>  자산총계</t>
  </si>
  <si>
    <t>　자산총계</t>
  </si>
  <si>
    <t>I. 유동부채</t>
  </si>
  <si>
    <t>　</t>
  </si>
  <si>
    <t>부채</t>
  </si>
  <si>
    <t>   매입채무및기타채무</t>
  </si>
  <si>
    <t>5, 6, 12, 25</t>
  </si>
  <si>
    <t>  I. 유동부채</t>
  </si>
  <si>
    <t>　유동부채</t>
  </si>
  <si>
    <t>   기타유동부채</t>
  </si>
  <si>
    <t>    매입채무및기타채무</t>
  </si>
  <si>
    <t>5, 6, 15, 30</t>
  </si>
  <si>
    <t>　　매입채무및기타채무</t>
  </si>
  <si>
    <t>   리스부채</t>
  </si>
  <si>
    <t>5, 6, 26, 27</t>
  </si>
  <si>
    <t>    전환우선주부채</t>
  </si>
  <si>
    <t>5, 17, 31</t>
  </si>
  <si>
    <t>　　전환우선주부채</t>
  </si>
  <si>
    <t>   당기법인세부채</t>
  </si>
  <si>
    <t>    기타유동부채</t>
  </si>
  <si>
    <t>　　기타유동부채</t>
  </si>
  <si>
    <t>II. 비유동부채</t>
  </si>
  <si>
    <t>    리스부채</t>
  </si>
  <si>
    <t>5, 6, 14, 31</t>
  </si>
  <si>
    <t>　　리스부채</t>
  </si>
  <si>
    <t>5, 6, 12</t>
  </si>
  <si>
    <t>    당기법인세부채</t>
  </si>
  <si>
    <t>　　당기법인세부채</t>
  </si>
  <si>
    <t>   순확정급여부채</t>
  </si>
  <si>
    <t>  II. 비유동부채</t>
  </si>
  <si>
    <t>　비유동부채</t>
  </si>
  <si>
    <t>   기타비유동부채</t>
  </si>
  <si>
    <t>   장기리스부채</t>
  </si>
  <si>
    <t>    순확정급여부채</t>
  </si>
  <si>
    <t>　　순확정급여부채</t>
  </si>
  <si>
    <t>   이연법인세부채</t>
  </si>
  <si>
    <t>    기타비유동부채</t>
  </si>
  <si>
    <t>　　기타비유동부채</t>
  </si>
  <si>
    <t>부      채      총      계</t>
  </si>
  <si>
    <t>    장기리스부채</t>
  </si>
  <si>
    <t>　　장기리스부채</t>
  </si>
  <si>
    <t>자                        본</t>
  </si>
  <si>
    <t>  부채총계</t>
  </si>
  <si>
    <t>　부채총계</t>
  </si>
  <si>
    <t>지배기업소유주에 귀속되는 자본</t>
  </si>
  <si>
    <t>자본</t>
  </si>
  <si>
    <t>Ⅰ.자본금</t>
  </si>
  <si>
    <t>1, 15</t>
  </si>
  <si>
    <t>  지배기업의 소유주에게 귀속되는 자본</t>
  </si>
  <si>
    <t>　지배기업소유주에게 귀속되는 자본</t>
  </si>
  <si>
    <t>Ⅱ.자본잉여금</t>
  </si>
  <si>
    <t>    I. 자본금</t>
  </si>
  <si>
    <t>1, 19</t>
  </si>
  <si>
    <t>　　자본금</t>
  </si>
  <si>
    <t>Ⅲ.기타자본항목</t>
  </si>
  <si>
    <t>16, 18</t>
  </si>
  <si>
    <t>    II. 자본잉여금</t>
  </si>
  <si>
    <t>19, 21</t>
  </si>
  <si>
    <t>　　자본잉여금</t>
  </si>
  <si>
    <t>Ⅳ.이익잉여금(결손금)</t>
  </si>
  <si>
    <t>    III. 기타자본항목</t>
  </si>
  <si>
    <t>20, 22</t>
  </si>
  <si>
    <t>　　기타자본항목</t>
  </si>
  <si>
    <t>비지배지분</t>
  </si>
  <si>
    <t>    IV. 이익잉여금(결손금)</t>
  </si>
  <si>
    <t>　　이익잉여금(결손금)</t>
  </si>
  <si>
    <t>자      본      총      계</t>
  </si>
  <si>
    <t>  비지배지분</t>
  </si>
  <si>
    <t>　자본총계</t>
  </si>
  <si>
    <t>부  채  및  자  본  총  계</t>
  </si>
  <si>
    <t>  자본총계</t>
  </si>
  <si>
    <t>자본과부채총계</t>
  </si>
  <si>
    <t>부채및자본총계</t>
  </si>
  <si>
    <t>별첨 주석 참조</t>
  </si>
  <si>
    <t>연결 포괄손익계산서</t>
  </si>
  <si>
    <t>제 24 기 3분기 2022.01.01 부터 2022.09.30 까지</t>
  </si>
  <si>
    <r>
      <t>                                      </t>
    </r>
    <r>
      <rPr>
        <b/>
        <sz val="9"/>
        <color rgb="FF000000"/>
        <rFont val="굴림"/>
        <family val="3"/>
        <charset val="129"/>
      </rPr>
      <t>연 결 포 괄 손 익 계 산 서</t>
    </r>
  </si>
  <si>
    <t>제 23 기 3분기 2021.01.01 부터 2021.09.30 까지</t>
  </si>
  <si>
    <t>연 결 포 괄 손 익 계 산 서</t>
  </si>
  <si>
    <t>제22기 2020년 01월 01일부터 2020년 12월 31일까지</t>
  </si>
  <si>
    <t>제23기 2021년 01월 01일부터 2021년 12월 31일까지</t>
  </si>
  <si>
    <t>제 24 기 3분기</t>
  </si>
  <si>
    <t>제 23 기 3분기</t>
  </si>
  <si>
    <t>제21기 2019년 01월 01일부터 2019년 12월 31일까지</t>
  </si>
  <si>
    <t>3개월</t>
  </si>
  <si>
    <t>누적</t>
  </si>
  <si>
    <t>매출액</t>
  </si>
  <si>
    <t>매출원가</t>
  </si>
  <si>
    <t>Ⅰ.매출액</t>
  </si>
  <si>
    <t>4, 25</t>
  </si>
  <si>
    <t>I. 매출액</t>
  </si>
  <si>
    <t>4, 30</t>
  </si>
  <si>
    <t>매출총이익</t>
  </si>
  <si>
    <t>Ⅱ.매출원가</t>
  </si>
  <si>
    <t>4, 20, 25</t>
  </si>
  <si>
    <t>II. 매출원가</t>
  </si>
  <si>
    <t>4, 24, 30</t>
  </si>
  <si>
    <t>판매비와관리비</t>
  </si>
  <si>
    <t>Ⅲ.매출총이익</t>
  </si>
  <si>
    <t>III. 매출총이익</t>
  </si>
  <si>
    <t>영업이익(손실)</t>
  </si>
  <si>
    <t>    판매비와관리비</t>
  </si>
  <si>
    <t>19, 20, 25</t>
  </si>
  <si>
    <t>  판매비와관리비</t>
  </si>
  <si>
    <t>23, 24, 30</t>
  </si>
  <si>
    <t>금융수익</t>
  </si>
  <si>
    <t>Ⅳ.영업이익(손실)</t>
  </si>
  <si>
    <t>IV. 영업이익(손실)</t>
  </si>
  <si>
    <t>금융비용</t>
  </si>
  <si>
    <t>    금융수익</t>
  </si>
  <si>
    <t>4, 5</t>
  </si>
  <si>
    <t>  금융수익</t>
  </si>
  <si>
    <t>4, 5, 25, 30</t>
  </si>
  <si>
    <t>기타영업외수익</t>
  </si>
  <si>
    <t>    금융비용</t>
  </si>
  <si>
    <t>  금융비용</t>
  </si>
  <si>
    <t>4, 5, 25</t>
  </si>
  <si>
    <t>기타영업외비용</t>
  </si>
  <si>
    <t>    기타영업외수익</t>
  </si>
  <si>
    <t>4, 21</t>
  </si>
  <si>
    <t>  기타영업외수익</t>
  </si>
  <si>
    <t>4, 26</t>
  </si>
  <si>
    <t>관계기업투자관련손익</t>
  </si>
  <si>
    <t>    기타영업외비용</t>
  </si>
  <si>
    <t>  기타영업외비용</t>
  </si>
  <si>
    <t>4, 5, 26</t>
  </si>
  <si>
    <t>법인세비용차감전순이익(손실)</t>
  </si>
  <si>
    <t>    종속기업투자주식관련손익</t>
  </si>
  <si>
    <t>  종속기업및관계기업투자관련손익</t>
  </si>
  <si>
    <t>4, 11</t>
  </si>
  <si>
    <t>법인세비용</t>
  </si>
  <si>
    <t>Ⅴ.법인세비용차감전이익(손실)</t>
  </si>
  <si>
    <t>V. 법인세비용차감전순이익(손실)</t>
  </si>
  <si>
    <t>당기순이익(손실)</t>
  </si>
  <si>
    <t>   법인세비용(수익)</t>
  </si>
  <si>
    <t>  법인세비용(수익)</t>
  </si>
  <si>
    <t>　지배기업의 소유주지분</t>
  </si>
  <si>
    <t>Ⅵ.당기순이익(손실)</t>
  </si>
  <si>
    <t>VI. 당기순이익(손실)</t>
  </si>
  <si>
    <t>기타포괄손익</t>
  </si>
  <si>
    <t>    지배기업의 소유주지분</t>
  </si>
  <si>
    <t>  지배기업의 소유주지분</t>
  </si>
  <si>
    <t>　후속적으로 당기손익으로 재분류되지 않는 기타포괄손익</t>
  </si>
  <si>
    <t>    비지배지분</t>
  </si>
  <si>
    <t>　　확정급여제도의 재측정요소</t>
  </si>
  <si>
    <t>Ⅶ.기타포괄손익</t>
  </si>
  <si>
    <t>VII. 기타포괄손익</t>
  </si>
  <si>
    <t>　후속적으로 당기손익으로 재분류되는 기타포괄손익</t>
  </si>
  <si>
    <t>     후속적으로 당기손익으로 재분류되지 않는 기타포괄손익:</t>
  </si>
  <si>
    <t>  후속적으로 당기손익으로 재분류되지 않는 기타포괄손익:</t>
  </si>
  <si>
    <t>　　해외사업장환산외환차이</t>
  </si>
  <si>
    <t>       확정급여제도의 재측정요소</t>
  </si>
  <si>
    <t>    확정급여제도의 재측정요소</t>
  </si>
  <si>
    <t>　　지분법자본변동</t>
  </si>
  <si>
    <t>    후속적으로 당기손익으로 재분류되는 기타포괄손익:</t>
  </si>
  <si>
    <t>  후속적으로 당기손익으로 재분류되는 기타포괄손익:</t>
  </si>
  <si>
    <t>총포괄손익</t>
  </si>
  <si>
    <t>       해외사업장환산외환차이</t>
  </si>
  <si>
    <t>    해외사업장환산외환차이</t>
  </si>
  <si>
    <t>Ⅷ.총포괄손익</t>
  </si>
  <si>
    <t>VIII. 총포괄손익</t>
  </si>
  <si>
    <t>주당손익</t>
  </si>
  <si>
    <t>     지배기업의 소유주지분</t>
  </si>
  <si>
    <t>　기본주당순이익(손실) (단위 : 원)</t>
  </si>
  <si>
    <t>     비지배지분</t>
  </si>
  <si>
    <t>　희석주당순이익(손실) (단위 : 원)</t>
  </si>
  <si>
    <t>Ⅸ.주당손익</t>
  </si>
  <si>
    <t>IX. 주당손익</t>
  </si>
  <si>
    <t>    기본주당순손실</t>
  </si>
  <si>
    <t>  기본주당순이익(손실)</t>
  </si>
  <si>
    <t>연결 자본변동표</t>
  </si>
  <si>
    <t>    희석주당순손실</t>
  </si>
  <si>
    <t>  희석주당순이익(손실)</t>
  </si>
  <si>
    <r>
      <t>                                          </t>
    </r>
    <r>
      <rPr>
        <b/>
        <sz val="9"/>
        <color rgb="FF000000"/>
        <rFont val="굴림"/>
        <family val="3"/>
        <charset val="129"/>
      </rPr>
      <t>연 결 자 본 변 동 표</t>
    </r>
  </si>
  <si>
    <t>연 결 자 본 변 동 표</t>
  </si>
  <si>
    <t>지배기업의 소유주에게 귀속되는 자본</t>
  </si>
  <si>
    <t>자본  합계</t>
  </si>
  <si>
    <t>자본금</t>
  </si>
  <si>
    <t>자본잉여금</t>
  </si>
  <si>
    <t>기타자본항목</t>
  </si>
  <si>
    <t>이익잉여금(결손금)</t>
  </si>
  <si>
    <t>지배기업의 소유주에게 귀속되는 자본  합계</t>
  </si>
  <si>
    <t>제 22 기 2020년 01월 01일부터   2020년 12월 31일까지</t>
  </si>
  <si>
    <t>2021.01.01 (기초자본)</t>
  </si>
  <si>
    <t>제 21 기 2019년 01월 01일부터   2019년 12월 31일까지</t>
  </si>
  <si>
    <t>자본의 변동</t>
  </si>
  <si>
    <t>과     목</t>
  </si>
  <si>
    <t>연결</t>
  </si>
  <si>
    <t>연결이익잉여금</t>
  </si>
  <si>
    <t>비지배</t>
  </si>
  <si>
    <t>총   계</t>
  </si>
  <si>
    <t>확정급여의 재측정요소</t>
  </si>
  <si>
    <t>과     목</t>
  </si>
  <si>
    <t>총   계</t>
  </si>
  <si>
    <t>(결손금)</t>
  </si>
  <si>
    <t>지분</t>
  </si>
  <si>
    <t>해외사업장환산외환차이</t>
  </si>
  <si>
    <t>자본조정</t>
  </si>
  <si>
    <t>이익잉여금</t>
  </si>
  <si>
    <t>2020.01.01 (전기초)</t>
  </si>
  <si>
    <t>지분법자본변동</t>
  </si>
  <si>
    <t>2019.01.01 (전기초)</t>
  </si>
  <si>
    <t>27,779,139,500 </t>
  </si>
  <si>
    <t>173,855,395,328 </t>
  </si>
  <si>
    <t>159,858,811,329 </t>
  </si>
  <si>
    <t>  총포괄손익:</t>
  </si>
  <si>
    <t>자본에 직접 반영된 주주와의 거래</t>
  </si>
  <si>
    <t>자본잉여금 결손금 보전</t>
  </si>
  <si>
    <t>총포괄손익:</t>
  </si>
  <si>
    <t>800,612,257 </t>
  </si>
  <si>
    <t>    당기순이익(손실)</t>
  </si>
  <si>
    <t>주식보상비용</t>
  </si>
  <si>
    <t> 당기순손실</t>
  </si>
  <si>
    <t>자기주식처분</t>
  </si>
  <si>
    <t> 확정급여제도의 재측정요소</t>
  </si>
  <si>
    <t>2021.09.30 (기말자본)</t>
  </si>
  <si>
    <t> 해외사업장환산외환차이</t>
  </si>
  <si>
    <t>  자본에 직접 반영된 주주와의거래:</t>
  </si>
  <si>
    <t>2022.01.01 (기초자본)</t>
  </si>
  <si>
    <t>자본에 직접 반영된 주주와의거래:</t>
  </si>
  <si>
    <t>650,784,000 </t>
  </si>
  <si>
    <t>4,704,182,528 </t>
  </si>
  <si>
    <t>674,683,389 </t>
  </si>
  <si>
    <t>6,029,649,917 </t>
  </si>
  <si>
    <t>    주식보상비용</t>
  </si>
  <si>
    <t> 전환사채의 전환</t>
  </si>
  <si>
    <t>5,354,966,528 </t>
  </si>
  <si>
    <t>2020.12.31 (전기말)</t>
  </si>
  <si>
    <t> 주식보상비용의 인식</t>
  </si>
  <si>
    <t>2021.01.01 (당기초)</t>
  </si>
  <si>
    <t>2019.12.31 (전기말)</t>
  </si>
  <si>
    <t>28,429,923,500 </t>
  </si>
  <si>
    <t>178,559,577,856 </t>
  </si>
  <si>
    <t>117,917,039,839 </t>
  </si>
  <si>
    <t>2020.01.01 (당기초)</t>
  </si>
  <si>
    <t>366,557,609 </t>
  </si>
  <si>
    <t>2022.09.30 (기말자본)</t>
  </si>
  <si>
    <t>624,260,187 </t>
  </si>
  <si>
    <t>2021.12.31 (당기말)</t>
  </si>
  <si>
    <t>연결 현금흐름표</t>
  </si>
  <si>
    <t> 주식보상비용</t>
  </si>
  <si>
    <t>2020.12.31 (당기말)</t>
  </si>
  <si>
    <t>95,801,398,968 </t>
  </si>
  <si>
    <t>연 결 현 금 흐 름 표</t>
  </si>
  <si>
    <t>제 23 기 2021년 01월 01일부터   2021년 12월 31일까지</t>
  </si>
  <si>
    <t>영업활동현금흐름</t>
  </si>
  <si>
    <r>
      <t>                                           </t>
    </r>
    <r>
      <rPr>
        <b/>
        <sz val="9"/>
        <color rgb="FF000000"/>
        <rFont val="굴림"/>
        <family val="3"/>
        <charset val="129"/>
      </rPr>
      <t> 연 결 현 금 흐 름 표</t>
    </r>
  </si>
  <si>
    <t>제 22 기 2020년 01월 01일부터   2020년 12월 31일까지</t>
  </si>
  <si>
    <t>　당기순이익(손실)</t>
  </si>
  <si>
    <t>　수익ㆍ비용의 조정</t>
  </si>
  <si>
    <t>　　법인세비용</t>
  </si>
  <si>
    <t>I. 영업활동으로 인한 현금흐름</t>
  </si>
  <si>
    <t>　　퇴직급여</t>
  </si>
  <si>
    <t>  1. 영업에서 창출된 현금흐름</t>
  </si>
  <si>
    <t>　　주식보상비용(환입액)</t>
  </si>
  <si>
    <t>    (1) 당기순이익(손실)</t>
  </si>
  <si>
    <t>　　대손상각비(환입액)</t>
  </si>
  <si>
    <t>Ⅰ.영업활동으로 인한 현금흐름</t>
  </si>
  <si>
    <t>    (2) 수익ㆍ비용의 조정</t>
  </si>
  <si>
    <t>　　기타의 대손상각비(환입액)</t>
  </si>
  <si>
    <t>1. 영업에서 창출된 현금흐름</t>
  </si>
  <si>
    <t>      법인세비용(수익)</t>
  </si>
  <si>
    <t>　　감가상각비</t>
  </si>
  <si>
    <t> (1) 당기순손실</t>
  </si>
  <si>
    <t>      퇴직급여</t>
  </si>
  <si>
    <t>　　무형자산상각비</t>
  </si>
  <si>
    <t> (2) 수익ㆍ비용의 조정</t>
  </si>
  <si>
    <t>      감가상각비</t>
  </si>
  <si>
    <t>　　판매보증충당부채전입액(환입액)</t>
  </si>
  <si>
    <t>      법인세비용</t>
  </si>
  <si>
    <t>      무형자산상각비</t>
  </si>
  <si>
    <t>　　복구충당부채전입액</t>
  </si>
  <si>
    <t>      주식보상비용</t>
  </si>
  <si>
    <t>　　재고자산평가손실(환입액)</t>
  </si>
  <si>
    <t>      대손상각비(환입액)</t>
  </si>
  <si>
    <t>　　재고자산폐기손실</t>
  </si>
  <si>
    <t>      기타의대손상각비</t>
  </si>
  <si>
    <t>　　이자수익</t>
  </si>
  <si>
    <t>      판매보증충당부채전입액(환입액)</t>
  </si>
  <si>
    <t>　　이자비용</t>
  </si>
  <si>
    <t>      대손상각비</t>
  </si>
  <si>
    <t>      복구충당부채전입액</t>
  </si>
  <si>
    <t>　　외화환산이익</t>
  </si>
  <si>
    <t>      기타의 대손상각비</t>
  </si>
  <si>
    <t>      재고자산평가손실(환입액)</t>
  </si>
  <si>
    <t>　　외화환산손실</t>
  </si>
  <si>
    <t>      판매보증충당부채전입(환입)</t>
  </si>
  <si>
    <t>      재고자산폐기손실</t>
  </si>
  <si>
    <t>　　유형자산처분이익</t>
  </si>
  <si>
    <t>      이자비용</t>
  </si>
  <si>
    <t>　　유형자산손상차손</t>
  </si>
  <si>
    <t>      재고자산평가손실(환입)</t>
  </si>
  <si>
    <t>      외화환산손실</t>
  </si>
  <si>
    <t>　　유형자산폐기손실</t>
  </si>
  <si>
    <t>      무형자산손상차손</t>
  </si>
  <si>
    <t>　　무형자산손상차손</t>
  </si>
  <si>
    <t>      유형자산처분손실</t>
  </si>
  <si>
    <t>　　당기손익-공정가치측정 금융부채평가이익</t>
  </si>
  <si>
    <t>      잡손실</t>
  </si>
  <si>
    <t>　　당기손익-공정가치측정 금융부채평가손실</t>
  </si>
  <si>
    <t>      유형자산손상차손</t>
  </si>
  <si>
    <t>      이자수익</t>
  </si>
  <si>
    <t>　　당기손익-공정가치측정 금융자산처분이익</t>
  </si>
  <si>
    <t>      외화환산이익</t>
  </si>
  <si>
    <t>　　당기손익-공정가치측정 금융자산평가손실</t>
  </si>
  <si>
    <t>      당기손익-공정가치측정금융부채평가손실</t>
  </si>
  <si>
    <t>　　잡이익</t>
  </si>
  <si>
    <t>      당기손익-공정가치측정금융자산평가이익</t>
  </si>
  <si>
    <t>　　잡손실</t>
  </si>
  <si>
    <t>      당기손익-공정가치측정금융자산평가손실</t>
  </si>
  <si>
    <t>　　복구공사이익</t>
  </si>
  <si>
    <t>      당기손익-공정가치측정 금융자산평가이익</t>
  </si>
  <si>
    <t>      유형자산처분이익</t>
  </si>
  <si>
    <t>　　지분법손실</t>
  </si>
  <si>
    <t>      당기손익-공정가치측정 금융자산처분이익</t>
  </si>
  <si>
    <t>      잡이익</t>
  </si>
  <si>
    <t>　　관계기업투자주식처분이익</t>
  </si>
  <si>
    <t>      당기손익-공정가치측정 금융자산평가손실</t>
  </si>
  <si>
    <t>      지분법이익</t>
  </si>
  <si>
    <t>　　기타 현금유출이 없는 비용</t>
  </si>
  <si>
    <t>    (3) 영업활동으로 인한 자산ㆍ부채의 변동</t>
  </si>
  <si>
    <t>　영업활동으로인한자산ㆍ부채의변동</t>
  </si>
  <si>
    <t>      종속기업투자주식처분손실</t>
  </si>
  <si>
    <t>      매출채권의 감소(증가)</t>
  </si>
  <si>
    <t>　　매출채권의 감소(증가)</t>
  </si>
  <si>
    <t>      기타수익</t>
  </si>
  <si>
    <t>      기타채권의 감소(증가)</t>
  </si>
  <si>
    <t>　　기타채권의 감소(증가)</t>
  </si>
  <si>
    <t> (3) 영업활동으로 인한 자산ㆍ부채의 변동</t>
  </si>
  <si>
    <t>      기타유동자산의 감소(증가)</t>
  </si>
  <si>
    <t>　　기타유동자산의 감소(증가)</t>
  </si>
  <si>
    <t>      매출채권의 증가</t>
  </si>
  <si>
    <t>      재고자산의 감소(증가)</t>
  </si>
  <si>
    <t>　　재고자산의 감소(증가)</t>
  </si>
  <si>
    <t>      매입채무의 증가(감소)</t>
  </si>
  <si>
    <t>　　매입채무의 증가(감소)</t>
  </si>
  <si>
    <t>      기타채무의 증가(감소)</t>
  </si>
  <si>
    <t>　　기타채무의 증가(감소)</t>
  </si>
  <si>
    <t>      재고자산의 증가</t>
  </si>
  <si>
    <t>      기타유동부채의 증가(감소)</t>
  </si>
  <si>
    <t>　　기타유동부채의 증가(감소)</t>
  </si>
  <si>
    <t>      기타비유동채권의 증가</t>
  </si>
  <si>
    <t>      기타비유동부채의 증가(감소)</t>
  </si>
  <si>
    <t>　　순확정급여부채의 증가(감소)</t>
  </si>
  <si>
    <t>      기타비유동자산의 증가</t>
  </si>
  <si>
    <t>      순확정급여부채의 증가(감소)</t>
  </si>
  <si>
    <t>　이자의 수취</t>
  </si>
  <si>
    <t>      매입채무의 증가</t>
  </si>
  <si>
    <t>  2. 이자의 수취</t>
  </si>
  <si>
    <t>　이자의 지급</t>
  </si>
  <si>
    <t>      기타채무의 증가</t>
  </si>
  <si>
    <t>  3. 이자의 지급</t>
  </si>
  <si>
    <t>　법인세의 환급(납부)</t>
  </si>
  <si>
    <t>  4. 법인세의 환급(납부)</t>
  </si>
  <si>
    <t>투자활동현금흐름</t>
  </si>
  <si>
    <t>II. 투자활동으로 인한 현금흐름</t>
  </si>
  <si>
    <t>　투자활동으로 인한 현금유입액</t>
  </si>
  <si>
    <t>      순확정급여부채의 감소</t>
  </si>
  <si>
    <t>  1. 투자활동으로 인한 현금유입액</t>
  </si>
  <si>
    <t>　　임차보증금의 감소</t>
  </si>
  <si>
    <t>2. 이자의 수취</t>
  </si>
  <si>
    <t>    단기대여금의 감소</t>
  </si>
  <si>
    <t>　　단기금융상품의 처분</t>
  </si>
  <si>
    <t>3. 이자의 지급</t>
  </si>
  <si>
    <t>    임차보증금의 감소</t>
  </si>
  <si>
    <t>　　당기손익-공정가치측정 금융자산의 처분</t>
  </si>
  <si>
    <t>4. 법인세의 납부</t>
  </si>
  <si>
    <t>    기타보증금의 감소</t>
  </si>
  <si>
    <t>　　유형자산의 처분</t>
  </si>
  <si>
    <t>Ⅱ.투자활동으로 인한 현금흐름</t>
  </si>
  <si>
    <t>    유형자산의 처분</t>
  </si>
  <si>
    <t>　투자활동으로 인한 현금유출액</t>
  </si>
  <si>
    <t> (1) 투자활동으로 인한 현금유입액</t>
  </si>
  <si>
    <t>  2. 투자활동으로 인한 현금유출액</t>
  </si>
  <si>
    <t>　　임차보증금의 증가</t>
  </si>
  <si>
    <t>      단기대여금의 감소</t>
  </si>
  <si>
    <t>    임차보증금의 증가</t>
  </si>
  <si>
    <t>　　기타보증금의 증가</t>
  </si>
  <si>
    <t>      임차보증금의 감소</t>
  </si>
  <si>
    <t>    기타보증금의 증가</t>
  </si>
  <si>
    <t>　　당기손익-공정가치측정 금융자산의 취득</t>
  </si>
  <si>
    <t>      기타보증금의 감소</t>
  </si>
  <si>
    <t>    단기금융상품의 증가</t>
  </si>
  <si>
    <t>　　관계기업 취득에 따른 순현금흐름</t>
  </si>
  <si>
    <t>      당기손익-공정가치 측정 금융자산의 감소</t>
  </si>
  <si>
    <t>    당기손익-공정가치 측정 금융자산의 취득</t>
  </si>
  <si>
    <t>　　종속기업 취득에 따른 순현금흐름</t>
  </si>
  <si>
    <t>      유형자산의 처분</t>
  </si>
  <si>
    <t>    관계기업투자주식의 취득</t>
  </si>
  <si>
    <t>　　유형자산의 취득</t>
  </si>
  <si>
    <t> (2) 투자활동으로인한 현금유출액</t>
  </si>
  <si>
    <t>    종속기업투자주식의 취득</t>
  </si>
  <si>
    <t>　　무형자산의 취득</t>
  </si>
  <si>
    <t>      임차보증금의 증가</t>
  </si>
  <si>
    <t>    유형자산의 취득</t>
  </si>
  <si>
    <t>재무활동현금흐름</t>
  </si>
  <si>
    <t>      기타보증금의 증가</t>
  </si>
  <si>
    <t>    무형자산의 취득</t>
  </si>
  <si>
    <t>　재무활동으로 인한 현금유입액</t>
  </si>
  <si>
    <t>      장기대여금의 증가</t>
  </si>
  <si>
    <t>III. 재무활동으로 인한 현금흐름</t>
  </si>
  <si>
    <t>　　전환우선주 발행</t>
  </si>
  <si>
    <t>      종속기업 처분에 따른 순현금흐름</t>
  </si>
  <si>
    <t>  1. 재무활동으로 인한 현금유입액</t>
  </si>
  <si>
    <t>　　자기주식의 처분</t>
  </si>
  <si>
    <t>      유형자산의 취득</t>
  </si>
  <si>
    <t>    전환우선주의 발행</t>
  </si>
  <si>
    <t>　재무활동으로 인한 현금유출액</t>
  </si>
  <si>
    <t>      무형자산의 취득</t>
  </si>
  <si>
    <t>  2. 재무활동으로 인한 현금유출액</t>
  </si>
  <si>
    <t>　　리스부채의 상환</t>
  </si>
  <si>
    <t>      사업양수로 인한 순현금유출</t>
  </si>
  <si>
    <t>    리스부채의 감소</t>
  </si>
  <si>
    <t>현금및현금성자산의증가</t>
  </si>
  <si>
    <t>Ⅲ.재무활동으로 인한 현금흐름</t>
  </si>
  <si>
    <t>IV. 현금및현금성자산의 증가(감소)(I + II + III)</t>
  </si>
  <si>
    <t>기초의 현금및현금성자산</t>
  </si>
  <si>
    <t> (1) 재무활동으로 인한 현금유입액</t>
  </si>
  <si>
    <t>V. 기초의 현금및현금성자산</t>
  </si>
  <si>
    <t>외화표시 현금및현금성자산의 환율변동효과</t>
  </si>
  <si>
    <t> (2) 재무활동으로 인한 현금유출액</t>
  </si>
  <si>
    <t>VI. 외화표시 현금및현금성자산의 환율변동효과</t>
  </si>
  <si>
    <t>기말의 현금및현금성자산</t>
  </si>
  <si>
    <t>      단기차입금의 상환</t>
  </si>
  <si>
    <t>VII. 기말의 현금및현금성자산</t>
  </si>
  <si>
    <t>      리스부채의 감소</t>
  </si>
  <si>
    <t>      신주발행비용</t>
  </si>
  <si>
    <t>Ⅳ.현금및현금성자산의 증가(감소)(Ⅰ+Ⅱ+Ⅲ)</t>
  </si>
  <si>
    <t>3. 연결재무제표 주석</t>
  </si>
  <si>
    <t>Ⅴ.기초의 현금및현금성자산</t>
  </si>
  <si>
    <t>Ⅵ.외화표시 현금및현금성자산의 환율변동효과</t>
  </si>
  <si>
    <t>제 23 (당)기 2021년 12월 31일 현재</t>
  </si>
  <si>
    <t>제 24 (당)기 3분기 2022년 09월 30일 현재</t>
  </si>
  <si>
    <t>Ⅶ.기말의 현금및현금성자산</t>
  </si>
  <si>
    <t>제 22 (당)기 2020년 12월 31일 현재</t>
  </si>
  <si>
    <t>제 23 (전)기 3분기 2021년 09월 30일 현재</t>
  </si>
  <si>
    <t>주식회사 드림어스컴퍼니와 그 종속기업</t>
  </si>
  <si>
    <t>1.  연결대상회사의 개요</t>
  </si>
  <si>
    <t>1. 연결회사의 개요</t>
  </si>
  <si>
    <t>(1) 지배기업의 개요</t>
  </si>
  <si>
    <t>제 21 (전)기 2019년 12월 31일 현재</t>
  </si>
  <si>
    <t>주식회사 드림어스컴퍼니(이하 "지배기업")는 음향기기 및 전자부품 제조업 등을 주 영업목적으로 1999년 1월 20일 설립되었으며, 서울시 서초구 강남대로 311에 소재하고 있습니다. 2019년 3월 28일에 정기주주총회 결의에 의해 지배기업의 상호를 주식회사 아이리버에서 주식회사 드림어스컴퍼니로 변경하였으며, 온라인음악 서비스 및 음반 및 디지털콘텐츠 유통사업도 영위하고 있습니다.</t>
  </si>
  <si>
    <t>지배기업은 2003년 12월 19일에 주식을 한국증권선물거래소가 개설한 코스닥시장에 상장(060570)하였으며, 그동안 수차례의 유ㆍ무상증자 등을 통하여 당분기말 현재 지배기업의 보통주 자본금은 28,429,924천원입니다.</t>
  </si>
  <si>
    <t>주식회사 드림어스컴퍼니(이하 "지배기업")는 음향기기 및 전자부품 제조업 등을 주 영업목적으로 1999년 1월 20일 설립되었으며, 서울시 서초구 강남대로311에 소재하고 있습니다. 지배기업은 2019년 3월 28일에 정기주주총회 결의에 의해 상호를 주식회사 아이리버에서 주식회사 드림어스컴퍼니로 변경하였으며, 온라인 음악 서비스 및 음반 및 디지털콘텐츠 유통사업도 영위하고 있습니다.</t>
  </si>
  <si>
    <t>당분기말 현재 지배기업의 주요 주주현황은 다음과 같습니다.</t>
  </si>
  <si>
    <t>지배기업은 2003년 12월 19일에 주식을 한국증권선물거래소가 개설한 코스닥시장에 상장(060570)하였으며, 그동안 수차례의 유ㆍ무상증자 등을 통하여 당기말 현재 지배기업의 납입 자본금은 28,429,924천원입니다.</t>
  </si>
  <si>
    <t>             (단위 : 주)</t>
  </si>
  <si>
    <t>구  분</t>
  </si>
  <si>
    <t>보통주</t>
  </si>
  <si>
    <t>우선주</t>
  </si>
  <si>
    <t>소유주식수</t>
  </si>
  <si>
    <t>비  율</t>
  </si>
  <si>
    <t>당기말 현재 지배기업의 주요 주주 현황은 다음과 같습니다.</t>
  </si>
  <si>
    <t>SK스퀘어(주) 외 3인</t>
  </si>
  <si>
    <t>주식회사 드림어스컴퍼니(구, 주식회사 아이리버, 이하 "지배기업")는 음향기기 및 전자부품 제조업 등을 주 영업목적으로 1999년 1월 20일 설립되었으며, 서울시 서초구방배로 18길 5에 소재하고 있습니다. 지배기업은 2019년 3월 28일에 정기주주총회 결의에 의해 상호를 주식회사 아이리버에서 주식회사 드림어스컴퍼니로 변경하였으며, 온라인 음악 서비스 및 음반 및 디지털콘텐츠 유통사업도 영위하고 있습니다.</t>
  </si>
  <si>
    <t>(주)에스엠엔터테인먼트 외 1인</t>
  </si>
  <si>
    <t>네오스페스(유) (*)</t>
  </si>
  <si>
    <t>(단위 : 주)</t>
  </si>
  <si>
    <t>합 계</t>
  </si>
  <si>
    <t>(*) 전환우선주에 의결권이 부여되어 있습니다.</t>
  </si>
  <si>
    <t>SK스퀘어(주) 외 2인(*)</t>
  </si>
  <si>
    <t>(2) 당분기말과 전기말 현재 종속기업의 현황은 다음과 같습니다.</t>
  </si>
  <si>
    <t>네오스페스(유)</t>
  </si>
  <si>
    <t>100,00%</t>
  </si>
  <si>
    <t>투자회사명</t>
  </si>
  <si>
    <t>종속기업명</t>
  </si>
  <si>
    <t>소재지</t>
  </si>
  <si>
    <t>주요 영업활동</t>
  </si>
  <si>
    <t>결산월</t>
  </si>
  <si>
    <t>소유지분율</t>
  </si>
  <si>
    <t>당분기말</t>
  </si>
  <si>
    <t>전기말</t>
  </si>
  <si>
    <t>구  분</t>
  </si>
  <si>
    <t>당기</t>
  </si>
  <si>
    <t>자기주식</t>
  </si>
  <si>
    <t>(주)드림어스컴퍼니</t>
  </si>
  <si>
    <t>iriver Enterprise Ltd.</t>
  </si>
  <si>
    <t>홍콩</t>
  </si>
  <si>
    <t>중국 자회사 관리</t>
  </si>
  <si>
    <t>12월</t>
  </si>
  <si>
    <t>비  율</t>
  </si>
  <si>
    <t>LIFE DESIGN COMPANY Inc.</t>
  </si>
  <si>
    <t>일본</t>
  </si>
  <si>
    <t>MD사업</t>
  </si>
  <si>
    <t>SK텔레콤(주) </t>
  </si>
  <si>
    <t>29,246,387 </t>
  </si>
  <si>
    <t>(*) 2021년 11월 2일 SK텔레콤 주식회사의 인적분할로 연결실체의 지배기업이 SK텔레콤 주식회사에서 SK스퀘어 주식회사로 변경되었습니다.</t>
  </si>
  <si>
    <t>(주)스튜디오돌핀</t>
  </si>
  <si>
    <t>한국</t>
  </si>
  <si>
    <t>오디오 콘텐츠 기획 및 제작</t>
  </si>
  <si>
    <t>(주)에스엠엔터테인먼트 외 1 인</t>
  </si>
  <si>
    <t>10,101,795 </t>
  </si>
  <si>
    <t>iriver China Co., Ltd.</t>
  </si>
  <si>
    <t>중국</t>
  </si>
  <si>
    <t>오디오 Customer Service</t>
  </si>
  <si>
    <t>17,510,865 </t>
  </si>
  <si>
    <t>(2) 당기말과 전기말 현재 종속기업의 현황은 다음과 같습니다.</t>
  </si>
  <si>
    <t>Dongguan iriver Electronics Co., Ltd.</t>
  </si>
  <si>
    <t>LCD 패널 외주 생산</t>
  </si>
  <si>
    <t>800 </t>
  </si>
  <si>
    <t>56,859,847 </t>
  </si>
  <si>
    <t>회사명</t>
  </si>
  <si>
    <t>주요영업활동</t>
  </si>
  <si>
    <r>
      <t>(3) 당분기와 전기의 종속기업의 요약재무정보는 다음과 같습니다</t>
    </r>
    <r>
      <rPr>
        <b/>
        <sz val="9"/>
        <color rgb="FF000000"/>
        <rFont val="바탕"/>
        <family val="1"/>
        <charset val="129"/>
      </rPr>
      <t>.</t>
    </r>
  </si>
  <si>
    <t>당기말</t>
  </si>
  <si>
    <t>(2) 연결대상 종속기업 및 현황</t>
  </si>
  <si>
    <t>  (주)드림어스컴퍼니</t>
  </si>
  <si>
    <t> iriver Enterprise Ltd.</t>
  </si>
  <si>
    <t>① 당분기</t>
  </si>
  <si>
    <t> LIFE DESIGN COMPANY Inc.</t>
  </si>
  <si>
    <t>(단위: 천원)</t>
  </si>
  <si>
    <t>당기말과 전기말 현재 종속기업투자의 내역은 다음과 같습니다. </t>
  </si>
  <si>
    <t> (주)스튜디오돌핀(*)</t>
  </si>
  <si>
    <t>당분기</t>
  </si>
  <si>
    <t>  iriver Enterprise Ltd.</t>
  </si>
  <si>
    <t> iriver China Co., Ltd</t>
  </si>
  <si>
    <t>매출</t>
  </si>
  <si>
    <t>순손익</t>
  </si>
  <si>
    <t> Dongguan iriver Electronics Co., Ltd</t>
  </si>
  <si>
    <t>iriver Enterprise Ltd.(*)</t>
  </si>
  <si>
    <t>(*) 지배기업은 당기 중 ㈜스튜디오돌핀의 지분 100%(보통주 10,000주)를 현금 1,500백만원을 지급하고 취득하였습니다.</t>
  </si>
  <si>
    <t>(3) 당기와 전기의 종속기업 및 관계기업의 요약재무정보는 다음과 같습니다. </t>
  </si>
  <si>
    <t>(*) iriver Enterprise Ltd.의 요약재무정보는 연결대상 종속기업인 iriver China Co.,Ltd. 및 Dongguan iriver Electronics Co., Ltd.의 재무정보를 포함한 연결재무정보입니다.</t>
  </si>
  <si>
    <t>MP3,4 생산 및 중국내수 영업</t>
  </si>
  <si>
    <t>① 당기</t>
  </si>
  <si>
    <t>② 전기</t>
  </si>
  <si>
    <t>(3) 종속기업의 요약 재무정보</t>
  </si>
  <si>
    <t>전기</t>
  </si>
  <si>
    <t>당기와 전기 중 연결대상 종속기업의 요약 재무정보는 다음과 같습니다.</t>
  </si>
  <si>
    <t>iriver Enterprise Ltd.(*1)</t>
  </si>
  <si>
    <t>LIFE DESIGN COMPANY  Inc.</t>
  </si>
  <si>
    <t>주식회사 스튜디오돌핀(*2)</t>
  </si>
  <si>
    <t>주식회사 스튜디오돌핀</t>
  </si>
  <si>
    <t>(*1) iriver Enterprise Ltd.의 요약재무정보는 연결대상 종속기업인 iriver China Co.,Ltd. 및 Dongguan iriver Electronics Co., Ltd.의 재무정보를 포함한 연결재무정보입니다.</t>
  </si>
  <si>
    <t>(*2) 지분 취득일 이후의 재무성과입니다.</t>
  </si>
  <si>
    <t>2. 재무제표의 작성기준</t>
  </si>
  <si>
    <t>449,416 </t>
  </si>
  <si>
    <t>695,063 </t>
  </si>
  <si>
    <t>176,085 </t>
  </si>
  <si>
    <t>(1) 회계기준의 적용</t>
  </si>
  <si>
    <t>5,096,777 </t>
  </si>
  <si>
    <t>1,705,114 </t>
  </si>
  <si>
    <t>3,391,663 </t>
  </si>
  <si>
    <t>4,661,590 </t>
  </si>
  <si>
    <t>연결실체의 분기연결재무제표는 한국채택국제회계기준에 따라 작성되는 요약 중간연결재무제표입니다. 동 연결재무제표는 기업회계기준서 제1034호 '중간재무보고'에 따라 작성되었으며, 연차연결재무제표에서 요구되는 정보에 비하여 적은 정보를 포함하고 있습니다. 선별적 주석은 직전 연차보고기간말 후 발생한 연결실체의 재무상태와 경영성과의 변동을 이해하는 데 유의적인 거래나 사건에 대한 설명을 포함하고 있습니다.</t>
  </si>
  <si>
    <t>(2) 추정과 판단</t>
  </si>
  <si>
    <t>① 경영진의 판단 및 가정과 추정의 불확실성</t>
  </si>
  <si>
    <t>(4) 연결범위의 변동</t>
  </si>
  <si>
    <t>총 자산</t>
  </si>
  <si>
    <t>총 부채</t>
  </si>
  <si>
    <t>총 자본</t>
  </si>
  <si>
    <t>순손실</t>
  </si>
  <si>
    <t>총포괄손실</t>
  </si>
  <si>
    <t>한국채택국제회계기준은 중간재무제표를 작성함에 있어서 회계정책의 적용이나, 중간보고기간말 현재 자산, 부채 및 수익, 비용의 보고금액에 영향을 미치는 사항에 대하여 경영진의 최선의 판단을 기준으로 한 추정치와 가정의 사용을 요구하고 있습니다. 중간보고기간말 현재 경영진의 최선의 판단을 기준으로 한 추정치와 가정이 실제환경과 다를 경우 이러한 추정치와 실제 결과는 다를 수 있습니다.</t>
  </si>
  <si>
    <t>당기 중 연결범위 변동내역은 다음과 같습니다.</t>
  </si>
  <si>
    <t>iriver Inc.(*2)</t>
  </si>
  <si>
    <t>분기연결재무제표에서 사용된 연결실체의 회계정책 적용과 추정금액에 대한 경영진의 판단은 2021년 12월 31일로 종료되는 회계연도의 연차연결재무제표에 사용된 것과 동일합니다.</t>
  </si>
  <si>
    <t>groovers Japan Co., Ltd.(*3)</t>
  </si>
  <si>
    <t>기업명</t>
  </si>
  <si>
    <t>변동내용</t>
  </si>
  <si>
    <t>사유</t>
  </si>
  <si>
    <t>LIFE DESIGN COMPANY  Inc.</t>
  </si>
  <si>
    <t>신규포함</t>
  </si>
  <si>
    <t>지분인수</t>
  </si>
  <si>
    <t>② 공정가치 측정</t>
  </si>
  <si>
    <t>(주)그루버스(*4) </t>
  </si>
  <si>
    <t>(*1) iriver Enterprise Ltd.의 요약재무정보는 연결대상 종속기업인 iriver China     Co.,Ltd. 및 Dongguan iriver Electronics Co., Ltd.의 재무정보를 포함한 연결재무정보입니다.</t>
  </si>
  <si>
    <t>연결실체의 회계정책과 공시사항은 다수의 금융 및 비금융자산과 부채에 대해 공정가치 측정을 요구하고 있는 바, 연결실체는 공정가치평가 정책과 절차를 수립하고 있습니다.</t>
  </si>
  <si>
    <t>(*2) 지배력 상실 이전인 2019년 8월 31일까지의 재무성과입니다.</t>
  </si>
  <si>
    <t>2. 연결재무제표의 작성기준</t>
  </si>
  <si>
    <t>(*3) 종속기업인 LIFE DESIGN COMPANY Inc 에 합병되었으며, 합병기준일인 2019년 12월 15일까지의 재무성과입니다.</t>
  </si>
  <si>
    <t>동 정책과 절차에 따라 공정가치 서열체계에서 수준 3으로 분류되는 공정가치를 포함한 모든 유의적인 공정가치 측정의 검토 결과는 재무담당임원에게 직접 보고되고 있습니다.</t>
  </si>
  <si>
    <t>(*4) 합병기준일인 2019년 3월 1일까지의 재무성과입니다. </t>
  </si>
  <si>
    <t>연결실체는 정기적으로 관측가능하지 않은 유의적인 투입변수와 평가 조정을 검토하고 있습니다. 공정가치 측정에서 중개인 가격이나 평가기관과 같은 제3자 정보가 사용되는 경우, 연결실체는 제3자로부터 입수한 정보에 근거한 평가는 공정가치 서열체계 내 수준별 분류를 포함하고 있으며 해당 기준서의 요구사항을 충족한다고 결론을 내릴 수 있는지 여부를 판단하고 있습니다.</t>
  </si>
  <si>
    <t>지배기업과 그 종속기업(이하 "연결실체")은 주식회사 등의 외부감사에 관한 법률 제5조 1항 1호에서 규정하고 있는 국제회계기준위원회의 국제회계기준을 채택하여 정한 회계처리기준인 한국채택국제회계기준에 따라 연결재무제표를 작성하였습니다.</t>
  </si>
  <si>
    <t>연결실체의 연결재무제표는 2022년 2월 11일자 이사회에서 승인되었으며, 2022년 3월 30일자 주주총회에서 최종 승인될 예정입니다.</t>
  </si>
  <si>
    <t>자산이나 부채의 공정가치를 측정하는 경우, 연결실체는 최대한 시장에서 관측가능한 투입변수를 사용하고 있습니다. 공정가치는 다음과 같이 가치평가기법에 사용된 투입변수에 기초하여 공정가치 서열체계 내에서 분류됩니다.</t>
  </si>
  <si>
    <t>지배기업과 그 종속기업(이하 "연결실체")은 주식회사등의외부감사에관한법률 제5조1항 1호에서 규정하고 있는 국제회계기준위원회의 국제회계기준을 채택하여 정한 회계처리기준인 한국채택국제회계기준에 따라 연결재무제표를 작성하였습니다.</t>
  </si>
  <si>
    <t>- 수준 1: 투입변수가 측정일에 동일한 자산이나 부채에 대한 접근 가능한 활성시장의 조정되지 않은 공시가격인 경우</t>
  </si>
  <si>
    <t>연결실체의 연결재무제표는 2021년 2월 5일자 이사회에서 승인되었으며, 2021년</t>
  </si>
  <si>
    <t>(1) 측정기준</t>
  </si>
  <si>
    <t>- 수준 2: 투입변수가 수준 1의 공시가격 이외에 자산이나 부채에 대해 직접적으로 또는 간접적으로 관측가능한 경우</t>
  </si>
  <si>
    <t>3월 30일자 주주총회에서 최종 승인될 예정입니다.</t>
  </si>
  <si>
    <t>- 수준 3: 투입변수가 자산이나 부채에 대해 관측가능하지 않은 경우</t>
  </si>
  <si>
    <t>연결재무제표는 아래에서 열거하고 있는 연결재무상태표의 주요 항목을 제외하고는 역사적 원가를 기준으로 작성되었습니다. </t>
  </si>
  <si>
    <t>자산이나 부채의 공정가치를 측정하기 위해 사용되는 여러 투입변수가 공정가치 서열체계 내에서 다른 수준으로 분류되는 경우, 연결실체는 측정치 전체에 유의적인 공정가치 서열체계에서 가장 낮은 수준의 투입변수와 동일한 수준으로 공정가치 측정치 전체를 분류하고 있으며, 공정가치 수준의 변동은 변동이 발생한 보고기간 말에 공정가치 서열체계의 수준간 이동을 인식하고 있습니다.</t>
  </si>
  <si>
    <t>- 확정급여채무의 현재가치에서 사외적립자산의 공정가치를 차감한 확정급여부채</t>
  </si>
  <si>
    <t>- 당기손익-공정가치로 측정되는 금융상품</t>
  </si>
  <si>
    <t>공정가치 측정 시 사용된 가정의 자세한 정보는 주석 5 '금융상품' 등에 포함되어 있습니다.</t>
  </si>
  <si>
    <t>(2) 기능통화와 표시통화</t>
  </si>
  <si>
    <t>3. 주요 회계정책</t>
  </si>
  <si>
    <t>연결실체 내 개별기업의 재무제표는 각 개별기업의 영업활동이 이루어지는 주된 경제환경의 통화인 기능통화로 작성되고 있습니다. 연결실체의 연결재무제표는 보고기업인 지배기업의 기능통화 및 표시통화인 원화로 작성하여 보고하고 있습니다.</t>
  </si>
  <si>
    <t>연결실체는 연결분기재무제표의 작성에 아래 문단에서 설명하고 있는 사항을 제외하고 2021년 12월 31일로 종료하는 회계연도에 대한 연차재무제표작성 시 채택한 회계정책과 동일합니다.</t>
  </si>
  <si>
    <t>(3) 추정과 판단</t>
  </si>
  <si>
    <t>(1)  법인세 비용</t>
  </si>
  <si>
    <t>한국채택국제회계기준에서는 연결재무제표를 작성함에 있어서 회계정책의 적용이나, 보고기간말 현재 자산, 부채 및 수익, 비용의 보고금액에 영향을 미치는 사항에 대하여 경영진의 최선의 판단을 기준으로 한 추정치와 가정의 사용을 요구하고 있습니다. 보고기간말 현재 경영진의 최선의 판단을 기준으로 한 추정치는 추정치의 결정에 사용된 가정이 실제와 다를 경우 실제 결과치와 다를 수 있습니다.</t>
  </si>
  <si>
    <t>중간기간의 법인세비용은 전체 회계연도에 대해서 예상되는 최선의 가중평균연간법인세율, 즉 추정평균연간유효법인세율을 중간기간의 세전이익에 적용하여 계산합니다.</t>
  </si>
  <si>
    <t>추정치와 추정에 대한 기본 가정은 지속적으로 검토되고 있으며, 회계추정의 변경은 추정이 변경된 기간과 미래 영향을 받을 기간 동안 인식되고 있습니다. </t>
  </si>
  <si>
    <t>(2) 회계정책의 변경과 공시</t>
  </si>
  <si>
    <t>1) 경영진의 판단</t>
  </si>
  <si>
    <t>1) 연결실체가 채택한 제ㆍ개정 기준서</t>
  </si>
  <si>
    <t>연결재무제표에 인식된 금액에 유의한 영향을 미치는 회계정책의 적용과 관련된 주요한 경영진의 판단에 대한 정보는 리스기간 등 주석사항에 포함되어 있습니다.</t>
  </si>
  <si>
    <t>연결실체가 2022년 1월 1일 이후 개시하는 회계기간부터 적용한 제ㆍ개정 기준서 및해석서는 다음과 같습니다.</t>
  </si>
  <si>
    <t>2) 가정과 추정의 불확실성</t>
  </si>
  <si>
    <t>(가) 기업회계기준서 제1103호 '사업결합' (개정) - 재무보고를 위한 개념체계 참조</t>
  </si>
  <si>
    <t>다음 보고기간 이내에 중요한 조정이 발생할 수 있는 유의한 위험이 있는 가정과 추정의 불확실성에 대한 정보는  매출채권및기타채권에 대한 손실충당금 설정, 재고자산의 순실현가능가치의 추정, 유ㆍ무형자산 내용연수의 추정, 영업권 등 무형자산의 손상, 충당부채의 인식, 확정급여채무의 측정, 이연법인세의 인식 등의 주석사항에 포함되어 있습니다. </t>
  </si>
  <si>
    <t>식별할 수 있는 취득 자산과 인수 부채는 재무보고를 위한 개념체계의 정의를 충족하도록 개정되었으나, 기업회계기준서 제1037호 '충당부채, 우발부채 및 우발자산' 및 해석서 제2121호 '부담금' 의 적용범위에 포함되는 부채 및 우발부채에 대해서는 해당 기준서를 적용하도록 예외를 추가하고, 우발자산이 취득일에 인식되지 않는다는 점을 명확히 하였습니다. 동 개정사항은 2022년 1월 1일 이후 시작하는 회계연도부터 적용됩니다. 상기 개정 내용이 연결재무제표에 미치는 유의적인 영향은 없습니다.</t>
  </si>
  <si>
    <t>3) 공정가치 측정</t>
  </si>
  <si>
    <t>다음 보고기간 이내에 중요한 조정이 발생할 수 있는 유의한 위험이 있는 가정과 추정의 불확실성에 대한 정보는  매출채권및기타채권에 대한 손실충당금 설정, 재고자산의 순실현가능가치의 추정, 유ㆍ무형자산 내용연수의 추정, 영업권 등 무형자산의 손상, 충당부채의 인식, 확정급여채무의 측정, 이연법인세의 인식 등의 주석사항에 포함되어 있습니다. </t>
  </si>
  <si>
    <t>(나) 기업회계기준서 제1016호 '유형자산' (개정) - 의도한 사용 전의 매각금액</t>
  </si>
  <si>
    <t>연결실체의 회계정책과 공시사항은 다수의 금융 및 비금융자산과 부채에 대해 공정가치 측정을 요구하고 있는 바, 연결실체는 공정가치평가 정책과 절차를 수립하고 있습니다. 연결실체의 경영진은 공정가치 서열체계에서 수준 3으로 분류되는 공정가치를 포함한 모든 유의적인 공정가치 측정의 검토를 책임지고 있습니다.</t>
  </si>
  <si>
    <t>개정 기준서는 경영진이 의도한 방식으로 유형자산을 가동할 수 있는 장소와 상태에 이르게 하는 동안에 생산된 재화를 판매하여 얻은 매각금액과 그 재화의 원가는 당기손익으로 인식하도록 요구하며, 이로 인해 당기손익에 포함한 매각금액과 원가를 공시하도록 요구하고 있습니다. 동 개정사항은 2022년 1월 1일 이후 시작하는 회계연도부터 적용됩니다. 상기 개정 내용이 연결재무제표에 미치는 유의적인 영향은 없습니다.</t>
  </si>
  <si>
    <t>연결실체는 정기적으로 관측 가능하지 않은 유의적인 투입변수와 평가 조정을 검토하고 있습니다. 공정가치 측정에 중개인 가격이나 평가기관과 같은 제3자 정보가 사용되는 경우, 연결실체는 제3자로부터 입수한 정보에 근거한 평가가 공정가치 서열체계 내 수준별 분류를 포함하고 있으며 해당 기준서의 요구사항을 충족한다고 결론을 내릴 수 있는지 여부를 판단하고 있습니다.</t>
  </si>
  <si>
    <t>(다) 기업회계기준서 제1037호 '충당부채, 우발부채 및 우발자산' (개정) - 손실부담계약: 계약이행원가</t>
  </si>
  <si>
    <t>자산이나 부채의 공정가치를 측정하는 경우, 연결실체는 최대한 시장에서 관측 가능한 투입변수를 사용하고 있습니다. 공정가치는 다음과 같이 가치평가기법에 사용된 투입변수에 기초하여 공정가치 서열체계 내에서 분류됩니다.</t>
  </si>
  <si>
    <t>개정 기준서는 손실부담계약을 식별할 때 계약이행원가는 계약을 이행하는 데 드는 증분원가와 계약을 이행하는 데 직접 관련되는 그 밖의 원가 배분액으로 구성됨을 명확히 하였습니다. 동 개정사항은 2022년 1월 1일 이후 시작하는 회계연도부터 적용됩니다. 상기 개정 내용이 연결재무제표에 미치는 유의적인 영향은 없습니다.</t>
  </si>
  <si>
    <t>- 수준 2: 투입변수가 수준 1 의 공시가격 이외에 자산이나 부채에 대해 직접적으로 또는 간접적으로 관측 가능한 경우</t>
  </si>
  <si>
    <t>(라) 기업회계기준서 제 1116호 '리스' (개정) -  2021년 6월 30일 후에도 제공되는 코로나19 관련 임차료 할인 등</t>
  </si>
  <si>
    <t>- 수준 3: 투입변수가 자산이나 부채에 대해 관측 가능하지 않은 경우</t>
  </si>
  <si>
    <t>코로나19의 직접적인 결과로 발생한 임차료 할인 등(rent concession)이 리스변경에 해당하는지 평가하지 않을 수 있도록 하는 실무적 간편법의 적용대상이 2022년 6월 30일 이전에 지급하여야 할 리스료에 영향을 미치는 리스료 감면으로 확대되었습니다. 리스이용자는 비슷한 상황에서 특성이 비슷한 계약에 실무적 간편법을 일관되게 적용해야 합니다. 동 개정사항은 2021년 4월 1일 이후 시작하는 회계연도부터 적용되며, 조기적용이 허용됩니다. 상기 개정 내용이 연결재무제표에 미치는 유의적인 영향은 없습니다.</t>
  </si>
  <si>
    <t>자산이나 부채의 공정가치를 측정하기 위해 사용되는 여러 투입변수가 공정가치 서열체계 내에서 서로 다른 수준으로 분류되는 경우, 연결실체는 측정치 전체에 유의적인 공정가치 서열체계에서 가장 낮은 수준의 투입변수와 동일한 수준으로 공정가치 측정치 전체를 분류하고 있으며, 변동이 발생한 보고기간 말에 공정가치 서열체계의 수준간 이동을 인식하고 있습니다.</t>
  </si>
  <si>
    <t> (마) 한국채택국제회계기준 2018-2020 연차개선</t>
  </si>
  <si>
    <t>공정가치 측정에 사용된 가정의 자세한 정보는 아래 주석에 포함되어 있습니다.</t>
  </si>
  <si>
    <t>기업회계기준서 제1109호 '금융상품': 금융부채 제거 목적의 10% 테스트관련 수수료에 차입자와 대여자 사이에서 지급하거나 수취한 수수료(상대방을 대신하여 지급하거나 수취한 수수료 포함)만 포함된다는 개정내용을 포함하여 기업회계기준서 제1101호 '한국채택국제회계기준의 최초 채택': 최초채택기업인 종속기업,  기업회계기준서 제1116호 '리스': 리스인센티브, 기업회계기준서 제1041호 '농림어업': 공정가치 측정에 대한 일부 개정내용이 있습니다. 동 연차개선은 2022년 1월 1일 이후 시작하는 회계연도부터 적용됩니다. 상기 개정 내용이 연결재무제표에 미치는 유의적인 영향은 없습니다.</t>
  </si>
  <si>
    <t>- 주석 5: 금융상품</t>
  </si>
  <si>
    <t>2) 공표되었으나 아직 시행되지 않은 제ㆍ개정 기준서 및 해석서</t>
  </si>
  <si>
    <t>- 주석 4: 금융상품</t>
  </si>
  <si>
    <t>3. 회계정책</t>
  </si>
  <si>
    <t>당분기말 현재 제정ㆍ공표되었으나 시행일이 도래하지 않아 연결실체가 채택하지 않은 한국채택국제회계기준의 기준서 및 해석서는 다음과 같습니다.</t>
  </si>
  <si>
    <t>(1) 회계정책과 공시의 변경</t>
  </si>
  <si>
    <t>(가) 기업회계기준서 제1001호 '연결재무제표 표시' (개정) - 부채의 유동·비유동 분류</t>
  </si>
  <si>
    <t>연결실체는 2021년 1월 1일로 개시하는 회계기간부터 다음의 제ㆍ개정 기준서를 신규로 적용하였습니다. </t>
  </si>
  <si>
    <t>부채의 분류는 기업이 보고기간 후 적어도 12개월 이상 부채의 결제를 연기할 권리의 행사 가능성에 영향을 받지 않으며, 부채가 비유동부채로 분류되는 기준을 충족한다면, 경영진이 보고기간 후 12개월 이내에 부채의 결제를 의도하거나 예상하더라도, 또는 보고기간말과 연결재무제표 발행승인일 사이에 부채를 결제하더라도 비유동부채로 분류합니다. 또한, 부채를 유동 또는 비유동으로 분류할 때 부채의 결제조건에 자기지분상품의 이전도 포함되나, 복합금융상품에서 자기지분상품으로 결제하는 옵션이 지분상품으로 분류되고 동 옵션을 부채와 분리하여 인식된 경우는 제외됩니다. 동개정사항은 2023년 1월 1일 이후 시작하는 회계연도부터 적용하며, 조기적용이 허용됩니다. 연결실체는 상기 개정 기준서의 적용이 연결재무제표에 미치는 영향이 유의적이지 아니할 것으로 예상하고 있습니다.</t>
  </si>
  <si>
    <t>(나) 기업회계기준서 제 1001호 '연결재무제표 표시' (개정)</t>
  </si>
  <si>
    <t>연결실체는 2020년 1월 1일로 개시하는 회계기간부터 다음의 제ㆍ개정 기준서를 신규로 적용하였습니다.</t>
  </si>
  <si>
    <t>(가) 기업회계기준서 제 1116호 '리스' (개정) - 코로나19 관련 임차료 할인 등</t>
  </si>
  <si>
    <t>개정 기준서는 공시 대상 회계정책 정보를 '유의적인' 회계정책에서 '중요한' 회계정책으로 바꾸고 중요한 회계정책 정보의 의미를 설명하였습니다. 동 개정사항은 2023년 1월 1일 이후 시작하는 회계연도부터 적용되며, 조기적용이 허용됩니다. 연결실체는 상기 개정 기준서의 적용이 연결재무제표에 미치는 영향이 유의적이지 아니할 것으로 예상하고 있습니다.</t>
  </si>
  <si>
    <t>1) 기업회계기준서 제1103호'사업결합' (개정) - 사업의 정의</t>
  </si>
  <si>
    <t>개정 기준서에서 리스이용자는 실무적 간편법으로 코로나19의 직접적인 결과로 발생한 임차료 할인 등(rent concession)이 리스변경에 해당하는지 평가하지 않을 수 있습니다. 이러한 임차료 할인 등은 실무적 간편법의 적용요건을 모두 충족하여야 하며, 실무적 간편법을 선택한 리스이용자는 그러한 변동이 리스변경이 아닐 경우에 이 기준서가 규정하는 방식과 일관되게 회계처리하여야 합니다. </t>
  </si>
  <si>
    <t>(다) 기업회계기준서 제1008호 '회계정책, 회계추정의 변경 및 오류' (개정)</t>
  </si>
  <si>
    <t>상기 개정 내용이 재무제표에 미치는 유의적인 영향은 없습니다.</t>
  </si>
  <si>
    <t>개정 기준서는 '회계추정치'를 측정불확실성의 영향을 받는 연결재무제표상 화폐금액으로 정의하고, 회계추정치의 예를 보다 명확히 하였습니다. 또한 새로운 정보의 획득, 새로운 상황의 전개나 추가 경험의 축적으로 투입변수나 측정기법을 변경한 경우 이러한 변경이 전기오류수정이 아니라면 회계추정치의 변경임을 명확히 하였습니다. 동 개정사항은 2023년 1월 1일 이후 시작하는 회계연도부터 전진 적용되며, 조기적용이 허용됩니다. 연결실체는 상기 개정 기준서의 적용이 연결재무제표에 미치는 영향이 유의적이지 아니할 것으로 예상하고 있습니다.</t>
  </si>
  <si>
    <t>개정 기준서는 기업이 취득한 대상이 '사업'인지 아니면 '개별 자산취득'인지 판단하는 데 필요한 사업 및 관련 구성요소의 정의를 명확히 하였습니다. 취득한 대상이 사업이라고 판단 내리기 위해 산출물의 창출에 기여할 수 있는 투입물과 실질적인 과정이 필요하다는 점을 명확하게 설명하고, 산출물을 보다 좁게 정의하였습니다. 또한, 사업의 필수 구성요소 중 과정이 실질적인지 여부를 판단할 때 필요한 구체적인 지침과 사례를 추가하였으며, 취득한 대상이 사업이 아닌지 간단히 판단할 수 있는 집중테스트를 선택적으로 적용할 수 있도록 하였습니다. 상기 개정 내용이 연결실체의 재무제표에 미치는 유의적인 영향은 없습니다.</t>
  </si>
  <si>
    <t>(나) 기업회계기준서 제1109호 '금융상품', 제1039호 '금융상품: 인식과 측정', 제1107호 '금융상품: 공시', 제 1104호 '보험계약' 및 제 1116호 '리스' (개정) - 이자율지표 개혁(2단계 개정)</t>
  </si>
  <si>
    <t>(라) 기업회계기준서 제 1012호 '법인세' (개정)</t>
  </si>
  <si>
    <t>2) 기업회계기준서 제1001호 '재무제표 표시' 및 제1008호 '회계정책, 회계추정의 변경 및 오류' (개정) - 중요성의 정의</t>
  </si>
  <si>
    <t>개정된 기준서는 기존 이자율지표가 대체 지표 이자율로 대체될 때 발생할 수 있는 재무보고 영향을 해소할 수 있는 다음의 실무적 간편법을 제공하고 있습니다.</t>
  </si>
  <si>
    <t>개정 기준서는 이연법인세 최초 인식 예외규정을 추가하여 단일 거래에서 자산과 부채를 최초 인식할 때 동일한 금액으로 가산할 일시적차이와 차감할 일시적차이가 생기는 경우 각각 이연법인세 부채와 자산을 인식하도록 하였습니다. 동 개정사항은 2023년 1월 1일 이후 시작하는 회계연도부터 적용되며, 조기적용이 허용됩니다.</t>
  </si>
  <si>
    <t>ㆍ 상각후원가로 측정하는 금융상품과 관련하여 경제적 실질이 변경되지 않는 특정 요건 충족 시 금융상품 재측정에 따른 손익을 미인식</t>
  </si>
  <si>
    <t>  단일 거래에서 생기는 자산과 부채에 관련되는 이연법인세'는 비교 표시되는 가장 이른 기간의 시작일 이후에 이루어진 거래에 적용하며, 비교 표시되는 가장 이른 기간의 시작일에 이미 존재하는 (1) 사용권자산과 리스부채, (2) 사후처리 및 복구 관련 부채 및 이에 상응하여 자산 원가의 일부로 인식한 금액에 관련되는 모든 차감할 일시적 차이와 가산할 일시적 차이에 대해 이연법인세 자산과 부채를 인식하며, 최초 적용 누적 효과를 이익잉여금(또는 자본의 다른 구성요소) 기초 잔액을 조정하여 인식합니다. 연결실체는 상기 개정 기준서의 적용이 연결재무제표에 미치는 영향이 유의적이지 아니할 것으로 예상하고 있습니다.</t>
  </si>
  <si>
    <t>개정 기준서는 '특정 보고기업에 대한 재무정보를 제공하는 일반목적재무제표에 정보를 누락하거나 잘못 기재하거나 불분명하게 하여, 이를 기초로 내리는 주요 이용자의 의사결정에 영향을 줄 것으로 합리적으로 예상할 수 있다면 그 정보는 중요하다'고 기술함으로써 개념체계를 포함한 기준서간 중요성의 정의를 일관되게 정리하고 그 의미를 명확히 하였습니다. 상기 개정 내용이 연결실체의 재무제표에 미치는 유의적인 영향은 없습니다.</t>
  </si>
  <si>
    <t>ㆍ 이자율지표 개혁에서 요구된 변경을 반영하기 위해 과거 문서화된 위험회피관계의 공식적 지정을 수정하는 경우에도 중단 없이 위험회피회계를 계속 적용</t>
  </si>
  <si>
    <t>ㆍ 특정 요건을 충족한 이자율지표 개혁에 따른 리스변경의 경우 새로운 대체 지표 이자율을 반영한 할인율을 적용</t>
  </si>
  <si>
    <t>4. 영업부문</t>
  </si>
  <si>
    <t>연결실체는 제공하는 재화 및 서비스의 유형에 따라 ① 뮤직 부문, ② 디바이스 부문으로 구별하였습니다.</t>
  </si>
  <si>
    <t>3) 기업회계기준서 제1109호 '금융상품', 제1039호 '금융상품: 인식과 측정', 제1107호 '금융상품: 공시' (개정) - 이자율지표 개혁</t>
  </si>
  <si>
    <t>(1) 연결실체의 당분기와 전분기의 사업부문별 정보 내용은 다음과 같습니다.</t>
  </si>
  <si>
    <t>(2) 유의적인 회계정책</t>
  </si>
  <si>
    <t>개정 기준서는 이자율지표 개혁 움직임으로 인한 불확실성이 존재하는 동안 위험회피회계 적용과 관련하여 미래 전망 분석 시 예외규정을 적용하도록 하고 있습니다. 예외규정에서는 기존 이자율지표를 준거로 하는 예상현금흐름의 발생가능성이 매우 높은지, 위험회피대상항목과 위험회피수단 사이의 경제적 관계가 있는지, 양자간에 높은 위험회피효과가 있는지를 평가할 때, 위험회피대상항목과 위험회피수단이 준거로 하고 있는 이자율지표는 이자율지표 개혁의 영향으로 바뀌지 않는다고 가정합니다. 상기 개정 내용이 연결실체의 재무제표에 미치는 유의적인 영향은 없습니다.</t>
  </si>
  <si>
    <t>연결실체가 한국채택국제회계기준에 따른 연결재무제표 작성에 적용한 유의적인 회계정책은 아래 기술되어 있으며, 당기 및 비교표시된 전기의 연결재무제표는 동일한 회계정책을 적용하여 작성되었습니다.</t>
  </si>
  <si>
    <t>(단위:천원)</t>
  </si>
  <si>
    <t>구 분</t>
  </si>
  <si>
    <t>뮤직 부문</t>
  </si>
  <si>
    <t>디바이스 부문</t>
  </si>
  <si>
    <t>소 계</t>
  </si>
  <si>
    <t>조정</t>
  </si>
  <si>
    <t>총 매출액</t>
  </si>
  <si>
    <t>1) 영업부문</t>
  </si>
  <si>
    <t>부문간 매출액</t>
  </si>
  <si>
    <t>외부 매출액</t>
  </si>
  <si>
    <t>연결실체는 부문에 배분될 자원에 대한 의사결정을 하고 부문의 성과를 평가하기 위하여 최고 영업의사결정자가 주기적으로 검토하는 내부보고 자료에 기초하여 부문을구분하고 있습니다. 주석 4에서 기술된 바와 같이 연결실체에는 2개의 보고부문이 있으며, 각 부문은 연결실체의 전략적 영업 단위들입니다. 최고경영자에게 보고되는 부문정보는 부문에 직접 귀속되는 항목과 합리적으로 배분될 수 있는 항목을 포함합니다.</t>
  </si>
  <si>
    <t>영업손익</t>
  </si>
  <si>
    <t>금융손익</t>
  </si>
  <si>
    <t>기타영업외손익</t>
  </si>
  <si>
    <t>2) 연결</t>
  </si>
  <si>
    <t>법인세비용차감전순손익</t>
  </si>
  <si>
    <t>② 전분기</t>
  </si>
  <si>
    <t>① 종속기업</t>
  </si>
  <si>
    <t>종속기업은 연결실체에 의해 지배되는 기업입니다. 연결실체는 피투자기업에 대한 관여로 변동이익에 노출되거나 변동이익에 대한 권리가 있고 피투자기업에 대하여 자신의 힘으로 그러한 이익에 영향을 미치는 능력이 있을 때 피투자기업을 지배합니다. 종속기업의 재무제표는 지배기업이 종속기업에 대한 지배력을 획득하는 날부터 지배력을 상실할 때까지 연결재무제표에 포함됩니다.</t>
  </si>
  <si>
    <t>② 지배력의 상실</t>
  </si>
  <si>
    <t>지배기업은 종속기업에 대한 지배력을 상실하는 경우, 연결재무상태표에서 종전의 종속기업에 대한 자산과 부채를 제거하고 종전의 지배지분에 귀속되는 지배력 상실 관련 손익을 인식합니다. 종속기업에 대한 잔존 투자는 지배력을 상실한 때의 공정가치로 인식됩니다.</t>
  </si>
  <si>
    <t>(2) 연결실체의 당분기와 전분기의 기업전체 수준에서의 정보는 다음과 같습니다.</t>
  </si>
  <si>
    <t>③ 비지배지분</t>
  </si>
  <si>
    <t>① 당분기와 전분기 중 매출액의 내역은 다음과 같습니다.</t>
  </si>
  <si>
    <t>비지배지분은 취득일에 피취득자의 식별가능한 순자산에 대해 인식한 금액 중 현재의 지분상품의 비례적 몫으로 측정됩니다.</t>
  </si>
  <si>
    <t>전분기</t>
  </si>
  <si>
    <t>지배력을 상실하지 않는 종속기업에 대한 지배기업의 소유지분 변동은 자본거래로 회계처리됩니다.</t>
  </si>
  <si>
    <t>주요 지리적 시장(*):</t>
  </si>
  <si>
    <t>  국내</t>
  </si>
  <si>
    <t>④ 관계기업 지분</t>
  </si>
  <si>
    <t>  중국</t>
  </si>
  <si>
    <t>관계기업은 연결실체가 재무정책 및 영업정책에 대한 유의적인 영향력을 보유하고 있으나, 지배하거나 공동지배하지 않는 기업입니다.</t>
  </si>
  <si>
    <t>  일본</t>
  </si>
  <si>
    <t>  유럽</t>
  </si>
  <si>
    <t>  홍콩</t>
  </si>
  <si>
    <t>관계기업에 대한 투자지분은 최초에 거래원가를 포함하여 원가로 인식하고, 취득 후에는 지분법을 사용하여 회계처리하고 있습니다. 연결실체는 취득일 이후에 발생한 피투자자의 당기순손익 및 기타포괄손익 중 연결실체의 지분에 해당하는 금액을 장부금액에 가감하고, 피투자자에게 받은 분배금액은 투자지분의 장부금액에서 차감하고 있습니다.</t>
  </si>
  <si>
    <t>  미국</t>
  </si>
  <si>
    <t>  기타</t>
  </si>
  <si>
    <t>⑤ 내부거래제거</t>
  </si>
  <si>
    <t>주요 서비스 계열:</t>
  </si>
  <si>
    <t>연결실체 내의 거래, 이와 관련된 잔액, 수익과 비용, 미실현손익은 연결재무제표 작성시 모두 제거됩니다. 다만, 연결실체의 내부거래에서 발생한 미실현손실이 연결재무제표에서 인식해야 하는 자산손상의 징후일 경우에는 관련된 자산손상은 당기손실로 인식됩니다.</t>
  </si>
  <si>
    <t>  컨텐츠서비스매출</t>
  </si>
  <si>
    <t>  상품매출</t>
  </si>
  <si>
    <t>⑥ 동일지배하 사업결합</t>
  </si>
  <si>
    <t>  제품매출</t>
  </si>
  <si>
    <t>  기타매출</t>
  </si>
  <si>
    <t>동일지배하에 있는 기업실체나 사업에 대한 결합은 취득한 자산과 인수한 부채를 최상위지배기업의 연결재무제표 상 장부금액으로 인식됩니다. 연결실체는 이전대가와 취득한 순자산 장부금액의 차액을 기타자본항목에서 가감하고 있습니다.</t>
  </si>
  <si>
    <t>수익 인식 시기:</t>
  </si>
  <si>
    <t>3) 현금 및 현금성자산</t>
  </si>
  <si>
    <t>  한 시점에 이행</t>
  </si>
  <si>
    <t>  기간에 걸쳐 이행</t>
  </si>
  <si>
    <t>연결실체는 보유현금, 요구불예금과 유동성이 매우 높고 확정된 금액의 현금으로 전환이 용이하며 가치변동의 위험이 경미한 취득일로부터 만기일이 3개월 이내인 투자자산을 현금및현금성자산으로 분류하고 있습니다.</t>
  </si>
  <si>
    <t>(*) 상기 지역별 매출액은 고객의 소재지에 따라 분류되었습니다.</t>
  </si>
  <si>
    <t>4) 재고자산</t>
  </si>
  <si>
    <t>② 당분기와 전분기 중 단일 외부고객으로부터의 매출액이 연결실체 매출액의 10% 이상을 차지하는 고객은 A사 (당분기: 66,629,582천원, 33.31%, 전분기: 75,625,807천원, 42.49%), B사(당분기: 20,317,290천원, 10.16%, 전분기: 14,289,546천원, 8.03%) 입니다.</t>
  </si>
  <si>
    <t>연결실체는 재고자산의 단위원가를 이동평균법으로 결정하고 있으며 취득원가에 매입원가, 전환원가 및 재고자산을 이용가능한 상태로 준비하는데 필요한 기타의 모든 원가를 포함하고 있습니다. 제품이나 재공품의 원가에 포함되는 고정제조간접원가는생산설비의 실제조업도에 기초하여 배부됩니다. 다만, 실제조업도와 정상조업도 간의차이가 유의적인 경우에는 정상조업도에 기초하여 배부됩니다. </t>
  </si>
  <si>
    <t>③ 당분기말과 전기말 현재 고객과의 계약에서 생기는 계약부채의 내역은 다음과 같습니다.</t>
  </si>
  <si>
    <t>재고자산은 취득원가와 순실현가능가치 중 낮은 금액으로 측정됩니다. 연결실체는 재고자산을 순실현가능가치로 감액한 평가손실과 모든 감모손실을 감액이나 감모가 발생한 기간에 비용으로 인식하고 있으며, 재고자산의 순실현가능가치의 상승으로 인한 재고자산평가손실의 환입은 환입이 발생한 기간의 비용으로 인식된 재고자산의매출원가에서 차감하고 있습니다.</t>
  </si>
  <si>
    <t>5) 비파생금융자산</t>
  </si>
  <si>
    <t>선수금</t>
  </si>
  <si>
    <t>선수수익</t>
  </si>
  <si>
    <t>① 인식 및 최초 측정</t>
  </si>
  <si>
    <t>매출채권과 발행 채무증권은 발행되는 시점에 최초로 인식됩니다. 다른 금융자산은 연결실체가 금융상품의 계약당사자가 되는 때에만 인식됩니다.</t>
  </si>
  <si>
    <t>④ 당분기와 전분기의 매출원가의 내역은 다음과 같습니다.</t>
  </si>
  <si>
    <t>유의적인 금융요소를 포함하지 않는 매출채권을 제외한 금융자산은 최초 인식시점에공정가치로 측정되며, 당기손익-공정가치 측정 금융자산이 아닌 금융자산의 취득과 관련된 거래원가는 공정가치에 가산됩니다. 유의적인 금융요소를 포함하지 않는 매출채권은 최초에 거래가격으로 측정됩니다.</t>
  </si>
  <si>
    <t>② 분류 및 후속 측정</t>
  </si>
  <si>
    <t>컨텐츠서비스매출원가</t>
  </si>
  <si>
    <t>상품매출원가</t>
  </si>
  <si>
    <t>연결실체는 금융자산의 최초 인식시점에 다음의 측정범주로 금융자산을 분류하고 있습니다.</t>
  </si>
  <si>
    <t>제품매출원가</t>
  </si>
  <si>
    <t>- 당기손익-공정가치 측정 금융자산</t>
  </si>
  <si>
    <t>기타매출원가</t>
  </si>
  <si>
    <t>- 기타포괄손익-공정가치 측정 지분상품</t>
  </si>
  <si>
    <t>- 기타포괄손익-공정가치 측정 채무상품</t>
  </si>
  <si>
    <t>- 상각후원가로 측정하는 금융자산</t>
  </si>
  <si>
    <t>5. 금융상품</t>
  </si>
  <si>
    <t>금융자산은 연결실체가 금융자산을 관리하는 사업모형을 변경하지 않는 한 최초 인식 후에 재분류되지 않으며, 사업모형의 변경으로 인해 영향 받는 모든 금융자산은 변경 이후 첫 번째 보고기간의 첫 번째 날에 재분류됩니다.</t>
  </si>
  <si>
    <t>(1) 금융상품의 범주별 분류 및 공정가치</t>
  </si>
  <si>
    <t>금융자산은 다음 두 가지 조건을 모두 만족하고, 당기손익-공정가치 측정항목으로 지정되지 않은 경우에 상각후원가로 측정됩니다.</t>
  </si>
  <si>
    <t>- 계약상 현금흐름을 수취하기 위해 보유하는 것이 목적인 사업모형 하에서 보유합니다.</t>
  </si>
  <si>
    <t>당분기말과 전기말 현재 공정가치 서열체계를 포함한 금융자산과 금융부채의 장부금액과 공정가치는 다음과 같습니다. 장부금액이 공정가치의 합리적인 근사치에 해당하여 공정가치를 측정하지 않은 금융자산과 금융부채에 대한 공정가치 정보는 포함하고 있지 않습니다.</t>
  </si>
  <si>
    <t>- 금융자산의 계약 조건에 따라 특정일에 원금과 원금잔액에 대한 이자지급만으로 구성되어 있는 현금흐름이 발생합니다.</t>
  </si>
  <si>
    <t>① 당분기말</t>
  </si>
  <si>
    <t>채무상품은 다음 두 가지 조건을 충족하고 당기손익-공정가치 측정항목으로 지정되지 않은 경우에 기타포괄손익-공정가치로 측정됩니다.</t>
  </si>
  <si>
    <t>- 계약상 현금흐름의 수취와 금융자산의 매도 둘 다를 통해 목적을 이루는 사업모형하에서 금융자산을 보유합니다.</t>
  </si>
  <si>
    <t>장부금액</t>
  </si>
  <si>
    <t>공정가치 수준</t>
  </si>
  <si>
    <t>- 금융자산의 계약 조건에 따라 특정일에 원리금 지급만으로 구성되어 있는 현금흐름이 발생합니다.</t>
  </si>
  <si>
    <t>당기손익-</t>
  </si>
  <si>
    <t>상각후원가</t>
  </si>
  <si>
    <t>수준 1(*)</t>
  </si>
  <si>
    <t>수준 2</t>
  </si>
  <si>
    <t>수준 3</t>
  </si>
  <si>
    <t>공정가치 측정</t>
  </si>
  <si>
    <t>측정 금융자산</t>
  </si>
  <si>
    <t>측정 금융부채</t>
  </si>
  <si>
    <t>단기매매를 위해 보유하는 것이 아닌 지분상품의 최초 인식 시에 연결실체는 투자자산의 공정가치의 후속적인 변동을 기타포괄손익으로 표시하도록 선택할 수 있습니 다. 다만 한번 선택하면 이를 취소할 수 없습니다. 이러한 선택은 투자 자산별로 이루어집니다.</t>
  </si>
  <si>
    <t>금융상품</t>
  </si>
  <si>
    <t>금융자산:</t>
  </si>
  <si>
    <t>상기에서 설명된 상각후원가나 기타포괄손익-공정가치로 측정되지 않는 모든 금융자산은 당기손익-공정가치로 측정됩니다. 이러한 금융자산은 모든 파생금융자산을포함합니다. 최초 인식시점에 연결실체는 상각후원가나 기타포괄손익-공정가치로 측정되는 금융자산을 당기손익-공정가치 측정항목으로 지정한다면 회계불일치를 제거하거나 유의적으로 줄이는 경우에 해당 금융자산을 당기손익-공정가치 측정 항목으로 지정할 수 있습니다. 다만 한번 지정하면 이를 취소할 수 없습니다.</t>
  </si>
  <si>
    <t>  현금및현금성자산</t>
  </si>
  <si>
    <t>  매출채권</t>
  </si>
  <si>
    <t>다음 회계정책은 금융자산의 후속측정에 적용됩니다.</t>
  </si>
  <si>
    <t>  기타채권</t>
  </si>
  <si>
    <t>당기손익-공정가치 측정 금융자산</t>
  </si>
  <si>
    <t>이러한 자산은 후속적으로 공정가치로 측정됩니다. 이자와 배당수익을 포함한 순손익은 당기손익으로 인식됩니다.</t>
  </si>
  <si>
    <t>  장기투자자산</t>
  </si>
  <si>
    <t>상각후원가 측정 금융자산</t>
  </si>
  <si>
    <t>이러한 자산은 후속적으로 유효이자율법을 사용하여 상각후원가로 측정됩니다. 상각후원가는 손상차손에 의해 감소합니다. 이자수익, 외화환산손익 및 손상은 당기손익으로 인식됩니다. 제거에 따르는 손익도 당기손익으로 인식됩니다.</t>
  </si>
  <si>
    <t>금융자산 합계</t>
  </si>
  <si>
    <t>기타포괄손익-공정가치 측정 채무상품</t>
  </si>
  <si>
    <t>이러한 자산은 후속적으로 공정가치로 측정됩니다. 유효이자율법을 사용하여 계산된 이자수익, 외화환산손익과 손상은 당기손익으로 인식됩니다. 다른 순손익은 기타포괄손익으로 인식됩니다. 제거 시에 기타포괄손익에 누적된 손익은 당기손익으로 재분류됩니다.</t>
  </si>
  <si>
    <t>금융부채:</t>
  </si>
  <si>
    <t>기타포괄손익-공정가치 측정 지분상품</t>
  </si>
  <si>
    <t>이러한 자산은 후속적으로 공정가치로 측정됩니다. 배당은 배당금이 명확하게 투자원가의 회수를 나타내지 않는다면 당기손익으로 인식됩니다. 다른 순손익은 기타포괄손익으로 인식되며 절대로 당기손익으로 재분류되지 않습니다.</t>
  </si>
  <si>
    <t>   매입채무</t>
  </si>
  <si>
    <t>   기타채무</t>
  </si>
  <si>
    <t>③ 손상</t>
  </si>
  <si>
    <t>   리스부채</t>
  </si>
  <si>
    <t>   전환우선주부채</t>
  </si>
  <si>
    <t>금융부채 합계</t>
  </si>
  <si>
    <t>연결실체는 미래전망정보에 근거하여 상각후원가로 측정하는 금융상품에 대한 기대신용손실을 평가합니다. 손상 방식은 신용위험의 유의적인 증가 여부에 따라 결정됩니다. 단, 매출채권 등에 대해 연결실체는 채권의 최초 인식시점부터 전체기간 기대신용손실을 인식하는 간편법을 적용하고 있습니다.</t>
  </si>
  <si>
    <t>(*) 활성시장에서 거래되는 금융상품의 공정가치는 보고기간 종료일 현재 고시되는 시장가격에 기초하여 산정됩니다. 연결실체가 보유하고 있는 금융상품의 공시되는 시장가격은 보고기간 종료일의 종가이며, 수준1과 수준2 간의 대체는 없습니다.</t>
  </si>
  <si>
    <t>기대신용손실은 신용손실의 확률가중추정치입니다. 신용손실은 모든 현금부족액(즉,계약에 따라 지급받기로 한 모든 계약상 현금흐름과 수취할 것으로 예상하는 모든 계약상 현금흐름의 차이)의 현재가치로 측정됩니다. 금융자산의 신용위험이 최초 인식 이후 유의적으로 증가했는지를 판단할 때와 기대신용손실을 추정할 때, 연결실체는 과도한 원가나 노력 없이 이용할 수 있고 합리적이고 뒷받침될 수 있는 정보를 고려합니다. 여기에는 미래지향적인 정보를 포함하여 연결실체의 과거 경험과 알려진 신용평가에 근거한 질적, 양적인 정보 및 분석이 포함됩니다. </t>
  </si>
  <si>
    <t>② 전기말</t>
  </si>
  <si>
    <t>매 보고기간말에, 연결실체는 상각후원가로 측정되는 금융자산의 신용이 손상되었는지 평가합니다. 금융자산의 추정미래현금흐름에 악영향을 미치는 하나 이상의 사건이 발생한 경우에 해당 금융자산은 신용이 손상된 것입니다.</t>
  </si>
  <si>
    <t>금융자산의 신용이 손상된 증거는 다음과 같은 관측 가능한 정보를 포함합니다.</t>
  </si>
  <si>
    <t>- 발행자나 차입자의 유의적인 재무적 어려움</t>
  </si>
  <si>
    <t>- 채무불이행이나 90일 이상 연체와 같은 계약 위반</t>
  </si>
  <si>
    <t>- 차입자의 재무적 어려움에 관련된 경제적이나 계약상 이유로 당초 차입조건의 불가피한 완화</t>
  </si>
  <si>
    <t>- 차입자의 파산가능성이 높아지거나 그 밖의 재무구조조정 가능성이 높아짐</t>
  </si>
  <si>
    <t>  단기금융상품</t>
  </si>
  <si>
    <t>- 재무적 어려움으로 인해 해당 금융자산에 대한 활성시장 소멸</t>
  </si>
  <si>
    <t>상각후원가로 측정하는 금융자산에 대한 손실충당금은 해당 자산의 장부금액에서 차감합니다. </t>
  </si>
  <si>
    <t>④ 제거</t>
  </si>
  <si>
    <t>연결실체는 금융자산의 현금흐름에 대한 계약상 권리가 소멸한 경우, 금융자산의 현금흐름을 수취할 계약상 권리를 양도하고 이전된 금융자산의 소유에 따른 위험과 보상의 대부분을 실질적으로 이전한 경우, 또는 연결실체가 소유에 따른 위험과 보상의대부분을 보유 또는 이전하지 아니하고 금융자산을 통제하고 있지 않은 경우에 금융자산을 제거합니다.</t>
  </si>
  <si>
    <t>연결실체가 연결재무상태표에 인식된 자산을 이전하는 거래를 하였지만, 이전되는 자산의 소유에 따른 대부분의 위험과 보상을 보유하고 있는 경우에는 이전된 자산을 제거하지 않습니다.</t>
  </si>
  <si>
    <t>⑤ 상계</t>
  </si>
  <si>
    <t>금융자산과 부채는 인식한 자산과 부채에 대해 법적으로 집행가능한 상계권리를 현재 연결실체가 보유하고 있고, 순액으로 결제하거나 자산을 실현하는 동시에 부채를 결제할 의도를 가지고 있을 때 상계하여 재무상태표에 순액으로 표시됩니다. 법적으로 집행가능한 상계권리는 미래사건에 좌우되지 않으며, 정상적인 사업과정의 경우와 채무불이행의 경우 및 지급불능이나 파산의 경우에도 집행가능한 것을 의미합니다.</t>
  </si>
  <si>
    <t>③ 당분기와 전분기 중 수준 3 공정가치 측정으로 분류되는 금융자산 및 금융부채의 변동내용은 다음과 같습니다.</t>
  </si>
  <si>
    <t>6) 유형자산</t>
  </si>
  <si>
    <t>금융자산</t>
  </si>
  <si>
    <t>금융부채</t>
  </si>
  <si>
    <t>연결실체는 유형자산을 최초 취득시점의 원가로 측정하여 인식하고 있습니다. 유형자산의 원가에는 경영진이 의도하는 방식으로 자산을 가동하는데 필요한 장소와 상태에 이르게 하는데 직접 관련되는 원가 및 자산을 해체, 제거하거나 부지를 복구하는 데 소요될 것으로 추정되는 원가가 포함됩니다. </t>
  </si>
  <si>
    <t>기초</t>
  </si>
  <si>
    <t>  취득</t>
  </si>
  <si>
    <t>유형자산은 최초 인식 후에는 원가에서 감가상각누계액과 손상차손누계액을 차감한 금액을 장부금액으로 하고 있습니다.</t>
  </si>
  <si>
    <t>  처분</t>
  </si>
  <si>
    <t>  대체(*)</t>
  </si>
  <si>
    <t>유형자산은 자산의 취득원가에서 잔존가치를 차감한 금액에 대하여 아래에 제시된 내용연수에 걸쳐 해당 자산에 내재되어 있는 미래 경제적 효익의 예상 소비 형태를 가장 잘 반영한 정액법으로 상각됩니다.</t>
  </si>
  <si>
    <t>  당기손익에 포함된 평가손익</t>
  </si>
  <si>
    <t>기말</t>
  </si>
  <si>
    <t>유형자산을 구성하는 일부의 원가가 당해 유형자산의 전체 원가와 비교하여 유의적이라면, 해당 유형자산을 감가상각할 때 그 부분은 별도로 구분하여 감가상각하고 있습니다.</t>
  </si>
  <si>
    <t>(*) 당분기 중 전환우선주부채의 시가하락에 따른 전환가액이 확정되어 수준 1로 대체되었습니다.</t>
  </si>
  <si>
    <t>유형자산의 제거로 인하여 발생하는 손익은 순매각금액과 장부금액의 차이로 결정되고 차액은 당기손익으로 인식됩니다.</t>
  </si>
  <si>
    <t>④ 가치평가기법과 유의적이지만 관측 가능하지 않은 투입변수</t>
  </si>
  <si>
    <t>당기 및 전기의 유형자산의 추정 내용연수는 다음과 같습니다.</t>
  </si>
  <si>
    <t>수준 3 공정가치 측정으로 분류되는 금융자산 및 금융부채의 공정가치 측정을 위해 사용된 주된 평가기법과 유의적이지만 관측 가능하지 않은 주된 투입변수는 다음과 같습니다.</t>
  </si>
  <si>
    <t>추정내용연수</t>
  </si>
  <si>
    <t>평가기법</t>
  </si>
  <si>
    <t>유의적이지만 관측 가능하지</t>
  </si>
  <si>
    <t>공정가치 측정과 유의적이지만</t>
  </si>
  <si>
    <t>기계장치</t>
  </si>
  <si>
    <t>5년</t>
  </si>
  <si>
    <t>않은 투입변수</t>
  </si>
  <si>
    <t>관측 가능하지 않은</t>
  </si>
  <si>
    <t>금형</t>
  </si>
  <si>
    <t>2년</t>
  </si>
  <si>
    <t>당기 및 전기의 유형자산의 추정 내용연수는 다음과 같습니다. 지배기업은 당기 중  일부 비품의 내용연수를 5년에서 3년으로 변경하였습니다.</t>
  </si>
  <si>
    <t>투입변수간 상호관계</t>
  </si>
  <si>
    <t>차량운반구</t>
  </si>
  <si>
    <t>추정 내용연수</t>
  </si>
  <si>
    <t>장기투자자산</t>
  </si>
  <si>
    <t>현금흐름할인법</t>
  </si>
  <si>
    <t>할인율 및 영구성장률</t>
  </si>
  <si>
    <t>추정된 공정가치는 다음에 따라 증가(감소)</t>
  </si>
  <si>
    <t>공구와기구</t>
  </si>
  <si>
    <t>- 할인율이 낮아지는(높아지는) 경우</t>
  </si>
  <si>
    <t>비품</t>
  </si>
  <si>
    <t>- 영구성장률이 높아지는(낮아지는) 경우</t>
  </si>
  <si>
    <t>기타유형자산</t>
  </si>
  <si>
    <t> 5년</t>
  </si>
  <si>
    <t>(2) 범주별 금융수익과 금융비용</t>
  </si>
  <si>
    <t>연결실체는 매 보고기간 말에 자산의 잔존가치와 내용연수 및 감가상각방법을 재검토하고 재검토 결과 이를 변경하는 것이 적절하다고 판단되는 경우 회계추정의 변경으로 처리하고 있습니다.</t>
  </si>
  <si>
    <t>3 ~ 5년</t>
  </si>
  <si>
    <t>당분기와 전분기 중 금융상품과 관련된 금융수익과 금융비용의 상세내역은 다음과 같습니다.</t>
  </si>
  <si>
    <t>7) 무형자산</t>
  </si>
  <si>
    <t>연결실체는 무형자산을 최초 인식할 때 원가로 측정하며, 최초 인식 후에 원가에서 상각누계액과 손상차손누계액을 차감한 금액을 장부금액으로 하고 있습니다. 무형자산은 사용 가능한 시점부터 잔존가치를 영("0")으로 하여 아래의 내용연수 동안 정액법으로 상각됩니다. 다만, 연결실체는 영업권 및 회원권 등 일부 무형자산에 대해서는 이를 이용할 수 있을 것으로 기대되는 기간에 대하여 예측가능한 제한이 없으므로당해 무형자산의 내용연수가 비한정인 것으로 평가하고 상각하지 아니하고 있습니다.</t>
  </si>
  <si>
    <t>당기 및 전기의 무형자산의 추정 내용연수는 다음과 같습니다.</t>
  </si>
  <si>
    <t>당기손익-공정가치 측정</t>
  </si>
  <si>
    <t>상각후원가 측정</t>
  </si>
  <si>
    <t>개발비</t>
  </si>
  <si>
    <t>3년</t>
  </si>
  <si>
    <t>산업재산권</t>
  </si>
  <si>
    <t>5~10년</t>
  </si>
  <si>
    <t>금융수익:</t>
  </si>
  <si>
    <t>소프트웨어</t>
  </si>
  <si>
    <t>  이자수익</t>
  </si>
  <si>
    <t>기타무형자산</t>
  </si>
  <si>
    <t>2~10년</t>
  </si>
  <si>
    <t>  외화관련이익</t>
  </si>
  <si>
    <t>  평가이익</t>
  </si>
  <si>
    <t>연결실체는 내용연수가 유한한 무형자산의 상각기간과 상각방법을 매 보고기간말에 재검토하고, 내용연수가 비한정인 무형자산에 대해서는 그 자산의 내용연수가 비한정이라는 평가가 계속하여 정당한 지를 매 보고기간말에 재검토하며, 이를 변경하는 것이 적절하다고 판단되는 경우 회계추정의 변경으로 처리하고 있습니다. </t>
  </si>
  <si>
    <t>  처분이익</t>
  </si>
  <si>
    <t>연구 또는 내부프로젝트의 연구단계에서 발생한 지출은 발생시점에 비용으로 인식됩니다. 개발단계의 지출은 연결실체가 자산을 완성할 수 있는 기술적 실현가능성, 자산을 완성하여 사용하거나 판매하려는 기업의 의도와 능력 및 필요한 자원의 입수가능성, 무형자산의 미래 경제적 효익을 모두 제시할 수 있고, 관련 지출이 신뢰성 있게측정되는 경우에 무형자산으로 인식되며, 기타 개발 관련 지출은 발생시점에 비용으로 인식됩니다.</t>
  </si>
  <si>
    <t>금융비용:</t>
  </si>
  <si>
    <t>  이자비용</t>
  </si>
  <si>
    <t>무형자산에 대한 후속지출은 관련되는 특정자산에 속하는 미래의 경제적 효익이 증가하는 경우에만 자본화되며, 내부적으로 창출한 영업권 및 상표명 등을 포함한 다른지출들은 발생 즉시 비용 처리됩니다.</t>
  </si>
  <si>
    <t>  외화관련손실</t>
  </si>
  <si>
    <t>  평가손실</t>
  </si>
  <si>
    <t>8) 정부보조금</t>
  </si>
  <si>
    <t>  손상차손(*)</t>
  </si>
  <si>
    <t>(*) 연결포괄손익계산서에서 판매비와관리비(대손상각비) 및 영업외수익(기타의대손상각비)으로 인식되었습니다.</t>
  </si>
  <si>
    <t>연결실체는 정부보조금을 정부보조금에 부수되는 조건을 준수하고 그 보조금을 수령하는 것에 대해 합리적인 확신이 있을 경우에만 다음과 같이 인식하고 있습니다. </t>
  </si>
  <si>
    <t>① 자산관련 보조금</t>
  </si>
  <si>
    <t>연결실체는 비유동자산을 취득 또는 건설하는데 사용해야 하는 기본조건이 부과된 정부보조금을 수령하고 있으며, 이를 해당 자산의 장부금액을 계산할 때 차감하고 감가상각자산의 내용연수에 걸쳐 당기손익으로 인식하고 있습니다. </t>
  </si>
  <si>
    <t>② 수익관련 보조금</t>
  </si>
  <si>
    <t>연결실체는 정부보조금을 정부보조금으로 보전하려 하는 관련 원가를 비용으로 인식하는 기간에 걸쳐 관련 비용에서 차감하는 방법으로 당기손익으로 인식하고 있습니 다.</t>
  </si>
  <si>
    <t>9) 비금융자산의 손상</t>
  </si>
  <si>
    <t>연결실체는 고객과의 계약에서 생기는 수익에 따라 인식하는 계약자산과 계약을 체결하거나 이행하기 위해 발생한 원가에서 생기는 자산, 재고자산, 종업원급여에서 발생한 자산과 이연법인세 자산을 제외한 모든 비금융자산에 대해서 매 보고기간말마다 자산손상을 시사하는 징후가 있는지를 검토하며, 만약 그러한 징후가 있다면 당해자산의 회수가능액을 추정하고 있습니다. 단, 사업결합으로 취득한 영업권, 아직 사용할 수 없는 무형자산에 대해서 연결실체는 자산손상을 시사하는 징후와 관계없이 매년 회수가능액과 장부금액을 비교하여 손상검사를 하고 있습니다.</t>
  </si>
  <si>
    <t>　-</t>
  </si>
  <si>
    <t>연결실체는 회수가능액을 개별 자산별로, 또는 개별 자산의 회수가능액을 추정할 수 없다면 그 자산이 속하는 현금창출단위별로 회수가능액을 추정하고 있습니다. 회수가능액은 사용가치와 순공정가치 중 큰 금액으로 결정됩니다. 사용가치는 자산이나 현금창출단위에서 창출될 것으로 기대되는 미래현금흐름을 화폐의 시간가치 및 미래현금흐름을 추정할 때 조정되지 아니한 자산의 특유위험에 대한 현행 시장의 평가를 반영한 적절한 할인율로 할인하여 추정됩니다.</t>
  </si>
  <si>
    <t>자산이나 현금창출단위의 회수가능액이 장부금액에 미달하는 경우 연결실체는 해당 자산의 장부금액을 감소시키며 동 감소액을 당기손익으로 인식하고 있습니다. </t>
  </si>
  <si>
    <t>단, 사업결합으로 취득한 영업권, 내용연수가 비한정인 무형자산 및 아직 사용할 수</t>
  </si>
  <si>
    <t>6. 매출채권 및 기타채권</t>
  </si>
  <si>
    <t>없는 무형자산에 대해서는 자산손상을 시사하는 징후와 관계없이 매년 회수가능액과</t>
  </si>
  <si>
    <t>장부금액을 비교하여 손상검사를 수행하고 있습니다.</t>
  </si>
  <si>
    <t>사업결합으로 취득한 영업권은 사업결합으로 인한 시너지효과의 혜택을 받게 될 것으로 기대되는 각 현금창출단위에 배분됩니다. 현금창출단위에 대한 손상차손은 현금창출단위에 배분된 영업권의 장부금액을 우선 감소시키며, 그 다음 현금창출단위에 속하는 다른 자산 각각의 장부금액에 비례하여 그 자산의 장부금액을 감소시키고 있습니다. 영업권에 대해 인식된 손상차손은 후속기간에 환입되지 않습니다. </t>
  </si>
  <si>
    <t>연결실체는 매출채권에 대해 발생할 것으로 기대되는 손실에 대해 충당금을 설정하고 있습니다. 연결실체는 이를 측정하기 위해 매출채권을 신용위험 특성과 연체기간을 기준으로 구분하였으며, 과거 18개월 동안의 실제 신용손실 경험에 기초하여 기대손실율을 측정하고 있습니다.</t>
  </si>
  <si>
    <t>연결실체는 매 보고기간말에 영업권을 제외한 비금융자산에 대해 과거기간에 인식한손상차손이 더 이상 존재하지 않거나 감소된 것을 시사하는 징후가 있는지를 검토하고 직전 손상차손의 인식시점 이후 회수가능액을 결정하는 데 사용된 추정치에 변화가 있는 경우에만 과거에 인식한 손상차손을 환입합니다. 한편, 손상차손환입으로 증가된 장부금액은 취득원가에서 이전에 손상차손을 인식하지 않았다면 기록되었을 감가상각누계액을 차감한 금액을 초과할 수 없습니다.</t>
  </si>
  <si>
    <t>(1) 매출채권 및 기타채권은 손실충당금이 차감된 순액으로 재무상태표에 표시되었으며, 당분기말과 전기말 현재 총액 기준에 의한 매출채권 및 기타채권 관련 손실충당금의 내역은 다음과 같습니다.</t>
  </si>
  <si>
    <t>10) 리스</t>
  </si>
  <si>
    <t>연결실체는 계약의 약정시점에 계약이 리스인지 또는 리스를 포함하는지 판단합니다. 계약에서 대가와 교환하여 식별되는 자산의 사용 통제권을 일정기간 이전하게 한다면 그 계약은 리스이거나 리스를 포함합니다. 계약이 식별되는 자산의 사용 통제권을이전하는지를 판단할 때, 연결실체는 기업회계기준서 제1116호의 리스의 정의를 이용합니다.</t>
  </si>
  <si>
    <t>총장부금액</t>
  </si>
  <si>
    <t>손실충당금</t>
  </si>
  <si>
    <t>순장부금액</t>
  </si>
  <si>
    <t>① 리스이용자</t>
  </si>
  <si>
    <t>유동자산:</t>
  </si>
  <si>
    <t>리스요소를 포함하는 계약의 개시일이나 변경유효일에 연결실체는 계약대가를 상대적 개별 가격에 기초하여 리스요소와 비리스요소에 배분합니다. 다만, 연결실체는 리스이용자인 리스계약에서 비리스요소를 분리하지 않는 실무적 간편법을 적용하여 리스요소와 관련된 비리스요소를 하나의 리스요소로 회계처리합니다.</t>
  </si>
  <si>
    <t>  미수금</t>
  </si>
  <si>
    <t>  미수수익</t>
  </si>
  <si>
    <t>연결실체는 리스개시일에 사용권자산과 리스부채를 인식합니다. 사용권자산은 최초에 원가로 측정되며, 해당 원가는 리스부채의 최초 측정금액, 리스개시일이나 그 전에 지급한 리스료(받은 리스 인센티브 차감), 리스개설직접원가, 기초자산을 해체 및 제거하거나 기초자산이나 기초자산이 위치한 부지를 복구할 때 리스이용자가 부담하는 원가의 추정치로 구성됩니다.</t>
  </si>
  <si>
    <t>  보증금</t>
  </si>
  <si>
    <t>사용권자산은 후속적으로 리스개시일부터 리스기간 종료일까지 정액법으로 감가상각됩니다. 다만, 리스기간 종료일에 사용권자산의 소유권이 이전되거나 사용권자산의 원가에 매수선택권의 행사가격이 반영된 경우에는 유형자산의 감가상각과 동일한방식에 기초하여 기초자산의 내용연수 종료일까지 사용권자산이 감가상각됩니다. 또한 사용권자산은 손상차손으로 인하여 감소하거나 리스부채의 재측정으로 인하여 조정될 수 있습니다.</t>
  </si>
  <si>
    <t>비유동자산:</t>
  </si>
  <si>
    <t>리스부채는 리스개시일 현재 지급되지 않은 리스료의 현재가치로 최초 측정됩니다. 리스료는 리스의 내재이자율로 할인되지만, 내재이자율을 쉽게 산정할 수 없는 경우에는 연결실체의 증분차입이자율로 할인됩니다. 일반적으로 연결실체는 증분차입이자율을 할인율로 사용합니다.</t>
  </si>
  <si>
    <t>연결실체는 다양한 외부 재무 정보에서 얻은 이자율에서 리스의 조건과 리스 자산의 특성을 반영하기 위한 조정을 하여 증분차입이자율을 산정합니다.</t>
  </si>
  <si>
    <t>(2) 당분기와 전분기 중 매출채권 및 기타채권에 대한 손실충당금의 변동은 다음과 같습니다.</t>
  </si>
  <si>
    <t>리스부채 측정에 포함되는 리스료는 다음 항목으로 구성됩니다.</t>
  </si>
  <si>
    <t>- 고정 리스료(실질적인 고정리스료 포함)</t>
  </si>
  <si>
    <t>- 지수나 요율(이율)에 따라 달라지는 변동리스료. 최초에는 리스개시일의 지수나 요율(이율)을 사용하여 측정함</t>
  </si>
  <si>
    <t>  대손상각비(환입액)</t>
  </si>
  <si>
    <t>- 잔존가치보증에 따라 지급할 것으로 예상되는 금액</t>
  </si>
  <si>
    <t>- 매수선택권을 행사할 것이 상당히 확실한 경우 매수선택권의 행사가격, 연장선택권을 행사할 것이 상당히 확실한 경우 연장기간의 리스료, 리스기간이 종료선택권 행사를 반영하는 경우에 리스를 종료하기 위하여 부담하는 금액</t>
  </si>
  <si>
    <t>리스부채는 유효이자율법에 따라 상각됩니다. 리스부채는 지수나 요율(이율)의 변동으로 미래 리스료가 변동되거나 잔존가치 보증에 따라 지급할 것으로 예상되는 금액이 변동되거나 매수, 연장, 종료 선택권을 행사할지에 대한 평가가 변동되거나 실질적인 고정리스료가 수정되는 경우에 재측정됩니다.</t>
  </si>
  <si>
    <t>7. 재고자산</t>
  </si>
  <si>
    <t>리스부채의 재측정시 조정되는 금액은 사용권자산에서 조정되며, 사용권자산을 줄이는 조정액이 사용권자산의 장부금액보다 큰 경우에는 조정액과 사용권자산의 차액이당기손익으로 인식됩니다.</t>
  </si>
  <si>
    <t>(1) 당분기말과 전기말 현재 재고자산의 장부금액은 다음과 같습니다.</t>
  </si>
  <si>
    <t>연결실체는 재무상태표에서 투자부동산의 정의를 충족하지 않는 사용권자산을 '유형자산'으로 표시하고 리스부채는 유동성 구분에 따라 '리스부채와 장기리스부채'로 표시하였습니다.</t>
  </si>
  <si>
    <t>연결실체는 리스기간이 12개월 이내인 단기리스와 소액 기초자산 리스에 대하여 사용권자산과 리스부채를 인식하지 않는 실무적 간편법을 선택하였습니다. 연결실체는이러한 리스에 관련된 리스료를 리스기간에 걸쳐 정액법에 따라 비용으로 인식합니다.</t>
  </si>
  <si>
    <t>11) 비파생금융부채</t>
  </si>
  <si>
    <t>구분</t>
  </si>
  <si>
    <t>평가전금액</t>
  </si>
  <si>
    <t>순실현가능가치</t>
  </si>
  <si>
    <t>평가충당금</t>
  </si>
  <si>
    <t>환입(손실)</t>
  </si>
  <si>
    <t>누계</t>
  </si>
  <si>
    <t>상품</t>
  </si>
  <si>
    <t>연결실체는 계약상 내용의 실질과 금융부채의 정의에 따라 금융부채를 당기손익인식금융부채와 기타금융부채로 분류하고 계약의 당사자가 되는 때에 연결재무상태표에 인식하고 있습니다.</t>
  </si>
  <si>
    <t>제품</t>
  </si>
  <si>
    <t>재공품</t>
  </si>
  <si>
    <t>① 당기손익인식금융부채</t>
  </si>
  <si>
    <t>원재료</t>
  </si>
  <si>
    <t>당기손익인식금융부채는 단기매매금융부채나 최초 인식시점에 당기손익인식금융부채로 지정한 금융부채를 포함하고 있습니다. 당기손익인식금융부채는 최초인식 후 공정가치로 측정되며, 그 공정가치의 변동은 당기손익으로 인식됩니다. 한편, 최초 인식시점에 발행과 관련하여 발생한 거래비용은 발생 즉시 당기손익으로 인식됩니다.</t>
  </si>
  <si>
    <t>② 기타금융부채</t>
  </si>
  <si>
    <t>당기손익인식금융부채로 분류되지 않은 비파생금융부채는 기타금융부채로 분류됩니다. 기타금융부채는 최초 인식 시 공정가치에서 발행과 직접 관련되는 거래원가를 차감한 금액으로 측정됩니다. 후속적으로 기타금융부채는 유효이자율법의 적용을 통해 상각후원가로 측정되며, 관련 이자비용이 당기손익으로 인식됩니다. </t>
  </si>
  <si>
    <t>③ 금융부채의 제거</t>
  </si>
  <si>
    <t>금융부채는 계약상 의무가 이행, 취소 또는 만료된 경우에 한하여 연결재무상태표에서 제거됩니다. 금융부채 제거 시에, 장부금액과 지급한 대가(양도한 비현금자산이나부담한 부채를 포함)의 차액은 당기손익으로 인식합니다.</t>
  </si>
  <si>
    <t>12) 전환사채</t>
  </si>
  <si>
    <t>(2) 당분기 중 비용으로 인식한 재고자산의 금액은 45,885,560천원(전분기 : 27,195,691천원)입니다. 동 비용에는 재고자산평가손실 및 재고자산 처분 및 환율변동 등으로 인한 재고자산평가 환입 금액이 포함되어 있습니다.</t>
  </si>
  <si>
    <t>연결실체는 전환사채의 부채요소를 최초 인식 시 전환권이 없는 유사한 사채의 공정가치로 인식하고, 전환으로 인한 소멸 또는 만기까지 유효이자율법을 적용하여 상각후 원가로 측정하고 있으며, 자본요소를 최초 인식 시 전체 전환사채의 공정가치에서부채요소의 공정가치를 차감하여 법인세효과를 반영한 금액으로 인식하고, 이후 재측정하지 않고 있습니다. 전환사채와 관련된 직접거래원가는 부채요소와 자본요소의장부금액 비율로 안분하여 계상됩니다.</t>
  </si>
  <si>
    <t>연결실체는 금융감독원 질의회신 '회제이-00094'에 의거하여 전환권을 자본으로 인식하였으며, 동 회계처리는 주식회사 등의 외부감사에 관한 법률 제5조 1항 1호의 한국채택국제회계기준에 한하여 효력이 있습니다.</t>
  </si>
  <si>
    <t>8. 기타자산</t>
  </si>
  <si>
    <t>13) 종업원급여</t>
  </si>
  <si>
    <t>당분기말과 전기말 현재 기타자산의 내역은 다음과 같습니다.</t>
  </si>
  <si>
    <t>① 단기종업원급여</t>
  </si>
  <si>
    <t>종업원이 관련 근무용역을 제공한 보고기간말부터 12 개월 이내에 결제될 단기 종업원급여는 근무용역과 교환하여 지급이 예상되는 금액을 근무용역이 제공된 때에 당기손익으로 인식됩니다. 단기종업원급여는 할인하지 않은 금액으로 측정됩니다.</t>
  </si>
  <si>
    <t>유동:</t>
  </si>
  <si>
    <t>② 퇴직급여: 확정급여제도</t>
  </si>
  <si>
    <t>  선급금</t>
  </si>
  <si>
    <t>               5,002,913</t>
  </si>
  <si>
    <t>  선급비용</t>
  </si>
  <si>
    <t>               2,099,649</t>
  </si>
  <si>
    <t>연결실체는 종업원의 퇴직시 임금수준과 근속년수에 따라 정해지는 퇴직급여를 종업원에게 일시금으로 지급하고 있으며, 이는 확정급여제도로 분류됩니다.</t>
  </si>
  <si>
    <t>  환불자산(*)</t>
  </si>
  <si>
    <t>                   66,315</t>
  </si>
  <si>
    <t> 7,168,877</t>
  </si>
  <si>
    <t>보고기간 말 현재 확정급여제도와 관련된 확정급여부채는 확정급여채무의 현재가치에서 사외적립자산의 공정가치를 차감한 금액으로 장부에 인식됩니다.</t>
  </si>
  <si>
    <t>(*) 고객에게 제품을 회수할 권리를 자산으로 인식하였습니다.</t>
  </si>
  <si>
    <t>확정급여부채는 매년 독립적인 계리사에 의해 예측단위적립방식으로 계산되고 있습니다. 확정급여채무의 현재가치에서 사외적립자산의 공정가치를 차감하여 산출된 순액이 부의 금액일 경우, 연결실체는 제도로부터 환급받거나 제도에 대한 미래기여금이 절감되는 방식으로 이용가능한 경제적 효익의 현재가치를 한도로 자산을 인식하고 있습니다.</t>
  </si>
  <si>
    <t>9. 관계기업투자주식</t>
  </si>
  <si>
    <t>(1) 당분기말과 전기말 현재 관계기업의 현황은 다음과 같습니다.</t>
  </si>
  <si>
    <t>순확정급여부채의 재측정요소는 보험수리적손익, 순확정급여부채의 순이자에 포함된 금액을 제외한 사외적립자산의 수익 및 순확정급여부채의 순이자에 포함된 금액을 제외한 자산인식상한효과의 변동으로 구성되어 있으며, 즉시 기타포괄손익으로 인식됩니다. 연결실체는 보고기간 초의 순확정급여부채(자산)에 보고기간 중의 기여금 납부와 급여지급으로 인한 순확정급여부채(자산)의 변동액을 고려한 금액에 보고기간 초에 확정급여채무를 측정하기 위해 사용한 할인율을 적용하여 순이자비용(수익)을 결정하고 있습니다. 이에 따라 순확정급여부채(자산)에 대한 순이자는 확정급여채무에 대한 이자원가, 사외적립자산에 대한 이자수익, 자산인식상한의 효과에 대한 이자로 구성됩니다.</t>
  </si>
  <si>
    <t>제도의 개정이나 축소가 발생하는 경우, 과거근무에 대한 효익의 변동이나 축소에 따른 손익은 즉시 당기손익으로 인식됩니다. 연결실체는 확정급여제도의 정산이 일어나는 때에 정산으로 인한 손익을 인식하고 있습니다.</t>
  </si>
  <si>
    <t>관계기업:</t>
  </si>
  <si>
    <t>14) 주식기준보상</t>
  </si>
  <si>
    <t> (주)메이크어스(*)</t>
  </si>
  <si>
    <t>국내</t>
  </si>
  <si>
    <t>모바일 컨텐츠 제작 및 캐릭터 상품 판매</t>
  </si>
  <si>
    <t> (주)빗썸메타(*)</t>
  </si>
  <si>
    <t>NFT 판매 및 메타버스 서비스 등</t>
  </si>
  <si>
    <t>연결실체는 제공받는 재화나 용역의 대가로 종업원에게 주식이나 주식선택권을 부여하는 주식결제형 주식보상거래에 대하여 제공받는 재화나 용역의 공정가치 또는 제공받는 재화나 용역의 공정가치를 신뢰성 있게 측정할 수 없다면 부여한 지분상품의 공정가치에 기초하여 재화나 용역의 공정가치를 간접 측정하고 그 금액을 가득기간 동안에 종업원급여(당기비용)와 기타자본항목(주식선택권)으로 인식하고 있습니다. 주식선택권의 가득조건이 용역제공조건 또는 시장조건이 아닌 가득조건인 경우에는 궁극적으로 가득되는주식선택권의 실제수량에 기초하여 주식보상비용이 결정되도록 인식된 종업원비용이 조정됩니다.</t>
  </si>
  <si>
    <t> (주)비마이프렌즈(*)</t>
  </si>
  <si>
    <t>전자상거래 소매업</t>
  </si>
  <si>
    <t>(*) 연결실체는 피투자회사에 대한 지분율이 20%미만이나 이사선임권을 통한 유의적 영향력을 행사하는 것으로 판단하여 피투자회사 주식을 관계기업투자주식으로 분류하였습니다.</t>
  </si>
  <si>
    <t>15) 충당부채</t>
  </si>
  <si>
    <t>(2) 당분기말과 전기말 현재 관계기업투자주식의 내용은 다음과 같습니다. </t>
  </si>
  <si>
    <t>충당부채는 과거사건의 결과로 존재하는 현재의무(법적의무 또는 의제의무)로서, 당해 의무를 이행하기 위하여 경제적효익을 갖는 자원이 유출될 가능성이 높으며 그 의무의 이행에 소요되는 금액이 신뢰성 있게 추정되는 경우에 인식됩니다.</t>
  </si>
  <si>
    <t>연결실체가 충당부채로 인식하는 금액은 관련된 사건과 상황에 대한 불가피한 위험과 불확실성을 고려하여 현재의무를 보고기간말에 이행하기 위하여 소요되는 지출에대한 최선의 추정치입니다. 화폐의 시간가치 효과가 중요한 경우 충당부채는 의무를이행하기 위하여 예상되는 지출액의 현재가치로 평가됩니다.</t>
  </si>
  <si>
    <t>취득원가</t>
  </si>
  <si>
    <t>순자산지분가액</t>
  </si>
  <si>
    <t> (주)메이크어스(*1)</t>
  </si>
  <si>
    <t>충당부채를 결제하기 위해 필요한 지출액의 일부 또는 전부를 제3자가 변제할 것이 예상되는 경우 의무를 이행한다면 연결실체가 변제를 받을 것이 거의 확실하게 되는때에 한하여 변제금액이 별도의 자산으로 인식됩니다.</t>
  </si>
  <si>
    <t> (주)빗썸메타(*2)</t>
  </si>
  <si>
    <t> (주)비마이프렌즈(*3)</t>
  </si>
  <si>
    <t>연결실체는 매 보고기간말마다 충당부채의 잔액을 검토하고, 보고기간말 현재 최선의 추정치를 반영하여 이를 조정하고 있습니다. 연결실체는 의무이행을 위하여 경제적 효익이 내재된 자원이 유출될 가능성이 더 이상 높지 아니한 경우에 관련 충당부채를 환입하고 있습니다. </t>
  </si>
  <si>
    <t>(*1) 연결실체는 전기 중 지분 8.86%(보통주 401주, 우선주 1,752주)를 현금 251백만원을 지급하고 취득하였으며, 당분기 중 피투자회사의 불균등 유상증자로 지분율이 8.45%로 감소하였습니다.</t>
  </si>
  <si>
    <t>연결실체는 충당부채를 최초 인식과 관련 있는 지출에만 사용하고 있습니다.</t>
  </si>
  <si>
    <t>(*2) 연결실체는 당기 중 지분 11.54%(보통주 600,000주)를 3,011백만원 지급하고 취득하였으며, 당기 중 피투자회사의 불균등 유상증자로 지분율이 10.34%로 감소하였습니다.</t>
  </si>
  <si>
    <t>(*3) 연결실체는 당기 중 유의적 영향력 보유로 판단되어 관계기업투자로 재 분류 하였습니다. 전기 중 지분 12.50%(전환우선주 16,667주)를 4,000백만원 지급하고 취득하였으며, 당기 중 피투자회사의 불균등 유상증자로 지분율이 9.06%로 감소하였습니다.</t>
  </si>
  <si>
    <t>16) 외화</t>
  </si>
  <si>
    <t>(3) 당분기와 전기의 관계기업의 요약재무정보는 다음과 같습니다.</t>
  </si>
  <si>
    <t>① 외화거래</t>
  </si>
  <si>
    <t>연결실체는 재무제표 작성에 있어서 기능통화 외의 통화(외화)로 이루어진 거래를 거래일의 환율을 적용하여 기록하고 있습니다. 이후, 매 보고기간 말에 화폐성 외화항목은 보고기간 말의 마감환율로 환산됩니다. 또한, 공정가치로 측정되는 비화폐성 외화항목은 공정가치가 결정된 날의 환율로 환산되고, 역사적원가로 측정되는 비화폐성항목은 거래일의 환율로 환산됩니다.</t>
  </si>
  <si>
    <t>당기순손익</t>
  </si>
  <si>
    <t>화폐성항목의 결제시점에 생기는 외환차이와 화폐성항목의 환산으로 인해 발생한 외환차이는 모두 당기손익으로 인식됩니다. 한편, 비화폐성항목에서 발생한 손익이 기타포괄손익으로 인식되는 경우, 그 손익에 포함된 환율변동효과도 기타포괄손익으로인식되고, 당기손익으로 인식되는 경우에는 환율변동효과도 당기손익으로 인식됩니다.</t>
  </si>
  <si>
    <t>(주)메이크어스</t>
  </si>
  <si>
    <t>(주)빗썸메타</t>
  </si>
  <si>
    <t>(주)비마이프렌즈</t>
  </si>
  <si>
    <t>② 해외사업장</t>
  </si>
  <si>
    <t>해외사업장의 기능통화가 연결실체의 표시통화와 다른 경우 해외사업장의 경영성과와 재무상태는 다음의 방법에 따라 표시통화로 환산됩니다.</t>
  </si>
  <si>
    <t>해외사업장의 기능통화가 초인플레이션 경제의 통화가 아닌 경우 연결재무상태표(비교표시하는 연결재무상태표 포함)의 자산과 부채는 해당 보고기간말의 마감환율로 환산되고, 연결포괄손익계산서(비교표시하는 연결포괄손익계산서 포함)의 수익과 비용은 해당 거래일의 환율로 환산되며, 환산에서 생기는 외환차이는 기타포괄손익으로 인식됩니다.</t>
  </si>
  <si>
    <t>(4) 당분기와 전분기 중 관계기업의 장부금액 변동내역은 다음과 같습니다.</t>
  </si>
  <si>
    <t>연결실체가 해외사업장을 처분하는 경우에는 기타포괄손익과 별도의 자본항목으로 인식한 해외사업장 관련 외환차이누계액은 해외사업장의 처분손익을 인식하는 시점에 자본에서 당기손익으로 재분류됩니다. 해외사업장을 포함한 종속기업의 일부 처분 시 기타포괄손익에 인식된 외환차이의 누계액 중 비례적 지분은 그 해외사업장의 비지배지분으로 재귀속되며, 이 외의 경우에는 해외사업장이 일부 처분된 때 기타포괄손익에 인식된 외환차이누계액 중 비례적 지분만이 당기손익으로 재분류됩니다. </t>
  </si>
  <si>
    <t>17) 납입자본</t>
  </si>
  <si>
    <t>취득 및 처분</t>
  </si>
  <si>
    <t>지분법 손익</t>
  </si>
  <si>
    <t>기타 증감</t>
  </si>
  <si>
    <t>보통주는 자본으로 분류되며 자본거래와 직접 관련되어 발생하는 거래원가는 세금효과를 반영한 순액으로 자본에서 차감됩니다. </t>
  </si>
  <si>
    <t>연결실체가 자기지분상품을 재취득하는 경우에 이러한 지분상품은 자기주식의 과목으로 자본에서 직접 차감됩니다. 자기지분상품을 매입 또는 매도하거나 발행 또는 소각하는 경우에 발생하는 손익은 당기손익으로 인식되지 아니합니다. 지배기업 또는 연결실체 내의 다른 기업이 자기주식의 거래와 관련하여 지급하거나 수취한 대가는 자본에 직접 인식됩니다. </t>
  </si>
  <si>
    <t>18) 고객과의 계약에서 생기는 수익</t>
  </si>
  <si>
    <t>① 재화의 판매</t>
  </si>
  <si>
    <t>연결실체는 재화가 고객에게 이전되어 고객이 인수한 때 수익을 인식합니다. 계약상 고객에게 반품권을 부여한 경우, 수익은 누적수익 금액 중 유의적인 환원이 발생하지않을 가능성이 매우 높은 정도까지 인식되며, 이러한 상황에 따라 반품 추정치에 대한 환불부채와 고객에게서 제품을 회수할 기업의 권리에 대하여 환불자산이 인식됩니다.</t>
  </si>
  <si>
    <t>② 컨텐츠 유통</t>
  </si>
  <si>
    <t>10. 유형자산</t>
  </si>
  <si>
    <t>연결실체는 음원 등을 온라인 음원서비스 제공업체 등에게 공급하고 그에 대한 대가를 수령합니다. 연결실체는 거래처의 음원 사용량 등에 따라 정산대가가 확정되는 시점에 수행의무가 완료된 것으로 판단합니다.</t>
  </si>
  <si>
    <t>(1) 당분기말과 전기말 현재 유형자산의 내역은 다음과 같습니다.</t>
  </si>
  <si>
    <t>② 콘텐츠 유통</t>
  </si>
  <si>
    <t>③ 온라인 음원서비스 제공사업</t>
  </si>
  <si>
    <t>① 당분기말 </t>
  </si>
  <si>
    <t>연결실체는 음원을 고객에게 계약기간동안 사용하도록 하고 그에 대한 대가를 수령합니다. 연결실체는 고객이 계약기간 동안 원활한 음원서비스를 제공받을 수 있도록 음원의 수급을 유지하고 신규 음원에 대한 수급을 지속할 의무가 있으므로 약속된 기간에 걸쳐 이행하는 수행의무로 회계처리합니다. </t>
  </si>
  <si>
    <t>상각누계액</t>
  </si>
  <si>
    <t>손상차손누계액</t>
  </si>
  <si>
    <t>④ 기타 용역의 제공</t>
  </si>
  <si>
    <t>연결실체는 고객에게 제공하는 개발 및 디자인 용역에 대한 지급청구권이 용역의 수행이 완료된 시점에 발생한다고 판단하여 용역이 완료되는 시점에 용역에 대한 통제가 이전되는 것으로 보아 그 시점에 수익을 인식하고 있습니다. 기타 기간에 걸쳐 이행하는 수행의무에 대해서는 용역이 제공되는 기간에 걸쳐 수익을 인식합니다.</t>
  </si>
  <si>
    <t>19) 금융수익과 비용</t>
  </si>
  <si>
    <t>사용권자산</t>
  </si>
  <si>
    <t>연결실체의 금융수익과 금융비용은 다음으로 구성되어 있습니다.</t>
  </si>
  <si>
    <t>건설중인자산</t>
  </si>
  <si>
    <t>- 이자수익</t>
  </si>
  <si>
    <t>- 이자비용</t>
  </si>
  <si>
    <t>② 전기말 </t>
  </si>
  <si>
    <t>- 당기손익-공정가치 측정 금융자산에 대한 순손익</t>
  </si>
  <si>
    <t>- 금융자산과 금융부채에 대한 외환손익</t>
  </si>
  <si>
    <t>- 상각후원가로 측정하는 금융자산에서 발생하는 손상차손(혹은 손상차손환입)</t>
  </si>
  <si>
    <t>이자수익 혹은 이자비용은 유효이자율법을 사용하여 인식됩니다. 배당금수익은 연결실체가 배당을 받을 권리가 확정되는 시점에 인식됩니다.</t>
  </si>
  <si>
    <t>유효이자율은 금융상품의 기대존속기간에 추정되는 미래현금지급액이나 수취액의현재가치를 금융자산의 총 장부금액이나 금융부채의 상각후원가와 정확하게 일치시키는 이자율입니다.</t>
  </si>
  <si>
    <t>이자수익이나 이자비용을 계산할 때, 자산의 총장부금액(해당 자산의신용이 손상되지 않은 경우)이나 부채의 상각후원가에 유효이자율이 적용됩니다. 최초 인식 이후에후속적으로 신용이 손상된 금융자산에 대한 이자수익은 해당 금융자산의 상각후원가에 유효이자율을 적용하여 계산됩니다. 만일 해당 자산이 더는 신용이 손상된 것으로볼 수 없다면 총 장부금액에 유효이자율을 적용하여 이자수익을 계산합니다.</t>
  </si>
  <si>
    <t>20) 법인세</t>
  </si>
  <si>
    <t>법인세비용은 당기법인세와 이연법인세로 구성되어 있으며, 기타포괄손익이나 자본에 직접 인식되는 거래나 사건 또는 사업결합에서 발생하는 세액을 제외하고는 당기손익으로 인식됩니다. </t>
  </si>
  <si>
    <t>(2) 당분기와 전분기 중 유형자산 장부금액의 변동내역은 다음과 같습니다.</t>
  </si>
  <si>
    <t>연결실체는 법인세와 관련된 이자와 벌금이 법인세에 해당하는지 판단하고 법인세에해당한다면 기업회계기준서 제1012호 '법인세'를 적용하고 법인세에 해당하지 않는다면 기업회계기준서 제1037호 '충당부채, 우발부채, 우발자산'을 적용하고 있습니다.</t>
  </si>
  <si>
    <t>① 당기법인세</t>
  </si>
  <si>
    <t>합계</t>
  </si>
  <si>
    <t>당기법인세는 당기의 과세소득을 기초로 산정됩니다. 과세소득은 연결포괄손익계산서 상의 법인세차감전순이익에서 다른 과세기간에 가산되거나 차감될 손익 및 비과세항목이나 손금불인정항목을 제외하므로 연결포괄손익계산서상 손익과 차이가 있습니다. 연결실체의 당기법인세와 관련된 부채는 제정되었거나 실질적으로 제정된 세율을 사용하여 계산됩니다.</t>
  </si>
  <si>
    <t>당기법인세자산과 당기법인세부채는 다음의 조건을 모두 충족하는 경우에만 상계됩니다.</t>
  </si>
  <si>
    <t>  감가상각비</t>
  </si>
  <si>
    <t>- 인식된 금액에 대한 법적으로 집행가능한 상계권리를 가지고 있음.</t>
  </si>
  <si>
    <t>  손상</t>
  </si>
  <si>
    <t>- 순액으로 결제하거나, 자산을 실현하는 동시에 부채를 결제할 의도가 있음</t>
  </si>
  <si>
    <t>  대체</t>
  </si>
  <si>
    <t>  순외환차이 등</t>
  </si>
  <si>
    <t>② 이연법인세</t>
  </si>
  <si>
    <t>  기타(*)</t>
  </si>
  <si>
    <t>연결실체는 이연법인세자산과 이연법인세부채를 측정할 때 보고기간말에 관련 자산과 부채의 장부금액을 회수하거나 결제할 것으로 예상되는 방식에 따른 세효과를 반영하고 있습니다. 종속기업, 관계기업 및 공동기업 투자지분에 관한 가산할 일시적차이에 대해서는 연결실체가 일시적차이의 소멸시점을 통제할 수 있으며, 예측가능한 미래에 일시적차이가 소멸하지 않을 가능성이 높은 경우를 제외하고는 모두 이연법인세부채를 인식하고 있습니다. 또한, 차감할 일시적차이로 인하여 발생하는 이연법인세자산은 일시적차이가 예측가능한 미래에 소멸할 가능성이 높고, 일시적차이가 사용될 수 있는 기간에 과세소득이 발생할 가능성이 높은 경우에 인식하고 있으며, 미사용 세무상결손금과 세액공제가 사용될 수 있는 미래 과세소득의 발생가능성이 높은 경우 그 범위 안에서 이월된 미사용 세무상결손금과 세액공제에 대하여 이연법인세자산을 인식합니다. 미래 과세소득은 관련 가산할 일시적차이의 소멸에 의해 결정됩니다. 가산할 일시적차이가 이연법인세자산을 완전히 인식하기에 충분하지 않다면, 현재 일시적차이들의 소멸과 연결실체의 사업계획을 미래 과세소득에 고려합니다.</t>
  </si>
  <si>
    <t>(*) 리스 기간 및 리스료 변경 등으로 인하여 재측정한 사용권자산 금액 등입니다.</t>
  </si>
  <si>
    <t>연결실체는 이연법인세자산의 장부금액을 매 보고기간말에 검토하고, 이연법인세자산으로 인한혜택이 사용되기에 충분한 과세소득이 발생할 가능성이 더 이상 높지 않은 경우 이연법인세자산의 장부금액을 감소시키고 있습니다.</t>
  </si>
  <si>
    <t>이연법인세자산과 부채는 동일 과세당국이 부과하는 법인세이고, 연결실체가 인식된금액을 상계할 수 있는 법적 권한을 가지고 있으며 당기 법인세부채와 자산을 순액으로 결제할 의도가 있는 경우에만 상계됩니다. 배당금 지급에 따라 추가적으로발생하는 법인세비용이 있다면 이는 배당금 지급과 관련한 부채가 인식되는 시점에 인식됩니다.</t>
  </si>
  <si>
    <t>③ 법인세 처리의 불확실성</t>
  </si>
  <si>
    <t>연결실체는 기업회계기준서 제1012호에 따라 법인세 처리의 불확실성 여부를 검토하며, 과세당국이 불확실한 법인세 처리를 수용할 가능성이 높지 않다고 결론 내리는경우에는 불확실한 법인세 처리 각각에 다음 방법 가운데 불확실성의 해소를 더 잘 예측할 것으로 예상하는 방법을 사용하여 불확실성의 영향을 연결재무제표에 반영하고 있습니다.</t>
  </si>
  <si>
    <t>- 가능성이 가장 높은 금액: 가능한 결과치 범위에서 가능성이 가장 높은 단일금액</t>
  </si>
  <si>
    <t>- 기댓값: 가능한 결과치의 범위에 있는 모든 금액에 각 확률을 곱한 금액의 합</t>
  </si>
  <si>
    <t>21) 사업결합</t>
  </si>
  <si>
    <t>사업결합은 동일지배 하에 있는 사업에 대한 결합을 제외하고 취득법을 적용하여 회계처리됩니다. 이전대가는 일반적으로 식별가능한 취득 순자산을 공정가치로 측정하는 것과 동일하게 공정가치로 측정됩니다. 취득일 현재 기업회계기준서 제1103호에 따른 이전대가의 공정가치와 피취득자에 대한 비지배지분의 금액, 단계적으로 이루어지는 사업결합의 경우에 취득자가 이전에 보유하고 있던 피취득자에 대한 지분의 취득일의 공정가치의 합계액이 취득일에 측정한 식별할 수 있는 취득 자산과 인수부채의 순액보다 클 경우 영업권으로 인식되며, 그 반대의 경우 염가매수차익이 인식됩니다. 사업결합의 결과 영업권이 발생되면 매년 손상검사를 수행하고 있으며, 염가매수차익이 발생되면 즉시 당기손익으로 인식하고 있습니다. 취득관련원가는 기업회계기준서 제1032호와 기업회계기준서 제1109호에 따라 인식하는 채무증권과 지분증권의 발행원가를 제외하고, 원가가 발생하고 용역을 제공받은 기간에 비용으로 회계처리 됩니다.</t>
  </si>
  <si>
    <t>이전대가는 기존관계의 정산과 관련된 금액을 포함하고 있지 않으며, 기존관계의 정산금액은 일반적으로 당기손익으로 인식됩니다.</t>
  </si>
  <si>
    <t>11. 무형자산</t>
  </si>
  <si>
    <t>조건부대가는 취득일에 공정가치로 측정되고 있습니다. 자본으로 분류되는 조건부대가는 재측정되지 않으며, 그 후속 정산은 자본 내에서 회계처리됩니다. 조건부대가가자본으로 분류되지 않는 경우, 후속적으로 조건부대가의 공정가치 변동은 당기손익으로 처리됩니다.</t>
  </si>
  <si>
    <t>(1) 당분기말과 전기말 현재 무형자산의 내역은 다음과 같습니다.</t>
  </si>
  <si>
    <t>22) 주당손익</t>
  </si>
  <si>
    <t>연결실체는 보통주 기본주당손익과 희석주당손익을 지배기업지분순손익에 대하여 계산하고 연결포괄손익계산서에 표시하고 있습니다. 기본주당손익은 보통주에 귀속되는 지배기업지분순손익을 회계기간 동안에 유통된 보통주식수를 가중평균한 주식수로 나누어 계산되며, 희석주당손익은 종업원에게 부여한 주식선택권 등 모든 희석효과가 있는 잠재적 보통주의 영향을 고려하여 보통주에 귀속되는 지배기업순손익 및 가중평균유통보통주식수를 조정하여 계산하고 있습니다.</t>
  </si>
  <si>
    <t>23) 미적용 제ㆍ개정 기준서</t>
  </si>
  <si>
    <t>제정ㆍ공표되었으나 2020년 1월 1일 이후 시작하는 회계연도에 시행일이 도래하지 않았고 연결실체가 조기적용하지 아니한 제ㆍ개정 기준서는 다음과 같습니다.</t>
  </si>
  <si>
    <t>회원권</t>
  </si>
  <si>
    <t>- COVID-19관련 임차료 면제/할인/유예(기업회계기준서 제1116호 '리스')</t>
  </si>
  <si>
    <t>영업권</t>
  </si>
  <si>
    <t>- 의도한 사용 전의 매각금액(기업회계기준서 제1016호 '유형자산')</t>
  </si>
  <si>
    <t>당기말 현재 제정ㆍ공표되었으나 시행일이 도래하지 않아 연결실체가 채택하지 않은 한국채택국제회계기준의 기준서 및 해석서는 다음과 같습니다.</t>
  </si>
  <si>
    <t>- 개념체계 참조(기업회계기준서 제1103호 '사업결합')</t>
  </si>
  <si>
    <t>- 부채의 유동/비유동 분류(기업회계기준서 제1001호 '재무제표 표시')</t>
  </si>
  <si>
    <t>②  전기말</t>
  </si>
  <si>
    <t>- 기업회계기준서 제1117호 '보험계약' 및 그 개정안</t>
  </si>
  <si>
    <t>식별할 수 있는 취득 자산과 인수 부채는 재무보고를 위한 개념체계의 정의를 충족하도록 개정되었으나, 기업회계기준서 제1037호 '충당부채, 우발부채 및 우발자산' 및 해석서 제2121호 '부담금' 의 적용범위에 포함되는 부채 및 우발부채에 대해서는 해당 기준서를 적용하도록 예외를 추가하고, 우발자산이 취득일에 인식되지 않는다는 점을 명확히 하였습니다. 동 개정사항은 2022년 1월 1일 이후 시작하는 회계연도부터 적용되며, 조기적용이 허용됩니다. 연결실체는 상기 개정 기준서의 적용이 재무제표에미치는 영향이 유의적이지 아니할 것으로 예상하고 있습니다.</t>
  </si>
  <si>
    <t>- 한국채택국제회계기준 2018-2020 연차개선</t>
  </si>
  <si>
    <t>연결실체는 상기 개정 기준서의 적용이 연결실체의 재무제표에 미치는 영향이 유의적이지 아니할 것으로 예상하고 있습니다.</t>
  </si>
  <si>
    <t>개정 기준서는 경영진이 의도한 방식으로 유형자산을 가동할 수 있는 장소와 상태에 이르게 하는 동안에 생산된 재화를 판매하여 얻은 매각금액과 그 재화의 원가는 당기손익으로 인식하도록 요구하며, 이로 인해 당기손익에 포함한 매각금액과 원가를 공시하도록 요구하고 있습니다. 동 개정사항은 2022년 1월 1일 이후 시작하는 회계연도부터 적용되며, 조기적용이 허용됩니다. 연결실체는 상기 개정 기준서의 적용이 재무제표에 미치는 영향이 유의적이지 아니할 것으로 예상하고 있습니다.</t>
  </si>
  <si>
    <t>개정 기준서는 손실부담계약을 식별할 때 계약이행원가는 계약을 이행하는 데 드는 증분원가와 계약을 이행하는 데 직접 관련되는 그 밖의 원가 배분액으로 구성됨을 명확히 하였습니다. 동 개정사항은 2022년 1월 1일 이후 시작하는 회계연도부터 적용되며, 조기적용이 허용됩니다. 연결실체는 상기 개정 기준서의 적용이 재무제표에 미치는 영향이 유의적이지 아니할 것으로 예상하고 있습니다.</t>
  </si>
  <si>
    <t>(1) 보고부문 정보</t>
  </si>
  <si>
    <t>(2) 당분기와 전분기 중 무형자산 장부금액의 변동내역은 다음과 같습니다.</t>
  </si>
  <si>
    <t>(라) 기업회계기준서 제 1001호 '재무제표 표시' (개정)</t>
  </si>
  <si>
    <t>연결실체는 제공하는 재화 및 서비스의 유형에 따라 ① 뮤직 부문과 ② 디바이스 부문 두 개의 부문으로 구분하였습니다.</t>
  </si>
  <si>
    <t>개정 기준서는 공시 대상 회계정책 정보를 '유의적인' 회계정책에서 '중요한' 회계정책으로 바꾸고 중요한 회계정책 정보의 의미를 설명하였습니다. 동 개정사항은 2023년 1월 1일 이후 시작하는 회계연도부터 적용되며, 조기적용이 허용됩니다. 회사는 상기 개정 기준서의 적용이 재무제표에 미치는 영향이 유의적이지 아니할 것으로 예상하고 있습니다.</t>
  </si>
  <si>
    <t>기타의무형자산</t>
  </si>
  <si>
    <t>(마) 기업회계기준서 제 1116호 '리스' (개정) -  2021년 6월 30일 후에도 제공되는 코로나19 관련 임차료 할인 등</t>
  </si>
  <si>
    <t>  내부개발</t>
  </si>
  <si>
    <t>코로나19의 직접적인 결과로 발생한 임차료 할인 등(rent concession)이 리스변경에 해당하는지 평가하지 않을 수 있도록 하는 실무적 간편법의 적용대상이 2022년 6월 30일 이전에 지급하여야 할 리스료에 영향을 미치는 리스료 감면으로 확대되었습니다. 리스이용자는 비슷한 상황에서 특성이 비슷한 계약에 실무적 간편법을 일관되게 적용해야 합니다. 동 개정사항은 2021년 4월 1일 이후 시작하는 회계연도부터 적용되며, 조기적용이 허용됩니다. 연결실체는 상기 개정 기준서의 적용이 재무제표에 미치는 영향이 유의적이지 아니할 것으로 예상하고 있습니다.</t>
  </si>
  <si>
    <t>(바) 한국채택국제회계기준 2018-2020 연차개선</t>
  </si>
  <si>
    <t>  손상차손</t>
  </si>
  <si>
    <t>총 매출액(*)</t>
  </si>
  <si>
    <t>184,211,907 </t>
  </si>
  <si>
    <t>42,117,165 </t>
  </si>
  <si>
    <t>226,329,072 </t>
  </si>
  <si>
    <t>기업회계기준서 제1109호 '금융상품': 금융부채 제거 목적의 10% 테스트관련 수수료에 차입자와 대여자 사이에서 지급하거나 수취한 수수료(상대방을 대신하여 지급하거나 수취한 수수료 포함)만 포함된다는 개정내용을 포함하여 기업회계기준서 제1101호 '한국채택국제회계기준의 최초 채택': 최초채택기업인 종속기업,  기업회계기준서 제1116호 '리스': 리스인센티브, 기업회계기준서 제1041호 '농림어업': 공정가치 측정에 대한 일부 개정내용이 있습니다. 동 연차개선은 2022년 1월 1일 이후 시작하는 회계연도부터 적용되며, 조기적용이 허용됩니다. 연결실체는 상기 개정 기준서의 적용이 재무제표에 미치는 영향이 유의적이지 아니할 것으로 예상하고 있습니다.</t>
  </si>
  <si>
    <t>(사) 기업회계기준서 제1008호 '회계정책, 회계추정의 변경 및 오류' (개정)</t>
  </si>
  <si>
    <t>종속기업처분손익</t>
  </si>
  <si>
    <t>- </t>
  </si>
  <si>
    <t>개정 기준서는 '회계추정치'를 측정불확실성의 영향을 받는 재무제표상 화폐금액으로 정의하고, 회계추정치의 예를 보다 명확히 하였습니다. 또한 새로운 정보의 획득, 새로운 상황의 전개나 추가 경험의 축적으로 투입변수나 측정기법을 변경한 경우 이러한 변경이 전기오류수정이 아니라면 회계추정치의 변경임을 명확히 하였습니다.</t>
  </si>
  <si>
    <t>법인세비용차감전순손실</t>
  </si>
  <si>
    <t>(*) 부문 간 매출거래는 없으므로 총 매출액은 외부고객으로부터의 매출액과 같습니다.</t>
  </si>
  <si>
    <t>동 개정사항은 2023년 1월 1일 이후 시작하는 회계연도부터 전진 적용되며, 조기적용이 허용됩니다. 회사는 상기 개정 기준서의 적용이 재무제표에 미치는 영향이 유의적이지 아니할 것으로 예상하고 있습니다.</t>
  </si>
  <si>
    <t>(아) 기업회계기준서 제 1012호 '법인세' (개정)</t>
  </si>
  <si>
    <t>개정 기준서는 이연법인세 최초 인식 예외규정을 추가하여 단일 거래에서 자산과 부채를 최초 인식할 때 동일한 금액으로 가산할 일시적차이와 차감할 일시적차이가 생기는 경우 각각 이연법인세 부채와 자산을 인식하도록 하였습니다. 동 개정사항은 2023년 1월 1일 이후 시작하는 회계연도부터 적용되며, 조기적용이 허용됩니다. </t>
  </si>
  <si>
    <t>  무형자산상각비</t>
  </si>
  <si>
    <t>150,591,643 </t>
  </si>
  <si>
    <t>46,369,519 </t>
  </si>
  <si>
    <t>196,961,162 </t>
  </si>
  <si>
    <t>'단일 거래에서 생기는 자산과 부채에 관련되는 이연법인세'는 비교 표시되는 가장 이른 기간의 시작일 이후에 이루어진 거래에 적용하며, 비교 표시되는 가장 이른 기간의 시작일에 이미 존재하는 (1) 사용권자산과 리스부채, (2) 사후처리 및 복구 관련 부채 및 이에 상응하여 자산 원가의 일부로 인식한 금액에 관련되는 모든 차감할 일시적 차이와 가산할 일시적 차이에 대해 이연법인세 자산과 부채를 인식하며, 최초 적용 누적 효과를 이익잉여금(또는 자본의 다른 구성요소) 기초 잔액을 조정하여 인식합니다. 회사는 상기 개정 기준서의 적용이 재무제표에 미치는 영향이 유의적이지 아니할 것으로 예상하고 있습니다.</t>
  </si>
  <si>
    <t>1,267,274 </t>
  </si>
  <si>
    <t>12. 리스</t>
  </si>
  <si>
    <t>관계기업처분이익</t>
  </si>
  <si>
    <t>(1) 당분기말과 전기말 현재 연결재무상태표에 인식된 사용권 자산의 장부금액은 다음과 같습니다.</t>
  </si>
  <si>
    <t>(1) 연결실체의 당기와 전기의 사업부문별 정보 내용은 다음과 같습니다.</t>
  </si>
  <si>
    <t>(2) 기업전체 수준에서의 정보</t>
  </si>
  <si>
    <t>  건물</t>
  </si>
  <si>
    <t>① 매출액에 대한 정보</t>
  </si>
  <si>
    <t>  차량운반구</t>
  </si>
  <si>
    <t>당기와 전기 중 매출액의 내역은 다음과 같습니다.</t>
  </si>
  <si>
    <t>합  계</t>
  </si>
  <si>
    <t>(2) 당분기와 전분기 중 연결실체가 리스이용자로서 연결손익계산서에 인식한 금액은 다음과 같습니다.</t>
  </si>
  <si>
    <t>주요 지리적 시장(*1):</t>
  </si>
  <si>
    <t>204,590,279 </t>
  </si>
  <si>
    <t>157,369,364 </t>
  </si>
  <si>
    <t>5,199,121 </t>
  </si>
  <si>
    <t>7,476,112 </t>
  </si>
  <si>
    <t>사용권자산의 감가상각비</t>
  </si>
  <si>
    <t>7,395,508 </t>
  </si>
  <si>
    <t>20,027,875 </t>
  </si>
  <si>
    <t>4,060,063 </t>
  </si>
  <si>
    <t>3,670,746 </t>
  </si>
  <si>
    <t>1,763,229 </t>
  </si>
  <si>
    <t>2,593,404 </t>
  </si>
  <si>
    <t>지분법적용손익</t>
  </si>
  <si>
    <t>1,848,246 </t>
  </si>
  <si>
    <t>3,507,049 </t>
  </si>
  <si>
    <t>1,472,626 </t>
  </si>
  <si>
    <t>2,316,613 </t>
  </si>
  <si>
    <t>리스부채에 대한 이자비용</t>
  </si>
  <si>
    <t>합  계</t>
  </si>
  <si>
    <t>196,961,163 </t>
  </si>
  <si>
    <t>단기 리스와 관련된 비용</t>
  </si>
  <si>
    <t>주요 서비스 계열:   </t>
  </si>
  <si>
    <t>소액 자산 리스 중 단기 리스를 제외한 리스에 관련된 비용</t>
  </si>
  <si>
    <t> 컨텐츠서비스매출(*2)</t>
  </si>
  <si>
    <t>173,179,617 </t>
  </si>
  <si>
    <t>118,114,907 </t>
  </si>
  <si>
    <t> 상품매출</t>
  </si>
  <si>
    <t>31,666,860 </t>
  </si>
  <si>
    <t>43,149,333 </t>
  </si>
  <si>
    <t>(3) 당분기와 전분기 중 리스부채 상환 및 소액 리스 등을 통한 리스 관련 현금유출액은 각각 2,362,993천원과 1,720,089천원 입니다.</t>
  </si>
  <si>
    <t> 제품매출</t>
  </si>
  <si>
    <t>20,460,604 </t>
  </si>
  <si>
    <t>33,434,450 </t>
  </si>
  <si>
    <t> 기타매출</t>
  </si>
  <si>
    <t>1,021,991 </t>
  </si>
  <si>
    <t>2,262,473 </t>
  </si>
  <si>
    <t>13. 매입채무 및 기타채무</t>
  </si>
  <si>
    <t>122,889,793 </t>
  </si>
  <si>
    <t>134,529,262 </t>
  </si>
  <si>
    <t>당분기말과 전기말 현재 매입채무 및 기타채무의 내역은 다음과 같습니다.</t>
  </si>
  <si>
    <t>103,439,279 </t>
  </si>
  <si>
    <t>62,431,901 </t>
  </si>
  <si>
    <t>(*1) 상기 지역별 매출액은 고객의 소재지에 따라 분류되었습니다.</t>
  </si>
  <si>
    <t>유동</t>
  </si>
  <si>
    <t>비유동</t>
  </si>
  <si>
    <t>(*2) 연결실체는 전기부터 음원플랫폼을 통한 음원서비스매출을 시작하였으며, 컨텐츠서비스매출에 포함하였습니다.</t>
  </si>
  <si>
    <t>(2) 연결실체의 당기와 전기의 기업전체 수준에서의 정보는 다음과 같습니다.</t>
  </si>
  <si>
    <t>미지급금</t>
  </si>
  <si>
    <t>② 주요 고객에 대한 정보</t>
  </si>
  <si>
    <t>미지급비용</t>
  </si>
  <si>
    <t>① 당기와 전기 중 매출액의 내역은 다음과 같습니다.</t>
  </si>
  <si>
    <t>예수보증금</t>
  </si>
  <si>
    <t>당기 중 단일 외부고객으로부터의 매출액이 연결실체 매출액의 10% 이상을 차지하는 고객은 당기 A사(79,984,430천원, 35.34%) 및 B사(36,148,862천원, 15.97%)입니다.</t>
  </si>
  <si>
    <t>(3) 당기말과 전기말 현재 고객과의 계약에서 생기는 계약자산은 없으며, 계약부채의내역은 다음과 같습니다.</t>
  </si>
  <si>
    <t>14. 기타부채</t>
  </si>
  <si>
    <t>9,044 </t>
  </si>
  <si>
    <t>42,109 </t>
  </si>
  <si>
    <t>(1) 당분기말과 전기말 현재 기타부채의 내역은 다음과 같습니다.</t>
  </si>
  <si>
    <t>5,245,911 </t>
  </si>
  <si>
    <t>4,209,307 </t>
  </si>
  <si>
    <t>유럽</t>
  </si>
  <si>
    <t>5,254,955 </t>
  </si>
  <si>
    <t>4,251,416 </t>
  </si>
  <si>
    <t>미국</t>
  </si>
  <si>
    <t>유  동</t>
  </si>
  <si>
    <t>① 당기와 전기의 매출원가의 내역은 다음과 같습니다.</t>
  </si>
  <si>
    <t>주요 서비스 계열:   </t>
  </si>
  <si>
    <t>예수금</t>
  </si>
  <si>
    <t>컨텐츠매출원가</t>
  </si>
  <si>
    <t>140,756,266 </t>
  </si>
  <si>
    <t>98,351,069 </t>
  </si>
  <si>
    <t>콘텐츠서비스매출</t>
  </si>
  <si>
    <t>부가세예수금</t>
  </si>
  <si>
    <t>26,833,967 </t>
  </si>
  <si>
    <t>38,447,880 </t>
  </si>
  <si>
    <t>상품매출</t>
  </si>
  <si>
    <t>환불부채</t>
  </si>
  <si>
    <t>13,476,781 </t>
  </si>
  <si>
    <t>28,620,092 </t>
  </si>
  <si>
    <t>제품매출</t>
  </si>
  <si>
    <t>판매보증충당부채</t>
  </si>
  <si>
    <t>138,373 </t>
  </si>
  <si>
    <t>884,092 </t>
  </si>
  <si>
    <t>기타매출</t>
  </si>
  <si>
    <t>복구충당부채</t>
  </si>
  <si>
    <t>181,205,387 </t>
  </si>
  <si>
    <t>166,303,133 </t>
  </si>
  <si>
    <t>한 시점에 이행</t>
  </si>
  <si>
    <t>(2) 당분기와 전분기 중 충당부채 변동내역은 다음과 같습니다.</t>
  </si>
  <si>
    <t>기간에 걸쳐 이행</t>
  </si>
  <si>
    <t>공정가치 서열체계를 포함한 금융자산과 금융부채의 장부금액과 공정가치는 다음과 같습니다. 장부금액이 공정가치의 합리적인 근사치에 해당하여 공정가치를 측정하지않은 금융자산과 금융부채에 대한 공정가치 정보는 포함하고 있지 않습니다.</t>
  </si>
  <si>
    <t>② 당기 중 단일 외부고객으로부터의 매출액이 연결실체 매출액의 10% 이상을 차지하는 고객은 A사 (105,823,978천원, 43.34%)입니다.</t>
  </si>
  <si>
    <t>변동내역</t>
  </si>
  <si>
    <t>유동성분류</t>
  </si>
  <si>
    <t>설정</t>
  </si>
  <si>
    <t>사용</t>
  </si>
  <si>
    <t>③ 당기말과 전기말 현재 계약부채의 내역은 다음과 같습니다.</t>
  </si>
  <si>
    <t>판매보증충당부채(*1)</t>
  </si>
  <si>
    <t>① 당기말  </t>
  </si>
  <si>
    <t>복구충당부채(*2)</t>
  </si>
  <si>
    <t>(*1) 연결실체는 매출된 제품에 대한 하자보증 등으로 인하여 향후 발생할 것으로 예상되는 비용을 합리적으로 추정하여 충당부채로 계상하고 있습니다.</t>
  </si>
  <si>
    <t>수준 1</t>
  </si>
  <si>
    <t>(*2) 연결실체는 임차시설의 사용이 종료된 후에 원상회복을 위하여 복원하는데 소요될 것으로 추정되는 비용을 합리적으로 추정하여 충당부채로 계상하고 있습니다.</t>
  </si>
  <si>
    <t>공정가치로 측정되는 금융자산:</t>
  </si>
  <si>
    <t xml:space="preserve"> 장기투자자산</t>
  </si>
  <si>
    <t>④ 당기와 전기의 매출원가의 내역은 다음과 같습니다.</t>
  </si>
  <si>
    <t>공정가치로 측정되지 않는 금융자산:</t>
  </si>
  <si>
    <t xml:space="preserve"> 현금및현금성자산</t>
  </si>
  <si>
    <t xml:space="preserve"> 매출채권</t>
  </si>
  <si>
    <t>콘텐츠매출원가</t>
  </si>
  <si>
    <t xml:space="preserve"> 기타채권</t>
  </si>
  <si>
    <t>공정가치로 측정되지 않는 금융부채:</t>
  </si>
  <si>
    <t xml:space="preserve"> 매입채무</t>
  </si>
  <si>
    <t xml:space="preserve"> 기타채무</t>
  </si>
  <si>
    <t xml:space="preserve"> 리스부채</t>
  </si>
  <si>
    <t>15. 전환우선주부채</t>
  </si>
  <si>
    <t>연결실체는 장기투자자산을 제외한 금융자산과 금융부채의 장부금액이 공정가치의 합리적인 근사치라고 판단하고 있습니다.</t>
  </si>
  <si>
    <t>(1) 당분기말 현재 전환우선주부채의 내역은 다음과 같습니다.</t>
  </si>
  <si>
    <t>종    류</t>
  </si>
  <si>
    <t>발행일</t>
  </si>
  <si>
    <t>배당율(%)</t>
  </si>
  <si>
    <t>전환우선주</t>
  </si>
  <si>
    <t>2021.06.16</t>
  </si>
  <si>
    <t>① 당기말  </t>
  </si>
  <si>
    <t>(2) 상기 전환우선주부채의 발행조건은 다음과 같습니다.</t>
  </si>
  <si>
    <t>(단위:원)</t>
  </si>
  <si>
    <t>보통주전환우선주</t>
  </si>
  <si>
    <t>1. 신주의 종류와 수</t>
  </si>
  <si>
    <t>보통주식 (주)</t>
  </si>
  <si>
    <t>기타주식 (주)</t>
  </si>
  <si>
    <t>2. 1주당 액면가액 </t>
  </si>
  <si>
    <t>3. 발행금액</t>
  </si>
  <si>
    <t>4. 증자방식</t>
  </si>
  <si>
    <t>제3자배정증자</t>
  </si>
  <si>
    <t>5. 납입일</t>
  </si>
  <si>
    <t>   매출채권</t>
  </si>
  <si>
    <t>6. 이사회결의일(결정일)</t>
  </si>
  <si>
    <t>   기타채권</t>
  </si>
  <si>
    <t>7. 전환에 관한 사항</t>
  </si>
  <si>
    <t>전환조건</t>
  </si>
  <si>
    <t>전환가격: 발행가와 동일</t>
  </si>
  <si>
    <t>전환비율: 1대1</t>
  </si>
  <si>
    <t>   합     계</t>
  </si>
  <si>
    <t>전환가격의 조정:</t>
  </si>
  <si>
    <t>(1) 보통주식의 가격이 하락할 경우, 본건 주식의 발행일로부터 3개월이 경과한 날 이후부터 매 3개월("전환가액 조정일")마다 본건 주식의 전환가액을 조정하되, 전환가액 조정일의 전일을 기산일로 하여 산정한 회사 보통주식의 최근 1개월 가중산술평균주가, 1주일 가중산술평균주가 및 최근일 가중산술평균주가를 산술평균한 가격과 최근일 가중산술평균주가 중 높은 가격이 직전 전환가액보다 낮은 경우에는 둘 중에 낮은 금액으로 전환가액을 조정하며, 원 단위 미만은 절상한다. 단, 본 호에 의한 전환가액의 조정한도는 발행 시 전환가액(조정일 전에 신주의 할인발행 등의 사유로 전환가액을 이미 조정한 경우에는 이를 감안하여 산정한 가액)의 70% 이상이어야 한다.</t>
  </si>
  <si>
    <t>연결실체는 장ㆍ단기투자자산을 제외한 금융자산과 금융부채의 장부금액이 공정가치의 합리적인 근사치라고 판단하고 있습니다.</t>
  </si>
  <si>
    <t>(2) 투자자의 전환 청구 전에 그 당시의 본건 주식의 전환가액(전환가액이 조정된 경우에는 그 조정된 전환가액, 이하 같음)을 하회하는 발행가액으로 유상증자(주식교환을 위한 유상증자의 경우를 포함하며, 이 경우 교환가액을 발행가액으로 봄, 이하 본 항에서 같음)를 하거나 전환가액을 하회하는 전환 또는 행사가액으로 전환사채, 신주인수권부사채, 전환주식, 신주인수권의 부여, 스톡옵션 부여 기타 주식연계증권의 발행 등 주식을 인수할 권리를 표창하는 일체의 주식연계증권 등을 발행하는 경우 기타 이와 유사한 상황이 발생하는 경우로서 본건 주식의 지분율이 희석될 수 있는 요인이 발생한 경우, 당해 증권 발행시의 발행가액, 전환가액 또는 행사가액으로 본건 주식의 전환가액을 조정한다.</t>
  </si>
  <si>
    <t>(3) 회사의 분할, 합병, 분할합병, 포괄적 주식교환, 포괄적 주식이전 또는 자본의 감소("합병 등")가 이루어지는 경우 그러한 합병 등의 직전에 본건 주식이 보통주식으로 전환되었다면 전환 간주된 보통주식에 분배되었을 수량의 회사(또는 합병 등에 있어서의 승계회사, 모회사 등)의 주식, 기타 재산을 수령할 수 있도록 전환가액은 조정한다.</t>
  </si>
  <si>
    <t>③ 가치평가기법과 유의적이지만 관측 가능하지 않은 투입변수</t>
  </si>
  <si>
    <t>(4) 본건 주식이 분할 또는 병합되는 경우에는, 본건 주식의 전환가액은 그 분할 또는 병합의 비율에 상응하여 조정되고, 1주 미만의 단주에 해당하는 금액은 이를 전환하지 아니하고 행사주권 교부 시 현금으로 지급한다.</t>
  </si>
  <si>
    <t>수준 2와 수준 3의 공정가치 측정을 위해 사용된 평가기법과 유의적이지만 관측 가능하지 않은 투입변수는 다음과 같습니다.</t>
  </si>
  <si>
    <t>전환청구기간</t>
  </si>
  <si>
    <t>2022년 06월 16일 ~ 2031년 06월 15일</t>
  </si>
  <si>
    <t>   합    계</t>
  </si>
  <si>
    <t>전환으로 발행할 주식의 종류</t>
  </si>
  <si>
    <t>기명식 보통주</t>
  </si>
  <si>
    <t>유의적이지만</t>
  </si>
  <si>
    <t>공정가치측정과 유의적이지만 관측 가능하지</t>
  </si>
  <si>
    <t>(*) 활성시장에서 거래되는 금융상품(당기손익-공정가치 측정 금융자산)의 공정가치는 보고기간 종료일 현재 고시되는 시장가격에 기초하여 산정됩니다. 연결실체가 보유하고 있는 금융자산의 공시되는 시장가격은 보고기간종료일의 종가입니다.</t>
  </si>
  <si>
    <t>8. 의결권에 관한 사항</t>
  </si>
  <si>
    <t>우선주 1주당 1의결권</t>
  </si>
  <si>
    <t>관측 가능하지 않은 투입변수</t>
  </si>
  <si>
    <t>않은 투입변수간 상호관계</t>
  </si>
  <si>
    <t>9. 이익배당에 관한 사항</t>
  </si>
  <si>
    <t>(1) 우선배당률: 9%</t>
  </si>
  <si>
    <t>유사기업비교법</t>
  </si>
  <si>
    <t>주가매출액비율</t>
  </si>
  <si>
    <t>추정된 공정가치는 다음에 따라 증가(감소)됩니다.</t>
  </si>
  <si>
    <t>연결실체는 장기투자자산 및 전환우선주부채를 제외한 금융자산과 금융부채의 장부금액이 공정가치의 합리적인 근사치라고 판단하고 있습니다.</t>
  </si>
  <si>
    <t>(2) 참가적, 비누적적 우선주</t>
  </si>
  <si>
    <t>- 주가매출액비율이 높아지는(낮아지는) 경우</t>
  </si>
  <si>
    <t>연결실체가 발행한 전환우선주는 보통주식 가격이 하락하는 경우와 같이 전환가격 조정조건이 존재함에 따라 자본 요건을 충족하지 못하는 것으로 보아 금융부채로 인식하였고, 당기손익공정가치측정금융부채로 지정하여 공정가액으로 측정하였습니다. 한편, 전환우선주의 전환청구가능기간을 고려하여 유동성부채로 분류하였습니다.</t>
  </si>
  <si>
    <t>옵션가격결정모형</t>
  </si>
  <si>
    <t>주가 변동성</t>
  </si>
  <si>
    <t>- 주가변동성이 높아지는(낮아지는) 경우</t>
  </si>
  <si>
    <t>(3) 당분기와 전분기 중 전환우선주부채의 장부금액 변동내역은 다음과 같습니다.</t>
  </si>
  <si>
    <t>④ 당기와 전기 중 수준3 공정가치의 기중 변동내역은 다음과 같습니다.</t>
  </si>
  <si>
    <t>기초잔액</t>
  </si>
  <si>
    <t>996,360 </t>
  </si>
  <si>
    <t>978,026 </t>
  </si>
  <si>
    <t>  발행</t>
  </si>
  <si>
    <t>  평가</t>
  </si>
  <si>
    <t>18,334 </t>
  </si>
  <si>
    <t>  평가손실(이익)</t>
  </si>
  <si>
    <t>기말잔액</t>
  </si>
  <si>
    <t>    현금및현금성자산</t>
  </si>
  <si>
    <t>    매출채권</t>
  </si>
  <si>
    <t>    기타채권</t>
  </si>
  <si>
    <t>(4) 당분기중 전환우선주부채의 시가하락에 따른 전환가액이 확정되어 수준 1로 대체됨에 따라서 금융상품의 공시되는 시장가격은 보고기간 종료일의 종가를 기준으로 공정가치를 평가하였습니다.</t>
  </si>
  <si>
    <t>당기와 전기 중 금융상품과 관련된 금융수익과 금융비용의 상세내역은 다음과 같습니다.</t>
  </si>
  <si>
    <t>16. 종업원급여</t>
  </si>
  <si>
    <t>(1) 당분기와 전분기 중 비용으로 인식된 종업원급여의 내역은 다음과 같습니다.</t>
  </si>
  <si>
    <t>당기손익-공정가치</t>
  </si>
  <si>
    <t>측정 금융상품</t>
  </si>
  <si>
    <t> 이자수익</t>
  </si>
  <si>
    <t>595,480 </t>
  </si>
  <si>
    <t> 외화관련이익</t>
  </si>
  <si>
    <t>270,341 </t>
  </si>
  <si>
    <t>170,565 </t>
  </si>
  <si>
    <t>440,906 </t>
  </si>
  <si>
    <t>③ 당기와 전기 중 수준3 공정가치의 기중 변동내역은 다음과 같습니다.</t>
  </si>
  <si>
    <t>865,821 </t>
  </si>
  <si>
    <t>1,036,386 </t>
  </si>
  <si>
    <t>급여</t>
  </si>
  <si>
    <t>확정급여형 퇴직급여제도 관련 비용</t>
  </si>
  <si>
    <t> 이자비용</t>
  </si>
  <si>
    <t>172,076 </t>
  </si>
  <si>
    <t>확정기여형 퇴직급여제도 관련 비용</t>
  </si>
  <si>
    <t> 외화관련손실</t>
  </si>
  <si>
    <t>2,617,063 </t>
  </si>
  <si>
    <t>114,841 </t>
  </si>
  <si>
    <t>2,731,904 </t>
  </si>
  <si>
    <t>주식보상비용(환입액)</t>
  </si>
  <si>
    <t> 평가손실</t>
  </si>
  <si>
    <t>취득</t>
  </si>
  <si>
    <t>복리후생비</t>
  </si>
  <si>
    <t> 손상차손(*)</t>
  </si>
  <si>
    <t>4,171,017 </t>
  </si>
  <si>
    <t>당기손익에 포함된 손익(*)</t>
  </si>
  <si>
    <t>6,788,080 </t>
  </si>
  <si>
    <t>286,917 </t>
  </si>
  <si>
    <t>8,071,357 </t>
  </si>
  <si>
    <t>(*) 연결포괄손익계산서에서 판매비와관리비(대손상각비) 및 영업외비용(기타대손상각비)으로 인식되었습니다. </t>
  </si>
  <si>
    <t>(*) 공정가치 서열체계 수준3 변동내용 중 당기손익으로 인식된 금액과 보고기간말 현재 보유하고 있는 자산ㆍ부채의 미실현 손익 변동액으로서 당기손익에 포함된 금액은 포괄손익계산서상 다음과 같은 개별항목으로 표시되고 있습니다.</t>
  </si>
  <si>
    <t>(2) 당분기말과 전기말 현재 연결재무상태표에 인식된 종업원급여 관련 자산과 부채의 상세내역은 다음과 같습니다. </t>
  </si>
  <si>
    <t>&lt;당기&gt;</t>
  </si>
  <si>
    <t>(단위 : 천원)</t>
  </si>
  <si>
    <t>순확정급여부채</t>
  </si>
  <si>
    <t>당기손익-공정가치측정금융자산 관련손익</t>
  </si>
  <si>
    <t>당기손익-공정가치측정금융부채 관련손익</t>
  </si>
  <si>
    <t>유급휴가에 대한 부채</t>
  </si>
  <si>
    <t>당기손익 인식금액</t>
  </si>
  <si>
    <t>보고기간말 현재 보유하고 있는 자산ㆍ부채의 미실현손익 변동액으로서 당기손익에 포함된 금액</t>
  </si>
  <si>
    <t>1,373,387 </t>
  </si>
  <si>
    <t>(3) 당분기와 전분기 중 순확정급여부채의 변동내역은 다음과 같습니다.</t>
  </si>
  <si>
    <t>871,920 </t>
  </si>
  <si>
    <t>119,451 </t>
  </si>
  <si>
    <t>991,371 </t>
  </si>
  <si>
    <t>&lt;전기&gt;</t>
  </si>
  <si>
    <t> 평가이익</t>
  </si>
  <si>
    <t>30,067 </t>
  </si>
  <si>
    <t>① 당분기 </t>
  </si>
  <si>
    <t> 처분이익</t>
  </si>
  <si>
    <t>10,630 </t>
  </si>
  <si>
    <t>40,697 </t>
  </si>
  <si>
    <t>2,245,307 </t>
  </si>
  <si>
    <t>2,405,455 </t>
  </si>
  <si>
    <t>보고기간말 현재 보유하고 있는 자산ㆍ부채의 미실현손익의 변동액으로서 당기손익에 포함된 금액</t>
  </si>
  <si>
    <t>확정급여채무</t>
  </si>
  <si>
    <t>사외적립자산 공정가치</t>
  </si>
  <si>
    <t>533,101 </t>
  </si>
  <si>
    <t>534,120 </t>
  </si>
  <si>
    <t>70,960 </t>
  </si>
  <si>
    <t>605,080 </t>
  </si>
  <si>
    <t>④ 가치평가기법과 유의적이지만 관측 가능하지 않은 투입변수</t>
  </si>
  <si>
    <t>당기 비용으로 인식 :</t>
  </si>
  <si>
    <t>370,149 </t>
  </si>
  <si>
    <t>  당기근무원가</t>
  </si>
  <si>
    <t>904,269 </t>
  </si>
  <si>
    <t>604,061 </t>
  </si>
  <si>
    <t>1,508,330 </t>
  </si>
  <si>
    <t>수준 3의 공정가치 측정을 위해 사용된 주된 평가기법과 유의적이지만 관측 가능하지 않은 주된 투입변수는 다음과 같습니다.</t>
  </si>
  <si>
    <t>  이자원가(수익)</t>
  </si>
  <si>
    <t>(*) 연결포괄손익계산서에서 판매비와관리비(대손상각비)로 인식되었습니 다.</t>
  </si>
  <si>
    <t>기타포괄손익으로 인식:</t>
  </si>
  <si>
    <t>6. 금융위험관리</t>
  </si>
  <si>
    <t>  재측정손익</t>
  </si>
  <si>
    <t> - 보험수리적손익</t>
  </si>
  <si>
    <t>연결실체는 금융상품과 관련하여 신용위험, 유동성위험 및 시장위험에 노출되어 있습니다. 본 주석은 연결실체가 노출되어 있는 위의 위험에 대한 정보와 연결실체의 위험관리 목표, 정책, 위험 평가 및 관리 절차, 그리고 자본관리에 대해 공시하고 있습니다. 추가적인 계량적 정보는 본 연결재무제표 전반에 걸쳐서 공시되어 있습니다.</t>
  </si>
  <si>
    <t>    (재무적 가정)</t>
  </si>
  <si>
    <t>    (경험조정)</t>
  </si>
  <si>
    <t>(1) 신용위험</t>
  </si>
  <si>
    <t>전환우선주부채</t>
  </si>
  <si>
    <t>이항옵션평가모형</t>
  </si>
  <si>
    <t>주가 변동성 등</t>
  </si>
  <si>
    <t>변동성 상승시 공정가치 상승 또는 하락</t>
  </si>
  <si>
    <t> - 사외적립자산 수익</t>
  </si>
  <si>
    <t>① 신용위험에 대한 노출</t>
  </si>
  <si>
    <t>기타:</t>
  </si>
  <si>
    <t>  납부한기여금</t>
  </si>
  <si>
    <t>금융자산의 장부금액은 신용위험에 대한 최대노출정도를 나타냅니다. 연결실체는 현금및현금성자산을 신용등급이 우수한 금융기관에 예치하고 있어, 연결실체가 노출된금융기관으로부터의 신용위험은 제한적입니다. 신용위험의 정의에 따라 현금시재액의 경우에는 신용위험에 대한 노출정도에 포함시키지 않았습니다. 당기말과 전기말 현재 연결실체의 신용위험에 대한 최대 노출정도는 다음과 같습니다.</t>
  </si>
  <si>
    <t>  급여지급</t>
  </si>
  <si>
    <t>  관계사전입</t>
  </si>
  <si>
    <t>전기말 </t>
  </si>
  <si>
    <t>  순외환차이</t>
  </si>
  <si>
    <t>현금및현금성자산</t>
  </si>
  <si>
    <t>97,271,207 </t>
  </si>
  <si>
    <t>88,901,247 </t>
  </si>
  <si>
    <t>매출채권및기타채권</t>
  </si>
  <si>
    <t>42,608,165 </t>
  </si>
  <si>
    <t>39,458,008 </t>
  </si>
  <si>
    <t>소  계</t>
  </si>
  <si>
    <t>139,879,372 </t>
  </si>
  <si>
    <t>128,359,255 </t>
  </si>
  <si>
    <t>② 손상차손</t>
  </si>
  <si>
    <t>연결실체는 매출채권및기타채권에 대한 기대신용손실을 측정하여 충당금을 설정하고 있습니다. 다만, 매출채권 및 계약자산은 연체되어 제각이 되기까지의 가능성을 기초로 한 'Roll-Rate' 방법을 이용하여 기대신용손실을 측정합니다.</t>
  </si>
  <si>
    <t>매출채권및기타채권은 손실충당금이 차감된 순액으로 연결재무상태표에 표시되었는 바, 당기말과 전기말 현재 총액 기준에 의한 매출채권및기타채권과 관련 손실충당금의 내역은 다음과 같습니다.</t>
  </si>
  <si>
    <t>재측정손실(이익)</t>
  </si>
  <si>
    <t>23,430,714 </t>
  </si>
  <si>
    <t>22,027,084 </t>
  </si>
  <si>
    <t>27,709,995 </t>
  </si>
  <si>
    <t>25,863,206 </t>
  </si>
  <si>
    <t>(*) 연결포괄손익계산서에서 판매비와관리비(대손상각비)와 기타영업외비용(기타의대손상각비)로 인식되었습니다.</t>
  </si>
  <si>
    <t>  단기대여금</t>
  </si>
  <si>
    <t>347,340 </t>
  </si>
  <si>
    <t>23,124,644 </t>
  </si>
  <si>
    <t>18,924,644 </t>
  </si>
  <si>
    <t>10,996,584 </t>
  </si>
  <si>
    <t> - </t>
  </si>
  <si>
    <t>6,041 </t>
  </si>
  <si>
    <t>57,719 </t>
  </si>
  <si>
    <t>50,000 </t>
  </si>
  <si>
    <t>46,561,399 </t>
  </si>
  <si>
    <t>40,957,769 </t>
  </si>
  <si>
    <t>39,161,638 </t>
  </si>
  <si>
    <t>37,314,849 </t>
  </si>
  <si>
    <t>  장기미수금</t>
  </si>
  <si>
    <t>300,137 </t>
  </si>
  <si>
    <t>  보증금(*)</t>
  </si>
  <si>
    <t>1,650,396 </t>
  </si>
  <si>
    <t>1,843,022 </t>
  </si>
  <si>
    <t>2,143,159 </t>
  </si>
  <si>
    <t>48,211,795 </t>
  </si>
  <si>
    <t>41,304,797 </t>
  </si>
  <si>
    <t>(*) 장기 보증금의 공정가치는 미래에 기대되는 유입 현금흐름의 명목가액을 신용위험을 반영한 할인율(당기 평균 6.4%, 전기 평균 6.2%)로 할인하여산출하였습니다.</t>
  </si>
  <si>
    <t>(4) 당분기말과 전기말 현재 주요 보험수리적 가정은 다음과 같습니다.</t>
  </si>
  <si>
    <t>당기와 전기 중 매출채권및기타채권에 대한 손실충당금의 변동은 다음과 같습니다. </t>
  </si>
  <si>
    <t>할인율</t>
  </si>
  <si>
    <t>전 기</t>
  </si>
  <si>
    <t>미래임금상승률</t>
  </si>
  <si>
    <t>기  초</t>
  </si>
  <si>
    <t>1,846,789 </t>
  </si>
  <si>
    <t>1,602,400 </t>
  </si>
  <si>
    <t> 대손상각비(환입)</t>
  </si>
  <si>
    <t> 제각</t>
  </si>
  <si>
    <t>17. 자본금과 자본잉여금</t>
  </si>
  <si>
    <t> 환율차이</t>
  </si>
  <si>
    <t>기  말</t>
  </si>
  <si>
    <t>5,603,630 </t>
  </si>
  <si>
    <t>(1) 당분기말과 전기말 현재 지배기업의 자본금 내역은 다음과 같습니다.</t>
  </si>
  <si>
    <t>당기말 현재 매출채권에 대한 기대신용손실과 및 각 연령별로 손상된 금액은 다음과 같습니다.</t>
  </si>
  <si>
    <t>수권주식수</t>
  </si>
  <si>
    <t>100,000,000 주</t>
  </si>
  <si>
    <t>기대손실율</t>
  </si>
  <si>
    <t>채권잔액</t>
  </si>
  <si>
    <t>손상된금액</t>
  </si>
  <si>
    <t>장부가액</t>
  </si>
  <si>
    <t>주당금액</t>
  </si>
  <si>
    <t>500 원</t>
  </si>
  <si>
    <t>만기일 미도래</t>
  </si>
  <si>
    <t>21,746,123 </t>
  </si>
  <si>
    <t>21,567,454 </t>
  </si>
  <si>
    <t>발행주식수</t>
  </si>
  <si>
    <t>56,859,847 주</t>
  </si>
  <si>
    <t>3개월 이하</t>
  </si>
  <si>
    <t>494,170 </t>
  </si>
  <si>
    <t>450,086 </t>
  </si>
  <si>
    <t>보통주자본금</t>
  </si>
  <si>
    <t>28,429,924    </t>
  </si>
  <si>
    <t>3개월 초과 6개월 이하</t>
  </si>
  <si>
    <t>4,064 </t>
  </si>
  <si>
    <t>6개월 초과 12개월 이하</t>
  </si>
  <si>
    <t>30,242 </t>
  </si>
  <si>
    <t>5,405 </t>
  </si>
  <si>
    <t>(2) 당분기와 전기 중 자본금 및 주식발행초과금의 변동내용은 다음과 같습니다. </t>
  </si>
  <si>
    <t>1년 초과</t>
  </si>
  <si>
    <t>1,156,115 </t>
  </si>
  <si>
    <t>75 </t>
  </si>
  <si>
    <t>단기금융상품</t>
  </si>
  <si>
    <t>주식수</t>
  </si>
  <si>
    <t>주식발행초과금</t>
  </si>
  <si>
    <t>전기말 현재 매출채권에 대한 기대신용손실과 및 각 연령별로 손상된 금액은 다음과 같습니다.</t>
  </si>
  <si>
    <t>  기초</t>
  </si>
  <si>
    <t>(2) 유동성위험</t>
  </si>
  <si>
    <t>  기말</t>
  </si>
  <si>
    <t>&lt;당분기&gt;</t>
  </si>
  <si>
    <t>23,277,248 </t>
  </si>
  <si>
    <t>23,205,962 </t>
  </si>
  <si>
    <t>유동성위험이란 연결실체가 현금 또는 기타 금융자산의 인도로 결제되는 금융부채와관련된 의무를 충족하는데 어려움을 겪게 될 위험을 의미합니다. 연결실체의 유동성 관리방법은 재무적으로 어려운 상황에서도 비정상적으로 과도한 손실을 발생시키거나, 연결실체의 평판에 손상을 입힐 위험 없이 만기일에 부채를 상환할 수 있는 충분한 유동성을 유지하도록 하는 것입니다.</t>
  </si>
  <si>
    <t>2,619,259 </t>
  </si>
  <si>
    <t>2,441,018 </t>
  </si>
  <si>
    <t>  결손금 보전</t>
  </si>
  <si>
    <t>258,471 </t>
  </si>
  <si>
    <t>193,191 </t>
  </si>
  <si>
    <t>당기말과 전기말 현재 연결실체가 인식하고 있는 금융부채의 계약상 만기는 다음과 같습니다. 금액은 이자지급액을 포함하고, 상계약정의 효과는 포함하지 않았습니다. </t>
  </si>
  <si>
    <t>521,476 </t>
  </si>
  <si>
    <t>5,890 </t>
  </si>
  <si>
    <t>1,033,541 </t>
  </si>
  <si>
    <t>17,145 </t>
  </si>
  <si>
    <t>(3) 당분기말과 전기말 현재 자본잉여금의 내역은 다음과 같습니다.</t>
  </si>
  <si>
    <t> (1,846,789)</t>
  </si>
  <si>
    <t>① 당기말</t>
  </si>
  <si>
    <t>계약상현금흐름</t>
  </si>
  <si>
    <t>1년 미만</t>
  </si>
  <si>
    <t>1년 이상</t>
  </si>
  <si>
    <t>비파생금융부채:</t>
  </si>
  <si>
    <t>기타자본잉여금</t>
  </si>
  <si>
    <t>매입채무및기타채무</t>
  </si>
  <si>
    <t>리스부채</t>
  </si>
  <si>
    <t>18. 기타자본항목</t>
  </si>
  <si>
    <t>(1) 당분기말과 전기말 현재 기타자본의 내역은 다음과 같습니다.</t>
  </si>
  <si>
    <t>자기주식처분이익(손실)</t>
  </si>
  <si>
    <t>61,155,900 </t>
  </si>
  <si>
    <t>60,933,091 </t>
  </si>
  <si>
    <t>222,809 </t>
  </si>
  <si>
    <t>5,346,976 </t>
  </si>
  <si>
    <t>5,802,160 </t>
  </si>
  <si>
    <t>2,769,097 </t>
  </si>
  <si>
    <t>3,033,063 </t>
  </si>
  <si>
    <t>주식매수선택권</t>
  </si>
  <si>
    <t>66,502,876 </t>
  </si>
  <si>
    <t>66,958,060 </t>
  </si>
  <si>
    <t>63,702,188 </t>
  </si>
  <si>
    <t>3,255,872 </t>
  </si>
  <si>
    <t>해외사업환산손익</t>
  </si>
  <si>
    <t>(3) 시장위험</t>
  </si>
  <si>
    <t>지분법 자본변동</t>
  </si>
  <si>
    <t>기타자본조정</t>
  </si>
  <si>
    <t>시장위험이란 시장가격의 변동으로 인하여 금융상품의 공정가치나 미래현금흐름이 변동할 위험을 의미합니다.</t>
  </si>
  <si>
    <t>① 환위험</t>
  </si>
  <si>
    <t>(2) 당분기와 전기 중 자기주식의 변동내용은 다음과 같습니다.</t>
  </si>
  <si>
    <t>36,264,806 </t>
  </si>
  <si>
    <t>36,253,306 </t>
  </si>
  <si>
    <t>11,500 </t>
  </si>
  <si>
    <t>(단위:주,천원)</t>
  </si>
  <si>
    <t>3,246,118 </t>
  </si>
  <si>
    <t>3,401,832 </t>
  </si>
  <si>
    <t>2,692,226 </t>
  </si>
  <si>
    <t>709,606 </t>
  </si>
  <si>
    <t>연결실체는 해외 수출과 관련하여 주로 USD 등의 환율변동위험에 노출되어 있습니다. 연결실체는 내부적으로 환율변동에 따른 환위험을 정기적으로 측정하여 관리하고 있습니다. 당기말과 전기말 현재 기능통화 이외의 외화로 표시된 화폐성자산 및 부채의 장부금액은 다음과 같습니다. </t>
  </si>
  <si>
    <t>39,510,924 </t>
  </si>
  <si>
    <t>39,666,638 </t>
  </si>
  <si>
    <t>38,945,532 </t>
  </si>
  <si>
    <t>721,106 </t>
  </si>
  <si>
    <t>금액</t>
  </si>
  <si>
    <t>USD</t>
  </si>
  <si>
    <t>EUR</t>
  </si>
  <si>
    <t>JPY</t>
  </si>
  <si>
    <t>자산:</t>
  </si>
  <si>
    <t> 현금및현금성자산</t>
  </si>
  <si>
    <t> 단기금융상품</t>
  </si>
  <si>
    <t>19. 주식기준보상</t>
  </si>
  <si>
    <t> 매출채권및기타채권</t>
  </si>
  <si>
    <t>(1) 당분기 중 지배기업이 부여한 주식기준보상약정은 다음과 같습니다.</t>
  </si>
  <si>
    <t>부채:</t>
  </si>
  <si>
    <t>1-1차</t>
  </si>
  <si>
    <t>1-2차</t>
  </si>
  <si>
    <t>1-3차</t>
  </si>
  <si>
    <t> 매입채무및기타채무</t>
  </si>
  <si>
    <t>권리부여일</t>
  </si>
  <si>
    <t>발행할 주식의 종류</t>
  </si>
  <si>
    <t>(주)드림어스컴퍼니(구, (주)아이리버) 보통주식</t>
  </si>
  <si>
    <t>당기말과 전기말 현재 이자율과 같은 다른 변수는 변동하지 않는다고 가정하였을 경우 외화에 대한 원화 환율변동이 자본 및 법인세차감전손익에 미치는 영향은 다음과 같습니다.</t>
  </si>
  <si>
    <t>부여방법(*1)</t>
  </si>
  <si>
    <t>신주교부, 자기주식교부, 차액보상</t>
  </si>
  <si>
    <t>부여주식수(*2)</t>
  </si>
  <si>
    <t>170,005 주</t>
  </si>
  <si>
    <t>170,003 주</t>
  </si>
  <si>
    <t>169,992 주</t>
  </si>
  <si>
    <t>28,501,998 </t>
  </si>
  <si>
    <t>9,595 </t>
  </si>
  <si>
    <t>1,370,298 </t>
  </si>
  <si>
    <t>17,561,100 </t>
  </si>
  <si>
    <t>9,302 </t>
  </si>
  <si>
    <t>5,907,719 </t>
  </si>
  <si>
    <t>행사가격</t>
  </si>
  <si>
    <t>9,160원</t>
  </si>
  <si>
    <t>3,529,598 </t>
  </si>
  <si>
    <t>7,562,413 </t>
  </si>
  <si>
    <t>934 </t>
  </si>
  <si>
    <t>2,253,606 </t>
  </si>
  <si>
    <t>10% 상승시</t>
  </si>
  <si>
    <t>10% 하락시</t>
  </si>
  <si>
    <t>행사가능기간</t>
  </si>
  <si>
    <t>2021년 03월 29일 부터</t>
  </si>
  <si>
    <t>2022년 03월 29일 부터</t>
  </si>
  <si>
    <t>2023년 03월 29일 부터</t>
  </si>
  <si>
    <t>32,031,596 </t>
  </si>
  <si>
    <t>25,123,513 </t>
  </si>
  <si>
    <t>10,236 </t>
  </si>
  <si>
    <t>8,161,325 </t>
  </si>
  <si>
    <t>2024년 03월 28일 까지</t>
  </si>
  <si>
    <t>2025년 03월 28일 까지</t>
  </si>
  <si>
    <t>2026년 03월 28일 까지</t>
  </si>
  <si>
    <t>가득조건</t>
  </si>
  <si>
    <t>1) 부여일 이후 2년 이상 재직</t>
  </si>
  <si>
    <t>1) 부여일 이후 3년 이상 재직</t>
  </si>
  <si>
    <t>1) 부여일 이후 4년 이상 재직</t>
  </si>
  <si>
    <t>500,913 </t>
  </si>
  <si>
    <t>10,706 </t>
  </si>
  <si>
    <t>3,470 </t>
  </si>
  <si>
    <t>1,631,294 </t>
  </si>
  <si>
    <t>39 </t>
  </si>
  <si>
    <t>1,966,314 </t>
  </si>
  <si>
    <t>2) 행사가능기간 동안 매월 말일 기준으로 산정한 평균주가가 행사가격의 150% 이상을 기록한 경우</t>
  </si>
  <si>
    <t>(*1) 주식 매수선택권 행사시점에 신주발행교부방식, 자기주식교부방식, 차액보상방식 중 행사 시 지배기업이 정하는 방식으로 합니다.</t>
  </si>
  <si>
    <t>(*2) 당분기말 현재 소멸된 주식수를 제외한 부여주식수 입니다.</t>
  </si>
  <si>
    <t>② 이자율위험</t>
  </si>
  <si>
    <t>(2) 주식선택권의 부여로 인하여 인식된 보상원가 및 잔여보상원가는 다음과 같습니다.</t>
  </si>
  <si>
    <t>당기말과 전기말 현재 연결실체가 보유하고 있는 이자부 금융상품의 장부금액은 다음과 같습니다.</t>
  </si>
  <si>
    <t>3,153,068 </t>
  </si>
  <si>
    <t>2,349,222 </t>
  </si>
  <si>
    <t>111 </t>
  </si>
  <si>
    <t>1,020 </t>
  </si>
  <si>
    <t>전기까지 인식된 보상원가</t>
  </si>
  <si>
    <t>136,683 </t>
  </si>
  <si>
    <t>619,501 </t>
  </si>
  <si>
    <t>고정이자율:</t>
  </si>
  <si>
    <t>분기 보상원가</t>
  </si>
  <si>
    <t>3,289,640 </t>
  </si>
  <si>
    <t>2,969,743 </t>
  </si>
  <si>
    <t> 금융자산</t>
  </si>
  <si>
    <t>가득기간 이후 소멸분(*)</t>
  </si>
  <si>
    <t>주식매수선택권 잔액</t>
  </si>
  <si>
    <t>연결실체는 고정이자율 금융상품을 당기손익인식금융상품으로 처리하고 있지 않으며, 이자율스왑과 같은 파생상품을 보유하고 있지 않습니다. 따라서 이자율의 변동은손익에 영향을 주지 않습니다.</t>
  </si>
  <si>
    <t>잔여보상원가</t>
  </si>
  <si>
    <t>(*) 가득기간 이후 소멸분에 대하여 기타자본잉여금으로 대체하였습니다.</t>
  </si>
  <si>
    <t>(4) 자본관리</t>
  </si>
  <si>
    <t>(3) 지배기업은 주식선택권의 보상원가를 몬테카를로시뮬레이션을 이용한 공정가치접근법을 적용하여 산정하였으며, 보상원가를 산정하기 위한 제반 가정 및 변수는 다음과 같습니다.</t>
  </si>
  <si>
    <t>연결실체의 자본관리는 계속기업으로서의 존속능력을 유지하는 한편, 자본조달비용을 최소화하여 주주이익을 극대화하는 것을 그 목적으로 하고 있습니다. 연결실체는 자본관리 지표로 부채비율을 이용하고 있으며, 부채비율은 부채총계를 자본총계로 나누어 산출하고 있습니다.</t>
  </si>
  <si>
    <t> 89,248,587 </t>
  </si>
  <si>
    <t>당기말과 전기말 현재 부채비율은 다음과 같습니다. </t>
  </si>
  <si>
    <t>무위험이자율</t>
  </si>
  <si>
    <t>89,248,587 </t>
  </si>
  <si>
    <t>기대부여일의 주가(전일 종가)</t>
  </si>
  <si>
    <t>기대주가변동성</t>
  </si>
  <si>
    <t>부채총계</t>
  </si>
  <si>
    <t>배당수익률</t>
  </si>
  <si>
    <t>자본총계</t>
  </si>
  <si>
    <t>부채비율</t>
  </si>
  <si>
    <t>주당공정가치</t>
  </si>
  <si>
    <t>7. 현금및현금성자산</t>
  </si>
  <si>
    <t>20. 판매비와관리비</t>
  </si>
  <si>
    <t>당기말과 전기말 현재 현금및현금성자산의 내역은 다음과 같습니다.</t>
  </si>
  <si>
    <t>당분기와 전분기 중 판매비와관리비의 내역은 다음과 같습니다.</t>
  </si>
  <si>
    <t>76,642,040 </t>
  </si>
  <si>
    <t>53,668,515 </t>
  </si>
  <si>
    <t>95,801,399 </t>
  </si>
  <si>
    <t>117,917,040 </t>
  </si>
  <si>
    <t>요구불예금</t>
  </si>
  <si>
    <t>퇴직급여</t>
  </si>
  <si>
    <t>8. 매출채권 및 기타채권</t>
  </si>
  <si>
    <t>여비교통비</t>
  </si>
  <si>
    <t>임차료</t>
  </si>
  <si>
    <t>감가상각비</t>
  </si>
  <si>
    <t>무형자산상각비</t>
  </si>
  <si>
    <t>(1) 매출채권 및 기타채권은 손실충당금이 차감된 순액으로 재무상태표에 표시되었으며, 당기말과 전기말 현재 총액 기준에 의한 매출채권및기타채권과 관련 손실충당금의 내역은 다음과 같습니다.</t>
  </si>
  <si>
    <t>광고선전비</t>
  </si>
  <si>
    <t>운반비</t>
  </si>
  <si>
    <t>보유현금</t>
  </si>
  <si>
    <t>146 </t>
  </si>
  <si>
    <t>지급수수료</t>
  </si>
  <si>
    <t>경상개발비</t>
  </si>
  <si>
    <t>88,901,393 </t>
  </si>
  <si>
    <t>수선비</t>
  </si>
  <si>
    <t>수출제비용</t>
  </si>
  <si>
    <t>해외시장개척비</t>
  </si>
  <si>
    <t>8. 재고자산</t>
  </si>
  <si>
    <t>통신비</t>
  </si>
  <si>
    <t>대손상각비(환입액)</t>
  </si>
  <si>
    <t>(1) 당기말과 전기말 현재 재고자산의 장부금액은 다음과 같습니다.</t>
  </si>
  <si>
    <t>ⓛ 당기말</t>
  </si>
  <si>
    <t>21. 금융수익과 금융비용</t>
  </si>
  <si>
    <t>당기(손익)</t>
  </si>
  <si>
    <t>당기누계</t>
  </si>
  <si>
    <t>(1) 당분기와 전분기 중 금융수익의 내역은 다음과 같습니다. </t>
  </si>
  <si>
    <t>9,553,713 </t>
  </si>
  <si>
    <t>1,581,578 </t>
  </si>
  <si>
    <t>936,636 </t>
  </si>
  <si>
    <t>(2) 당기와 전기 중 매출채권및기타채권에 대한 손실충당금의 변동은 다음과 같습니다. </t>
  </si>
  <si>
    <t>2,835,909 </t>
  </si>
  <si>
    <t>957,231 </t>
  </si>
  <si>
    <t>649,332 </t>
  </si>
  <si>
    <t>1,157,115 </t>
  </si>
  <si>
    <t>338,848 </t>
  </si>
  <si>
    <t>누 적</t>
  </si>
  <si>
    <t>8,663,382 </t>
  </si>
  <si>
    <t>1,758,541 </t>
  </si>
  <si>
    <t>1,080,103 </t>
  </si>
  <si>
    <t>기  초</t>
  </si>
  <si>
    <t>이자수익</t>
  </si>
  <si>
    <t>22,210,119 </t>
  </si>
  <si>
    <t>4,636,198 </t>
  </si>
  <si>
    <t>2,123,496 </t>
  </si>
  <si>
    <t>외환차익</t>
  </si>
  <si>
    <t>외화환산이익</t>
  </si>
  <si>
    <t>당기손익-공정가치 측정 금융자산 평가이익</t>
  </si>
  <si>
    <t>기  말</t>
  </si>
  <si>
    <t>당기손익-공정가치 측정 금융부채 평가이익</t>
  </si>
  <si>
    <t>당기손익-공정가치 측정 금융자산 처분이익</t>
  </si>
  <si>
    <t>전기(손익)</t>
  </si>
  <si>
    <t>전기누계</t>
  </si>
  <si>
    <t>(3) 매출채권에 대한 기대신용손실과 각 연령별로 손상된 금액은 다음과 같습니다.</t>
  </si>
  <si>
    <t>10,731,517 </t>
  </si>
  <si>
    <t>1,770,919 </t>
  </si>
  <si>
    <t>3,376,619 </t>
  </si>
  <si>
    <t>1,111,659 </t>
  </si>
  <si>
    <t>(2) 당분기와 전분기 중 금융비용의 내역은 다음과 같습니다.</t>
  </si>
  <si>
    <t>1,545,571 </t>
  </si>
  <si>
    <t>1,006,227 </t>
  </si>
  <si>
    <t>11,208,584 </t>
  </si>
  <si>
    <t>3,241,410 </t>
  </si>
  <si>
    <t>26,862,291 </t>
  </si>
  <si>
    <t>7,130,215 </t>
  </si>
  <si>
    <t> 0.20%</t>
  </si>
  <si>
    <t>이자비용</t>
  </si>
  <si>
    <t>(2) 당기와 전기 중 재고자산과 관련하여 인식된 평가손실 및 비용은 다음과 같습니다. </t>
  </si>
  <si>
    <t> 0.33%</t>
  </si>
  <si>
    <t>외환차손</t>
  </si>
  <si>
    <t> 0.00%</t>
  </si>
  <si>
    <t>외화환산손실</t>
  </si>
  <si>
    <t>당기손익-공정가치 측정 금융자산 평가손실</t>
  </si>
  <si>
    <t>재고자산평가손실(환입)</t>
  </si>
  <si>
    <t>11,063,844 </t>
  </si>
  <si>
    <t>당기손익-공정가치 측정 금융부채 평가손실</t>
  </si>
  <si>
    <t>비용으로 인식된 재고자산(*)</t>
  </si>
  <si>
    <t>40,550,714 </t>
  </si>
  <si>
    <t>67,138,785 </t>
  </si>
  <si>
    <t>(*) 재고자산평가손실이 포함되어 있습니다.</t>
  </si>
  <si>
    <t>22. 기타영업외손익</t>
  </si>
  <si>
    <t>9. 기타자산</t>
  </si>
  <si>
    <t>(1) 당분기와 전분기 중 기타영업외수익의 내역은 다음과 같습니다. </t>
  </si>
  <si>
    <t>당기말과 전기말 현재 기타자산 내역은 다음과 같습니다.</t>
  </si>
  <si>
    <t> 0.82%</t>
  </si>
  <si>
    <t> 8.92%</t>
  </si>
  <si>
    <t>유형자산처분이익</t>
  </si>
  <si>
    <t>1,753,431 </t>
  </si>
  <si>
    <t>1,332,527 </t>
  </si>
  <si>
    <t>잡이익</t>
  </si>
  <si>
    <t>1,203,258 </t>
  </si>
  <si>
    <t>1,022,904 </t>
  </si>
  <si>
    <t>기타의대손상각비환입</t>
  </si>
  <si>
    <t>  환불자산</t>
  </si>
  <si>
    <t>93,286 </t>
  </si>
  <si>
    <t>212,955 </t>
  </si>
  <si>
    <t>복구공사이익</t>
  </si>
  <si>
    <t>  기타유동자산</t>
  </si>
  <si>
    <t>136,473 </t>
  </si>
  <si>
    <t>28,707 </t>
  </si>
  <si>
    <t>9. 재고자산</t>
  </si>
  <si>
    <t>3,186,448 </t>
  </si>
  <si>
    <t>2,597,093 </t>
  </si>
  <si>
    <t>비유동:</t>
  </si>
  <si>
    <t>(1) 당기말과 전기말 현재 재고자산의 장부금액은 다음과 같습니다.</t>
  </si>
  <si>
    <t>(2) 당분기와 전분기 중 기타영업외비용의 내역은 다음과 같습니다.</t>
  </si>
  <si>
    <t>  장기선급비용</t>
  </si>
  <si>
    <t>18,345 </t>
  </si>
  <si>
    <t>  장기선급금</t>
  </si>
  <si>
    <t>232,071 </t>
  </si>
  <si>
    <t>250,416 </t>
  </si>
  <si>
    <t>2,847,509 </t>
  </si>
  <si>
    <t>유형자산손상차손</t>
  </si>
  <si>
    <t>                  -</t>
  </si>
  <si>
    <t>                   -</t>
  </si>
  <si>
    <t>무형자산손상차손</t>
  </si>
  <si>
    <t>                    -</t>
  </si>
  <si>
    <t>유형자산처분손실</t>
  </si>
  <si>
    <t>유형자산폐기손실</t>
  </si>
  <si>
    <t>잡손실</t>
  </si>
  <si>
    <t>(1) 당기말과 전기말 현재 유형자산의 내역은 다음과 같습니다.</t>
  </si>
  <si>
    <t>기부금</t>
  </si>
  <si>
    <t>기타의대손상각비</t>
  </si>
  <si>
    <t>① 당기말 </t>
  </si>
  <si>
    <t> 합 계</t>
  </si>
  <si>
    <t>23. 법인세비용</t>
  </si>
  <si>
    <t>당분기의 법인세비용은 전체 회계연도에 대해서 예상되는 최선의 가중평균연간법인세율의 추정에 기초하여 인식하였습니다.</t>
  </si>
  <si>
    <t>31,456 </t>
  </si>
  <si>
    <t>7,159 </t>
  </si>
  <si>
    <t>3,004,319 </t>
  </si>
  <si>
    <t>471,428 </t>
  </si>
  <si>
    <t>209,637 </t>
  </si>
  <si>
    <t>61,277 </t>
  </si>
  <si>
    <t>480,330 </t>
  </si>
  <si>
    <t>27,641 </t>
  </si>
  <si>
    <t>24. 주당손익</t>
  </si>
  <si>
    <t>4,516,483 </t>
  </si>
  <si>
    <t>1,536,129 </t>
  </si>
  <si>
    <t>9,663,212 </t>
  </si>
  <si>
    <t>5,421,886 </t>
  </si>
  <si>
    <t>(1) 당분기와 전분기 중 기본주당이익의 계산내역은 다음과 같습니다.</t>
  </si>
  <si>
    <t>3,029,894 </t>
  </si>
  <si>
    <t>26,672 </t>
  </si>
  <si>
    <t>(2) 당기 중 비용으로 인식한 재고자산의 금액은 38,338,629천원(전기: 40,550,714천원)입니다. 동 비용에는 재고자산평가손실 금액이 포함되어 있습니다.</t>
  </si>
  <si>
    <t>102,390 </t>
  </si>
  <si>
    <t>(단위:원,주)</t>
  </si>
  <si>
    <t>21,037,721 </t>
  </si>
  <si>
    <t>7,654,582 </t>
  </si>
  <si>
    <t>10. 기타자산</t>
  </si>
  <si>
    <t>보통주 당기순이익(손실)</t>
  </si>
  <si>
    <t>가중평균유통보통주식수(*)</t>
  </si>
  <si>
    <t>기본주당이익(손실)</t>
  </si>
  <si>
    <t>9,032 </t>
  </si>
  <si>
    <t>(*) 전분기 가중평균유통주식수는 발행보통주식수에서 자기주식을 차감하여 산정하였습니다.</t>
  </si>
  <si>
    <t>3,668,980 </t>
  </si>
  <si>
    <t>374,530 </t>
  </si>
  <si>
    <t>82,371 </t>
  </si>
  <si>
    <t>(2) 당분기 중 희석주당이익의 계산내역은 다음과 같습니다.</t>
  </si>
  <si>
    <t>480,329 </t>
  </si>
  <si>
    <t>46,308 </t>
  </si>
  <si>
    <t>4,095,621 </t>
  </si>
  <si>
    <t>1,557,235 </t>
  </si>
  <si>
    <t>5,672,020 </t>
  </si>
  <si>
    <t>3,205,823 </t>
  </si>
  <si>
    <t>보통주 희석이익</t>
  </si>
  <si>
    <t>3,040,094 </t>
  </si>
  <si>
    <t>53,206 </t>
  </si>
  <si>
    <t>희석효과를 고려한 가중평균유통보통주</t>
  </si>
  <si>
    <t>17,198,137 </t>
  </si>
  <si>
    <t>5,328,505 </t>
  </si>
  <si>
    <t>희석주당이익</t>
  </si>
  <si>
    <t>(*) 전분기에는 희석화효과가 발생하지 아니함에 따라 희석주당손익은 기본주당손익과 동일합니다.</t>
  </si>
  <si>
    <t>(2) 당기와 전기 중 유형자산 장부금액의 변동내역은 다음과 같습니다.</t>
  </si>
  <si>
    <t>11. 관계기업투자주식</t>
  </si>
  <si>
    <t>(3) 당분기 중 희석주당이익 계산에 사용된 순이익은 다음과 같습니다.</t>
  </si>
  <si>
    <t>(1) 관계기업의 현황은 다음과 같습니다.</t>
  </si>
  <si>
    <t>기본주당이익 계산에 사용된 순이익</t>
  </si>
  <si>
    <t>    9,829,845,832</t>
  </si>
  <si>
    <t>  45,728,662,407</t>
  </si>
  <si>
    <t>전환우선주 평가손실(이익)</t>
  </si>
  <si>
    <t>기초장부금액</t>
  </si>
  <si>
    <t>관계기업투자:</t>
  </si>
  <si>
    <t>희석주당이익 계산에 사용된 순이익</t>
  </si>
  <si>
    <t>1,480,877,762 </t>
  </si>
  <si>
    <t>   4,365,647,465</t>
  </si>
  <si>
    <t>취득액</t>
  </si>
  <si>
    <t>376,511 </t>
  </si>
  <si>
    <t>427,916 </t>
  </si>
  <si>
    <t>1,029,547 </t>
  </si>
  <si>
    <t>277,761 </t>
  </si>
  <si>
    <t>2,111,735 </t>
  </si>
  <si>
    <t>모바일 콘텐츠 제작 및 캐릭터 상품 판매</t>
  </si>
  <si>
    <t>처분액</t>
  </si>
  <si>
    <t>(*) 연결실체는 당기 중 SK텔레콤(주)으로부터 (주)메이크어스 지분 8.86%(보통주 401주, 우선주 1,752주)를 현금 244백만원을 지급하고 취득하였고, 연결실체의 피투자회사에 대한 지분율은 20% 미만이나 이사선임권을 통한 유의적 영향력이 있으므로 동 투자는 관계기업투자로 분류하였습니다.</t>
  </si>
  <si>
    <t>(4) 당분기 중 희석효과를 고려한 가중평균 유통보통주식수는 기본주당이익 계산에 사용된 가중평균유통보통주식수에서 다음과 같이 조정하여 산출합니다.</t>
  </si>
  <si>
    <t>대체</t>
  </si>
  <si>
    <t>175,371 </t>
  </si>
  <si>
    <t>(2) 당기말 현재 관계기업 투자주식의 내용은 다음과 같습니다. </t>
  </si>
  <si>
    <t>(단위:주)</t>
  </si>
  <si>
    <t>기타(*)</t>
  </si>
  <si>
    <t>3,982,767 </t>
  </si>
  <si>
    <t>순외환차이 등</t>
  </si>
  <si>
    <t>36 </t>
  </si>
  <si>
    <t>보통주 기본주당이익 산출에 사용된 가중평균보통주식수</t>
  </si>
  <si>
    <t>기말장부금액</t>
  </si>
  <si>
    <t>  (주)메이크어스(*)</t>
  </si>
  <si>
    <t>당기초에 발행된 것으로 간주된 주식수:</t>
  </si>
  <si>
    <t>(*) 리스 기간 변경 등으로 인하여 재측정한 사용권자산 금액 등 입니다.</t>
  </si>
  <si>
    <t>(*) 취득원가에는 수수료 등의 취득부대비용이 포함되어 있으며 연결재무제표를 작성하는 관계기업이며, 순자산 지분가액은 동 관계기업의 비지배지분 금액을 제외한 금액입니다.</t>
  </si>
  <si>
    <t> - 전환우선주</t>
  </si>
  <si>
    <t>희석효과를 고려한 가중평균유통보통주식수</t>
  </si>
  <si>
    <t>(3) 당기 관계기업의 요약재무정보는 다음과 같습니다. </t>
  </si>
  <si>
    <t>(5) 당분기말 현재 잠재적 보통주의 내용은 다음과 같습니다. </t>
  </si>
  <si>
    <t>3 </t>
  </si>
  <si>
    <t>780,544 </t>
  </si>
  <si>
    <t>12,225 </t>
  </si>
  <si>
    <t>66,727 </t>
  </si>
  <si>
    <t>1,317,252 </t>
  </si>
  <si>
    <t>109,505 </t>
  </si>
  <si>
    <t>2,286,256 </t>
  </si>
  <si>
    <t>청구기간</t>
  </si>
  <si>
    <t>발행될보통주식수</t>
  </si>
  <si>
    <t>회계정책변경효과</t>
  </si>
  <si>
    <t>2,743,702 </t>
  </si>
  <si>
    <t>(*) 지분 취득일 이후의 재무성과입니다.</t>
  </si>
  <si>
    <t>2022/06/16 ~ 2031/06/15</t>
  </si>
  <si>
    <t>18,761,726 주</t>
  </si>
  <si>
    <t>9,364 </t>
  </si>
  <si>
    <t>338,362 </t>
  </si>
  <si>
    <t>4,117 </t>
  </si>
  <si>
    <t>3,028,565 </t>
  </si>
  <si>
    <t>12,875 </t>
  </si>
  <si>
    <t>4,064,803 </t>
  </si>
  <si>
    <t>주식매수선택권(*)</t>
  </si>
  <si>
    <t>2021/03/29 ~ 2024/03/28</t>
  </si>
  <si>
    <t>-  </t>
  </si>
  <si>
    <t>(4) 당기 중 관계기업의 장부금액 변동내역은 다음과 같습니다.</t>
  </si>
  <si>
    <t>2022/03/29 ~ 2025/03/28</t>
  </si>
  <si>
    <t>2023/03/29 ~ 2026/03/28</t>
  </si>
  <si>
    <t>손상(*1)</t>
  </si>
  <si>
    <t>지분법</t>
  </si>
  <si>
    <t>기타증감</t>
  </si>
  <si>
    <t>(*) 주식매수선택권은 희석효과가 발생하지 아니하였습니다.</t>
  </si>
  <si>
    <t>사업앙수로 인한 증가(*2)</t>
  </si>
  <si>
    <t>92,631 </t>
  </si>
  <si>
    <t>자본변동</t>
  </si>
  <si>
    <t>순외환차이</t>
  </si>
  <si>
    <t>4,386 </t>
  </si>
  <si>
    <t>49,597 </t>
  </si>
  <si>
    <t>53,983 </t>
  </si>
  <si>
    <t>  (주)메이크어스</t>
  </si>
  <si>
    <t>25. 우발채무와 약정사항 </t>
  </si>
  <si>
    <t>(*1) 전기 중 유형자산의 장부가액이 회수가능가액에 미달하는 것으로 판단하여 손상차손을 인식하였으며, 연결포괄손익계산서에서 기타영업외비용으로 인식되었습니다.(주석 21 참조)</t>
  </si>
  <si>
    <t>(*2) 전기 중 공연기획사업 인수로 인하여 증가하였습니다.</t>
  </si>
  <si>
    <t>12. 유형자산</t>
  </si>
  <si>
    <t>(1) 당분기말 현재 연결실체를 피고로 계류 중인 소송사건은 1건(소송가액: 2.2억원)이며, 현재로서는 동 소송의 최종결과를 예측하기 어려우며, 부담할 금액의 불확실성으로 재무제표에 미칠 영향을 합리적으로 예측할 수 없습니다.</t>
  </si>
  <si>
    <t>(2) 당분기말 현재 연결실체는 계약이행 등과 관련하여 서울보증보험으로부터 300,355천원의 보증을 제공받아 관련 거래처에게 제공하고 있습니다.</t>
  </si>
  <si>
    <t>(3) 라이선스 계약</t>
  </si>
  <si>
    <t>(1) 당기말과 전기말 현재 무형자산의 내역은 다음과 같습니다.</t>
  </si>
  <si>
    <t>연결실체는 제품생산과 관련하여 국내외회사와 라이선스 계약을 체결하고 있으며 라이선스 사용에 따라 일정액의 사용료를 지급하도록 되어 있습니다. 당분기와 전분기 중 발생된 라이선스 사용료는 각각 6,957,747천원과 1,141,116천원이며, 매출원가 및 판매비와관리비에 포함되어 있습니다.</t>
  </si>
  <si>
    <t>26. 특수관계자</t>
  </si>
  <si>
    <t>(1) 당분기말 현재 연결실체와 특수관계에 있는 회사의 내역은 다음과 같습니다.</t>
  </si>
  <si>
    <t>특수관계구분</t>
  </si>
  <si>
    <t>특수관계자명</t>
  </si>
  <si>
    <t>12,669,073 </t>
  </si>
  <si>
    <t>1,048,124 </t>
  </si>
  <si>
    <t>1,389,646 </t>
  </si>
  <si>
    <t>671,125 </t>
  </si>
  <si>
    <t>최상위 지배기업</t>
  </si>
  <si>
    <t>SK(주)</t>
  </si>
  <si>
    <t>13,080,191 </t>
  </si>
  <si>
    <t>3,477,287 </t>
  </si>
  <si>
    <t>지배기업</t>
  </si>
  <si>
    <t>SK스퀘어(주) (*1)</t>
  </si>
  <si>
    <t>462,235 </t>
  </si>
  <si>
    <t>유의적인 영향력을 행사하는 기업</t>
  </si>
  <si>
    <t>(주)에스엠엔터테인먼트, 네오스페스(유)</t>
  </si>
  <si>
    <t>18,348,445 </t>
  </si>
  <si>
    <t>5,086,224 </t>
  </si>
  <si>
    <t>관계기업</t>
  </si>
  <si>
    <t>(주)메이크어스, (주)빗썸메타, (주)비마이프렌즈</t>
  </si>
  <si>
    <t>40,488,719 </t>
  </si>
  <si>
    <t>6,115,530 </t>
  </si>
  <si>
    <t>최상위 지배기업의 종속기업 및 관계기업</t>
  </si>
  <si>
    <t>86,438,309 </t>
  </si>
  <si>
    <t>16,860,525 </t>
  </si>
  <si>
    <t>대규모기업집단 계열회사(*2)</t>
  </si>
  <si>
    <t>유의적인 영향력을 행사하는 기업의 종속기업 및 관계기업</t>
  </si>
  <si>
    <t>(*1) 2021년 11월 2일 SK텔레콤 주식회사의 인적분할로 연결실체의 지배기업이 SK텔레콤 주식회사에서 SK스퀘어 주식회사로 변경되었습니다.</t>
  </si>
  <si>
    <t>(*2) 연결실체는 당분기말 현재 대규모기업집단(기업집단명 : 에스케이)의 소속기업에해당합니다. 이에 따라 최상위 지배기업, 지배기업, 종속기업 및 계열회사 이외에 대규모기업집단 소속회사의 경우에도 특수관계자 범위에 해당합니다.</t>
  </si>
  <si>
    <t>11,684,299 </t>
  </si>
  <si>
    <t>1,265,448 </t>
  </si>
  <si>
    <t>(2) 당분기와 전분기 중 연결실체와 특수관계자간의 주요 거래 내역은 다음과 같습니다.</t>
  </si>
  <si>
    <t>1,336,861 </t>
  </si>
  <si>
    <t>652,261 </t>
  </si>
  <si>
    <t>18,115,513 </t>
  </si>
  <si>
    <t>4,044,415 </t>
  </si>
  <si>
    <t>25,041,535 </t>
  </si>
  <si>
    <t>14,018,587 </t>
  </si>
  <si>
    <t>40,682,420 </t>
  </si>
  <si>
    <t>6,617,914 </t>
  </si>
  <si>
    <t>96,860,628 </t>
  </si>
  <si>
    <t>26,598,625 </t>
  </si>
  <si>
    <t>매입</t>
  </si>
  <si>
    <t>자산취득</t>
  </si>
  <si>
    <t>지급수수료 등(*)</t>
  </si>
  <si>
    <t>(2) 당기와 전기의 무형자산 장부금액의 변동내역은 다음과 같습니다.</t>
  </si>
  <si>
    <t>(주)에스엠엔터테인먼트</t>
  </si>
  <si>
    <t>SK텔레콤(주)</t>
  </si>
  <si>
    <t>SK브로드밴드(주)</t>
  </si>
  <si>
    <t>SK플래닛(주)</t>
  </si>
  <si>
    <t>11번가(주)</t>
  </si>
  <si>
    <t>행복나래(주)</t>
  </si>
  <si>
    <t>내부개발액</t>
  </si>
  <si>
    <t>690,548 </t>
  </si>
  <si>
    <t>43,609 </t>
  </si>
  <si>
    <t>467,862 </t>
  </si>
  <si>
    <t>11,685 </t>
  </si>
  <si>
    <t>971,543 </t>
  </si>
  <si>
    <t>1,494,699 </t>
  </si>
  <si>
    <t>(*) 지급수수료 등에는 연결실체가 지급한 리스료가 포함되어 있습니다.</t>
  </si>
  <si>
    <t>손상차손(*)</t>
  </si>
  <si>
    <t>　- </t>
  </si>
  <si>
    <t>86,997 </t>
  </si>
  <si>
    <t>185,550 </t>
  </si>
  <si>
    <t>450,550 </t>
  </si>
  <si>
    <t>95 </t>
  </si>
  <si>
    <t>206,739 </t>
  </si>
  <si>
    <t>189,373 </t>
  </si>
  <si>
    <t>(*) 당기 중 영업권 등에 대하여 손상차손을 인식하였으며, 연결포괄손익계산서에서 기타영업외비용으로 인식되었습니다. (주석 21 참조)</t>
  </si>
  <si>
    <t>② 전기 </t>
  </si>
  <si>
    <t>(*) 리스 기간 및 리스료 변경 등으로 인하여 재측정한 사용권자산 금액 등입니다.</t>
  </si>
  <si>
    <t>SK네트웍스(주)</t>
  </si>
  <si>
    <t>에스케이브로드밴드(주)</t>
  </si>
  <si>
    <t>2,283,014 </t>
  </si>
  <si>
    <t>570,559 </t>
  </si>
  <si>
    <t>3,925,341 </t>
  </si>
  <si>
    <t>16,993,720 </t>
  </si>
  <si>
    <t>25,657,490 </t>
  </si>
  <si>
    <t>49,430,124 </t>
  </si>
  <si>
    <t>에스케이엠앤서비스(주)</t>
  </si>
  <si>
    <t>793,288 </t>
  </si>
  <si>
    <t>에스케이텔링크(주)</t>
  </si>
  <si>
    <t>144,263 </t>
  </si>
  <si>
    <t>1,619,355 </t>
  </si>
  <si>
    <t>2,500,000 </t>
  </si>
  <si>
    <t>4,263,618 </t>
  </si>
  <si>
    <t>에스케이플래닛(주)</t>
  </si>
  <si>
    <t>원스토어(주)</t>
  </si>
  <si>
    <t>484,923 </t>
  </si>
  <si>
    <t>30,486 </t>
  </si>
  <si>
    <t>275,559 </t>
  </si>
  <si>
    <t>1,069,188 </t>
  </si>
  <si>
    <t>1,375,233 </t>
  </si>
  <si>
    <t>(*1) 전기 중 개발 활동이 중단된 개발비와 사용이 중단되거나 향후 경제적 효익 창출이 불확실한 소프트웨어 및 영업권에 대하여 손상차손을 인식하였으며, 연결포괄손익계산서에서 기타영업외비용으로 인식하였습니다.(주석 21 참조)</t>
  </si>
  <si>
    <t>(3) 당분기말과 전기말 현재 특수관계자에 대한 연결실체의 채권, 채무내역은 다음과같습니다.</t>
  </si>
  <si>
    <t>(3) 영업권을 포함하는 현금창출단위의 손상평가</t>
  </si>
  <si>
    <t>(3) 회계추정의 변경</t>
  </si>
  <si>
    <t>① 당기말과 전기말 현재 영업권 장부금액의 구성내역은 다음과 같습니다.</t>
  </si>
  <si>
    <t>기타채권</t>
  </si>
  <si>
    <t>기타채무</t>
  </si>
  <si>
    <t>당기 중 연결실체는 경제적 실질을 반영하기 위하여 일부 비품의 내용연수에 대한 회계추정을 5년에서 3년으로 변경하였습니다. 이러한 회계추정의 변경의 영향으로 인하여 당기의 감가상각비는 209백만원 증가하였고, 당기말 현재 유형자산과 이익잉여금이 각각 209백만원이 감소하였습니다.</t>
  </si>
  <si>
    <t>실제 및 예상 감가상각비의 변동 효과는 다음과 같으며 판매비와관리비에 반영됩니다.</t>
  </si>
  <si>
    <t>LIFE DESIGN COMPANY Inc. 취득 관련 영업권 (*1) </t>
  </si>
  <si>
    <t>1,998,694 </t>
  </si>
  <si>
    <t>2,016,155 </t>
  </si>
  <si>
    <t>(주)그루버스 취득 관련 영업권(*2) </t>
  </si>
  <si>
    <t>4,096,993 </t>
  </si>
  <si>
    <t>2021년</t>
  </si>
  <si>
    <t>2022년</t>
  </si>
  <si>
    <t>2023년 이후</t>
  </si>
  <si>
    <t>공연 기획 사업양수 관련 영업권 (*3) </t>
  </si>
  <si>
    <t>감가상각비의 증가(감소)</t>
  </si>
  <si>
    <t>티맵모빌리티(주)</t>
  </si>
  <si>
    <t>기타 영업권</t>
  </si>
  <si>
    <t>19,843 </t>
  </si>
  <si>
    <t>13. 무형자산</t>
  </si>
  <si>
    <t>② 당기말 영업권의 손상평가 내역은 다음과 같습니다. </t>
  </si>
  <si>
    <t>(*1) LIFE DESIGN COMPANY Inc. 취득 관련 영업권</t>
  </si>
  <si>
    <t>기타채무 등</t>
  </si>
  <si>
    <t>현금창출단위의 회수가능액은 향후 5년간의 재무예산에 근거하여 추정한 현금흐름에 연 13.12%의 할인율을 적용하여 계산한 사용가치로 측정되었습니다. 5년을 초과하는 기간에 발생할 것으로 예상되는 현금흐름은 0.0%의 성장률이 일정하게 지속될 것이라고 가정되었으며, 이러한 성장률은 음원 컨텐츠 사업의 장기평균성장률을 초과하지 않을 것으로 판단됩니다. 경영진은 회수가능액을 추정하기 위하여 사용된 주요 가정에서 합리적으로 발생가능한 변동의 경우에도 현금창출단위의 총 장부금액이 총 회수가능액을 초과하지는 않을 것으로 판단하고 있습니다.</t>
  </si>
  <si>
    <t>(*2) (주)그루버스 취득 관련 영업권</t>
  </si>
  <si>
    <t>현금창출단위의 회수가능액은 향후 5년간의 재무예산에 근거하여 추정한 현금흐름에 연 15.73%의 할인율을 적용하여 계산한 사용가치로 측정되었습니다. 5년을 초과하는 기간에 발생할 것으로 예상되는 현금흐름은 1.0%의 성장률이 일정하게 지속될 것이라고 가정되었으며, 이러한 성장률은 음원 컨텐츠 사업의 장기평균성장률을 초과하지 않을 것으로 판단됩니다. 경영진은 회수가능액을 추정하기 위하여 사용된 주요 가정에서 합리적으로 발생가능한 변동의 경우에도 현금창출단위의 총 장부금액이총 회수가능액을초과하지는 않을 것으로 판단하고 있습니다.</t>
  </si>
  <si>
    <t>SK텔링크(주)</t>
  </si>
  <si>
    <t>(*3) 공연 사업</t>
  </si>
  <si>
    <t>경영진은 COVID-19로 인한 공연연기 등 사업의 불확실성이 증가함에 따라 현금창출단위의 회수가능액이 장부금액에 미달할 것으로 판단하여 손상차손 484,923천원을 인식하였으며, 연결포괄손익계산서에서 기타영업외비용으로 인식하였습니다.</t>
  </si>
  <si>
    <t>(4) 당기와 전기 중 비용으로 인식한 연구개발비 관련 지출 총액은 다음과 같습니다.</t>
  </si>
  <si>
    <t>(4) 당분기와 전분기 중 특수관계자와의 주요 자금거래 등은 다음과 같습니다.</t>
  </si>
  <si>
    <t>2,152,821 </t>
  </si>
  <si>
    <t>2,368,608 </t>
  </si>
  <si>
    <t>주식양수</t>
  </si>
  <si>
    <t>12. 매입채무및기타채무</t>
  </si>
  <si>
    <t>SK텔레콤(주) (*)</t>
  </si>
  <si>
    <t>(*) 전분기 중 SK텔레콤(주)으로부터 (주)메이크어스 지분 2,153주를 취득하였습니다.</t>
  </si>
  <si>
    <t>당기말과 전기말 현재 매입채무및기타채무의 내역은 다음과 같습니다.</t>
  </si>
  <si>
    <t>(5) 당분기와 전분기 중 지배기업의 주요경영진에 대한 보상내역은 다음과 같습니다.</t>
  </si>
  <si>
    <t>                  1,505,208</t>
  </si>
  <si>
    <t>32,668,529 </t>
  </si>
  <si>
    <t>27,341,941 </t>
  </si>
  <si>
    <t>                     155,019</t>
  </si>
  <si>
    <t>25,682,194 </t>
  </si>
  <si>
    <t>5,730,910 </t>
  </si>
  <si>
    <t>주식기준보상</t>
  </si>
  <si>
    <t>                       15,263</t>
  </si>
  <si>
    <t>2,582,368 </t>
  </si>
  <si>
    <t>3,180,455 </t>
  </si>
  <si>
    <t>                  1,675,490</t>
  </si>
  <si>
    <t>임대보증금</t>
  </si>
  <si>
    <t>지배기업의 주요 경영진은 회사 활동의 계획, 운영, 통제에 대한 중요한 권한과 책임을 가진 임원 등으로 구성되어 있습니다.</t>
  </si>
  <si>
    <t>27. 현금흐름표</t>
  </si>
  <si>
    <t>13. 기타부채</t>
  </si>
  <si>
    <t>당분기와 전분기 중 현금의 유입과 유출이 없는 중요한 거래는 다음과 같습니다.</t>
  </si>
  <si>
    <t>(1) 당기말과 전기말 현재 기타부채의 내역은 다음과 같습니다.</t>
  </si>
  <si>
    <t>취득액(*)</t>
  </si>
  <si>
    <t>유형자산의 취득 관련 미지급금의 증감</t>
  </si>
  <si>
    <t>손상차손</t>
  </si>
  <si>
    <t>무형자산의 취득 관련 미지급금의 증감</t>
  </si>
  <si>
    <t>사용권자산의 대체 증가</t>
  </si>
  <si>
    <t>건설중인자산의 본계정 대체</t>
  </si>
  <si>
    <t>496,647 </t>
  </si>
  <si>
    <t>임차보증금의 유동성 대체</t>
  </si>
  <si>
    <t>(*) 영업권 취득은 종속기업 신규 취득으로 인하여 발생하였습니다. (주석 32 참조)</t>
  </si>
  <si>
    <t>2,984,463 </t>
  </si>
  <si>
    <t>5,909,043 </t>
  </si>
  <si>
    <t>139,641 </t>
  </si>
  <si>
    <t>379,607 </t>
  </si>
  <si>
    <t>327,832 </t>
  </si>
  <si>
    <t>369,496 </t>
  </si>
  <si>
    <t>118,883 </t>
  </si>
  <si>
    <t>118,067 </t>
  </si>
  <si>
    <t>9,194,494 </t>
  </si>
  <si>
    <t>10,909,562 </t>
  </si>
  <si>
    <t>(2) 당기와 전기 중 충당부채 변동내역은 다음과 같습니다.</t>
  </si>
  <si>
    <t>증가</t>
  </si>
  <si>
    <t>감소</t>
  </si>
  <si>
    <t>495,982 </t>
  </si>
  <si>
    <t>15,816 </t>
  </si>
  <si>
    <t>114,807 </t>
  </si>
  <si>
    <t>3,260 </t>
  </si>
  <si>
    <t>487,563 </t>
  </si>
  <si>
    <t>446,715 </t>
  </si>
  <si>
    <t>610,789 </t>
  </si>
  <si>
    <t>(*) 전기 중 영업권 등에 대하여 손상차손을 인식하였으며, 연결포괄손익계산서에서 기타영업외비용으로 인식되었습니다. (주석 26 참조)</t>
  </si>
  <si>
    <t>14. 종업원급여</t>
  </si>
  <si>
    <t>(1) 당기와 전기 중 비용으로 인식된 종업원급여의 내역은 다음과 같습니다.</t>
  </si>
  <si>
    <t>(주)스튜디오돌핀 취득 관련 영업권(*3)</t>
  </si>
  <si>
    <t>17,525,834 </t>
  </si>
  <si>
    <t>15,810,238 </t>
  </si>
  <si>
    <t>1,681,403 </t>
  </si>
  <si>
    <t>1,094,304 </t>
  </si>
  <si>
    <t>624,260 </t>
  </si>
  <si>
    <t>674,683 </t>
  </si>
  <si>
    <t>② 당기말 영업권의 손상평가 내역은 다음과 같습니다. 영업권은 손상평가를 위하여 다음과 같이 연결실체의 현금창출단위에 배분되었습니다.</t>
  </si>
  <si>
    <t>3,367,428 </t>
  </si>
  <si>
    <t>2,695,799 </t>
  </si>
  <si>
    <t>- LIFE DESIGN COMPANY Inc. 취득 관련 영업권(*1) : Celebrity MD 사업</t>
  </si>
  <si>
    <t>23,198,925 </t>
  </si>
  <si>
    <t>20,275,024 </t>
  </si>
  <si>
    <t>- (주)그루버스 취득 관련 영업권(*2) : 플랫폼 사업</t>
  </si>
  <si>
    <t>- (주)스튜디오돌핀 취득 관련 영업권(*3) : 오디오콘텐츠 사업</t>
  </si>
  <si>
    <t>(2) 당기말과 전기말 현재 연결재무상태표에 인식된 종업원급여 관련 자산과 부채의 상세내역은 다음과 같습니다. </t>
  </si>
  <si>
    <t> 구 분</t>
  </si>
  <si>
    <t>현금창출단위의 회수가능액은 향후 5년간의 재무예산에 근거하여 추정한 현금흐름에 연 14.97%의 할인율을 적용하여 계산한 사용가치로 측정되었습니다. 5년을 초과하는 기간에 발생할 것으로 예상되는 현금흐름은 0.0%의 성장률이 일정하게 지속될 것이라고 가정되었으며, 이러한 성장률은 Celebrity MD사업의 장기평균성장률을 초과하지 않을 것으로 판단됩니다. 경영진은 회수가능액을 추정하기 위하여 사용된 주요 가정에서 합리적으로 발생가능한 변동의 경우에도 현금창출단위의 총 장부금액이 총 회수가능액을 초과하지는 않을 것으로 판단하고 있습니다.</t>
  </si>
  <si>
    <t>822,730 </t>
  </si>
  <si>
    <t>1,215,669 </t>
  </si>
  <si>
    <t>769,571 </t>
  </si>
  <si>
    <t>643,831 </t>
  </si>
  <si>
    <t>1,592,301 </t>
  </si>
  <si>
    <t>1,859,500 </t>
  </si>
  <si>
    <t>현금창출단위의 회수가능액은 향후 5년간의 재무예산에 근거하여 추정한 현금흐름에 연 15.84%의 할인율을 적용하여 계산한 사용가치로 측정되었습니다. 5년을 초과하는 기간에 발생할 것으로 예상되는 현금흐름은 1.0%의 성장률이 일정하게 지속될 것이라고 가정되었으며, 이러한 성장률은 음원 콘텐츠 사업의 장기평균성장률을 초과하지 않을 것으로 판단됩니다. 경영진은 회수가능액을 추정하기 위하여 사용된 주요 가정에서 합리적으로 발생가능한 변동의 경우에도 현금창출단위의 총 장부금액이총 회수가능액을 초과하지는 않을 것으로 판단하고 있습니다.</t>
  </si>
  <si>
    <t>연결실체는 2021년 확정급여제도에 대한 기여금으로 2,000,000천원을 납부할 것으로 예상됩니다.</t>
  </si>
  <si>
    <t>(*3) (주)스튜디오돌핀 취득 관련 영업권</t>
  </si>
  <si>
    <t>(3) 당기와 전기 중 순확정급여부채의 조정내역은 다음과 같습니다.</t>
  </si>
  <si>
    <t>현금창출단위의 회수가능액은 향후 5년간의 재무예산에 근거하여 추정한 현금흐름에 연 15.84%의 할인율을 적용하여 계산한 사용가치로 측정되었습니다. 5년을 초과하는 기간에 발생할 것으로 예상되는 현금흐름은 1.0%의 성장률이 일정하게 지속될 것이라고 가정되었으며, 이러한 성장률은 오디오콘텐츠제작 사업의 장기평균성장률을 초과하지 않을 것으로 판단됩니다. 경영진은 회수가능액을 추정하기 위하여 사용된 주요 가정에서 합리적으로 발생가능한 변동의 경우에도 현금창출단위의 총 장부금액이 총 회수가능액을 초과하지는 않을 것으로 판단하고 있습니다.</t>
  </si>
  <si>
    <t>구    분</t>
  </si>
  <si>
    <t>5,531,260 </t>
  </si>
  <si>
    <t>당기 비용으로 인식:</t>
  </si>
  <si>
    <t>당기근무원가</t>
  </si>
  <si>
    <t>1,678,458 </t>
  </si>
  <si>
    <t>14. 리스</t>
  </si>
  <si>
    <t>이자원가(수익)</t>
  </si>
  <si>
    <t>99,814 </t>
  </si>
  <si>
    <t>2,945 </t>
  </si>
  <si>
    <t>1,778,272 </t>
  </si>
  <si>
    <t>(1) 당기말과 전기말 현재 연결재무상태표에 인식된 사용권 자산의 장부금액은 다음과 같습니다.</t>
  </si>
  <si>
    <t>- 보험수리적손익</t>
  </si>
  <si>
    <t>400,840 </t>
  </si>
  <si>
    <t>- 사외적립자산 수익</t>
  </si>
  <si>
    <t>34,404 </t>
  </si>
  <si>
    <t>4,182 </t>
  </si>
  <si>
    <t>38,586 </t>
  </si>
  <si>
    <t>납부한 기여금</t>
  </si>
  <si>
    <t>급여지급</t>
  </si>
  <si>
    <t>469,119 </t>
  </si>
  <si>
    <t>환율효과</t>
  </si>
  <si>
    <t>소  계</t>
  </si>
  <si>
    <t>(2) 당기와 전기 중 연결실체가 리스이용자로서 연결손익계산서에 인식한 금액은 다음과 같습니다.</t>
  </si>
  <si>
    <t>기말 잔액</t>
  </si>
  <si>
    <t>6,731,667 </t>
  </si>
  <si>
    <t>5,082,000 </t>
  </si>
  <si>
    <t>553,536 </t>
  </si>
  <si>
    <t>1,079,303 </t>
  </si>
  <si>
    <t>112,274 </t>
  </si>
  <si>
    <t>15,001 </t>
  </si>
  <si>
    <t>1,191,577 </t>
  </si>
  <si>
    <t>단기 리스와 관련된 비용</t>
  </si>
  <si>
    <t>소액 자산 리스 중 단기 리스를 제외한 리스에 관련된 비용</t>
  </si>
  <si>
    <t>(3) 당기와 전기 중 리스부채 상환 및 소액 리스 등을 통한 리스 관련 현금유출액은 각각 2,272,006천원과 2,609,959천원 입니다.</t>
  </si>
  <si>
    <t>    (인구통계적 가정)</t>
  </si>
  <si>
    <t>197,058 </t>
  </si>
  <si>
    <t>144,511 </t>
  </si>
  <si>
    <t>395,790 </t>
  </si>
  <si>
    <t>15. 매입채무및기타채무</t>
  </si>
  <si>
    <t>29,153 </t>
  </si>
  <si>
    <t>737,359 </t>
  </si>
  <si>
    <t>766,512 </t>
  </si>
  <si>
    <t>1,530,646 </t>
  </si>
  <si>
    <t>전입</t>
  </si>
  <si>
    <t>38,688 </t>
  </si>
  <si>
    <t>17,562 </t>
  </si>
  <si>
    <t>280,993 </t>
  </si>
  <si>
    <t>(4) 당기말과 전기말 현재 사외적립자산은 다음의 자산으로 구성되어 있습니다.</t>
  </si>
  <si>
    <t>352,239 </t>
  </si>
  <si>
    <t>439,145 </t>
  </si>
  <si>
    <t>16. 기타부채</t>
  </si>
  <si>
    <t>지분증권</t>
  </si>
  <si>
    <t>61,966 </t>
  </si>
  <si>
    <t>채무증권 등</t>
  </si>
  <si>
    <t>5,556,698 </t>
  </si>
  <si>
    <t>3,814,480 </t>
  </si>
  <si>
    <t>5,908,937 </t>
  </si>
  <si>
    <t>4,315,591 </t>
  </si>
  <si>
    <t>(5) 당기와 전기 중 손익으로 인식된 비용은 연결포괄손익계산서에서 다음 항목으로 인식되었습니다.</t>
  </si>
  <si>
    <t>(6) 당기말과 전기말 현재 주요 보험수리적 가정은 다음과 같습니다.</t>
  </si>
  <si>
    <t>연결실체는 확정급여채무의 현재가치계산을 위하여 보고기간말 현재 확정급여채무의 통화 및 예상지급시기와 일관성이 있는 우량회사채의 시장수익률을 참조하여 할인률을 결정하였으며, 당기말 및 전기말 현재 확정급여채무의 가중평균 듀레이션은각각 11.67년 및 10.66년입니다. </t>
  </si>
  <si>
    <t>(7) 민감도 분석</t>
  </si>
  <si>
    <t>당기말 현재 유의적인 각각의 보험수리적 가정이 발생가능한 합리적인 범위 내에서 변동한다면 확정급여채무에 미치게 될 영향은 다음과 같습니다.</t>
  </si>
  <si>
    <t>기대임금인상률의 0.5% 변동</t>
  </si>
  <si>
    <t>360,950 </t>
  </si>
  <si>
    <t>할인율의 0.5% 변동</t>
  </si>
  <si>
    <t>371,641 </t>
  </si>
  <si>
    <t>유동성</t>
  </si>
  <si>
    <t>비유동성</t>
  </si>
  <si>
    <t>민감도분석은 제도에서 발생할 것으로 기대되는 모든 현금흐름의 분산을 고려하지는않았으나, 사용된 가정에 대한 민감도의 근사치를 제공하고 있습니다.</t>
  </si>
  <si>
    <t>15. 자본금과 자본잉여금</t>
  </si>
  <si>
    <t>(1) 당기말과 전기말 현재 지배기업의 자본금 내역은 다음과 같습니다.</t>
  </si>
  <si>
    <t>28,429,924    </t>
  </si>
  <si>
    <t>(2) 당기와 전기 중 지배기업의 발행주식수 변동은 다음과 같습니다.</t>
  </si>
  <si>
    <t>(단위: 주)</t>
  </si>
  <si>
    <t>17. 전환우선주부채</t>
  </si>
  <si>
    <t>(1) 당기말 현재 전환우선주부채의 내역은 다음과 같습니다.</t>
  </si>
  <si>
    <t>  전기초</t>
  </si>
  <si>
    <t>55,558,279 </t>
  </si>
  <si>
    <t>27,779,140 </t>
  </si>
  <si>
    <t>172,351,901 </t>
  </si>
  <si>
    <t>  전환사채의 전환</t>
  </si>
  <si>
    <t>1,301,568 </t>
  </si>
  <si>
    <t>650,784 </t>
  </si>
  <si>
    <t>5,645,101 </t>
  </si>
  <si>
    <t>  전기말</t>
  </si>
  <si>
    <t>28,429,924 </t>
  </si>
  <si>
    <t>177,997,002 </t>
  </si>
  <si>
    <t>보통주전환우선주식</t>
  </si>
  <si>
    <t>(3) 자본잉여금</t>
  </si>
  <si>
    <t>당기말과 전기말 현재 자본잉여금의 내역은 다음과 같습니다.</t>
  </si>
  <si>
    <t>2. 1주당 액면가액 (원)</t>
  </si>
  <si>
    <t>562,576 </t>
  </si>
  <si>
    <t>178,559,578 </t>
  </si>
  <si>
    <t>16. 기타자본항목</t>
  </si>
  <si>
    <t>당기말과 전기말 현재 기타자본의 내역은 다음과 같습니다.</t>
  </si>
  <si>
    <t>2022년 06월 16일 ~ 2031년 06월 15일</t>
  </si>
  <si>
    <t>전환으로 발행할 주식수</t>
  </si>
  <si>
    <t>주식선택권</t>
  </si>
  <si>
    <t>1,298,944 </t>
  </si>
  <si>
    <t>2,418,521 </t>
  </si>
  <si>
    <t>2,051,964 </t>
  </si>
  <si>
    <t>연결실체가 발행한 전환우선주는 보통주식 가격이 하락하는 경우와 같이 전환가격 조정조건이 존재함에 따라 자본 요건을 충족하지 못하는 것으로 보아 금융부채로 인식하였고, 당기손익공정가치측정금융부채로 지정하여 공정가액으로 측정하였습니다. 한편, 전환우선주의 전환청구가능기간을 고려하여 유동부채로 분류하였습니다.</t>
  </si>
  <si>
    <t>(3) 당기 중 전환우선주부채의 장부금액 변동내역은 다음과 같습니다.</t>
  </si>
  <si>
    <t>17. 결손금</t>
  </si>
  <si>
    <t>구     분</t>
  </si>
  <si>
    <t>기초금액</t>
  </si>
  <si>
    <t>당기와 전기의 결손금처리계산서는 다음과 같습니다.</t>
  </si>
  <si>
    <t>당기발행</t>
  </si>
  <si>
    <t>당기손익공정가치측정금융부채평가손실</t>
  </si>
  <si>
    <t>기말금액</t>
  </si>
  <si>
    <t>(처리예정일:2021.3.30)</t>
  </si>
  <si>
    <t>(처리확정일:2020.3.27)</t>
  </si>
  <si>
    <t> I. 미처리결손금</t>
  </si>
  <si>
    <t>102,792,627 </t>
  </si>
  <si>
    <t> 84,205,619 </t>
  </si>
  <si>
    <t>(4) 전환우선주부채의 공정가치평가에 사용한 가치평가기법은 이익접근법 중 이항옵션평가모형으로, 이항옵션평가모형은 기초자산의 가격변동의 상승과 하락 즉 이항확률분포를 따른다는 가정하에 도출된 옵션가격결정모형입니다.공정가치평가에 사용한 주요 가정은 다음과 같습니다.</t>
  </si>
  <si>
    <t>  전기이월미처리결손금</t>
  </si>
  <si>
    <t>84,205,619 </t>
  </si>
  <si>
    <t> 34,857,951 </t>
  </si>
  <si>
    <t>주요가정</t>
  </si>
  <si>
    <t>  확정급여제도의 재측정요소</t>
  </si>
  <si>
    <t>38,585 </t>
  </si>
  <si>
    <t>잔여만기 국고채 수익율 2.24%/연을 적용함</t>
  </si>
  <si>
    <t>  당기순손실</t>
  </si>
  <si>
    <t>18,548,423 </t>
  </si>
  <si>
    <t>48,581,156 </t>
  </si>
  <si>
    <t>가치변동성</t>
  </si>
  <si>
    <t>유사상장회사 주가변동성 4.63%/주를 적용함</t>
  </si>
  <si>
    <t>II. 결손금처리액</t>
  </si>
  <si>
    <t>Ⅲ.차기이월미처리결손금</t>
  </si>
  <si>
    <t>상기 결손금처리계산서는 지배기업의 별도재무제표에 근거하여 작성되었습니다.</t>
  </si>
  <si>
    <t>18. 종업원급여</t>
  </si>
  <si>
    <t>18. 주식기준보상</t>
  </si>
  <si>
    <t>(1) 당기 중 지배기업이 부여한 주식기준보상약정은 다음과 같습니다.</t>
  </si>
  <si>
    <t>(주)드림어스컴퍼니 보통주식</t>
  </si>
  <si>
    <t>부여방법(*)</t>
  </si>
  <si>
    <t>부여주식수</t>
  </si>
  <si>
    <t>366,679주</t>
  </si>
  <si>
    <t>366,672주</t>
  </si>
  <si>
    <t>366,649주</t>
  </si>
  <si>
    <t>2021년 3월 29일 부터</t>
  </si>
  <si>
    <t>2022년 3월 29일 부터</t>
  </si>
  <si>
    <t>2023년 3월 29일 부터</t>
  </si>
  <si>
    <t>2024년 3월 28일 까지</t>
  </si>
  <si>
    <t>2025년 3월 28일 까지</t>
  </si>
  <si>
    <t>2026년 3월 28일 까지</t>
  </si>
  <si>
    <t>(*) 주식매수선택권 행사시점에 신주발행교부방식, 자기주식교부방식, 차액보상방식중 지배기업이 정하는 방식으로 합니다.</t>
  </si>
  <si>
    <t>당기 보상원가</t>
  </si>
  <si>
    <t>799,462 </t>
  </si>
  <si>
    <t>구    분</t>
  </si>
  <si>
    <t>총 보상원가</t>
  </si>
  <si>
    <t>2,098,405 </t>
  </si>
  <si>
    <t>(3) 지배기업은 주식선택권의 보상원가를 몬테카를로시뮬레이션을 이용한 공정가치접근법을 적용하여 산정하였으며, 보상원가를 산정하기 위한 제반 가정 및 변수는 다음과같습니다.</t>
  </si>
  <si>
    <t>부여일의 주가(전일 종가)</t>
  </si>
  <si>
    <t>8,950  </t>
  </si>
  <si>
    <t>9,160  </t>
  </si>
  <si>
    <t>1,976  </t>
  </si>
  <si>
    <t>2,189  </t>
  </si>
  <si>
    <t>2,356  </t>
  </si>
  <si>
    <t>19. 판매비와관리비</t>
  </si>
  <si>
    <t>당기와 전기의 판매비와관리비의 내역은 다음과 같습니다.</t>
  </si>
  <si>
    <t>15,962,195 </t>
  </si>
  <si>
    <t>13,873,735 </t>
  </si>
  <si>
    <t>1,716,898 </t>
  </si>
  <si>
    <t>160,801 </t>
  </si>
  <si>
    <t>421,262 </t>
  </si>
  <si>
    <t>388,785 </t>
  </si>
  <si>
    <t>735,551 </t>
  </si>
  <si>
    <t>2,831,947 </t>
  </si>
  <si>
    <t>2,993,229 </t>
  </si>
  <si>
    <t>6,564,080 </t>
  </si>
  <si>
    <t>7,923,879 </t>
  </si>
  <si>
    <t>7,507,088 </t>
  </si>
  <si>
    <t>8,205,369 </t>
  </si>
  <si>
    <t>269,516 </t>
  </si>
  <si>
    <t>379,441 </t>
  </si>
  <si>
    <t>12,079,401 </t>
  </si>
  <si>
    <t>12,154,365 </t>
  </si>
  <si>
    <t>(재무적 가정)</t>
  </si>
  <si>
    <t>(경험조정)</t>
  </si>
  <si>
    <t>221,477 </t>
  </si>
  <si>
    <t>225,814 </t>
  </si>
  <si>
    <t>211,007 </t>
  </si>
  <si>
    <t>334,241 </t>
  </si>
  <si>
    <t>165,746 </t>
  </si>
  <si>
    <t>280,879 </t>
  </si>
  <si>
    <t>261,945 </t>
  </si>
  <si>
    <t>389,003 </t>
  </si>
  <si>
    <t>2,556,195 </t>
  </si>
  <si>
    <t>2,281,191 </t>
  </si>
  <si>
    <t>57,012,607 </t>
  </si>
  <si>
    <t>57,401,502 </t>
  </si>
  <si>
    <t>20. 비용의 성격별 공시</t>
  </si>
  <si>
    <t>당기와 전기의 비용의 성격별 공시 내역은 다음과 같습니다. </t>
  </si>
  <si>
    <t>금융기관 예치금</t>
  </si>
  <si>
    <t>재고자산의 변동</t>
  </si>
  <si>
    <t>2,465,472 </t>
  </si>
  <si>
    <t>9,326,939 </t>
  </si>
  <si>
    <t>원재료 및 상품매입액</t>
  </si>
  <si>
    <t>34,834,440 </t>
  </si>
  <si>
    <t>51,632,709 </t>
  </si>
  <si>
    <t>                          1,681,403</t>
  </si>
  <si>
    <t>280,232 </t>
  </si>
  <si>
    <t>3,307,331 </t>
  </si>
  <si>
    <t>3,630,891 </t>
  </si>
  <si>
    <t>7,509,138 </t>
  </si>
  <si>
    <t>156,888,495 </t>
  </si>
  <si>
    <t>115,103,759 </t>
  </si>
  <si>
    <t>연결실체는 확정급여채무의 현재가치계산을 위하여 보고기간말 현재 확정급여채무의 통화 및 예상지급시기와 일관성이 있는 우량회사채의 시장수익률을 참조하여 할인률을 결정하였으며, 당기말 및 전기말 현재 확정급여채무의 가중평균 듀레이션은각각 11.00년 및 11.67년입니다. </t>
  </si>
  <si>
    <t>3,134,386 </t>
  </si>
  <si>
    <t>6,870,513 </t>
  </si>
  <si>
    <t>238,217,994 </t>
  </si>
  <si>
    <t>223,704,634 </t>
  </si>
  <si>
    <t>21. 기타영업외손익</t>
  </si>
  <si>
    <t>(1) 당기와 전기의 기타영업외수익의 내역은 다음과 같습니다. </t>
  </si>
  <si>
    <t>2,240 </t>
  </si>
  <si>
    <t>222 </t>
  </si>
  <si>
    <t>197,174 </t>
  </si>
  <si>
    <t>371,140 </t>
  </si>
  <si>
    <t>19. 자본금과 자본잉여금</t>
  </si>
  <si>
    <t>199,414 </t>
  </si>
  <si>
    <t>371,362 </t>
  </si>
  <si>
    <t>(1) 당기말과 전기말 현재 지배기업의 보통주 자본금 내역은 다음과 같습니다.</t>
  </si>
  <si>
    <t>(2) 당기와 전기의 기타영업외비용의 내역은 다음과 같습니다.</t>
  </si>
  <si>
    <t>127,468 </t>
  </si>
  <si>
    <t>5,548,640 </t>
  </si>
  <si>
    <t>21,824,682 </t>
  </si>
  <si>
    <t>599 </t>
  </si>
  <si>
    <t>41,410 </t>
  </si>
  <si>
    <t>3,268 </t>
  </si>
  <si>
    <t>3,851 </t>
  </si>
  <si>
    <t>742,229 </t>
  </si>
  <si>
    <t>34,396 </t>
  </si>
  <si>
    <t>4,200,000 </t>
  </si>
  <si>
    <t>10,494,736 </t>
  </si>
  <si>
    <t>22,031,807 </t>
  </si>
  <si>
    <t>(2) 당기와 전기 중 지배기업의 보통주식수 변동은 다음과 같습니다.</t>
  </si>
  <si>
    <t>(단위:  천원)</t>
  </si>
  <si>
    <t>22. 법인세비용</t>
  </si>
  <si>
    <t>(1) 당기와 전기의 법인세비용의 주요 구성내역은 다음과 같습니다. </t>
  </si>
  <si>
    <t>당기법인세비용:</t>
  </si>
  <si>
    <t> 당기법인세부담액</t>
  </si>
  <si>
    <t>3,205 </t>
  </si>
  <si>
    <t>308,765 </t>
  </si>
  <si>
    <t>이연법인세비용:</t>
  </si>
  <si>
    <t> 이연법인세 변동액</t>
  </si>
  <si>
    <t>법인세비용 </t>
  </si>
  <si>
    <t>70,238 </t>
  </si>
  <si>
    <t>(2) 연결실체는 당기말과 전기말 현재 이월결손금 및 차감할 일시적차이가 동일한 회계기간에 소멸이 예상되는 가산할 일시적차이를 초과하고 있는 상태입니다. 연결실체는 가산할 일시적차이를 초과하는 이월결손금 및 차감할 일시적차이의 경우 이연법인세자산으로 인한 혜택이 사용되기에는 충분할 과세소득이 발생할 가능성이 높지않은 것으로 판단하여, 가산할 일시적차이를 초과하고 있는 이월결손금 및 차감할 일시적차이는 이연법인세자산으로 인식하지 아니하였습니다.</t>
  </si>
  <si>
    <t>당기말과 전기말 현재 인식하고 있는 일시적차이에 대한 내역은 아래와 같습니다.</t>
  </si>
  <si>
    <t>20. 기타자본항목</t>
  </si>
  <si>
    <t>가산할 일시적차이 </t>
  </si>
  <si>
    <t>21,268,367 </t>
  </si>
  <si>
    <t>22,497,466 </t>
  </si>
  <si>
    <t>(1) 당기말과 전기말 현재 기타자본의 내역은 다음과 같습니다.</t>
  </si>
  <si>
    <t>차감할 일시적차이</t>
  </si>
  <si>
    <t>  순확정급여부채</t>
  </si>
  <si>
    <t>5,321,843 </t>
  </si>
  <si>
    <t>기타무형자산(*1)</t>
  </si>
  <si>
    <t>이연법인세부채(*2)</t>
  </si>
  <si>
    <t>1,852,534 </t>
  </si>
  <si>
    <t>(*1) 사업결합을 통해 발생한 식별 가능한 무형자산의 당기말 현재 장부가액입니다.</t>
  </si>
  <si>
    <t>(*2) 식별 가능한 무형자산금액에 대하여 종속기업 소재지의 법인세율을 적용하였습니다. </t>
  </si>
  <si>
    <t>(2) 자기주식</t>
  </si>
  <si>
    <t>(3) 당기말 현재 이연법인세자산으로 인식되지 아니한 항목의 금액 및 만기는 다음과같습니다.  </t>
  </si>
  <si>
    <t>당기와 전기 중 자기주식의 변동내용은 다음과 같습니다.</t>
  </si>
  <si>
    <t>(단위 : 주, 천원)</t>
  </si>
  <si>
    <t>관련 자산</t>
  </si>
  <si>
    <t>발생연도</t>
  </si>
  <si>
    <t>만기</t>
  </si>
  <si>
    <t>20,632,783 </t>
  </si>
  <si>
    <t>종속기업 투자지분</t>
  </si>
  <si>
    <t>66,468,947 </t>
  </si>
  <si>
    <t>미사용세무상결손금</t>
  </si>
  <si>
    <t>2011년</t>
  </si>
  <si>
    <t>17,542,840 </t>
  </si>
  <si>
    <t>2012년</t>
  </si>
  <si>
    <t>5,421,618 </t>
  </si>
  <si>
    <t>2013년</t>
  </si>
  <si>
    <t>9,122,490 </t>
  </si>
  <si>
    <t>2023년</t>
  </si>
  <si>
    <t>2014년</t>
  </si>
  <si>
    <t>2,812,724 </t>
  </si>
  <si>
    <t>2024년</t>
  </si>
  <si>
    <t>21. 결손금</t>
  </si>
  <si>
    <t>2015년</t>
  </si>
  <si>
    <t>554,747 </t>
  </si>
  <si>
    <t>2025년</t>
  </si>
  <si>
    <t>2016년</t>
  </si>
  <si>
    <t>35,732,698 </t>
  </si>
  <si>
    <t>2026년</t>
  </si>
  <si>
    <t>당기말과 전기말 현재 지배기업의 결손금처리계산서는 다음과 같습니다.</t>
  </si>
  <si>
    <t>2017년</t>
  </si>
  <si>
    <t>11,549,284 </t>
  </si>
  <si>
    <t>2027년</t>
  </si>
  <si>
    <t>제23기</t>
  </si>
  <si>
    <t>2021년  1월   1일</t>
  </si>
  <si>
    <t>부터</t>
  </si>
  <si>
    <t>제22기</t>
  </si>
  <si>
    <t>2020년  1월   1일</t>
  </si>
  <si>
    <t>2018년</t>
  </si>
  <si>
    <t>16,244,990 </t>
  </si>
  <si>
    <t>2028년</t>
  </si>
  <si>
    <t>2021년 12월 31일</t>
  </si>
  <si>
    <t>까지</t>
  </si>
  <si>
    <t>2020년 12월 31일</t>
  </si>
  <si>
    <t>2019년</t>
  </si>
  <si>
    <t>15,877,990 </t>
  </si>
  <si>
    <t>2029년</t>
  </si>
  <si>
    <t>처리예정일</t>
  </si>
  <si>
    <t>2022년  3월 30일</t>
  </si>
  <si>
    <t>처리확정일</t>
  </si>
  <si>
    <t>2021년  3월 30일</t>
  </si>
  <si>
    <t>2020년</t>
  </si>
  <si>
    <t>11,557,351 </t>
  </si>
  <si>
    <t>2035년</t>
  </si>
  <si>
    <t>126,416,732 </t>
  </si>
  <si>
    <t>세액공제</t>
  </si>
  <si>
    <t>116,370 </t>
  </si>
  <si>
    <t>79,905 </t>
  </si>
  <si>
    <t>69,233 </t>
  </si>
  <si>
    <t>33,745 </t>
  </si>
  <si>
    <t>20,745 </t>
  </si>
  <si>
    <t>84,352 </t>
  </si>
  <si>
    <t>2030년</t>
  </si>
  <si>
    <t>  자본잉여금이입액</t>
  </si>
  <si>
    <t>404,350 </t>
  </si>
  <si>
    <t>(4) 당기와 전기 중 법인세비용과 회계이익의 관계는 다음과 같습니다. </t>
  </si>
  <si>
    <t>구   분</t>
  </si>
  <si>
    <t>22. 주식기준보상</t>
  </si>
  <si>
    <t>적용세율</t>
  </si>
  <si>
    <t>(1) 당기 중 지배기업이 부여한 주식기준보상약정은 다음과 같습니다.</t>
  </si>
  <si>
    <t>적용세율에 따른 세부담액</t>
  </si>
  <si>
    <t>조정사항:</t>
  </si>
  <si>
    <t>  세무상 공제되지 않는 비용의 법인세 효과</t>
  </si>
  <si>
    <t>268,950 </t>
  </si>
  <si>
    <t>957,409 </t>
  </si>
  <si>
    <t>  실현가능성이 없는 이연법인세자산의 변동</t>
  </si>
  <si>
    <t>3,342,546 </t>
  </si>
  <si>
    <t>8,850,895 </t>
  </si>
  <si>
    <t>  기타(세율차이 등)</t>
  </si>
  <si>
    <t>43,850 </t>
  </si>
  <si>
    <t>641,024 </t>
  </si>
  <si>
    <t>406,681 주</t>
  </si>
  <si>
    <t>406,672 주</t>
  </si>
  <si>
    <t>406,647 주</t>
  </si>
  <si>
    <t>소멸</t>
  </si>
  <si>
    <t>140,006 주</t>
  </si>
  <si>
    <t>140,002 주</t>
  </si>
  <si>
    <t>139,992 주</t>
  </si>
  <si>
    <t>23. 주당손익</t>
  </si>
  <si>
    <t>잔여수량</t>
  </si>
  <si>
    <t>266,675 주</t>
  </si>
  <si>
    <t>266,670 주</t>
  </si>
  <si>
    <t>266,655 주</t>
  </si>
  <si>
    <t>9,160 원</t>
  </si>
  <si>
    <t>(1) 당기와 전기의 주당손익의 계산내역은 다음과 같습니다. </t>
  </si>
  <si>
    <t>(단위: 원, 주)</t>
  </si>
  <si>
    <t>내  역</t>
  </si>
  <si>
    <t>지배기업소유주지분 당기순손실</t>
  </si>
  <si>
    <t>23,067,872,601 </t>
  </si>
  <si>
    <t>48,005,522,146 </t>
  </si>
  <si>
    <t>56,859,047 </t>
  </si>
  <si>
    <t>56,102,289 </t>
  </si>
  <si>
    <t>주당손실</t>
  </si>
  <si>
    <t>406 </t>
  </si>
  <si>
    <t>856 </t>
  </si>
  <si>
    <t>(*) 가중평균유통보통주식수</t>
  </si>
  <si>
    <t>  전기까지 인식된 보상원가</t>
  </si>
  <si>
    <t>기초 발행보통주식수</t>
  </si>
  <si>
    <t>  당기 보상원가</t>
  </si>
  <si>
    <t>544,810 </t>
  </si>
  <si>
    <t>  소멸</t>
  </si>
  <si>
    <t> 자기주식</t>
  </si>
  <si>
    <t>  합계</t>
  </si>
  <si>
    <t>가중평균유통보통주식수</t>
  </si>
  <si>
    <t>  잔여보상원가</t>
  </si>
  <si>
    <t>(2) 연결실체가 발행한 잠재적 보통주를 발생시키는 금융상품이나 계약은 주식매수선택권이며, 이와 관련하여 당기와 전기 중 희석화 효과가 발생하지 아니함에 따라 희석주당손익은 기본주당손익과 동일합니다.</t>
  </si>
  <si>
    <t>(3) 잠재적 보통주</t>
  </si>
  <si>
    <t>반희석효과로 인하여 희석주당순이익을 계산할 때 고려하지 않았지만 잠재적으로 미래에 기본주당순이익을 희석화할 수 있는 잠재적 보통주의 내용은 다음과 같습니다. </t>
  </si>
  <si>
    <t>                                                                                                        (단위 : 주)</t>
  </si>
  <si>
    <t>발행될 보통주식수</t>
  </si>
  <si>
    <t>2021/03/29~2024/03/28</t>
  </si>
  <si>
    <t>2022/03/29~2025/03/28</t>
  </si>
  <si>
    <t>2023/03/29~2026/03/28</t>
  </si>
  <si>
    <t>23. 판매비와관리비</t>
  </si>
  <si>
    <t>24. 우발상황과 약정사항</t>
  </si>
  <si>
    <t>(1) 당기말 현재 연결실체를 피고로 계류 중인 소송사건은 1건(소송가액: 0.3억원)이 계류중이며, 현재로서는 동 소송의 최종결과를 예측하기 어려우며, 부담할 금액의 불확실성으로 연결재무제표에 미칠 영향을 합리적으로 예측할 수 없습니다</t>
  </si>
  <si>
    <t>(2) 당기말 현재 연결실체가 금융기관과 체결하고 있는 약정사항은 없습니다.</t>
  </si>
  <si>
    <t>(3) 당기말 현재 연결실체는 제품개발에 따른 계약이행, 선급금보증 및 하자보증 등과 관련하여 서울보증보험으로부터 185,576천원의 보증을 제공받아 관련 거래처에게 제공하고 있습니다.</t>
  </si>
  <si>
    <t>(4) 디자인 및 기술도입계약 등</t>
  </si>
  <si>
    <t>연결실체는 제품생산과 관련하여 국내외회사와 디자인 및 기술도입계약을 체결하고 있으며 계약제품의 매출 또는 특허권 사용에 따라 일정액의 디자인 및 기술사용료를 지급하도록 되어 있습니다. 또한, 연결실체는 일본 내 회사와 상품화권 승인 계약 등을 체결하고 있으며 매출에 따라 일정액의 초상권사용료, 기획운영료 등을 지급하고 있습니다. 당기와 전기 중 발생된 디자인 및 기술도입료, 초상권사용료, 기획운영료 등은 각각 1,289,979천원과 4,638,742천원이며, 매출원가 및 판매비와관리비에 포함되어 있습니다.</t>
  </si>
  <si>
    <t>25. 특수관계자</t>
  </si>
  <si>
    <t>(1) 당기말 현재 연결실체와 특수관계에 있는 회사의 내역은 다음과 같습니다.</t>
  </si>
  <si>
    <t>연결실체에 유의적인 영향력을 행사하는 기업</t>
  </si>
  <si>
    <t>24. 비용의 성격별 공시</t>
  </si>
  <si>
    <t>대규모기업집단 계열회사(*)</t>
  </si>
  <si>
    <t>유의적인 영향력을 행사하는 기업의 종속기업</t>
  </si>
  <si>
    <t>(*) 연결실체는 당기말 현재 대규모기업집단(기업집단명 : 에스케이)의 소속기업에 해당합니다. 이에 따라 최상위 지배기업, 지배기업, 종속기업 및 계열회사 이외에 대규모기업집단 소속회사의 경우에도 특수관계자 범위에 해당합니다.</t>
  </si>
  <si>
    <t>(2) 당기와 전기 중 연결실체와 특수관계자간의 주요 거래 내역은 다음과 같습니다.</t>
  </si>
  <si>
    <t>고정자산 매입</t>
  </si>
  <si>
    <t>지급수수료 등</t>
  </si>
  <si>
    <t>최상위지배기업</t>
  </si>
  <si>
    <t>24,114 </t>
  </si>
  <si>
    <t>105,246 </t>
  </si>
  <si>
    <t>74,683,300 </t>
  </si>
  <si>
    <t>5,968 </t>
  </si>
  <si>
    <t>2,415,264 </t>
  </si>
  <si>
    <t>9,567,627 </t>
  </si>
  <si>
    <t>25,646,732 </t>
  </si>
  <si>
    <t>49,780 </t>
  </si>
  <si>
    <t>199,853 </t>
  </si>
  <si>
    <t>17,352 </t>
  </si>
  <si>
    <t>(6,500) </t>
  </si>
  <si>
    <t>845,959 </t>
  </si>
  <si>
    <t>SK매직(주)</t>
  </si>
  <si>
    <t>9,413 </t>
  </si>
  <si>
    <t>2,890,986 </t>
  </si>
  <si>
    <t>2,973,575 </t>
  </si>
  <si>
    <t>지급수수료(*1)</t>
  </si>
  <si>
    <t>SK엠앤서비스(주)</t>
  </si>
  <si>
    <t>299,330 </t>
  </si>
  <si>
    <t>SK인포섹(주)</t>
  </si>
  <si>
    <t>9,483 </t>
  </si>
  <si>
    <t>127,479 </t>
  </si>
  <si>
    <t>합 계(*2)</t>
  </si>
  <si>
    <t>11,466 </t>
  </si>
  <si>
    <t>(*1) 지급수수료에는 콘텐츠 및 기타매출원가가 포함되어 있습니다.</t>
  </si>
  <si>
    <t>650 </t>
  </si>
  <si>
    <t>81,114 </t>
  </si>
  <si>
    <t>(*2) 연결포괄손익계산서상 매출원가 및 판매비와관리비의 합계액입니다.</t>
  </si>
  <si>
    <t>(주)에이디티캡스</t>
  </si>
  <si>
    <t>11,820 </t>
  </si>
  <si>
    <t>SK렌터카(주)</t>
  </si>
  <si>
    <t>10,199 </t>
  </si>
  <si>
    <t>93 </t>
  </si>
  <si>
    <t>25. 금융수익과 금융비용</t>
  </si>
  <si>
    <t>(주)에스엠컬처앤콘텐츠</t>
  </si>
  <si>
    <t>814,262 </t>
  </si>
  <si>
    <t>2,173,675 </t>
  </si>
  <si>
    <t>289 </t>
  </si>
  <si>
    <t>191,657 </t>
  </si>
  <si>
    <t>12,447 </t>
  </si>
  <si>
    <t>(1) 당기와 전기의 금융수익 내역은 다음과 같습니다. </t>
  </si>
  <si>
    <t>에프에스케이엘앤에스(주)</t>
  </si>
  <si>
    <t>2,399 </t>
  </si>
  <si>
    <t>44,617 </t>
  </si>
  <si>
    <t>피에스앤마케팅(주)</t>
  </si>
  <si>
    <t>31,000 </t>
  </si>
  <si>
    <t>Stream Media Corporation, Inc.</t>
  </si>
  <si>
    <t>287 </t>
  </si>
  <si>
    <t>34,900 </t>
  </si>
  <si>
    <t>71,301 </t>
  </si>
  <si>
    <t>S.M. ENTERTAINMENT JAPAN, INC.</t>
  </si>
  <si>
    <t>161,257 </t>
  </si>
  <si>
    <t>570,915 </t>
  </si>
  <si>
    <t>SMEJ, INC.</t>
  </si>
  <si>
    <t>79,787 </t>
  </si>
  <si>
    <t>309,235 </t>
  </si>
  <si>
    <t>19,336 </t>
  </si>
  <si>
    <t>㈜에스엠브랜드마케팅</t>
  </si>
  <si>
    <t>5,891 </t>
  </si>
  <si>
    <t>㈜갤럭시아에스엠</t>
  </si>
  <si>
    <t>15 </t>
  </si>
  <si>
    <t>당기손익공정가치측정금융자산평가이익</t>
  </si>
  <si>
    <t>S.M. F&amp;B Development Japan Inc.</t>
  </si>
  <si>
    <t>233 </t>
  </si>
  <si>
    <t>89,632,364 </t>
  </si>
  <si>
    <t>26,160,780 </t>
  </si>
  <si>
    <t>225,254 </t>
  </si>
  <si>
    <t>8,487,648 </t>
  </si>
  <si>
    <t>(2) 당기와 전기의 금융비용 내역은 다음과 같습니다.</t>
  </si>
  <si>
    <t>11,064 </t>
  </si>
  <si>
    <t>65,383 </t>
  </si>
  <si>
    <t>49,213,591 </t>
  </si>
  <si>
    <t>178,633 </t>
  </si>
  <si>
    <t>6,028 </t>
  </si>
  <si>
    <t>1,000,534 </t>
  </si>
  <si>
    <t>(주)에스엠엔터테인먼트(*)</t>
  </si>
  <si>
    <t>13,581,371 </t>
  </si>
  <si>
    <t>21,474,601 </t>
  </si>
  <si>
    <t>156,148 </t>
  </si>
  <si>
    <t>당기손익공정가치측정금융자산평가손실</t>
  </si>
  <si>
    <t>217,513 </t>
  </si>
  <si>
    <t>13,882 </t>
  </si>
  <si>
    <t>324,716 </t>
  </si>
  <si>
    <t>355,523 </t>
  </si>
  <si>
    <t>4,208 </t>
  </si>
  <si>
    <t>1,894,566 </t>
  </si>
  <si>
    <t>61,749 </t>
  </si>
  <si>
    <t>3,766,152 </t>
  </si>
  <si>
    <t>712,473 </t>
  </si>
  <si>
    <t>26. 기타영업외손익</t>
  </si>
  <si>
    <t>50,640 </t>
  </si>
  <si>
    <t>165,407 </t>
  </si>
  <si>
    <t>510 </t>
  </si>
  <si>
    <t>4,213 </t>
  </si>
  <si>
    <t>43,529 </t>
  </si>
  <si>
    <t>6,647 </t>
  </si>
  <si>
    <t>215,659 </t>
  </si>
  <si>
    <t>5,740 </t>
  </si>
  <si>
    <t>(주)에브리싱</t>
  </si>
  <si>
    <t>218,950 </t>
  </si>
  <si>
    <t>147,493 </t>
  </si>
  <si>
    <t>DREAM MAKER Entertainment Ltd.</t>
  </si>
  <si>
    <t>163,150 </t>
  </si>
  <si>
    <t>222,600 </t>
  </si>
  <si>
    <t>2,417,672 </t>
  </si>
  <si>
    <t>1,617 </t>
  </si>
  <si>
    <t>118 </t>
  </si>
  <si>
    <t>232,534 </t>
  </si>
  <si>
    <t>17,069 </t>
  </si>
  <si>
    <t>(주)에스엠엔터테인먼트재팬</t>
  </si>
  <si>
    <t>11,911 </t>
  </si>
  <si>
    <t>2,859,796 </t>
  </si>
  <si>
    <t>9,584 </t>
  </si>
  <si>
    <t>328 </t>
  </si>
  <si>
    <t>65,517,348 </t>
  </si>
  <si>
    <t>22,030,092 </t>
  </si>
  <si>
    <t>362,525 </t>
  </si>
  <si>
    <t>11,923,337 </t>
  </si>
  <si>
    <t>(*) 전환사채 관련 이자비용이 포함되어 있습니다.</t>
  </si>
  <si>
    <t>(3) 당기말과 전기말 현재 특수관계자에 대한 연결실체의 채권, 채무내역은 다음과 같습니다.</t>
  </si>
  <si>
    <t>채권</t>
  </si>
  <si>
    <t>채무</t>
  </si>
  <si>
    <t>5,490,199 </t>
  </si>
  <si>
    <t>1,865,648 </t>
  </si>
  <si>
    <t>281,467 </t>
  </si>
  <si>
    <t>유의적인 영향력을행사하는 기업</t>
  </si>
  <si>
    <t>709,703 </t>
  </si>
  <si>
    <t>13,266 </t>
  </si>
  <si>
    <t>3,659,424 </t>
  </si>
  <si>
    <t>15,546,823 </t>
  </si>
  <si>
    <t>27. 법인세비용</t>
  </si>
  <si>
    <t>1,100 </t>
  </si>
  <si>
    <t>94,250 </t>
  </si>
  <si>
    <t>204,062 </t>
  </si>
  <si>
    <t>당기의 법인세비용은 전체 회계연도에 대해서 예상되는 최선의 가중평균연간법인세율의 추정에 기초하여 인식하였습니다.</t>
  </si>
  <si>
    <t>33,814 </t>
  </si>
  <si>
    <t>2,223 </t>
  </si>
  <si>
    <t>234 </t>
  </si>
  <si>
    <t>172,587 </t>
  </si>
  <si>
    <t>818 </t>
  </si>
  <si>
    <t>5,877 </t>
  </si>
  <si>
    <t>940 </t>
  </si>
  <si>
    <t>154,000 </t>
  </si>
  <si>
    <t>294,550 </t>
  </si>
  <si>
    <t>14,894 </t>
  </si>
  <si>
    <t>7,598 </t>
  </si>
  <si>
    <t>302 </t>
  </si>
  <si>
    <t>40,870 </t>
  </si>
  <si>
    <t>33,736 </t>
  </si>
  <si>
    <t> 기타 조정사항</t>
  </si>
  <si>
    <t>5,620 </t>
  </si>
  <si>
    <t>6,763,814 </t>
  </si>
  <si>
    <t>1,879,732 </t>
  </si>
  <si>
    <t>16,331,050 </t>
  </si>
  <si>
    <t>(2) 당기와 전기 중 법인세비용과 회계이익의 관계는 다음과 같습니다.</t>
  </si>
  <si>
    <t>6,478,531 </t>
  </si>
  <si>
    <t>343,050 </t>
  </si>
  <si>
    <t>구   분</t>
  </si>
  <si>
    <t>1,756,223 </t>
  </si>
  <si>
    <t>456,796 </t>
  </si>
  <si>
    <t>4,382,670 </t>
  </si>
  <si>
    <t>4,943,956 </t>
  </si>
  <si>
    <t>1,591 </t>
  </si>
  <si>
    <t>247,500 </t>
  </si>
  <si>
    <t>304,715 </t>
  </si>
  <si>
    <t>198,232 </t>
  </si>
  <si>
    <t>97,586 </t>
  </si>
  <si>
    <t>440 </t>
  </si>
  <si>
    <t>133,957 </t>
  </si>
  <si>
    <t>14,610 </t>
  </si>
  <si>
    <t>299,860 </t>
  </si>
  <si>
    <t>744 </t>
  </si>
  <si>
    <t>602,288 </t>
  </si>
  <si>
    <t>56,108 </t>
  </si>
  <si>
    <t>(3) 당기 중 일시적차이의 증감내용은 다음과 같습니다.</t>
  </si>
  <si>
    <t>8,921,670 </t>
  </si>
  <si>
    <t>6,557,721 </t>
  </si>
  <si>
    <t>당기손익반영</t>
  </si>
  <si>
    <t>(4) 당기 중 연결실체가 특수관계자와의 지분거래내역 및 자금대여내역은 다음과 같습니다.</t>
  </si>
  <si>
    <t>대손충당금</t>
  </si>
  <si>
    <t>퇴직급여충당금</t>
  </si>
  <si>
    <t>거래상대방</t>
  </si>
  <si>
    <t>거래내역</t>
  </si>
  <si>
    <t>종속기업투자지분</t>
  </si>
  <si>
    <t>전환사채 전환</t>
  </si>
  <si>
    <t>2,053,875 </t>
  </si>
  <si>
    <t>(5) 당기와 전기 중 지배기업의 주요경영진에 대한 보상내역은 다음과 같습니다.</t>
  </si>
  <si>
    <t>세무상결손금</t>
  </si>
  <si>
    <t>일시적차이 합계</t>
  </si>
  <si>
    <t>1,796,455 </t>
  </si>
  <si>
    <t>1,223,242 </t>
  </si>
  <si>
    <t>차감할일시적차이(*)</t>
  </si>
  <si>
    <t>267,038 </t>
  </si>
  <si>
    <t>81,340 </t>
  </si>
  <si>
    <t>가산할일시적차이</t>
  </si>
  <si>
    <t>173,213 </t>
  </si>
  <si>
    <t>157,425 </t>
  </si>
  <si>
    <t>(*) 연결실체는 당기말과 전기말 현재 이월결손금 및 차감할 일시적차이가 동일한 회계기간에 소멸이 예상되는 가산할 일시적차이를 초과하고 있는 상태입니다. 연결실체는 가산할 일시적차이를 초과하는 이월결손금 및 차감할 일시적차이의 경우 이연법인세자산으로 인한 혜택이 사용되기에는 충분할 과세소득이 발생할 가능성이 높지 않은 것으로 판단하여, 가산할 일시적차이를 초과하고 있는 이월결손금 및 차감할 일시적차이는 이연법인세자산으로 인식하지 아니하였습니다.</t>
  </si>
  <si>
    <t>2,236,706 </t>
  </si>
  <si>
    <t>1,462,007 </t>
  </si>
  <si>
    <t>상기의 주요 경영진에는 연결실체 활동의 계획ㆍ운영ㆍ통제에 대한 중요한 권한과 책임을 가진 지배기업의 등기이사 및 감사가 포함되어 있습니다.</t>
  </si>
  <si>
    <t>(5) 당기말 현재 이연법인세자산으로 인식되지 아니한 항목의 금액 및 만기는 다음과같습니다.  </t>
  </si>
  <si>
    <t>26. 현금흐름표</t>
  </si>
  <si>
    <t>(1) 당기와 전기 중 현금의 유입과 유출이 없는 중요한 거래는 다음과 같습니다.</t>
  </si>
  <si>
    <t>미지급금으로 인한 무형자산 취득</t>
  </si>
  <si>
    <t>77,787 </t>
  </si>
  <si>
    <t>71,656 </t>
  </si>
  <si>
    <t>미지급금으로 인한 유형자산 취득</t>
  </si>
  <si>
    <t>130,538 </t>
  </si>
  <si>
    <t>105,203 </t>
  </si>
  <si>
    <t>선급금의 무형자산으로의 대체</t>
  </si>
  <si>
    <t>206,091 </t>
  </si>
  <si>
    <t>2036년</t>
  </si>
  <si>
    <t>선급금의 유형자산으로의 대체</t>
  </si>
  <si>
    <t>25,980 </t>
  </si>
  <si>
    <t>사용권자산 및 리스부채의 증가</t>
  </si>
  <si>
    <t>3,986,349 </t>
  </si>
  <si>
    <t>4,627,334 </t>
  </si>
  <si>
    <t>(2) 당기와 전기 중 재무활동에서 생긴 부채의 변동은 다음과 같습니다.</t>
  </si>
  <si>
    <t>2031년</t>
  </si>
  <si>
    <t>현금흐름</t>
  </si>
  <si>
    <t>비현금흐름</t>
  </si>
  <si>
    <t>이자효과</t>
  </si>
  <si>
    <t>4,430,188 </t>
  </si>
  <si>
    <t>28. 주당손익</t>
  </si>
  <si>
    <t>전환권 행사</t>
  </si>
  <si>
    <t>내  역</t>
  </si>
  <si>
    <t>전환사채(*)</t>
  </si>
  <si>
    <t>5,084,665 </t>
  </si>
  <si>
    <t>278,367 </t>
  </si>
  <si>
    <t>단기차입금</t>
  </si>
  <si>
    <t>465,736 </t>
  </si>
  <si>
    <t>226,024 </t>
  </si>
  <si>
    <t>5,737,726 </t>
  </si>
  <si>
    <t>주당이익(손실)</t>
  </si>
  <si>
    <t>504,391 </t>
  </si>
  <si>
    <t>6,203,462 </t>
  </si>
  <si>
    <t>(*) 전환사채에 대한 표면이자의 지급액 28,144천원은 영업활동현금흐름에 포함되어있으며 전환사채의 조정내용에는 반영하지 않았습니다. </t>
  </si>
  <si>
    <t>27. 리스</t>
  </si>
  <si>
    <t>(1) 당기 중 사용권자산의 변동 내역은 다음과 같습니다.</t>
  </si>
  <si>
    <t>(2) 연결실체가 발행한 잠재적 보통주를 발생시키는 금융상품이나 계약은 전환우선주부채와 주식매수선택권이며, 이와 관련하여 당기와 전기 중 희석화 효과가 발생하지 아니함에 따라 희석주당손익은 기본주당손익과 동일합니다.</t>
  </si>
  <si>
    <t>당기초</t>
  </si>
  <si>
    <t>상각비</t>
  </si>
  <si>
    <t>부동산</t>
  </si>
  <si>
    <t>3,141,618 </t>
  </si>
  <si>
    <t>4,767,416 </t>
  </si>
  <si>
    <t>5,154,819 </t>
  </si>
  <si>
    <t>64,205 </t>
  </si>
  <si>
    <t>26,184 </t>
  </si>
  <si>
    <t>2022/06/16~2031/06/15</t>
  </si>
  <si>
    <t>13,135,673 주</t>
  </si>
  <si>
    <t>244,898 </t>
  </si>
  <si>
    <t>240,883 </t>
  </si>
  <si>
    <t>5,012,314 </t>
  </si>
  <si>
    <t>처분</t>
  </si>
  <si>
    <t>29. 우발상황과 약정사항</t>
  </si>
  <si>
    <t>2,673,756 </t>
  </si>
  <si>
    <t>2,979,453 </t>
  </si>
  <si>
    <t>48,341 </t>
  </si>
  <si>
    <t>69,946 </t>
  </si>
  <si>
    <t>49,113 </t>
  </si>
  <si>
    <t>1,255 </t>
  </si>
  <si>
    <t>3,028,566 </t>
  </si>
  <si>
    <t>49,596 </t>
  </si>
  <si>
    <t>(1) 당기말 현재 연결실체를 피고로 계류 중인 소송사건은 1건(소송가액: 1.5억원)이며, 현재로서는 동 소송의 최종결과를 예측하기 어려우며, 부담할 금액의 불확실성으로 재무제표에 미칠 영향을 합리적으로 예측할 수 없습니다.</t>
  </si>
  <si>
    <t>(2) 당기와 전기 중 연결포괄손익계산서에 포함된 사용권자산상각비의 내역은 다음과 같습니다.</t>
  </si>
  <si>
    <t>(2) 당기말 현재 연결실체는 계약이행 등과 관련하여 서울보증보험으로부터 264,240천원의 보증을 제공받아 관련 거래처에게 제공하고 있습니다.</t>
  </si>
  <si>
    <t>2,335,859 </t>
  </si>
  <si>
    <t>2,508,589 </t>
  </si>
  <si>
    <t>(3) 디자인 및 기술도입계약</t>
  </si>
  <si>
    <t>연결실체는 제품생산과 관련하여 국내외회사와 디자인 및 기술도입계약을 체결하고 있으며 계약제품의 매출 또는 특허권 사용에 따라 일정액의 디자인 및 기술사용료를 지급하도록 되어 있습니다. 당기와 전기 중 발생된 디자인 및 기술도입료는 각각 1,314,998천원과 1,289,979천원이며, 매출원가 및 판매비와관리비에 포함되어 있습니다.</t>
  </si>
  <si>
    <t>(3) 당기와 전기 중 리스부채의 변동내역 및 잔액은 다음과 같습니다.</t>
  </si>
  <si>
    <t>상환액</t>
  </si>
  <si>
    <t>4,917,524 </t>
  </si>
  <si>
    <t>30. 특수관계자</t>
  </si>
  <si>
    <t>2,593,384 </t>
  </si>
  <si>
    <t>3,204,405 </t>
  </si>
  <si>
    <t>49,629 </t>
  </si>
  <si>
    <t>(4) 당기와 전기 중 소액리스 등 리스부채를 인식하지 않고 비용으로 인식한 내역은 다음과 같습니다.</t>
  </si>
  <si>
    <t>단기리스료</t>
  </si>
  <si>
    <t>70,594 </t>
  </si>
  <si>
    <t>283,290 </t>
  </si>
  <si>
    <t>단기리스가 아닌 소액자산 리스료</t>
  </si>
  <si>
    <t>37,959 </t>
  </si>
  <si>
    <t>65,521 </t>
  </si>
  <si>
    <t>SK스퀘어(주)(*1)</t>
  </si>
  <si>
    <t>한편, 리스부채 상환 및 소액리스 등을 통하여 당기와 전기에 지출된 리스 관련 현금유출액은 2,609,959천원 및 3,066,443천원입니다.</t>
  </si>
  <si>
    <t>(*1) 2021년 11월 2일 SK텔레콤 주식회사의 인적분할로 연결실체의 지배기업이 SK텔레콤 주식회사에서 SK스퀘어 주식회사로 변경되었습니다.</t>
  </si>
  <si>
    <t>(*2) 연결실체는 당기말 현재 대규모기업집단(기업집단명 : 에스케이)의 소속기업에 해당합니다. 이에 따라 최상위 지배기업, 지배기업, 종속기업 및 계열회사 이외에 대규모기업집단 소속회사의 경우에도 특수관계자 범위에 해당합니다.</t>
  </si>
  <si>
    <t>자산 매입</t>
  </si>
  <si>
    <t>SK스퀘어(주)</t>
  </si>
  <si>
    <t>지분거래(*)</t>
  </si>
  <si>
    <t>현금</t>
  </si>
  <si>
    <t>(*) 2021년 4월 30일 SK텔레콤(주)으로부터 (주)메이크어스 지분 2,153주를 취득하였습니다. (주석 11 참조)</t>
  </si>
  <si>
    <t>31. 현금흐름표</t>
  </si>
  <si>
    <t>사업결합으로 인한 자산 증가</t>
  </si>
  <si>
    <t>사업결합으로 인한 부채 증가</t>
  </si>
  <si>
    <t>재무활동</t>
  </si>
  <si>
    <t>32. 사업결합</t>
  </si>
  <si>
    <t>(1) 지배기업의 (주)스튜디오돌핀 지분인수</t>
  </si>
  <si>
    <t>지배기업은 당기 중 (주)스튜디오돌핀의 지분 100%(보통주 10,000주)를 취득하여 지배력을 획득하였습니다. 사업결합의 이전대가 1,500백만원은 모두 현금으로 지급되었으며, 식별가능한 순자산의 공정가치와 이전대가의 차액 1,465백만원은 전액 영업권으로 인식되었습니다. 지배력 획득 이후 (주)스튜디오돌핀은 858백만원의 수익과 1,036백만원의 순손실을 인식하였습니다.</t>
  </si>
  <si>
    <t>(2) 피인수회사의 개요</t>
  </si>
  <si>
    <t>내  용</t>
  </si>
  <si>
    <t>피인수회사명</t>
  </si>
  <si>
    <t>본점소재지</t>
  </si>
  <si>
    <t>서울시 마포구</t>
  </si>
  <si>
    <t>대표이사</t>
  </si>
  <si>
    <t>김동희</t>
  </si>
  <si>
    <t>업종</t>
  </si>
  <si>
    <t>음악 및 기타 오디오물 출판업</t>
  </si>
  <si>
    <t>(3) 취득일 현재 피인수회사의 식별가능한 취득자산과 인수부채는 다음과 같습니다.</t>
  </si>
  <si>
    <t>금 액</t>
  </si>
  <si>
    <t>자산총계</t>
  </si>
  <si>
    <t>   매입채무및기타채무</t>
  </si>
  <si>
    <t>   기타유동부채</t>
  </si>
  <si>
    <t>순자산가액</t>
  </si>
  <si>
    <t>(4) 취득일 현재 지분 취득에서 발생한 영업권은 다음과 같습니다.</t>
  </si>
  <si>
    <t>총 이전대가</t>
  </si>
  <si>
    <t>식별가능한 순자산의 공정가치</t>
  </si>
  <si>
    <t>33. 보고기간 후 사건</t>
  </si>
  <si>
    <t>(1) 지배회사의 주권관련사채권의 양도결정</t>
  </si>
  <si>
    <t>2022년 3월 11일, 지배회사의 이사회는 주식회사 에프엔씨인베스트먼트의 기명식 무보증 사모 전환사채를 주식회사 비욘드뮤직에  23,976백만원에 양도할 것을 결의하였습니다.</t>
  </si>
  <si>
    <t>(2) 지배회사의 타법인 주식 취득결정</t>
  </si>
  <si>
    <t>2022년 3월 11일, 지배회사의 이사회는 주식회사 비욘드뮤직컴퍼니의 보통주 12,816,429주를 제3자배정 유상증자 방식으로 20,301백만원에 취득할 것을 결의하였습니다.</t>
  </si>
  <si>
    <t>SG&amp;A Details</t>
    <phoneticPr fontId="2" type="noConversion"/>
  </si>
  <si>
    <t>인건비 및 인건비성 경비</t>
    <phoneticPr fontId="2" type="noConversion"/>
  </si>
  <si>
    <t>급여</t>
    <phoneticPr fontId="2" type="noConversion"/>
  </si>
  <si>
    <t>인원수</t>
    <phoneticPr fontId="2" type="noConversion"/>
  </si>
  <si>
    <t>22년 10월 인원 유지 가정</t>
    <phoneticPr fontId="2" type="noConversion"/>
  </si>
  <si>
    <t>인당급여</t>
    <phoneticPr fontId="2" type="noConversion"/>
  </si>
  <si>
    <t>명목임금상승률</t>
    <phoneticPr fontId="2" type="noConversion"/>
  </si>
  <si>
    <t xml:space="preserve"> </t>
    <phoneticPr fontId="2" type="noConversion"/>
  </si>
  <si>
    <t>급여/12 가정</t>
    <phoneticPr fontId="2" type="noConversion"/>
  </si>
  <si>
    <t>복리후생비</t>
    <phoneticPr fontId="2" type="noConversion"/>
  </si>
  <si>
    <t>급여대비 비율</t>
    <phoneticPr fontId="2" type="noConversion"/>
  </si>
  <si>
    <t>22년 10월 급여대비 비율 유지 가정</t>
    <phoneticPr fontId="2" type="noConversion"/>
  </si>
  <si>
    <t>경상개발비-급,상여</t>
    <phoneticPr fontId="2" type="noConversion"/>
  </si>
  <si>
    <t>인당 경상개발비-급, 상여</t>
    <phoneticPr fontId="2" type="noConversion"/>
  </si>
  <si>
    <t>교육훈련비</t>
    <phoneticPr fontId="2" type="noConversion"/>
  </si>
  <si>
    <t>인당 교육훈련비</t>
    <phoneticPr fontId="2" type="noConversion"/>
  </si>
  <si>
    <t>잡비</t>
    <phoneticPr fontId="2" type="noConversion"/>
  </si>
  <si>
    <t>EIU 임금상승률</t>
    <phoneticPr fontId="2" type="noConversion"/>
  </si>
  <si>
    <t>▼</t>
    <phoneticPr fontId="2" type="noConversion"/>
  </si>
  <si>
    <t>변동비성 경비</t>
    <phoneticPr fontId="2" type="noConversion"/>
  </si>
  <si>
    <t>지급수수료-판매</t>
  </si>
  <si>
    <t>지급수수료-판매</t>
    <phoneticPr fontId="2" type="noConversion"/>
  </si>
  <si>
    <t>매출대비 비율</t>
    <phoneticPr fontId="2" type="noConversion"/>
  </si>
  <si>
    <t>22년 10월 매출 대비 비율 유지</t>
    <phoneticPr fontId="2" type="noConversion"/>
  </si>
  <si>
    <t>광고선전비</t>
    <phoneticPr fontId="2" type="noConversion"/>
  </si>
  <si>
    <t>22년 10월 비율 유지, 단 '22년은 BP 금액 반영</t>
    <phoneticPr fontId="2" type="noConversion"/>
  </si>
  <si>
    <t>기타 변동비</t>
  </si>
  <si>
    <t>기타 변동비</t>
    <phoneticPr fontId="2" type="noConversion"/>
  </si>
  <si>
    <t>22년 10월 매출 대비 비율 유지</t>
  </si>
  <si>
    <t>고정비성 경비</t>
    <phoneticPr fontId="2" type="noConversion"/>
  </si>
  <si>
    <t>물가상승률(PPI)만큼 상승</t>
    <phoneticPr fontId="2" type="noConversion"/>
  </si>
  <si>
    <t>대손상각비</t>
    <phoneticPr fontId="2" type="noConversion"/>
  </si>
  <si>
    <t>Summary</t>
    <phoneticPr fontId="2" type="noConversion"/>
  </si>
  <si>
    <t>(단위: 백만원)</t>
  </si>
  <si>
    <r>
      <rPr>
        <b/>
        <sz val="9"/>
        <color theme="1"/>
        <rFont val="맑은 고딕"/>
        <family val="3"/>
        <charset val="129"/>
      </rPr>
      <t>▶</t>
    </r>
    <r>
      <rPr>
        <b/>
        <sz val="9"/>
        <color theme="1"/>
        <rFont val="맑은 고딕"/>
        <family val="3"/>
        <charset val="129"/>
        <scheme val="minor"/>
      </rPr>
      <t>Historical</t>
    </r>
    <phoneticPr fontId="2" type="noConversion"/>
  </si>
  <si>
    <t>▶Forecast</t>
    <phoneticPr fontId="2" type="noConversion"/>
  </si>
  <si>
    <t>2022.10월</t>
    <phoneticPr fontId="2" type="noConversion"/>
  </si>
  <si>
    <t>2022.12월</t>
    <phoneticPr fontId="2" type="noConversion"/>
  </si>
  <si>
    <t>Terminal</t>
  </si>
  <si>
    <t>[Capex 투자액]</t>
    <phoneticPr fontId="2" type="noConversion"/>
  </si>
  <si>
    <t>전사</t>
    <phoneticPr fontId="1" type="noConversion"/>
  </si>
  <si>
    <t>유형자산</t>
    <phoneticPr fontId="1" type="noConversion"/>
  </si>
  <si>
    <t>[D&amp;A]</t>
    <phoneticPr fontId="2" type="noConversion"/>
  </si>
  <si>
    <t>감가상각비(a+b)</t>
    <phoneticPr fontId="1" type="noConversion"/>
  </si>
  <si>
    <t>a. 기존자산상각비</t>
    <phoneticPr fontId="2" type="noConversion"/>
  </si>
  <si>
    <t>기타의유형자산</t>
  </si>
  <si>
    <t>의장권</t>
  </si>
  <si>
    <t>특허권</t>
  </si>
  <si>
    <t>음원음반유통권</t>
  </si>
  <si>
    <t>음악저작인접재산권</t>
  </si>
  <si>
    <t>b. 신규자산상각비</t>
    <phoneticPr fontId="2" type="noConversion"/>
  </si>
  <si>
    <t>Capex</t>
    <phoneticPr fontId="2" type="noConversion"/>
  </si>
  <si>
    <t>■</t>
    <phoneticPr fontId="1" type="noConversion"/>
  </si>
  <si>
    <t>FY22.12</t>
    <phoneticPr fontId="2" type="noConversion"/>
  </si>
  <si>
    <t>FY23</t>
    <phoneticPr fontId="2" type="noConversion"/>
  </si>
  <si>
    <t>FY24</t>
    <phoneticPr fontId="2" type="noConversion"/>
  </si>
  <si>
    <t>FY25</t>
    <phoneticPr fontId="2" type="noConversion"/>
  </si>
  <si>
    <t>FY26</t>
    <phoneticPr fontId="2" type="noConversion"/>
  </si>
  <si>
    <t>FY27</t>
    <phoneticPr fontId="2" type="noConversion"/>
  </si>
  <si>
    <t>기계장치</t>
    <phoneticPr fontId="2" type="noConversion"/>
  </si>
  <si>
    <t>차량운반구</t>
    <phoneticPr fontId="2" type="noConversion"/>
  </si>
  <si>
    <t>공구와기구</t>
    <phoneticPr fontId="2" type="noConversion"/>
  </si>
  <si>
    <t>금형</t>
    <phoneticPr fontId="2" type="noConversion"/>
  </si>
  <si>
    <t>비품</t>
    <phoneticPr fontId="2" type="noConversion"/>
  </si>
  <si>
    <t>기타의유형자산</t>
    <phoneticPr fontId="2" type="noConversion"/>
  </si>
  <si>
    <t>소프트웨어</t>
    <phoneticPr fontId="2" type="noConversion"/>
  </si>
  <si>
    <t>D&amp;A - 신규자산상각비</t>
  </si>
  <si>
    <t>투자연도</t>
    <phoneticPr fontId="2" type="noConversion"/>
  </si>
  <si>
    <t>Capex 투자액 (Mil KRW)</t>
    <phoneticPr fontId="1" type="noConversion"/>
  </si>
  <si>
    <t>내용연수</t>
  </si>
  <si>
    <t>FY22.12</t>
  </si>
  <si>
    <t>FY23</t>
  </si>
  <si>
    <t>FY24</t>
  </si>
  <si>
    <t>FY25</t>
  </si>
  <si>
    <t>FY26</t>
  </si>
  <si>
    <t>FY27</t>
  </si>
  <si>
    <t>Total</t>
    <phoneticPr fontId="2" type="noConversion"/>
  </si>
  <si>
    <t>개발비</t>
    <phoneticPr fontId="2" type="noConversion"/>
  </si>
  <si>
    <t>NWC Summary</t>
    <phoneticPr fontId="2" type="noConversion"/>
  </si>
  <si>
    <t>Days</t>
    <phoneticPr fontId="2" type="noConversion"/>
  </si>
  <si>
    <t>출처</t>
    <phoneticPr fontId="1" type="noConversion"/>
  </si>
  <si>
    <t>단위</t>
    <phoneticPr fontId="1" type="noConversion"/>
  </si>
  <si>
    <t>적용값</t>
    <phoneticPr fontId="1" type="noConversion"/>
  </si>
  <si>
    <t>NWC 합계</t>
    <phoneticPr fontId="2" type="noConversion"/>
  </si>
  <si>
    <t>△ Net Working Capital</t>
    <phoneticPr fontId="2" type="noConversion"/>
  </si>
  <si>
    <t>NWC 추정</t>
    <phoneticPr fontId="2" type="noConversion"/>
  </si>
  <si>
    <t>플랫폼</t>
    <phoneticPr fontId="2" type="noConversion"/>
  </si>
  <si>
    <t>콘텐츠</t>
    <phoneticPr fontId="2" type="noConversion"/>
  </si>
  <si>
    <t>공연(엔터)</t>
    <phoneticPr fontId="2" type="noConversion"/>
  </si>
  <si>
    <t>디바이스</t>
    <phoneticPr fontId="2" type="noConversion"/>
  </si>
  <si>
    <t>매출채권 추정</t>
    <phoneticPr fontId="2" type="noConversion"/>
  </si>
  <si>
    <t>관련 매출액</t>
    <phoneticPr fontId="2" type="noConversion"/>
  </si>
  <si>
    <t>매출채권 회전율</t>
    <phoneticPr fontId="2" type="noConversion"/>
  </si>
  <si>
    <t>재고자산 추정</t>
    <phoneticPr fontId="2" type="noConversion"/>
  </si>
  <si>
    <t>관련 매출원가</t>
    <phoneticPr fontId="2" type="noConversion"/>
  </si>
  <si>
    <t>재고자산 회전율</t>
    <phoneticPr fontId="2" type="noConversion"/>
  </si>
  <si>
    <t>매입채무 추정</t>
    <phoneticPr fontId="2" type="noConversion"/>
  </si>
  <si>
    <t>매입채무 회전율</t>
    <phoneticPr fontId="2" type="noConversion"/>
  </si>
  <si>
    <t>드림어스 3개년 Projection</t>
    <phoneticPr fontId="2" type="noConversion"/>
  </si>
  <si>
    <t>드림어스 5개년 Projection</t>
    <phoneticPr fontId="2" type="noConversion"/>
  </si>
  <si>
    <t>■ 플랫폼</t>
    <phoneticPr fontId="2" type="noConversion"/>
  </si>
  <si>
    <t>■ 콘텐츠</t>
    <phoneticPr fontId="2" type="noConversion"/>
  </si>
  <si>
    <t>■ 엔터</t>
    <phoneticPr fontId="2" type="noConversion"/>
  </si>
  <si>
    <t>■ IRIVER</t>
    <phoneticPr fontId="2" type="noConversion"/>
  </si>
  <si>
    <t>■ LDC</t>
    <phoneticPr fontId="2" type="noConversion"/>
  </si>
  <si>
    <t>■ Dolphin</t>
    <phoneticPr fontId="2" type="noConversion"/>
  </si>
  <si>
    <t>■ STAFF</t>
    <phoneticPr fontId="2" type="noConversion"/>
  </si>
  <si>
    <t>구분(단위:억원)</t>
    <phoneticPr fontId="2" type="noConversion"/>
  </si>
  <si>
    <t>2021년</t>
    <phoneticPr fontId="2" type="noConversion"/>
  </si>
  <si>
    <t>2022년</t>
    <phoneticPr fontId="2" type="noConversion"/>
  </si>
  <si>
    <t>2023년</t>
    <phoneticPr fontId="2" type="noConversion"/>
  </si>
  <si>
    <t>2024년</t>
    <phoneticPr fontId="2" type="noConversion"/>
  </si>
  <si>
    <t>2025년</t>
    <phoneticPr fontId="2" type="noConversion"/>
  </si>
  <si>
    <t>2026년</t>
    <phoneticPr fontId="2" type="noConversion"/>
  </si>
  <si>
    <t>2027년</t>
    <phoneticPr fontId="2" type="noConversion"/>
  </si>
  <si>
    <t>이용권매출</t>
  </si>
  <si>
    <t>공연제작</t>
  </si>
  <si>
    <t>오리지널</t>
  </si>
  <si>
    <t>이용권매출</t>
    <phoneticPr fontId="2" type="noConversion"/>
  </si>
  <si>
    <t>공연투자</t>
  </si>
  <si>
    <t>LS</t>
  </si>
  <si>
    <t>외주제작</t>
  </si>
  <si>
    <t>기타매출</t>
    <phoneticPr fontId="2" type="noConversion"/>
  </si>
  <si>
    <t>오디오</t>
    <phoneticPr fontId="2" type="noConversion"/>
  </si>
  <si>
    <t>아이리버</t>
    <phoneticPr fontId="2" type="noConversion"/>
  </si>
  <si>
    <t>L2E</t>
  </si>
  <si>
    <t>NFT</t>
    <phoneticPr fontId="2" type="noConversion"/>
  </si>
  <si>
    <t>신규</t>
    <phoneticPr fontId="2" type="noConversion"/>
  </si>
  <si>
    <t>LDC</t>
    <phoneticPr fontId="2" type="noConversion"/>
  </si>
  <si>
    <t>IP Biz</t>
  </si>
  <si>
    <t>매니지먼트</t>
    <phoneticPr fontId="2" type="noConversion"/>
  </si>
  <si>
    <t>Dolphin</t>
    <phoneticPr fontId="2" type="noConversion"/>
  </si>
  <si>
    <t>NFT</t>
  </si>
  <si>
    <t>매니지먼트</t>
  </si>
  <si>
    <t>IP사업</t>
    <phoneticPr fontId="2" type="noConversion"/>
  </si>
  <si>
    <t>매출이익</t>
    <phoneticPr fontId="2" type="noConversion"/>
  </si>
  <si>
    <t>(%)</t>
    <phoneticPr fontId="2" type="noConversion"/>
  </si>
  <si>
    <t>신규1</t>
  </si>
  <si>
    <t>신규2</t>
  </si>
  <si>
    <t>신규3</t>
  </si>
  <si>
    <t>판관비</t>
    <phoneticPr fontId="2" type="noConversion"/>
  </si>
  <si>
    <t>인건복리비</t>
  </si>
  <si>
    <t>광고마케팅</t>
  </si>
  <si>
    <t>재고평가</t>
    <phoneticPr fontId="2" type="noConversion"/>
  </si>
  <si>
    <t>재고평가</t>
  </si>
  <si>
    <t>부문</t>
    <phoneticPr fontId="2" type="noConversion"/>
  </si>
  <si>
    <t>번호</t>
    <phoneticPr fontId="2" type="noConversion"/>
  </si>
  <si>
    <t>주제</t>
    <phoneticPr fontId="2" type="noConversion"/>
  </si>
  <si>
    <t>내용</t>
    <phoneticPr fontId="2" type="noConversion"/>
  </si>
  <si>
    <t>이용자수</t>
    <phoneticPr fontId="2" type="noConversion"/>
  </si>
  <si>
    <t>전체 이용자수 증가추세 근거?</t>
    <phoneticPr fontId="2" type="noConversion"/>
  </si>
  <si>
    <t>FLO(자쳬) 이용자수가 더 큰 비중을 차지할 수 있게 만드는 근거</t>
    <phoneticPr fontId="2" type="noConversion"/>
  </si>
  <si>
    <t xml:space="preserve"> - 현재 SKT 고객들에게 끼워팔기 많이 하는거 아닌지?</t>
    <phoneticPr fontId="2" type="noConversion"/>
  </si>
  <si>
    <t>FLO(자쳬) 이용자수가 단가가 더 높다?</t>
    <phoneticPr fontId="2" type="noConversion"/>
  </si>
  <si>
    <t>ARPU</t>
    <phoneticPr fontId="2" type="noConversion"/>
  </si>
  <si>
    <t>ARPU 변동에 대한 이해, 설명 필요</t>
    <phoneticPr fontId="2" type="noConversion"/>
  </si>
  <si>
    <t>오디오메출</t>
    <phoneticPr fontId="2" type="noConversion"/>
  </si>
  <si>
    <t>유료결제 비율 증가 근거는?</t>
    <phoneticPr fontId="2" type="noConversion"/>
  </si>
  <si>
    <t>원가율</t>
    <phoneticPr fontId="2" type="noConversion"/>
  </si>
  <si>
    <t>MNO 원가율이 자체 원가율보다 더 높은 이유는?</t>
    <phoneticPr fontId="2" type="noConversion"/>
  </si>
  <si>
    <t xml:space="preserve"> - 단가도 싸고, 원가율도 높다?</t>
    <phoneticPr fontId="2" type="noConversion"/>
  </si>
  <si>
    <t>내부거래</t>
    <phoneticPr fontId="2" type="noConversion"/>
  </si>
  <si>
    <t>내부거래 중복 집계된거 아닌지?</t>
    <phoneticPr fontId="2" type="noConversion"/>
  </si>
  <si>
    <t>음원매출</t>
    <phoneticPr fontId="2" type="noConversion"/>
  </si>
  <si>
    <t>투자 매출 이해 필요</t>
    <phoneticPr fontId="2" type="noConversion"/>
  </si>
  <si>
    <t>IP</t>
    <phoneticPr fontId="2" type="noConversion"/>
  </si>
  <si>
    <t>IP 매출 프로젝트 개괄적 설명</t>
    <phoneticPr fontId="2" type="noConversion"/>
  </si>
  <si>
    <t>신규사업?</t>
    <phoneticPr fontId="2" type="noConversion"/>
  </si>
  <si>
    <t>콘텐츠에서 기획사 인수가 신규사업이라 제외 vs 엔터 사업부에서 기획사 인수를 통해 매출 발생시키는데 포함</t>
    <phoneticPr fontId="2" type="noConversion"/>
  </si>
  <si>
    <t>지급수수료</t>
    <phoneticPr fontId="2" type="noConversion"/>
  </si>
  <si>
    <t>돌핀 내부거래 관련 지급수수료에 더해줬다는데 1%밖에 안됨?</t>
    <phoneticPr fontId="2" type="noConversion"/>
  </si>
  <si>
    <t>FLO 사업 Co.</t>
    <phoneticPr fontId="2" type="noConversion"/>
  </si>
  <si>
    <t>주요 가정사항</t>
    <phoneticPr fontId="2" type="noConversion"/>
  </si>
  <si>
    <t>구분 (억원)</t>
  </si>
  <si>
    <t>2021</t>
    <phoneticPr fontId="21" type="noConversion"/>
  </si>
  <si>
    <t>2022</t>
    <phoneticPr fontId="21" type="noConversion"/>
  </si>
  <si>
    <t>2023</t>
    <phoneticPr fontId="22" type="noConversion"/>
  </si>
  <si>
    <t>2024</t>
    <phoneticPr fontId="22" type="noConversion"/>
  </si>
  <si>
    <t>전년비</t>
    <phoneticPr fontId="2" type="noConversion"/>
  </si>
  <si>
    <t>CAGR</t>
    <phoneticPr fontId="21" type="noConversion"/>
  </si>
  <si>
    <t>주요 조정 내역</t>
    <phoneticPr fontId="2" type="noConversion"/>
  </si>
  <si>
    <t>MAU(만명)</t>
    <phoneticPr fontId="2" type="noConversion"/>
  </si>
  <si>
    <t>'22년 KPI 수준 목표 변경으로 플로앤데이터 및 오디오 매출 KPI 수준 변경 외 나머지 매출 계획 수준 반영</t>
  </si>
  <si>
    <t>MNO</t>
    <phoneticPr fontId="2" type="noConversion"/>
  </si>
  <si>
    <t>무료 이용자</t>
    <phoneticPr fontId="2" type="noConversion"/>
  </si>
  <si>
    <t>오디오콘텐츠 무료 에피소드</t>
    <phoneticPr fontId="22" type="noConversion"/>
  </si>
  <si>
    <t>프리미엄이용권 본부 '24년 3,900원에서 3,000원으로 반영, 구매율 본부 '24년 15%에서 10% 반영</t>
    <phoneticPr fontId="2" type="noConversion"/>
  </si>
  <si>
    <t>유료 이용자수 별도 표 참고</t>
    <phoneticPr fontId="2" type="noConversion"/>
  </si>
  <si>
    <t>유료 이용자(만명)</t>
    <phoneticPr fontId="2" type="noConversion"/>
  </si>
  <si>
    <t>'22년 KPI 수준 목표 변경으로 플로앤데이터 계획 877억에서 KPI수준 780억으로 변경</t>
    <phoneticPr fontId="2" type="noConversion"/>
  </si>
  <si>
    <t xml:space="preserve"> 음악 이용권</t>
    <phoneticPr fontId="2" type="noConversion"/>
  </si>
  <si>
    <t>플로앤데이터</t>
  </si>
  <si>
    <t xml:space="preserve">22년 SKT 대리점 판매 목표 하향 현황 반영 </t>
    <phoneticPr fontId="22" type="noConversion"/>
  </si>
  <si>
    <t>MNO 종량제</t>
  </si>
  <si>
    <t>기타 MNO</t>
  </si>
  <si>
    <t>FLO(자체)</t>
    <phoneticPr fontId="2" type="noConversion"/>
  </si>
  <si>
    <t>시장 경쟁 고려하여 목표 하향</t>
    <phoneticPr fontId="22" type="noConversion"/>
  </si>
  <si>
    <t>기타 제휴</t>
    <phoneticPr fontId="22" type="noConversion"/>
  </si>
  <si>
    <t>결합상품 (에이닷) 수치 추가하여 반영</t>
  </si>
  <si>
    <t>V-컬러링</t>
  </si>
  <si>
    <t xml:space="preserve"> 오디오</t>
    <phoneticPr fontId="2" type="noConversion"/>
  </si>
  <si>
    <t>MAU 교집합</t>
    <phoneticPr fontId="22" type="noConversion"/>
  </si>
  <si>
    <t>광고매출(FLO홍보패키지제공)</t>
  </si>
  <si>
    <t>프리미엄 이용권</t>
    <phoneticPr fontId="2" type="noConversion"/>
  </si>
  <si>
    <t>기능상의 추가 Option (청취환경, 커스텀, 다운로드 등) 고도화</t>
  </si>
  <si>
    <t>가격</t>
    <phoneticPr fontId="2" type="noConversion"/>
  </si>
  <si>
    <t xml:space="preserve">현재 이용권 가격에 add-on </t>
  </si>
  <si>
    <t>구매율</t>
    <phoneticPr fontId="22" type="noConversion"/>
  </si>
  <si>
    <t>음악이용권 유저 기준</t>
  </si>
  <si>
    <t>'22년 KPI 수준 목표 변경으로 오디오 계획 84.7억 KPI 수준으로 제거, '24년 본부 ARPU 5,010원에서 3,000원 반영</t>
    <phoneticPr fontId="2" type="noConversion"/>
  </si>
  <si>
    <t>24년부터 프리미엄 이용권 구매 비율 적용</t>
  </si>
  <si>
    <t>할인 기간 현재 수준 유지</t>
  </si>
  <si>
    <t>결합상품에 저가 상품(에이닷 30회) 반영, 23년부터 단가 상향 반영</t>
  </si>
  <si>
    <t>오디오 매출</t>
    <phoneticPr fontId="2" type="noConversion"/>
  </si>
  <si>
    <t>이용자 수</t>
    <phoneticPr fontId="2" type="noConversion"/>
  </si>
  <si>
    <t>유료 결제율</t>
    <phoneticPr fontId="2" type="noConversion"/>
  </si>
  <si>
    <t>ARPPU</t>
    <phoneticPr fontId="22" type="noConversion"/>
  </si>
  <si>
    <t>채널 구독 및 컨텐츠 판매 (서비스 이용료) 인당 평균 지불액</t>
  </si>
  <si>
    <t>V컬러링</t>
    <phoneticPr fontId="2" type="noConversion"/>
  </si>
  <si>
    <t>음악 이용권 원가</t>
    <phoneticPr fontId="2" type="noConversion"/>
  </si>
  <si>
    <t>자체</t>
  </si>
  <si>
    <t>기타 제휴</t>
  </si>
  <si>
    <t>100회 종량제 원가율 적용</t>
  </si>
  <si>
    <t>기타 매출 원가</t>
    <phoneticPr fontId="2" type="noConversion"/>
  </si>
  <si>
    <t>오디오</t>
    <phoneticPr fontId="22" type="noConversion"/>
  </si>
  <si>
    <t>기타</t>
    <phoneticPr fontId="22" type="noConversion"/>
  </si>
  <si>
    <t>원가율 약 60% 적용</t>
    <phoneticPr fontId="2" type="noConversion"/>
  </si>
  <si>
    <t>인건비</t>
    <phoneticPr fontId="2" type="noConversion"/>
  </si>
  <si>
    <t>감가상각비</t>
    <phoneticPr fontId="2" type="noConversion"/>
  </si>
  <si>
    <t>광고마케팅</t>
    <phoneticPr fontId="2" type="noConversion"/>
  </si>
  <si>
    <t>판매</t>
    <phoneticPr fontId="2" type="noConversion"/>
  </si>
  <si>
    <t>기타</t>
    <phoneticPr fontId="2" type="noConversion"/>
  </si>
  <si>
    <t>지급수수료(판매)</t>
    <phoneticPr fontId="2" type="noConversion"/>
  </si>
  <si>
    <t>판매(PG수수료율)</t>
    <phoneticPr fontId="2" type="noConversion"/>
  </si>
  <si>
    <t>지급수수료(오디오)</t>
    <phoneticPr fontId="2" type="noConversion"/>
  </si>
  <si>
    <t>PPS 비용</t>
    <phoneticPr fontId="2" type="noConversion"/>
  </si>
  <si>
    <t>크리에이터</t>
    <phoneticPr fontId="2" type="noConversion"/>
  </si>
  <si>
    <t>오리지널 제작비</t>
    <phoneticPr fontId="22" type="noConversion"/>
  </si>
  <si>
    <t>[L2E,IP]</t>
    <phoneticPr fontId="2" type="noConversion"/>
  </si>
  <si>
    <t>2021</t>
  </si>
  <si>
    <t>2022</t>
  </si>
  <si>
    <t>2023</t>
  </si>
  <si>
    <t>MAU</t>
  </si>
  <si>
    <t>토큰 발행 건(PJT기준)</t>
    <phoneticPr fontId="2" type="noConversion"/>
  </si>
  <si>
    <t>토큰발행수</t>
    <phoneticPr fontId="2" type="noConversion"/>
  </si>
  <si>
    <t>토큰가치</t>
    <phoneticPr fontId="2" type="noConversion"/>
  </si>
  <si>
    <t>토큰지분</t>
    <phoneticPr fontId="2" type="noConversion"/>
  </si>
  <si>
    <t>토큰단가</t>
    <phoneticPr fontId="2" type="noConversion"/>
  </si>
  <si>
    <t>가치상승률</t>
    <phoneticPr fontId="2" type="noConversion"/>
  </si>
  <si>
    <t>거래지표</t>
    <phoneticPr fontId="2" type="noConversion"/>
  </si>
  <si>
    <t>인당 평균 보유수</t>
    <phoneticPr fontId="2" type="noConversion"/>
  </si>
  <si>
    <t>인당 평균 거래수</t>
    <phoneticPr fontId="2" type="noConversion"/>
  </si>
  <si>
    <t>수수료율</t>
    <phoneticPr fontId="2" type="noConversion"/>
  </si>
  <si>
    <t>내부</t>
    <phoneticPr fontId="2" type="noConversion"/>
  </si>
  <si>
    <t>'22년 KPI 수준 목표 변경으로 판관비 본부 실추정치로 변경</t>
    <phoneticPr fontId="2" type="noConversion"/>
  </si>
  <si>
    <t>외부</t>
    <phoneticPr fontId="2" type="noConversion"/>
  </si>
  <si>
    <t>인건복리비 본부 5% 신장률 3%로 적용</t>
    <phoneticPr fontId="2" type="noConversion"/>
  </si>
  <si>
    <t>제휴플랫폼수</t>
    <phoneticPr fontId="2" type="noConversion"/>
  </si>
  <si>
    <t>신규 Biz 마케팅 비용 반영</t>
    <phoneticPr fontId="2" type="noConversion"/>
  </si>
  <si>
    <t>제휴 거래액(억)</t>
    <phoneticPr fontId="2" type="noConversion"/>
  </si>
  <si>
    <t>'23년 광고마케팅비 플로 10억, IP Biz 10억 차감</t>
    <phoneticPr fontId="2" type="noConversion"/>
  </si>
  <si>
    <t>신규 Biz 인프라, R/S성 비용 반영</t>
    <phoneticPr fontId="2" type="noConversion"/>
  </si>
  <si>
    <t>'23년 지급수수료 5억 차감 후 '24년 반영</t>
    <phoneticPr fontId="2" type="noConversion"/>
  </si>
  <si>
    <t>L2E</t>
    <phoneticPr fontId="2" type="noConversion"/>
  </si>
  <si>
    <t>직접이익</t>
    <phoneticPr fontId="2" type="noConversion"/>
  </si>
  <si>
    <t>운영수익</t>
  </si>
  <si>
    <t>외부거래</t>
    <phoneticPr fontId="2" type="noConversion"/>
  </si>
  <si>
    <t>L2E + IP Business</t>
    <phoneticPr fontId="22" type="noConversion"/>
  </si>
  <si>
    <t>인건복리비</t>
    <phoneticPr fontId="2" type="noConversion"/>
  </si>
  <si>
    <t>판매</t>
    <phoneticPr fontId="22" type="noConversion"/>
  </si>
  <si>
    <t>L2E 매출연동</t>
    <phoneticPr fontId="2" type="noConversion"/>
  </si>
  <si>
    <t>기타_L2E</t>
    <phoneticPr fontId="22" type="noConversion"/>
  </si>
  <si>
    <t>트래픽 증가율(이용자수)</t>
    <phoneticPr fontId="2" type="noConversion"/>
  </si>
  <si>
    <t>기타_IP</t>
    <phoneticPr fontId="22" type="noConversion"/>
  </si>
  <si>
    <t>매출 5%</t>
    <phoneticPr fontId="2" type="noConversion"/>
  </si>
  <si>
    <t>기타(임차료 등)</t>
    <phoneticPr fontId="2" type="noConversion"/>
  </si>
  <si>
    <t>*신사업 직접이익</t>
    <phoneticPr fontId="2" type="noConversion"/>
  </si>
  <si>
    <t>콘텐츠사업본부</t>
    <phoneticPr fontId="2" type="noConversion"/>
  </si>
  <si>
    <t>주요 가정사항</t>
  </si>
  <si>
    <t>[투자/기타 가정]</t>
    <phoneticPr fontId="2" type="noConversion"/>
  </si>
  <si>
    <t>매출신장률</t>
  </si>
  <si>
    <t>'22년</t>
    <phoneticPr fontId="2" type="noConversion"/>
  </si>
  <si>
    <t>'23년</t>
    <phoneticPr fontId="2" type="noConversion"/>
  </si>
  <si>
    <t>'24년</t>
    <phoneticPr fontId="2" type="noConversion"/>
  </si>
  <si>
    <t>'25년</t>
  </si>
  <si>
    <t>'26년</t>
  </si>
  <si>
    <t>'27년</t>
  </si>
  <si>
    <t>투자금</t>
    <phoneticPr fontId="2" type="noConversion"/>
  </si>
  <si>
    <t>SM</t>
  </si>
  <si>
    <t>2023년 1월 계약만료, 재계약시 유통수수료 JYP 수준 가정 (음반순액매출)</t>
  </si>
  <si>
    <t>투자회수</t>
    <phoneticPr fontId="2" type="noConversion"/>
  </si>
  <si>
    <t>BigHit</t>
  </si>
  <si>
    <t>JYP</t>
  </si>
  <si>
    <t>1년차</t>
    <phoneticPr fontId="2" type="noConversion"/>
  </si>
  <si>
    <t>'21-'23년 평균신장률 반영</t>
    <phoneticPr fontId="2" type="noConversion"/>
  </si>
  <si>
    <t>RBW</t>
  </si>
  <si>
    <t>2년차</t>
    <phoneticPr fontId="2" type="noConversion"/>
  </si>
  <si>
    <t>'21년 실적 기준, 유통수수료 10% 적용, 매년 신규 아이돌 1팀 데뷔 가정</t>
    <phoneticPr fontId="2" type="noConversion"/>
  </si>
  <si>
    <t>투자/기타</t>
  </si>
  <si>
    <t>3년차</t>
    <phoneticPr fontId="2" type="noConversion"/>
  </si>
  <si>
    <t>투자/기타</t>
    <phoneticPr fontId="2" type="noConversion"/>
  </si>
  <si>
    <t>BM제외 투자/기타 음원 신장률 동일 적용</t>
    <phoneticPr fontId="2" type="noConversion"/>
  </si>
  <si>
    <t>수수료 포함 총매출액</t>
    <phoneticPr fontId="2" type="noConversion"/>
  </si>
  <si>
    <t>기획사 인수 (지배력 보유, 연결 매출), 신규 제작사 설립 (자체개발IP / 플랫폼 발굴IP / IP부가사업)</t>
  </si>
  <si>
    <t>선급조정</t>
    <phoneticPr fontId="2" type="noConversion"/>
  </si>
  <si>
    <t>BM</t>
    <phoneticPr fontId="2" type="noConversion"/>
  </si>
  <si>
    <t>2023년 1월 계약만료</t>
  </si>
  <si>
    <t>일반 유통</t>
    <phoneticPr fontId="2" type="noConversion"/>
  </si>
  <si>
    <t>투자/기타 음원 총액</t>
    <phoneticPr fontId="2" type="noConversion"/>
  </si>
  <si>
    <t>한국콘텐츠진흥원 콘텐츠산업조사 통계 '18-'20년 시장 신장률(4.4%) 반영</t>
    <phoneticPr fontId="2" type="noConversion"/>
  </si>
  <si>
    <t>내부거래</t>
  </si>
  <si>
    <t>21년 실적 기준, 매년 신규 아이돌 1팀 데뷔 가정</t>
    <phoneticPr fontId="2" type="noConversion"/>
  </si>
  <si>
    <t>BM제외 음원 매출</t>
    <phoneticPr fontId="2" type="noConversion"/>
  </si>
  <si>
    <t>선급투자 '23년 수준, BM 및 일반유통 콘진원 통계 신장률(4.4%) 반영</t>
    <phoneticPr fontId="2" type="noConversion"/>
  </si>
  <si>
    <t>응원봉</t>
  </si>
  <si>
    <t>기타MD</t>
  </si>
  <si>
    <t>[내부거래]</t>
    <phoneticPr fontId="2" type="noConversion"/>
  </si>
  <si>
    <t>비중</t>
    <phoneticPr fontId="2" type="noConversion"/>
  </si>
  <si>
    <t>음원</t>
    <phoneticPr fontId="2" type="noConversion"/>
  </si>
  <si>
    <t>RBW, 선급 투자 기획사, 신규 인수 기획사 매출 기준</t>
    <phoneticPr fontId="2" type="noConversion"/>
  </si>
  <si>
    <t>RBW, 선급 투자 기획사, 신규 인수 기획사 매출 기준</t>
  </si>
  <si>
    <t>[원가]</t>
    <phoneticPr fontId="2" type="noConversion"/>
  </si>
  <si>
    <t>선급</t>
    <phoneticPr fontId="2" type="noConversion"/>
  </si>
  <si>
    <t>일반유통</t>
    <phoneticPr fontId="2" type="noConversion"/>
  </si>
  <si>
    <t>신규3</t>
    <phoneticPr fontId="2" type="noConversion"/>
  </si>
  <si>
    <t>원가합계</t>
    <phoneticPr fontId="2" type="noConversion"/>
  </si>
  <si>
    <t>%</t>
    <phoneticPr fontId="2" type="noConversion"/>
  </si>
  <si>
    <t>2023년 1월 계약만료, 재계약시 유통수수료 JYP 수준 가정</t>
  </si>
  <si>
    <t>[MD 가정]</t>
    <phoneticPr fontId="2" type="noConversion"/>
  </si>
  <si>
    <t>판매량</t>
    <phoneticPr fontId="2" type="noConversion"/>
  </si>
  <si>
    <t>주요 계약사 평균 유통 수수료 수준</t>
  </si>
  <si>
    <t>판관비(기존사업)</t>
    <phoneticPr fontId="2" type="noConversion"/>
  </si>
  <si>
    <t>RBW</t>
    <phoneticPr fontId="2" type="noConversion"/>
  </si>
  <si>
    <t>물류수수료 + 임가공비 + 인지세 등, 총액 매출 기준으로 원가도 총액 기준</t>
    <phoneticPr fontId="2" type="noConversion"/>
  </si>
  <si>
    <t>전년비증감율</t>
    <phoneticPr fontId="2" type="noConversion"/>
  </si>
  <si>
    <t>신규영업</t>
    <phoneticPr fontId="2" type="noConversion"/>
  </si>
  <si>
    <t>전년비증감율</t>
  </si>
  <si>
    <t>인수기획사</t>
    <phoneticPr fontId="2" type="noConversion"/>
  </si>
  <si>
    <t>전년매출액比</t>
  </si>
  <si>
    <t>판매주기</t>
    <phoneticPr fontId="2" type="noConversion"/>
  </si>
  <si>
    <t>2024년 1월 계약만료</t>
  </si>
  <si>
    <t>MD매출연동</t>
    <phoneticPr fontId="2" type="noConversion"/>
  </si>
  <si>
    <t>23년 수준 원가율 적용</t>
    <phoneticPr fontId="2" type="noConversion"/>
  </si>
  <si>
    <t>비욘드뮤직 계약 수수료 수준 가정</t>
  </si>
  <si>
    <t>유통계약금</t>
    <phoneticPr fontId="2" type="noConversion"/>
  </si>
  <si>
    <t>23년 수수료율 적용</t>
    <phoneticPr fontId="2" type="noConversion"/>
  </si>
  <si>
    <t>응원봉 매출액</t>
    <phoneticPr fontId="2" type="noConversion"/>
  </si>
  <si>
    <t>저작/실연권료만 원가 반영</t>
  </si>
  <si>
    <t>기타MD 매출액</t>
    <phoneticPr fontId="2" type="noConversion"/>
  </si>
  <si>
    <t>[신규_기획사]</t>
    <phoneticPr fontId="2" type="noConversion"/>
  </si>
  <si>
    <t>음반</t>
    <phoneticPr fontId="2" type="noConversion"/>
  </si>
  <si>
    <t>원가율 85% 반영 (협업, 멤버십 등 마진 구조 고려, 개발비/유지보수비 모두 매출원가 가정)</t>
  </si>
  <si>
    <t>판관비(기획사)</t>
    <phoneticPr fontId="2" type="noConversion"/>
  </si>
  <si>
    <t>24년 20명 충원</t>
    <phoneticPr fontId="2" type="noConversion"/>
  </si>
  <si>
    <t>'23년 사용권/인건비율 적용</t>
    <phoneticPr fontId="2" type="noConversion"/>
  </si>
  <si>
    <t>금년매출액比</t>
    <phoneticPr fontId="2" type="noConversion"/>
  </si>
  <si>
    <t>[신규_NFT]</t>
    <phoneticPr fontId="2" type="noConversion"/>
  </si>
  <si>
    <t>22년: 30명 / 23년: 50명 / 24년: 70명</t>
  </si>
  <si>
    <t>전년 매출액의 약 1%</t>
  </si>
  <si>
    <t>엔터테인먼트본부</t>
    <phoneticPr fontId="2" type="noConversion"/>
  </si>
  <si>
    <t>[기존 공연 제작/투자]</t>
    <phoneticPr fontId="2" type="noConversion"/>
  </si>
  <si>
    <t>공연제작</t>
    <phoneticPr fontId="2" type="noConversion"/>
  </si>
  <si>
    <t>'22년 KPI 수준 목표 변경으로 기존 사업 매출 계획 128.4억→114.1억 축소</t>
    <phoneticPr fontId="2" type="noConversion"/>
  </si>
  <si>
    <t>공연투자</t>
    <phoneticPr fontId="2" type="noConversion"/>
  </si>
  <si>
    <t>IP사업①</t>
    <phoneticPr fontId="2" type="noConversion"/>
  </si>
  <si>
    <t>WET!(EDM)</t>
  </si>
  <si>
    <t>공연</t>
    <phoneticPr fontId="2" type="noConversion"/>
  </si>
  <si>
    <t>음원/반</t>
  </si>
  <si>
    <t>기타(광고등)</t>
  </si>
  <si>
    <t>IP사업②</t>
    <phoneticPr fontId="2" type="noConversion"/>
  </si>
  <si>
    <t>아이돌 프로젝트</t>
    <phoneticPr fontId="2" type="noConversion"/>
  </si>
  <si>
    <t>[신규 공연 제작/투자]</t>
    <phoneticPr fontId="2" type="noConversion"/>
  </si>
  <si>
    <t>인수 기획사</t>
    <phoneticPr fontId="2" type="noConversion"/>
  </si>
  <si>
    <t>MD판매 등</t>
    <phoneticPr fontId="2" type="noConversion"/>
  </si>
  <si>
    <t>RBW 신규 아티스트</t>
    <phoneticPr fontId="2" type="noConversion"/>
  </si>
  <si>
    <t>IP사업③</t>
    <phoneticPr fontId="2" type="noConversion"/>
  </si>
  <si>
    <t xml:space="preserve"> 10!or 완전힙팝(보컬 or 합합)</t>
  </si>
  <si>
    <t>워터밤 글로벌</t>
    <phoneticPr fontId="2" type="noConversion"/>
  </si>
  <si>
    <t>'24년 공연 매출 일부 이월 적용 매출 40억→30억 축소</t>
    <phoneticPr fontId="2" type="noConversion"/>
  </si>
  <si>
    <t>'24년 매니지먼트 실적 일부 이월 적용 매출 37억→18.5억 축소</t>
    <phoneticPr fontId="2" type="noConversion"/>
  </si>
  <si>
    <t>공연투자(워터밤)</t>
    <phoneticPr fontId="2" type="noConversion"/>
  </si>
  <si>
    <t>IP사업④</t>
    <phoneticPr fontId="2" type="noConversion"/>
  </si>
  <si>
    <t xml:space="preserve"> KPOP 컨페티션(아이돌)</t>
    <phoneticPr fontId="2" type="noConversion"/>
  </si>
  <si>
    <t>[IP사업]</t>
    <phoneticPr fontId="2" type="noConversion"/>
  </si>
  <si>
    <t>매출 총액</t>
  </si>
  <si>
    <r>
      <t>IP</t>
    </r>
    <r>
      <rPr>
        <sz val="10"/>
        <color theme="1"/>
        <rFont val="맑은 고딕"/>
        <family val="3"/>
        <charset val="129"/>
      </rPr>
      <t>⑤</t>
    </r>
    <phoneticPr fontId="2" type="noConversion"/>
  </si>
  <si>
    <r>
      <t>IP</t>
    </r>
    <r>
      <rPr>
        <sz val="10"/>
        <color theme="1"/>
        <rFont val="맑은 고딕"/>
        <family val="3"/>
        <charset val="129"/>
      </rPr>
      <t>⑥</t>
    </r>
    <phoneticPr fontId="2" type="noConversion"/>
  </si>
  <si>
    <t>'24년 공연 매출 일부 이월 적용 매출 75억→37.5억 축소</t>
    <phoneticPr fontId="2" type="noConversion"/>
  </si>
  <si>
    <t>'24년 매니지먼트 실적 일부 이월 적용 매출 16억→8억 축소</t>
    <phoneticPr fontId="2" type="noConversion"/>
  </si>
  <si>
    <t>매출비중</t>
    <phoneticPr fontId="2" type="noConversion"/>
  </si>
  <si>
    <r>
      <t>IP사업</t>
    </r>
    <r>
      <rPr>
        <sz val="10"/>
        <color theme="1"/>
        <rFont val="맑은 고딕"/>
        <family val="3"/>
        <charset val="129"/>
      </rPr>
      <t>⑤</t>
    </r>
    <phoneticPr fontId="2" type="noConversion"/>
  </si>
  <si>
    <t>음원/반</t>
    <phoneticPr fontId="2" type="noConversion"/>
  </si>
  <si>
    <t>'22년 KPI 수준 목표 변경으로 인한 매출 축소로 계획 원가율 적용</t>
    <phoneticPr fontId="2" type="noConversion"/>
  </si>
  <si>
    <t>기타(광고 등)</t>
    <phoneticPr fontId="2" type="noConversion"/>
  </si>
  <si>
    <t>*WET! 3개년 비전 수립 당시 매출비중 적용</t>
    <phoneticPr fontId="2" type="noConversion"/>
  </si>
  <si>
    <r>
      <t>IP사업</t>
    </r>
    <r>
      <rPr>
        <sz val="10"/>
        <color theme="1"/>
        <rFont val="맑은 고딕"/>
        <family val="3"/>
        <charset val="129"/>
      </rPr>
      <t>⑥</t>
    </r>
    <phoneticPr fontId="2" type="noConversion"/>
  </si>
  <si>
    <t xml:space="preserve"> 원가율 88% 가정</t>
  </si>
  <si>
    <t>IP ①, ② 원가 내역</t>
    <phoneticPr fontId="2" type="noConversion"/>
  </si>
  <si>
    <t>IP ③, ④ 원가 내역</t>
    <phoneticPr fontId="2" type="noConversion"/>
  </si>
  <si>
    <r>
      <t xml:space="preserve">IP </t>
    </r>
    <r>
      <rPr>
        <b/>
        <sz val="10"/>
        <color theme="1"/>
        <rFont val="맑은 고딕"/>
        <family val="3"/>
        <charset val="129"/>
      </rPr>
      <t>⑤</t>
    </r>
    <r>
      <rPr>
        <b/>
        <sz val="10"/>
        <color theme="1"/>
        <rFont val="맑은 고딕"/>
        <family val="3"/>
        <charset val="129"/>
        <scheme val="minor"/>
      </rPr>
      <t>, ⑥ 원가 내역</t>
    </r>
    <phoneticPr fontId="2" type="noConversion"/>
  </si>
  <si>
    <t>1) 공연원가</t>
    <phoneticPr fontId="2" type="noConversion"/>
  </si>
  <si>
    <t>IP사업①</t>
  </si>
  <si>
    <t>항목</t>
    <phoneticPr fontId="2" type="noConversion"/>
  </si>
  <si>
    <t xml:space="preserve">공연원가 </t>
    <phoneticPr fontId="2" type="noConversion"/>
  </si>
  <si>
    <t>매출대비</t>
    <phoneticPr fontId="2" type="noConversion"/>
  </si>
  <si>
    <t>공연총이익</t>
    <phoneticPr fontId="2" type="noConversion"/>
  </si>
  <si>
    <t>투자사배분</t>
    <phoneticPr fontId="2" type="noConversion"/>
  </si>
  <si>
    <t>당사지분 35%가정</t>
    <phoneticPr fontId="2" type="noConversion"/>
  </si>
  <si>
    <t>당사지분 70%가정</t>
    <phoneticPr fontId="2" type="noConversion"/>
  </si>
  <si>
    <t>당사지분 85%가정</t>
  </si>
  <si>
    <t>공연 총원가</t>
    <phoneticPr fontId="2" type="noConversion"/>
  </si>
  <si>
    <t>1+3</t>
    <phoneticPr fontId="2" type="noConversion"/>
  </si>
  <si>
    <t>IP ③,④ 기타(광고) 당사 지분 70%→50% 축소</t>
    <phoneticPr fontId="2" type="noConversion"/>
  </si>
  <si>
    <t>IP사업②</t>
  </si>
  <si>
    <t>2) 매니지먼트 원가</t>
    <phoneticPr fontId="2" type="noConversion"/>
  </si>
  <si>
    <t>매니지원가</t>
    <phoneticPr fontId="2" type="noConversion"/>
  </si>
  <si>
    <t>매니지 총이익</t>
    <phoneticPr fontId="2" type="noConversion"/>
  </si>
  <si>
    <t>아티스트배분</t>
    <phoneticPr fontId="2" type="noConversion"/>
  </si>
  <si>
    <t>매니지이익의 50%</t>
    <phoneticPr fontId="2" type="noConversion"/>
  </si>
  <si>
    <t>당사지분 85%가정</t>
    <phoneticPr fontId="2" type="noConversion"/>
  </si>
  <si>
    <t>매니지 총원가</t>
    <phoneticPr fontId="2" type="noConversion"/>
  </si>
  <si>
    <t>1+3+4</t>
    <phoneticPr fontId="2" type="noConversion"/>
  </si>
  <si>
    <t>3) 음원(반)원가</t>
    <phoneticPr fontId="2" type="noConversion"/>
  </si>
  <si>
    <t>음원유통수수료</t>
    <phoneticPr fontId="2" type="noConversion"/>
  </si>
  <si>
    <t xml:space="preserve"> KPOP 컨페티션(아이돌)</t>
  </si>
  <si>
    <t>음원 총이익</t>
    <phoneticPr fontId="2" type="noConversion"/>
  </si>
  <si>
    <t>음원이익의 50%</t>
    <phoneticPr fontId="2" type="noConversion"/>
  </si>
  <si>
    <t>4) 기타(광고)</t>
    <phoneticPr fontId="2" type="noConversion"/>
  </si>
  <si>
    <t>기타(광고)대행료</t>
    <phoneticPr fontId="2" type="noConversion"/>
  </si>
  <si>
    <t>기타(광고)총이익</t>
    <phoneticPr fontId="2" type="noConversion"/>
  </si>
  <si>
    <t>기타(광고)이익의 50%</t>
    <phoneticPr fontId="2" type="noConversion"/>
  </si>
  <si>
    <t>[콘텐츠 제작비]</t>
    <phoneticPr fontId="2" type="noConversion"/>
  </si>
  <si>
    <t>지분율</t>
    <phoneticPr fontId="2" type="noConversion"/>
  </si>
  <si>
    <t>(억)</t>
    <phoneticPr fontId="2" type="noConversion"/>
  </si>
  <si>
    <t>[판관비]</t>
    <phoneticPr fontId="2" type="noConversion"/>
  </si>
  <si>
    <t>기존 판관비</t>
    <phoneticPr fontId="2" type="noConversion"/>
  </si>
  <si>
    <t>매출성장률</t>
    <phoneticPr fontId="2" type="noConversion"/>
  </si>
  <si>
    <t>스튜디오,IP</t>
    <phoneticPr fontId="2" type="noConversion"/>
  </si>
  <si>
    <t>본부 매출 증가 연동 증가 추정→3% 인상률 적용 및 '23년 3명/'24명 8명 추가 채용 반영</t>
    <phoneticPr fontId="2" type="noConversion"/>
  </si>
  <si>
    <t>본부 매출 증가 연동 증가 추정→인건비 증가 연동 상각비 반영 및 '24년 스튜디오 구축 capex 10억 상응 상각비 반영</t>
    <phoneticPr fontId="2" type="noConversion"/>
  </si>
  <si>
    <t>본부 추정 '24년 5억→15억 추가 반영</t>
    <phoneticPr fontId="2" type="noConversion"/>
  </si>
  <si>
    <t>본부 매출 증가 연동 증가 추정→'24년 수수료 +5억 추가 반영</t>
    <phoneticPr fontId="2" type="noConversion"/>
  </si>
  <si>
    <t>아이리버사업 Co.</t>
    <phoneticPr fontId="2" type="noConversion"/>
  </si>
  <si>
    <t>AK DAP</t>
    <phoneticPr fontId="2" type="noConversion"/>
  </si>
  <si>
    <t>DAP 유지, 25년 신규 라인업</t>
    <phoneticPr fontId="2" type="noConversion"/>
  </si>
  <si>
    <t>EARPHONE</t>
    <phoneticPr fontId="2" type="noConversion"/>
  </si>
  <si>
    <t>콜라보 이어폰 성장</t>
    <phoneticPr fontId="2" type="noConversion"/>
  </si>
  <si>
    <t>BT 이어폰, BT 스피커, Acc'y 라인업 확대 및 매출 증대</t>
    <phoneticPr fontId="2" type="noConversion"/>
  </si>
  <si>
    <t>AK TTL</t>
    <phoneticPr fontId="2" type="noConversion"/>
  </si>
  <si>
    <t>Audio</t>
  </si>
  <si>
    <t>TV</t>
  </si>
  <si>
    <t>TV 23년 단종 후 신규 라인업으로 24년 재진입</t>
    <phoneticPr fontId="2" type="noConversion"/>
  </si>
  <si>
    <t>Black box</t>
    <phoneticPr fontId="2" type="noConversion"/>
  </si>
  <si>
    <t>23년 부터 비투비 확대</t>
    <phoneticPr fontId="2" type="noConversion"/>
  </si>
  <si>
    <t>로봇청소기</t>
    <phoneticPr fontId="2" type="noConversion"/>
  </si>
  <si>
    <t xml:space="preserve">라인업 확대 및 성장 </t>
    <phoneticPr fontId="2" type="noConversion"/>
  </si>
  <si>
    <t>IRIVER TTL</t>
    <phoneticPr fontId="2" type="noConversion"/>
  </si>
  <si>
    <t>SPK Module</t>
  </si>
  <si>
    <t>Ebook</t>
  </si>
  <si>
    <t>이북 시장 점유율 확대, 신규 라인업</t>
    <phoneticPr fontId="2" type="noConversion"/>
  </si>
  <si>
    <t>B2B TTL</t>
    <phoneticPr fontId="2" type="noConversion"/>
  </si>
  <si>
    <t>TTL</t>
    <phoneticPr fontId="2" type="noConversion"/>
  </si>
  <si>
    <t>물가상승률, 25년 신규 라인업 개발비 대체</t>
    <phoneticPr fontId="2" type="noConversion"/>
  </si>
  <si>
    <t>매출(A&amp;K, Iriver) 연동</t>
    <phoneticPr fontId="2" type="noConversion"/>
  </si>
  <si>
    <t>매출신장률</t>
    <phoneticPr fontId="2" type="noConversion"/>
  </si>
  <si>
    <t>M/S</t>
    <phoneticPr fontId="2" type="noConversion"/>
  </si>
  <si>
    <t>'25년</t>
    <phoneticPr fontId="2" type="noConversion"/>
  </si>
  <si>
    <t>매출 개선 영향</t>
    <phoneticPr fontId="2" type="noConversion"/>
  </si>
  <si>
    <t>A&amp;K 매출</t>
    <phoneticPr fontId="2" type="noConversion"/>
  </si>
  <si>
    <t>원가</t>
    <phoneticPr fontId="2" type="noConversion"/>
  </si>
  <si>
    <t>이익</t>
    <phoneticPr fontId="2" type="noConversion"/>
  </si>
  <si>
    <t>TWS</t>
    <phoneticPr fontId="2" type="noConversion"/>
  </si>
  <si>
    <t>BT SPK</t>
    <phoneticPr fontId="2" type="noConversion"/>
  </si>
  <si>
    <t>코로나 회복 및 신규 판권 확보 통한 매출 증가 반영</t>
    <phoneticPr fontId="2" type="noConversion"/>
  </si>
  <si>
    <t>원가율</t>
  </si>
  <si>
    <t>MD</t>
    <phoneticPr fontId="2" type="noConversion"/>
  </si>
  <si>
    <t>LS</t>
    <phoneticPr fontId="2" type="noConversion"/>
  </si>
  <si>
    <t>'23년 계획 수준 매출항목별 원가율 적용</t>
    <phoneticPr fontId="2" type="noConversion"/>
  </si>
  <si>
    <t>임금인상률</t>
  </si>
  <si>
    <t>물가상승률</t>
  </si>
  <si>
    <t>영업권평가(JPY)</t>
    <phoneticPr fontId="2" type="noConversion"/>
  </si>
  <si>
    <t>환율</t>
    <phoneticPr fontId="2" type="noConversion"/>
  </si>
  <si>
    <t>현 인원 유지 기조. 임금 인상률 적용</t>
  </si>
  <si>
    <t>물가상승률 적용</t>
  </si>
  <si>
    <t>매출신장률 적용</t>
    <phoneticPr fontId="2" type="noConversion"/>
  </si>
  <si>
    <t>직접이익</t>
  </si>
  <si>
    <t>평가감</t>
    <phoneticPr fontId="2" type="noConversion"/>
  </si>
  <si>
    <t>퇴직급여</t>
    <phoneticPr fontId="2" type="noConversion"/>
  </si>
  <si>
    <t>복리후생-법정</t>
    <phoneticPr fontId="2" type="noConversion"/>
  </si>
  <si>
    <t>복리후생-일반</t>
    <phoneticPr fontId="2" type="noConversion"/>
  </si>
  <si>
    <t>운반비</t>
    <phoneticPr fontId="2" type="noConversion"/>
  </si>
  <si>
    <t>판매수수료</t>
    <phoneticPr fontId="2" type="noConversion"/>
  </si>
  <si>
    <t>임차료</t>
    <phoneticPr fontId="2" type="noConversion"/>
  </si>
  <si>
    <t>여비교통비</t>
    <phoneticPr fontId="2" type="noConversion"/>
  </si>
  <si>
    <t>통신비</t>
    <phoneticPr fontId="2" type="noConversion"/>
  </si>
  <si>
    <t>접대비</t>
    <phoneticPr fontId="2" type="noConversion"/>
  </si>
  <si>
    <t>소모품비</t>
    <phoneticPr fontId="2" type="noConversion"/>
  </si>
  <si>
    <t>돌핀 매출</t>
    <phoneticPr fontId="2" type="noConversion"/>
  </si>
  <si>
    <t>제작 매출</t>
    <phoneticPr fontId="22" type="noConversion"/>
  </si>
  <si>
    <t>27년 성장률 전년비 50%</t>
    <phoneticPr fontId="22" type="noConversion"/>
  </si>
  <si>
    <t>FLO 오리지널</t>
  </si>
  <si>
    <t>FLO 크리에이터 채널 소싱</t>
  </si>
  <si>
    <t>자체제작</t>
  </si>
  <si>
    <t>돌핀 자체 추정 기준</t>
  </si>
  <si>
    <t>돌핀 비용</t>
    <phoneticPr fontId="2" type="noConversion"/>
  </si>
  <si>
    <t>매출원가</t>
    <phoneticPr fontId="22" type="noConversion"/>
  </si>
  <si>
    <t/>
  </si>
  <si>
    <t>판관비</t>
    <phoneticPr fontId="22" type="noConversion"/>
  </si>
  <si>
    <t>'24년 이후 내부거래 제외</t>
    <phoneticPr fontId="22" type="noConversion"/>
  </si>
  <si>
    <t>내부거래</t>
    <phoneticPr fontId="22" type="noConversion"/>
  </si>
  <si>
    <t>STAFF</t>
    <phoneticPr fontId="2" type="noConversion"/>
  </si>
  <si>
    <t>기타(임차료 등)</t>
  </si>
  <si>
    <t>임금인상 5% 및 연 1명 충원 가정, 인센 연 5억</t>
    <phoneticPr fontId="2" type="noConversion"/>
  </si>
  <si>
    <t>기존인력</t>
    <phoneticPr fontId="2" type="noConversion"/>
  </si>
  <si>
    <t>경상개발비-급여</t>
  </si>
  <si>
    <t>인센티브</t>
    <phoneticPr fontId="2" type="noConversion"/>
  </si>
  <si>
    <t>급여 연동</t>
  </si>
  <si>
    <t>신규채용</t>
    <phoneticPr fontId="2" type="noConversion"/>
  </si>
  <si>
    <t>물가인상률 3% 가정</t>
  </si>
  <si>
    <t>복리후생비-법정</t>
  </si>
  <si>
    <t>급여 연동</t>
    <phoneticPr fontId="2" type="noConversion"/>
  </si>
  <si>
    <t>복리후생비-일반</t>
  </si>
  <si>
    <t>급여 연동(인센티브 제외)</t>
    <phoneticPr fontId="2" type="noConversion"/>
  </si>
  <si>
    <t>'22년 계획 수준</t>
    <phoneticPr fontId="2" type="noConversion"/>
  </si>
  <si>
    <t>교육훈련비</t>
  </si>
  <si>
    <t>세금과공과</t>
  </si>
  <si>
    <t>수도광열비</t>
  </si>
  <si>
    <t>보험료</t>
  </si>
  <si>
    <t>복구충당부채전입액</t>
  </si>
  <si>
    <t>사용권감가상각비</t>
  </si>
  <si>
    <t>유형자산상각비</t>
  </si>
  <si>
    <t>지급수수료-일반</t>
  </si>
  <si>
    <t>임금인상 및 추가 채용 감안</t>
  </si>
  <si>
    <t>지급수수료-오리지널</t>
  </si>
  <si>
    <t>지급수수료-크리에이터</t>
  </si>
  <si>
    <t>접대비</t>
  </si>
  <si>
    <t>소모품비</t>
  </si>
  <si>
    <t>도서인쇄비</t>
  </si>
  <si>
    <t>차량유지비</t>
  </si>
  <si>
    <t>잡비</t>
  </si>
  <si>
    <t>해외마케팅비</t>
  </si>
  <si>
    <t>임금인상률 감안</t>
    <phoneticPr fontId="2" type="noConversion"/>
  </si>
  <si>
    <t>견본비</t>
  </si>
  <si>
    <t>물가인상률 3% 가정</t>
    <phoneticPr fontId="2" type="noConversion"/>
  </si>
  <si>
    <t>제품보증수리비용</t>
  </si>
  <si>
    <t>판매보증충당금전입액</t>
  </si>
  <si>
    <t>포장비</t>
  </si>
  <si>
    <t>경상개발비-기타</t>
  </si>
  <si>
    <t>*판관비 신장률</t>
    <phoneticPr fontId="2" type="noConversion"/>
  </si>
  <si>
    <t>물가상승률 적용</t>
    <phoneticPr fontId="2" type="noConversion"/>
  </si>
  <si>
    <t>드림어스 연도별 실적</t>
    <phoneticPr fontId="2" type="noConversion"/>
  </si>
  <si>
    <t>2019년</t>
    <phoneticPr fontId="2" type="noConversion"/>
  </si>
  <si>
    <t>[단위:백만원]</t>
    <phoneticPr fontId="2" type="noConversion"/>
  </si>
  <si>
    <t>구분</t>
    <phoneticPr fontId="22" type="noConversion"/>
  </si>
  <si>
    <t>아이리버사업본부</t>
    <phoneticPr fontId="61" type="noConversion"/>
  </si>
  <si>
    <t>엔터테인먼트 본부</t>
    <phoneticPr fontId="61" type="noConversion"/>
  </si>
  <si>
    <t>콘텐츠사업본부</t>
    <phoneticPr fontId="61" type="noConversion"/>
  </si>
  <si>
    <t>플랫폼사업본부</t>
    <phoneticPr fontId="61" type="noConversion"/>
  </si>
  <si>
    <t>STAFF</t>
    <phoneticPr fontId="61" type="noConversion"/>
  </si>
  <si>
    <t>합계</t>
    <phoneticPr fontId="22" type="noConversion"/>
  </si>
  <si>
    <t>AK</t>
    <phoneticPr fontId="61" type="noConversion"/>
  </si>
  <si>
    <t>LS</t>
    <phoneticPr fontId="61" type="noConversion"/>
  </si>
  <si>
    <t>B2B</t>
    <phoneticPr fontId="61" type="noConversion"/>
  </si>
  <si>
    <t>소계</t>
    <phoneticPr fontId="61" type="noConversion"/>
  </si>
  <si>
    <t>유통
(음원)</t>
    <phoneticPr fontId="2" type="noConversion"/>
  </si>
  <si>
    <t>유통
(음반)</t>
    <phoneticPr fontId="2" type="noConversion"/>
  </si>
  <si>
    <t>LDC</t>
    <phoneticPr fontId="61" type="noConversion"/>
  </si>
  <si>
    <t>FLO</t>
    <phoneticPr fontId="61" type="noConversion"/>
  </si>
  <si>
    <t>Studio
FLO</t>
    <phoneticPr fontId="2" type="noConversion"/>
  </si>
  <si>
    <t>CPO</t>
    <phoneticPr fontId="61" type="noConversion"/>
  </si>
  <si>
    <t>CTO</t>
    <phoneticPr fontId="2" type="noConversion"/>
  </si>
  <si>
    <t>Studio
Dolpin</t>
    <phoneticPr fontId="2" type="noConversion"/>
  </si>
  <si>
    <t>이사회</t>
    <phoneticPr fontId="2" type="noConversion"/>
  </si>
  <si>
    <t>Staff</t>
    <phoneticPr fontId="2" type="noConversion"/>
  </si>
  <si>
    <t>연결</t>
    <phoneticPr fontId="61" type="noConversion"/>
  </si>
  <si>
    <t>별도</t>
    <phoneticPr fontId="61" type="noConversion"/>
  </si>
  <si>
    <t>매출액</t>
    <phoneticPr fontId="22" type="noConversion"/>
  </si>
  <si>
    <t>매출총이익</t>
    <phoneticPr fontId="22" type="noConversion"/>
  </si>
  <si>
    <t>-매출총이익률</t>
    <phoneticPr fontId="22" type="noConversion"/>
  </si>
  <si>
    <t>직접이익</t>
    <phoneticPr fontId="22" type="noConversion"/>
  </si>
  <si>
    <t>-직접이익률</t>
    <phoneticPr fontId="22" type="noConversion"/>
  </si>
  <si>
    <t xml:space="preserve">-전사공통비 </t>
    <phoneticPr fontId="22" type="noConversion"/>
  </si>
  <si>
    <t>BOD &amp; Staff Resource</t>
    <phoneticPr fontId="67" type="noConversion"/>
  </si>
  <si>
    <t>수익/비용 Share</t>
  </si>
  <si>
    <t>영업이익</t>
    <phoneticPr fontId="22" type="noConversion"/>
  </si>
  <si>
    <t>-영업이익률</t>
    <phoneticPr fontId="22" type="noConversion"/>
  </si>
  <si>
    <t>2020년</t>
    <phoneticPr fontId="2" type="noConversion"/>
  </si>
  <si>
    <t>STAFF</t>
  </si>
  <si>
    <t>NOA</t>
    <phoneticPr fontId="2" type="noConversion"/>
  </si>
  <si>
    <t>Net Cash</t>
    <phoneticPr fontId="2" type="noConversion"/>
  </si>
  <si>
    <t>비교대상 장부가액 (별도 기준, 100% 기준)</t>
    <phoneticPr fontId="2" type="noConversion"/>
  </si>
  <si>
    <t>주식가치 (100% 기준)</t>
    <phoneticPr fontId="2" type="noConversion"/>
  </si>
  <si>
    <t>손상차손 ((-)이면 손상)</t>
    <phoneticPr fontId="2" type="noConversion"/>
  </si>
  <si>
    <t>- Projected FCF</t>
  </si>
  <si>
    <t>- Terminal Value</t>
  </si>
  <si>
    <t>Value</t>
  </si>
  <si>
    <t>Operating Value</t>
  </si>
  <si>
    <t>Enterprise Value</t>
  </si>
  <si>
    <t>(+) Net Cash</t>
  </si>
  <si>
    <t>사용가치</t>
    <phoneticPr fontId="2" type="noConversion"/>
  </si>
  <si>
    <t>Equity Value</t>
    <phoneticPr fontId="2" type="noConversion"/>
  </si>
  <si>
    <r>
      <t>(</t>
    </r>
    <r>
      <rPr>
        <b/>
        <sz val="10"/>
        <color rgb="FFFFFFFF"/>
        <rFont val="맑은 고딕"/>
        <family val="3"/>
        <charset val="129"/>
        <scheme val="major"/>
      </rPr>
      <t>백만원</t>
    </r>
    <r>
      <rPr>
        <b/>
        <vertAlign val="superscript"/>
        <sz val="10"/>
        <color rgb="FFFFFFFF"/>
        <rFont val="맑은 고딕"/>
        <family val="3"/>
        <charset val="129"/>
        <scheme val="major"/>
      </rPr>
      <t>)</t>
    </r>
  </si>
  <si>
    <r>
      <t>Operating Value</t>
    </r>
    <r>
      <rPr>
        <b/>
        <vertAlign val="superscript"/>
        <sz val="10"/>
        <color rgb="FF000000"/>
        <rFont val="맑은 고딕"/>
        <family val="3"/>
        <charset val="129"/>
        <scheme val="major"/>
      </rPr>
      <t>*1</t>
    </r>
  </si>
  <si>
    <r>
      <t>(+) NOA</t>
    </r>
    <r>
      <rPr>
        <vertAlign val="superscript"/>
        <sz val="10"/>
        <color rgb="FF000000"/>
        <rFont val="맑은 고딕"/>
        <family val="3"/>
        <charset val="129"/>
        <scheme val="major"/>
      </rPr>
      <t>*1</t>
    </r>
  </si>
  <si>
    <r>
      <t xml:space="preserve">Equity Value (100% 기준) </t>
    </r>
    <r>
      <rPr>
        <b/>
        <vertAlign val="superscript"/>
        <sz val="10"/>
        <color rgb="FF000000"/>
        <rFont val="맑은 고딕"/>
        <family val="3"/>
        <charset val="129"/>
        <scheme val="major"/>
      </rPr>
      <t>*2</t>
    </r>
  </si>
  <si>
    <r>
      <t>1~10</t>
    </r>
    <r>
      <rPr>
        <b/>
        <sz val="10"/>
        <color rgb="FFFFFFFF"/>
        <rFont val="맑은 고딕"/>
        <family val="3"/>
        <charset val="129"/>
        <scheme val="major"/>
      </rPr>
      <t>월</t>
    </r>
  </si>
  <si>
    <r>
      <t>11~12</t>
    </r>
    <r>
      <rPr>
        <b/>
        <sz val="10"/>
        <color rgb="FFFFFFFF"/>
        <rFont val="맑은 고딕"/>
        <family val="3"/>
        <charset val="129"/>
        <scheme val="major"/>
      </rPr>
      <t>월</t>
    </r>
  </si>
  <si>
    <r>
      <t xml:space="preserve">- 돌핀 </t>
    </r>
    <r>
      <rPr>
        <vertAlign val="superscript"/>
        <sz val="10"/>
        <color rgb="FF000000"/>
        <rFont val="맑은 고딕"/>
        <family val="3"/>
        <charset val="129"/>
        <scheme val="major"/>
      </rPr>
      <t>*1</t>
    </r>
  </si>
  <si>
    <t>평가자 제시</t>
    <phoneticPr fontId="2" type="noConversion"/>
  </si>
  <si>
    <t>사이즈프리미엄 반영</t>
    <phoneticPr fontId="2" type="noConversion"/>
  </si>
  <si>
    <t>일자</t>
  </si>
  <si>
    <t>종가</t>
  </si>
  <si>
    <t>대비</t>
  </si>
  <si>
    <t>등락률</t>
  </si>
  <si>
    <t>시가</t>
  </si>
  <si>
    <t>고가</t>
  </si>
  <si>
    <t>저가</t>
  </si>
  <si>
    <t>거래량</t>
  </si>
  <si>
    <t>거래대금</t>
  </si>
  <si>
    <t>시가총액</t>
  </si>
  <si>
    <t>상장주식수</t>
  </si>
  <si>
    <t>평가기준일 시가총액 (억원)</t>
    <phoneticPr fontId="2" type="noConversion"/>
  </si>
  <si>
    <t>전환우선주부채</t>
    <phoneticPr fontId="2" type="noConversion"/>
  </si>
  <si>
    <t>Size Premium (3분위)</t>
    <phoneticPr fontId="2" type="noConversion"/>
  </si>
  <si>
    <t>민감도 분석</t>
    <phoneticPr fontId="2" type="noConversion"/>
  </si>
  <si>
    <t>손상금액</t>
    <phoneticPr fontId="2" type="noConversion"/>
  </si>
  <si>
    <t>&lt;&lt; 1차 질의 답변에서 key-in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</si>
</sst>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7">
    <numFmt numFmtId="41" formatCode="_-* #,##0_-;\-* #,##0_-;_-* &quot;-&quot;_-;_-@_-"/>
    <numFmt numFmtId="43" formatCode="_-* #,##0.00_-;\-* #,##0.00_-;_-* &quot;-&quot;??_-;_-@_-"/>
    <numFmt numFmtId="176" formatCode="#,##0;[Red]\(#,##0\);&quot;-&quot;"/>
    <numFmt numFmtId="177" formatCode="0.0%"/>
    <numFmt numFmtId="178" formatCode="0.0%;[Red]\(0.0\)%;&quot;-&quot;"/>
    <numFmt numFmtId="179" formatCode="\x0.00"/>
    <numFmt numFmtId="180" formatCode="_-* #,##0.0_-;[Red]\△#,##0.0_-;_-* &quot;-&quot;_-;_-@_-"/>
    <numFmt numFmtId="181" formatCode="_-* #,##0.0%_-;[Red]\△#,##0.0%_-;_-* &quot;-&quot;_-;_-@_-"/>
    <numFmt numFmtId="182" formatCode="_-* #,##0_-;[Red]\△#,##0_-;_-* &quot;-&quot;_-;_-@_-"/>
    <numFmt numFmtId="183" formatCode="_-* #,##0.0000_-;\-* #,##0.0000_-;_-* &quot;-&quot;_-;_-@_-"/>
    <numFmt numFmtId="184" formatCode="#,##0.0000"/>
    <numFmt numFmtId="185" formatCode="_-* #,##0.0_-;\-* #,##0.0_-;_-* &quot;-&quot;_-;_-@_-"/>
    <numFmt numFmtId="186" formatCode="_-* #,##0.0_-;\-* #,##0.0_-;_-* &quot;-&quot;?_-;_-@_-"/>
    <numFmt numFmtId="187" formatCode="#,##0.000"/>
    <numFmt numFmtId="188" formatCode="_-* #,##0.0000_-;[Red]\△#,##0.0000_-;_-* &quot;-&quot;_-;_-@_-"/>
    <numFmt numFmtId="189" formatCode="#,##0.0_ ;[Red]\△#,##0.0\ "/>
    <numFmt numFmtId="190" formatCode="_-* #,##0.000_-;[Red]\△#,##0.000_-;_-* &quot;-&quot;_-;_-@_-"/>
    <numFmt numFmtId="191" formatCode="_-* #,##0.00_-;[Red]\△#,##0.00_-;_-* &quot;-&quot;_-;_-@_-"/>
    <numFmt numFmtId="192" formatCode="#,##0.000000"/>
    <numFmt numFmtId="193" formatCode="#,##0.0"/>
    <numFmt numFmtId="194" formatCode="#,##0.0_ ;\△#,##0.0\ "/>
    <numFmt numFmtId="195" formatCode="0.0"/>
    <numFmt numFmtId="196" formatCode="_-* #,##0.00_-;\-* #,##0.00_-;_-* &quot;-&quot;_-;_-@_-"/>
    <numFmt numFmtId="197" formatCode="_-* #,##0.0000_-;\-* #,##0.0000_-;_-* &quot;-&quot;??_-;_-@_-"/>
    <numFmt numFmtId="198" formatCode="_-* #,##0.000000_-;[Red]\△#,##0.000000_-;_-* &quot;-&quot;_-;_-@_-"/>
    <numFmt numFmtId="199" formatCode="#,##0.00000"/>
    <numFmt numFmtId="200" formatCode="_-* #,##0.0_-;\-* #,##0.0_-;_-* &quot;-&quot;??_-;_-@_-"/>
    <numFmt numFmtId="201" formatCode="#,##0;[Red]\△#,##0"/>
    <numFmt numFmtId="202" formatCode="General\ &quot;A&quot;"/>
    <numFmt numFmtId="203" formatCode="General\ &quot;E&quot;"/>
    <numFmt numFmtId="204" formatCode="_-* #,##0.00000000000_-;\-* #,##0.00000000000_-;_-* &quot;-&quot;_-;_-@_-"/>
    <numFmt numFmtId="205" formatCode="_(* #,##0_);_(* \(#,##0\);_(* &quot;-&quot;_);@_)"/>
    <numFmt numFmtId="206" formatCode="#,##0,,_);[Red]\(#,##0,,\)"/>
    <numFmt numFmtId="207" formatCode="General\A"/>
    <numFmt numFmtId="208" formatCode="General\F"/>
    <numFmt numFmtId="209" formatCode="0.000_ "/>
    <numFmt numFmtId="210" formatCode="#,##0.0000;[Red]\(#,##0.0000\);&quot;-&quot;"/>
  </numFmts>
  <fonts count="105" x14ac:knownFonts="1">
    <font>
      <sz val="11"/>
      <color theme="1"/>
      <name val="맑은 고딕"/>
      <family val="2"/>
      <charset val="129"/>
      <scheme val="minor"/>
    </font>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u val="singleAccounting"/>
      <sz val="10"/>
      <color rgb="FFFFFFFF"/>
      <name val="맑은 고딕"/>
      <family val="3"/>
      <charset val="129"/>
      <scheme val="minor"/>
    </font>
    <font>
      <b/>
      <sz val="10"/>
      <color theme="1"/>
      <name val="맑은 고딕"/>
      <family val="3"/>
      <charset val="129"/>
      <scheme val="minor"/>
    </font>
    <font>
      <b/>
      <sz val="10"/>
      <color rgb="FFFFFFFF"/>
      <name val="맑은 고딕"/>
      <family val="3"/>
      <charset val="129"/>
      <scheme val="minor"/>
    </font>
    <font>
      <i/>
      <sz val="10"/>
      <color theme="1"/>
      <name val="맑은 고딕"/>
      <family val="3"/>
      <charset val="129"/>
      <scheme val="minor"/>
    </font>
    <font>
      <i/>
      <sz val="10"/>
      <color theme="8" tint="-0.499984740745262"/>
      <name val="맑은 고딕"/>
      <family val="3"/>
      <charset val="129"/>
      <scheme val="minor"/>
    </font>
    <font>
      <b/>
      <i/>
      <sz val="10"/>
      <color theme="8" tint="-0.499984740745262"/>
      <name val="맑은 고딕"/>
      <family val="3"/>
      <charset val="129"/>
      <scheme val="minor"/>
    </font>
    <font>
      <sz val="10"/>
      <color theme="1"/>
      <name val="맑은 고딕"/>
      <family val="3"/>
      <charset val="129"/>
      <scheme val="minor"/>
    </font>
    <font>
      <b/>
      <i/>
      <sz val="10"/>
      <color theme="1"/>
      <name val="맑은 고딕"/>
      <family val="3"/>
      <charset val="129"/>
      <scheme val="minor"/>
    </font>
    <font>
      <sz val="10"/>
      <color rgb="FFFFFFFF"/>
      <name val="맑은 고딕"/>
      <family val="3"/>
      <charset val="129"/>
      <scheme val="minor"/>
    </font>
    <font>
      <b/>
      <sz val="10"/>
      <color theme="0"/>
      <name val="맑은 고딕"/>
      <family val="3"/>
      <charset val="129"/>
      <scheme val="minor"/>
    </font>
    <font>
      <b/>
      <sz val="9"/>
      <color rgb="FF000000"/>
      <name val="굴림"/>
      <family val="3"/>
      <charset val="129"/>
    </font>
    <font>
      <sz val="9"/>
      <color theme="1"/>
      <name val="맑은 고딕"/>
      <family val="2"/>
      <charset val="129"/>
      <scheme val="minor"/>
    </font>
    <font>
      <sz val="9"/>
      <color rgb="FF000000"/>
      <name val="굴림"/>
      <family val="3"/>
      <charset val="129"/>
    </font>
    <font>
      <sz val="9"/>
      <color rgb="FF000000"/>
      <name val="바탕"/>
      <family val="1"/>
      <charset val="129"/>
    </font>
    <font>
      <b/>
      <sz val="9"/>
      <color rgb="FF0000FF"/>
      <name val="바탕"/>
      <family val="1"/>
      <charset val="129"/>
    </font>
    <font>
      <b/>
      <sz val="9"/>
      <color rgb="FF000000"/>
      <name val="바탕"/>
      <family val="1"/>
      <charset val="129"/>
    </font>
    <font>
      <i/>
      <sz val="9"/>
      <color theme="1"/>
      <name val="맑은 고딕"/>
      <family val="3"/>
      <charset val="129"/>
      <scheme val="minor"/>
    </font>
    <font>
      <sz val="8"/>
      <name val="맑은 고딕"/>
      <family val="3"/>
      <charset val="129"/>
      <scheme val="minor"/>
    </font>
    <font>
      <sz val="8"/>
      <name val="돋움"/>
      <family val="3"/>
      <charset val="129"/>
    </font>
    <font>
      <b/>
      <sz val="10"/>
      <color theme="4"/>
      <name val="맑은 고딕"/>
      <family val="3"/>
      <charset val="129"/>
      <scheme val="minor"/>
    </font>
    <font>
      <b/>
      <sz val="10"/>
      <color rgb="FF000000"/>
      <name val="맑은 고딕"/>
      <family val="3"/>
      <charset val="129"/>
      <scheme val="minor"/>
    </font>
    <font>
      <b/>
      <sz val="10"/>
      <name val="맑은 고딕"/>
      <family val="3"/>
      <charset val="129"/>
      <scheme val="minor"/>
    </font>
    <font>
      <sz val="10"/>
      <color rgb="FF000000"/>
      <name val="맑은 고딕"/>
      <family val="3"/>
      <charset val="129"/>
      <scheme val="minor"/>
    </font>
    <font>
      <sz val="10"/>
      <name val="맑은 고딕"/>
      <family val="3"/>
      <charset val="129"/>
      <scheme val="minor"/>
    </font>
    <font>
      <sz val="10"/>
      <color theme="4"/>
      <name val="맑은 고딕"/>
      <family val="3"/>
      <charset val="129"/>
      <scheme val="minor"/>
    </font>
    <font>
      <sz val="10"/>
      <color rgb="FFFF0000"/>
      <name val="맑은 고딕"/>
      <family val="3"/>
      <charset val="129"/>
      <scheme val="minor"/>
    </font>
    <font>
      <sz val="10"/>
      <color rgb="FF000000"/>
      <name val="Arial"/>
      <family val="2"/>
    </font>
    <font>
      <b/>
      <sz val="11"/>
      <color theme="0"/>
      <name val="맑은 고딕"/>
      <family val="3"/>
      <charset val="129"/>
      <scheme val="minor"/>
    </font>
    <font>
      <sz val="11"/>
      <color theme="1"/>
      <name val="맑은 고딕"/>
      <family val="3"/>
      <charset val="129"/>
      <scheme val="minor"/>
    </font>
    <font>
      <b/>
      <sz val="9"/>
      <color indexed="81"/>
      <name val="Tahoma"/>
      <family val="2"/>
    </font>
    <font>
      <sz val="9"/>
      <color indexed="81"/>
      <name val="Tahoma"/>
      <family val="2"/>
    </font>
    <font>
      <sz val="9"/>
      <color indexed="81"/>
      <name val="돋움"/>
      <family val="3"/>
      <charset val="129"/>
    </font>
    <font>
      <b/>
      <sz val="10"/>
      <color rgb="FFFF0000"/>
      <name val="맑은 고딕"/>
      <family val="3"/>
      <charset val="129"/>
      <scheme val="minor"/>
    </font>
    <font>
      <sz val="10"/>
      <color theme="1"/>
      <name val="맑은 고딕"/>
      <family val="3"/>
      <charset val="129"/>
    </font>
    <font>
      <b/>
      <sz val="10"/>
      <color theme="1"/>
      <name val="맑은 고딕"/>
      <family val="3"/>
      <charset val="129"/>
    </font>
    <font>
      <sz val="9"/>
      <color theme="1"/>
      <name val="맑은 고딕"/>
      <family val="3"/>
      <charset val="129"/>
      <scheme val="minor"/>
    </font>
    <font>
      <b/>
      <sz val="9"/>
      <color theme="1"/>
      <name val="맑은 고딕"/>
      <family val="3"/>
      <charset val="129"/>
      <scheme val="minor"/>
    </font>
    <font>
      <sz val="10"/>
      <color theme="1"/>
      <name val="맑은 고딕"/>
      <family val="2"/>
      <charset val="129"/>
      <scheme val="minor"/>
    </font>
    <font>
      <sz val="11"/>
      <color theme="0" tint="-0.499984740745262"/>
      <name val="맑은 고딕"/>
      <family val="2"/>
      <charset val="129"/>
      <scheme val="minor"/>
    </font>
    <font>
      <sz val="11"/>
      <color theme="0" tint="-0.499984740745262"/>
      <name val="맑은 고딕"/>
      <family val="3"/>
      <charset val="129"/>
      <scheme val="minor"/>
    </font>
    <font>
      <i/>
      <sz val="10"/>
      <name val="맑은 고딕"/>
      <family val="3"/>
      <charset val="129"/>
      <scheme val="minor"/>
    </font>
    <font>
      <sz val="9"/>
      <color theme="0"/>
      <name val="맑은 고딕"/>
      <family val="3"/>
      <charset val="129"/>
      <scheme val="minor"/>
    </font>
    <font>
      <b/>
      <sz val="9"/>
      <color theme="0"/>
      <name val="맑은 고딕"/>
      <family val="3"/>
      <charset val="129"/>
      <scheme val="minor"/>
    </font>
    <font>
      <b/>
      <i/>
      <sz val="9"/>
      <color theme="4"/>
      <name val="맑은 고딕"/>
      <family val="3"/>
      <charset val="129"/>
      <scheme val="minor"/>
    </font>
    <font>
      <b/>
      <sz val="9"/>
      <color theme="4"/>
      <name val="맑은 고딕"/>
      <family val="3"/>
      <charset val="129"/>
      <scheme val="minor"/>
    </font>
    <font>
      <b/>
      <i/>
      <sz val="9"/>
      <name val="맑은 고딕"/>
      <family val="3"/>
      <charset val="129"/>
      <scheme val="minor"/>
    </font>
    <font>
      <b/>
      <sz val="9"/>
      <color rgb="FFFF0000"/>
      <name val="맑은 고딕"/>
      <family val="3"/>
      <charset val="129"/>
      <scheme val="minor"/>
    </font>
    <font>
      <b/>
      <sz val="9"/>
      <color theme="1"/>
      <name val="맑은 고딕"/>
      <family val="3"/>
      <charset val="129"/>
    </font>
    <font>
      <sz val="9"/>
      <color theme="1"/>
      <name val="맑은 고딕"/>
      <family val="2"/>
      <scheme val="minor"/>
    </font>
    <font>
      <b/>
      <sz val="9"/>
      <name val="맑은 고딕"/>
      <family val="3"/>
      <charset val="129"/>
    </font>
    <font>
      <sz val="9"/>
      <color theme="1"/>
      <name val="맑은 고딕"/>
      <family val="3"/>
      <charset val="129"/>
    </font>
    <font>
      <sz val="9"/>
      <name val="맑은 고딕"/>
      <family val="3"/>
      <charset val="129"/>
    </font>
    <font>
      <u val="singleAccounting"/>
      <sz val="9"/>
      <name val="맑은 고딕"/>
      <family val="3"/>
      <charset val="129"/>
    </font>
    <font>
      <b/>
      <i/>
      <sz val="9"/>
      <color theme="1"/>
      <name val="맑은 고딕"/>
      <family val="3"/>
      <charset val="129"/>
    </font>
    <font>
      <b/>
      <sz val="12"/>
      <color theme="1"/>
      <name val="맑은 고딕"/>
      <family val="3"/>
      <charset val="129"/>
      <scheme val="minor"/>
    </font>
    <font>
      <sz val="10"/>
      <color indexed="8"/>
      <name val="맑은 고딕"/>
      <family val="3"/>
      <charset val="129"/>
      <scheme val="minor"/>
    </font>
    <font>
      <sz val="8"/>
      <color theme="1"/>
      <name val="Century Gothic"/>
      <family val="2"/>
      <charset val="129"/>
    </font>
    <font>
      <sz val="8"/>
      <name val="Century Gothic"/>
      <family val="2"/>
      <charset val="129"/>
    </font>
    <font>
      <b/>
      <sz val="10"/>
      <color indexed="8"/>
      <name val="맑은 고딕"/>
      <family val="3"/>
      <charset val="129"/>
      <scheme val="minor"/>
    </font>
    <font>
      <sz val="10"/>
      <color indexed="8"/>
      <name val="Arial"/>
      <family val="2"/>
    </font>
    <font>
      <u/>
      <sz val="10"/>
      <color indexed="8"/>
      <name val="맑은 고딕"/>
      <family val="3"/>
      <charset val="129"/>
      <scheme val="minor"/>
    </font>
    <font>
      <b/>
      <u/>
      <sz val="10"/>
      <color indexed="8"/>
      <name val="맑은 고딕"/>
      <family val="3"/>
      <charset val="129"/>
      <scheme val="minor"/>
    </font>
    <font>
      <sz val="10"/>
      <color theme="0" tint="-0.499984740745262"/>
      <name val="맑은 고딕"/>
      <family val="3"/>
      <charset val="129"/>
      <scheme val="minor"/>
    </font>
    <font>
      <sz val="8"/>
      <name val="HY신명조"/>
      <family val="2"/>
      <charset val="129"/>
    </font>
    <font>
      <b/>
      <sz val="10"/>
      <color theme="0" tint="-0.499984740745262"/>
      <name val="맑은 고딕"/>
      <family val="3"/>
      <charset val="129"/>
      <scheme val="minor"/>
    </font>
    <font>
      <u val="singleAccounting"/>
      <sz val="10"/>
      <color theme="1"/>
      <name val="맑은 고딕"/>
      <family val="3"/>
      <charset val="129"/>
      <scheme val="minor"/>
    </font>
    <font>
      <b/>
      <u val="singleAccounting"/>
      <sz val="10"/>
      <color theme="1"/>
      <name val="맑은 고딕"/>
      <family val="3"/>
      <charset val="129"/>
      <scheme val="minor"/>
    </font>
    <font>
      <sz val="9"/>
      <color theme="0"/>
      <name val="맑은 고딕"/>
      <family val="2"/>
      <charset val="129"/>
      <scheme val="minor"/>
    </font>
    <font>
      <b/>
      <sz val="20"/>
      <color rgb="FFFFFFFF"/>
      <name val="맑은 고딕"/>
      <family val="3"/>
      <charset val="129"/>
      <scheme val="minor"/>
    </font>
    <font>
      <sz val="9"/>
      <color rgb="FFFFFFFF"/>
      <name val="맑은 고딕"/>
      <family val="2"/>
      <charset val="129"/>
      <scheme val="minor"/>
    </font>
    <font>
      <b/>
      <sz val="13"/>
      <color rgb="FFFFFFFF"/>
      <name val="맑은 고딕"/>
      <family val="3"/>
      <charset val="129"/>
      <scheme val="minor"/>
    </font>
    <font>
      <b/>
      <sz val="13"/>
      <color indexed="9"/>
      <name val="맑은 고딕"/>
      <family val="3"/>
      <charset val="129"/>
      <scheme val="minor"/>
    </font>
    <font>
      <b/>
      <sz val="9"/>
      <color rgb="FFFFFFFF"/>
      <name val="맑은 고딕"/>
      <family val="3"/>
      <charset val="129"/>
      <scheme val="minor"/>
    </font>
    <font>
      <b/>
      <sz val="20"/>
      <color theme="0"/>
      <name val="맑은 고딕"/>
      <family val="3"/>
      <charset val="129"/>
      <scheme val="major"/>
    </font>
    <font>
      <b/>
      <sz val="12"/>
      <color theme="0"/>
      <name val="맑은 고딕"/>
      <family val="3"/>
      <charset val="129"/>
      <scheme val="major"/>
    </font>
    <font>
      <b/>
      <sz val="14"/>
      <color theme="0"/>
      <name val="맑은 고딕"/>
      <family val="3"/>
      <charset val="129"/>
      <scheme val="major"/>
    </font>
    <font>
      <sz val="10"/>
      <color theme="1"/>
      <name val="맑은 고딕"/>
      <family val="3"/>
      <charset val="129"/>
      <scheme val="major"/>
    </font>
    <font>
      <b/>
      <sz val="10"/>
      <color theme="0"/>
      <name val="맑은 고딕"/>
      <family val="3"/>
      <charset val="129"/>
      <scheme val="major"/>
    </font>
    <font>
      <b/>
      <i/>
      <sz val="11"/>
      <color theme="1"/>
      <name val="맑은 고딕"/>
      <family val="3"/>
      <charset val="129"/>
      <scheme val="minor"/>
    </font>
    <font>
      <i/>
      <sz val="11"/>
      <color theme="1"/>
      <name val="맑은 고딕"/>
      <family val="3"/>
      <charset val="129"/>
      <scheme val="minor"/>
    </font>
    <font>
      <sz val="20"/>
      <color rgb="FFFFFFFF"/>
      <name val="맑은 고딕"/>
      <family val="3"/>
      <charset val="129"/>
      <scheme val="minor"/>
    </font>
    <font>
      <sz val="13"/>
      <color indexed="9"/>
      <name val="맑은 고딕"/>
      <family val="3"/>
      <charset val="129"/>
      <scheme val="minor"/>
    </font>
    <font>
      <sz val="9"/>
      <color rgb="FFFFFFFF"/>
      <name val="맑은 고딕"/>
      <family val="3"/>
      <charset val="129"/>
      <scheme val="minor"/>
    </font>
    <font>
      <i/>
      <sz val="20"/>
      <color rgb="FFFFFFFF"/>
      <name val="맑은 고딕"/>
      <family val="3"/>
      <charset val="129"/>
      <scheme val="minor"/>
    </font>
    <font>
      <i/>
      <sz val="13"/>
      <color indexed="9"/>
      <name val="맑은 고딕"/>
      <family val="3"/>
      <charset val="129"/>
      <scheme val="minor"/>
    </font>
    <font>
      <i/>
      <sz val="9"/>
      <color rgb="FFFFFFFF"/>
      <name val="맑은 고딕"/>
      <family val="3"/>
      <charset val="129"/>
      <scheme val="minor"/>
    </font>
    <font>
      <b/>
      <i/>
      <sz val="9"/>
      <color rgb="FFFFFFFF"/>
      <name val="맑은 고딕"/>
      <family val="3"/>
      <charset val="129"/>
      <scheme val="minor"/>
    </font>
    <font>
      <b/>
      <vertAlign val="superscript"/>
      <sz val="10"/>
      <color rgb="FFFFFFFF"/>
      <name val="맑은 고딕"/>
      <family val="3"/>
      <charset val="129"/>
      <scheme val="major"/>
    </font>
    <font>
      <b/>
      <sz val="10"/>
      <color rgb="FFFFFFFF"/>
      <name val="맑은 고딕"/>
      <family val="3"/>
      <charset val="129"/>
      <scheme val="major"/>
    </font>
    <font>
      <b/>
      <sz val="10"/>
      <color rgb="FF000000"/>
      <name val="맑은 고딕"/>
      <family val="3"/>
      <charset val="129"/>
      <scheme val="major"/>
    </font>
    <font>
      <b/>
      <vertAlign val="superscript"/>
      <sz val="10"/>
      <color rgb="FF000000"/>
      <name val="맑은 고딕"/>
      <family val="3"/>
      <charset val="129"/>
      <scheme val="major"/>
    </font>
    <font>
      <sz val="10"/>
      <color rgb="FF000000"/>
      <name val="맑은 고딕"/>
      <family val="3"/>
      <charset val="129"/>
      <scheme val="major"/>
    </font>
    <font>
      <vertAlign val="superscript"/>
      <sz val="10"/>
      <color rgb="FF000000"/>
      <name val="맑은 고딕"/>
      <family val="3"/>
      <charset val="129"/>
      <scheme val="major"/>
    </font>
    <font>
      <b/>
      <u/>
      <sz val="10"/>
      <color rgb="FF000000"/>
      <name val="맑은 고딕"/>
      <family val="3"/>
      <charset val="129"/>
      <scheme val="major"/>
    </font>
    <font>
      <u/>
      <sz val="10"/>
      <color rgb="FF000000"/>
      <name val="맑은 고딕"/>
      <family val="3"/>
      <charset val="129"/>
      <scheme val="major"/>
    </font>
    <font>
      <i/>
      <sz val="10"/>
      <color rgb="FF000000"/>
      <name val="맑은 고딕"/>
      <family val="3"/>
      <charset val="129"/>
      <scheme val="major"/>
    </font>
    <font>
      <sz val="10"/>
      <name val="맑은 고딕"/>
      <family val="3"/>
      <charset val="129"/>
      <scheme val="major"/>
    </font>
    <font>
      <i/>
      <sz val="10"/>
      <color theme="1"/>
      <name val="맑은 고딕"/>
      <family val="3"/>
      <charset val="129"/>
      <scheme val="major"/>
    </font>
    <font>
      <b/>
      <sz val="10"/>
      <color theme="1"/>
      <name val="맑은 고딕"/>
      <family val="3"/>
      <charset val="129"/>
      <scheme val="major"/>
    </font>
    <font>
      <b/>
      <sz val="10"/>
      <color indexed="9"/>
      <name val="Arial"/>
      <family val="2"/>
    </font>
    <font>
      <b/>
      <i/>
      <sz val="10"/>
      <color rgb="FFFFFFFF"/>
      <name val="맑은 고딕"/>
      <family val="3"/>
      <charset val="129"/>
      <scheme val="minor"/>
    </font>
  </fonts>
  <fills count="31">
    <fill>
      <patternFill patternType="none"/>
    </fill>
    <fill>
      <patternFill patternType="gray125"/>
    </fill>
    <fill>
      <patternFill patternType="solid">
        <fgColor rgb="FFD04A01"/>
        <bgColor indexed="64"/>
      </patternFill>
    </fill>
    <fill>
      <patternFill patternType="solid">
        <fgColor rgb="FFBEBEBE"/>
        <bgColor indexed="64"/>
      </patternFill>
    </fill>
    <fill>
      <patternFill patternType="solid">
        <fgColor rgb="FFF1F1F1"/>
        <bgColor indexed="64"/>
      </patternFill>
    </fill>
    <fill>
      <patternFill patternType="solid">
        <fgColor rgb="FF005EB8"/>
        <bgColor indexed="64"/>
      </patternFill>
    </fill>
    <fill>
      <patternFill patternType="solid">
        <fgColor rgb="FF00338D"/>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DCDCDC"/>
        <bgColor indexed="64"/>
      </patternFill>
    </fill>
    <fill>
      <patternFill patternType="solid">
        <fgColor rgb="FFD7D7D7"/>
        <bgColor indexed="64"/>
      </patternFill>
    </fill>
    <fill>
      <patternFill patternType="solid">
        <fgColor theme="5" tint="0.79998168889431442"/>
        <bgColor indexed="64"/>
      </patternFill>
    </fill>
    <fill>
      <patternFill patternType="solid">
        <fgColor rgb="FFFFFFCC"/>
        <bgColor indexed="64"/>
      </patternFill>
    </fill>
    <fill>
      <patternFill patternType="solid">
        <fgColor theme="0"/>
        <bgColor indexed="64"/>
      </patternFill>
    </fill>
    <fill>
      <patternFill patternType="solid">
        <fgColor theme="1" tint="0.14999847407452621"/>
        <bgColor indexed="64"/>
      </patternFill>
    </fill>
    <fill>
      <patternFill patternType="solid">
        <fgColor rgb="FFD9D9D9"/>
        <bgColor indexed="64"/>
      </patternFill>
    </fill>
    <fill>
      <patternFill patternType="solid">
        <fgColor theme="4" tint="0.79998168889431442"/>
        <bgColor indexed="64"/>
      </patternFill>
    </fill>
    <fill>
      <patternFill patternType="solid">
        <fgColor theme="1"/>
        <bgColor indexed="64"/>
      </patternFill>
    </fill>
    <fill>
      <patternFill patternType="solid">
        <fgColor theme="2"/>
        <bgColor indexed="64"/>
      </patternFill>
    </fill>
    <fill>
      <patternFill patternType="lightDown"/>
    </fill>
    <fill>
      <patternFill patternType="solid">
        <fgColor theme="2" tint="-9.9978637043366805E-2"/>
        <bgColor indexed="64"/>
      </patternFill>
    </fill>
    <fill>
      <patternFill patternType="solid">
        <fgColor theme="3" tint="-0.249977111117893"/>
        <bgColor indexed="64"/>
      </patternFill>
    </fill>
    <fill>
      <patternFill patternType="solid">
        <fgColor rgb="FFC00000"/>
        <bgColor indexed="64"/>
      </patternFill>
    </fill>
    <fill>
      <patternFill patternType="solid">
        <fgColor theme="3" tint="0.79998168889431442"/>
        <bgColor indexed="64"/>
      </patternFill>
    </fill>
    <fill>
      <patternFill patternType="solid">
        <fgColor theme="0" tint="-0.499984740745262"/>
        <bgColor indexed="64"/>
      </patternFill>
    </fill>
    <fill>
      <patternFill patternType="solid">
        <fgColor rgb="FFFFFF99"/>
        <bgColor indexed="64"/>
      </patternFill>
    </fill>
    <fill>
      <patternFill patternType="solid">
        <fgColor indexed="18"/>
      </patternFill>
    </fill>
  </fills>
  <borders count="296">
    <border>
      <left/>
      <right/>
      <top/>
      <bottom/>
      <diagonal/>
    </border>
    <border>
      <left/>
      <right style="thin">
        <color rgb="FFA6A6A6"/>
      </right>
      <top/>
      <bottom/>
      <diagonal/>
    </border>
    <border>
      <left style="thin">
        <color rgb="FFA6A6A6"/>
      </left>
      <right/>
      <top/>
      <bottom/>
      <diagonal/>
    </border>
    <border>
      <left/>
      <right/>
      <top/>
      <bottom style="thin">
        <color rgb="FFA6A6A6"/>
      </bottom>
      <diagonal/>
    </border>
    <border>
      <left/>
      <right style="thin">
        <color rgb="FFA6A6A6"/>
      </right>
      <top/>
      <bottom style="thin">
        <color rgb="FFA6A6A6"/>
      </bottom>
      <diagonal/>
    </border>
    <border>
      <left style="thin">
        <color rgb="FFA6A6A6"/>
      </left>
      <right/>
      <top/>
      <bottom style="thin">
        <color rgb="FFA6A6A6"/>
      </bottom>
      <diagonal/>
    </border>
    <border>
      <left/>
      <right/>
      <top style="thin">
        <color rgb="FFA6A6A6"/>
      </top>
      <bottom/>
      <diagonal/>
    </border>
    <border>
      <left/>
      <right style="thin">
        <color rgb="FFA6A6A6"/>
      </right>
      <top style="thin">
        <color rgb="FFA6A6A6"/>
      </top>
      <bottom/>
      <diagonal/>
    </border>
    <border>
      <left style="thin">
        <color rgb="FFA6A6A6"/>
      </left>
      <right/>
      <top style="thin">
        <color rgb="FFA6A6A6"/>
      </top>
      <bottom/>
      <diagonal/>
    </border>
    <border>
      <left/>
      <right style="thin">
        <color rgb="FFA6A6A6"/>
      </right>
      <top style="thin">
        <color rgb="FFA6A6A6"/>
      </top>
      <bottom style="thin">
        <color rgb="FFA6A6A6"/>
      </bottom>
      <diagonal/>
    </border>
    <border>
      <left/>
      <right/>
      <top style="thin">
        <color rgb="FFA6A6A6"/>
      </top>
      <bottom style="thin">
        <color rgb="FFA6A6A6"/>
      </bottom>
      <diagonal/>
    </border>
    <border>
      <left style="thin">
        <color rgb="FFA6A6A6"/>
      </left>
      <right/>
      <top style="thin">
        <color rgb="FFA6A6A6"/>
      </top>
      <bottom style="thin">
        <color rgb="FFA6A6A6"/>
      </bottom>
      <diagonal/>
    </border>
    <border>
      <left/>
      <right/>
      <top/>
      <bottom style="thin">
        <color rgb="FF808080"/>
      </bottom>
      <diagonal/>
    </border>
    <border>
      <left/>
      <right style="thin">
        <color rgb="FFA6A6A6"/>
      </right>
      <top style="thin">
        <color rgb="FFA6A6A6"/>
      </top>
      <bottom style="thin">
        <color rgb="FF808080"/>
      </bottom>
      <diagonal/>
    </border>
    <border>
      <left/>
      <right/>
      <top style="thin">
        <color rgb="FF808080"/>
      </top>
      <bottom style="thin">
        <color rgb="FF808080"/>
      </bottom>
      <diagonal/>
    </border>
    <border>
      <left/>
      <right style="thin">
        <color rgb="FFA6A6A6"/>
      </right>
      <top style="thin">
        <color rgb="FF808080"/>
      </top>
      <bottom/>
      <diagonal/>
    </border>
    <border>
      <left/>
      <right/>
      <top style="thin">
        <color rgb="FF808080"/>
      </top>
      <bottom/>
      <diagonal/>
    </border>
    <border>
      <left/>
      <right/>
      <top/>
      <bottom style="thin">
        <color rgb="FF7E7E7E"/>
      </bottom>
      <diagonal/>
    </border>
    <border>
      <left/>
      <right/>
      <top style="thin">
        <color rgb="FF7E7E7E"/>
      </top>
      <bottom/>
      <diagonal/>
    </border>
    <border>
      <left/>
      <right/>
      <top style="thin">
        <color rgb="FF7E7E7E"/>
      </top>
      <bottom style="thin">
        <color rgb="FF7E7E7E"/>
      </bottom>
      <diagonal/>
    </border>
    <border>
      <left/>
      <right style="thin">
        <color rgb="FFA6A6A6"/>
      </right>
      <top/>
      <bottom style="thin">
        <color rgb="FF7E7E7E"/>
      </bottom>
      <diagonal/>
    </border>
    <border>
      <left style="thin">
        <color rgb="FFA6A6A6"/>
      </left>
      <right/>
      <top/>
      <bottom style="thin">
        <color rgb="FF7E7E7E"/>
      </bottom>
      <diagonal/>
    </border>
    <border>
      <left/>
      <right style="thin">
        <color rgb="FFA6A6A6"/>
      </right>
      <top style="thin">
        <color rgb="FF7E7E7E"/>
      </top>
      <bottom/>
      <diagonal/>
    </border>
    <border>
      <left style="thin">
        <color rgb="FFA6A6A6"/>
      </left>
      <right/>
      <top style="thin">
        <color rgb="FF7E7E7E"/>
      </top>
      <bottom/>
      <diagonal/>
    </border>
    <border>
      <left/>
      <right style="thin">
        <color rgb="FFA6A6A6"/>
      </right>
      <top style="thin">
        <color rgb="FF7E7E7E"/>
      </top>
      <bottom style="thin">
        <color rgb="FF7E7E7E"/>
      </bottom>
      <diagonal/>
    </border>
    <border>
      <left style="thin">
        <color rgb="FFA6A6A6"/>
      </left>
      <right/>
      <top style="thin">
        <color rgb="FF7E7E7E"/>
      </top>
      <bottom style="thin">
        <color rgb="FF7E7E7E"/>
      </bottom>
      <diagonal/>
    </border>
    <border>
      <left/>
      <right/>
      <top style="thin">
        <color rgb="FF7E7E7E"/>
      </top>
      <bottom style="thin">
        <color rgb="FF000000"/>
      </bottom>
      <diagonal/>
    </border>
    <border>
      <left/>
      <right/>
      <top style="thin">
        <color rgb="FF000000"/>
      </top>
      <bottom style="thin">
        <color rgb="FF000000"/>
      </bottom>
      <diagonal/>
    </border>
    <border>
      <left/>
      <right/>
      <top/>
      <bottom style="thin">
        <color rgb="FF00338D"/>
      </bottom>
      <diagonal/>
    </border>
    <border>
      <left/>
      <right style="thin">
        <color rgb="FF00338D"/>
      </right>
      <top/>
      <bottom/>
      <diagonal/>
    </border>
    <border>
      <left/>
      <right style="thin">
        <color rgb="FF00338D"/>
      </right>
      <top/>
      <bottom style="thin">
        <color rgb="FF00338D"/>
      </bottom>
      <diagonal/>
    </border>
    <border>
      <left style="thin">
        <color rgb="FF00338D"/>
      </left>
      <right style="dotted">
        <color rgb="FF00338D"/>
      </right>
      <top/>
      <bottom/>
      <diagonal/>
    </border>
    <border>
      <left style="thin">
        <color rgb="FF00338D"/>
      </left>
      <right style="dotted">
        <color rgb="FF00338D"/>
      </right>
      <top/>
      <bottom style="thin">
        <color rgb="FF00338D"/>
      </bottom>
      <diagonal/>
    </border>
    <border>
      <left/>
      <right/>
      <top style="thin">
        <color rgb="FF00338D"/>
      </top>
      <bottom style="thin">
        <color rgb="FF00338D"/>
      </bottom>
      <diagonal/>
    </border>
    <border>
      <left/>
      <right style="thin">
        <color rgb="FF00338D"/>
      </right>
      <top style="thin">
        <color rgb="FF00338D"/>
      </top>
      <bottom style="thin">
        <color rgb="FF00338D"/>
      </bottom>
      <diagonal/>
    </border>
    <border>
      <left style="thin">
        <color rgb="FF00338D"/>
      </left>
      <right style="dotted">
        <color rgb="FF00338D"/>
      </right>
      <top style="thin">
        <color rgb="FF00338D"/>
      </top>
      <bottom style="thin">
        <color rgb="FF00338D"/>
      </bottom>
      <diagonal/>
    </border>
    <border>
      <left/>
      <right/>
      <top style="thin">
        <color rgb="FF00338D"/>
      </top>
      <bottom style="dotted">
        <color rgb="FF00338D"/>
      </bottom>
      <diagonal/>
    </border>
    <border>
      <left/>
      <right style="thin">
        <color rgb="FF00338D"/>
      </right>
      <top style="thin">
        <color rgb="FF00338D"/>
      </top>
      <bottom style="dotted">
        <color rgb="FF00338D"/>
      </bottom>
      <diagonal/>
    </border>
    <border>
      <left style="thin">
        <color rgb="FF00338D"/>
      </left>
      <right style="dotted">
        <color rgb="FF00338D"/>
      </right>
      <top style="thin">
        <color rgb="FF00338D"/>
      </top>
      <bottom style="dotted">
        <color rgb="FF00338D"/>
      </bottom>
      <diagonal/>
    </border>
    <border>
      <left/>
      <right/>
      <top/>
      <bottom style="double">
        <color rgb="FF00338D"/>
      </bottom>
      <diagonal/>
    </border>
    <border>
      <left/>
      <right style="thin">
        <color rgb="FF00338D"/>
      </right>
      <top/>
      <bottom style="double">
        <color rgb="FF00338D"/>
      </bottom>
      <diagonal/>
    </border>
    <border>
      <left style="thin">
        <color rgb="FF00338D"/>
      </left>
      <right style="dotted">
        <color rgb="FF00338D"/>
      </right>
      <top/>
      <bottom style="double">
        <color rgb="FF00338D"/>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right style="thin">
        <color rgb="FF808080"/>
      </right>
      <top style="thin">
        <color rgb="FF808080"/>
      </top>
      <bottom style="thin">
        <color rgb="FF808080"/>
      </bottom>
      <diagonal/>
    </border>
    <border>
      <left style="thin">
        <color rgb="FF000000"/>
      </left>
      <right style="thin">
        <color rgb="FF808080"/>
      </right>
      <top style="thin">
        <color rgb="FF000000"/>
      </top>
      <bottom style="thin">
        <color rgb="FF808080"/>
      </bottom>
      <diagonal/>
    </border>
    <border>
      <left style="thin">
        <color rgb="FF808080"/>
      </left>
      <right style="thin">
        <color rgb="FF808080"/>
      </right>
      <top style="thin">
        <color rgb="FF000000"/>
      </top>
      <bottom style="thin">
        <color rgb="FF808080"/>
      </bottom>
      <diagonal/>
    </border>
    <border>
      <left style="thin">
        <color rgb="FF808080"/>
      </left>
      <right/>
      <top style="thin">
        <color rgb="FF000000"/>
      </top>
      <bottom style="thin">
        <color rgb="FF808080"/>
      </bottom>
      <diagonal/>
    </border>
    <border>
      <left/>
      <right style="thin">
        <color rgb="FF808080"/>
      </right>
      <top style="thin">
        <color rgb="FF000000"/>
      </top>
      <bottom style="thin">
        <color rgb="FF808080"/>
      </bottom>
      <diagonal/>
    </border>
    <border>
      <left/>
      <right style="thin">
        <color rgb="FF000000"/>
      </right>
      <top style="thin">
        <color rgb="FF000000"/>
      </top>
      <bottom style="thin">
        <color rgb="FF808080"/>
      </bottom>
      <diagonal/>
    </border>
    <border>
      <left style="thin">
        <color rgb="FF000000"/>
      </left>
      <right style="thin">
        <color rgb="FF808080"/>
      </right>
      <top style="thin">
        <color rgb="FF808080"/>
      </top>
      <bottom style="thin">
        <color rgb="FF808080"/>
      </bottom>
      <diagonal/>
    </border>
    <border>
      <left style="thin">
        <color rgb="FF808080"/>
      </left>
      <right style="thin">
        <color rgb="FF000000"/>
      </right>
      <top style="thin">
        <color rgb="FF808080"/>
      </top>
      <bottom style="thin">
        <color rgb="FF808080"/>
      </bottom>
      <diagonal/>
    </border>
    <border>
      <left style="thin">
        <color rgb="FF000000"/>
      </left>
      <right style="thin">
        <color rgb="FF808080"/>
      </right>
      <top style="thin">
        <color rgb="FF808080"/>
      </top>
      <bottom style="thin">
        <color rgb="FF000000"/>
      </bottom>
      <diagonal/>
    </border>
    <border>
      <left style="thin">
        <color rgb="FF808080"/>
      </left>
      <right style="thin">
        <color rgb="FF808080"/>
      </right>
      <top style="thin">
        <color rgb="FF808080"/>
      </top>
      <bottom style="thin">
        <color rgb="FF000000"/>
      </bottom>
      <diagonal/>
    </border>
    <border>
      <left style="thin">
        <color rgb="FF808080"/>
      </left>
      <right style="thin">
        <color rgb="FF000000"/>
      </right>
      <top style="thin">
        <color rgb="FF808080"/>
      </top>
      <bottom style="thin">
        <color rgb="FF000000"/>
      </bottom>
      <diagonal/>
    </border>
    <border>
      <left style="thin">
        <color rgb="FF808080"/>
      </left>
      <right style="thin">
        <color rgb="FF808080"/>
      </right>
      <top style="thin">
        <color rgb="FF808080"/>
      </top>
      <bottom/>
      <diagonal/>
    </border>
    <border>
      <left style="thin">
        <color rgb="FF808080"/>
      </left>
      <right style="thin">
        <color rgb="FF808080"/>
      </right>
      <top/>
      <bottom style="thin">
        <color rgb="FF808080"/>
      </bottom>
      <diagonal/>
    </border>
    <border>
      <left style="thin">
        <color rgb="FF000000"/>
      </left>
      <right style="thin">
        <color rgb="FF808080"/>
      </right>
      <top style="thin">
        <color rgb="FF000000"/>
      </top>
      <bottom/>
      <diagonal/>
    </border>
    <border>
      <left style="thin">
        <color rgb="FF808080"/>
      </left>
      <right style="thin">
        <color rgb="FF808080"/>
      </right>
      <top style="thin">
        <color rgb="FF000000"/>
      </top>
      <bottom/>
      <diagonal/>
    </border>
    <border>
      <left style="thin">
        <color rgb="FF808080"/>
      </left>
      <right style="thin">
        <color rgb="FF000000"/>
      </right>
      <top style="thin">
        <color rgb="FF000000"/>
      </top>
      <bottom/>
      <diagonal/>
    </border>
    <border>
      <left style="thin">
        <color rgb="FF000000"/>
      </left>
      <right style="thin">
        <color rgb="FF808080"/>
      </right>
      <top/>
      <bottom style="thin">
        <color rgb="FF808080"/>
      </bottom>
      <diagonal/>
    </border>
    <border>
      <left style="thin">
        <color rgb="FF808080"/>
      </left>
      <right style="thin">
        <color rgb="FF000000"/>
      </right>
      <top/>
      <bottom style="thin">
        <color rgb="FF808080"/>
      </bottom>
      <diagonal/>
    </border>
    <border>
      <left style="thin">
        <color rgb="FF000000"/>
      </left>
      <right style="thin">
        <color rgb="FF808080"/>
      </right>
      <top style="thin">
        <color rgb="FF808080"/>
      </top>
      <bottom/>
      <diagonal/>
    </border>
    <border>
      <left style="thin">
        <color rgb="FF000000"/>
      </left>
      <right style="thin">
        <color rgb="FF808080"/>
      </right>
      <top/>
      <bottom style="thin">
        <color rgb="FF000000"/>
      </bottom>
      <diagonal/>
    </border>
    <border>
      <left style="thin">
        <color rgb="FF000000"/>
      </left>
      <right/>
      <top style="thin">
        <color rgb="FF000000"/>
      </top>
      <bottom style="thin">
        <color rgb="FF808080"/>
      </bottom>
      <diagonal/>
    </border>
    <border>
      <left/>
      <right/>
      <top style="thin">
        <color rgb="FF000000"/>
      </top>
      <bottom style="thin">
        <color rgb="FF808080"/>
      </bottom>
      <diagonal/>
    </border>
    <border>
      <left/>
      <right style="thin">
        <color rgb="FF000000"/>
      </right>
      <top style="thin">
        <color rgb="FF808080"/>
      </top>
      <bottom style="thin">
        <color rgb="FF808080"/>
      </bottom>
      <diagonal/>
    </border>
    <border>
      <left style="thin">
        <color rgb="FF808080"/>
      </left>
      <right style="thin">
        <color rgb="FF000000"/>
      </right>
      <top style="thin">
        <color rgb="FF000000"/>
      </top>
      <bottom style="thin">
        <color rgb="FF808080"/>
      </bottom>
      <diagonal/>
    </border>
    <border>
      <left style="thin">
        <color rgb="FF000000"/>
      </left>
      <right/>
      <top style="thin">
        <color rgb="FF808080"/>
      </top>
      <bottom style="thin">
        <color rgb="FF808080"/>
      </bottom>
      <diagonal/>
    </border>
    <border>
      <left style="thin">
        <color rgb="FF000000"/>
      </left>
      <right/>
      <top style="thin">
        <color rgb="FF808080"/>
      </top>
      <bottom style="thin">
        <color rgb="FF000000"/>
      </bottom>
      <diagonal/>
    </border>
    <border>
      <left/>
      <right/>
      <top style="thin">
        <color rgb="FF808080"/>
      </top>
      <bottom style="thin">
        <color rgb="FF000000"/>
      </bottom>
      <diagonal/>
    </border>
    <border>
      <left/>
      <right style="thin">
        <color rgb="FF808080"/>
      </right>
      <top style="thin">
        <color rgb="FF808080"/>
      </top>
      <bottom style="thin">
        <color rgb="FF000000"/>
      </bottom>
      <diagonal/>
    </border>
    <border>
      <left style="thin">
        <color rgb="FF808080"/>
      </left>
      <right style="thin">
        <color rgb="FF808080"/>
      </right>
      <top/>
      <bottom/>
      <diagonal/>
    </border>
    <border>
      <left style="thin">
        <color rgb="FF000000"/>
      </left>
      <right style="thin">
        <color rgb="FF808080"/>
      </right>
      <top/>
      <bottom/>
      <diagonal/>
    </border>
    <border>
      <left style="thin">
        <color rgb="FF808080"/>
      </left>
      <right style="thin">
        <color rgb="FF000000"/>
      </right>
      <top style="thin">
        <color rgb="FF808080"/>
      </top>
      <bottom/>
      <diagonal/>
    </border>
    <border>
      <left style="thin">
        <color rgb="FF808080"/>
      </left>
      <right style="thin">
        <color rgb="FF000000"/>
      </right>
      <top/>
      <bottom/>
      <diagonal/>
    </border>
    <border>
      <left style="thin">
        <color rgb="FF808080"/>
      </left>
      <right style="thin">
        <color rgb="FF000000"/>
      </right>
      <top/>
      <bottom style="thin">
        <color rgb="FF000000"/>
      </bottom>
      <diagonal/>
    </border>
    <border>
      <left style="thin">
        <color rgb="FF808080"/>
      </left>
      <right/>
      <top style="thin">
        <color rgb="FF808080"/>
      </top>
      <bottom/>
      <diagonal/>
    </border>
    <border>
      <left/>
      <right style="thin">
        <color rgb="FF808080"/>
      </right>
      <top style="thin">
        <color rgb="FF808080"/>
      </top>
      <bottom/>
      <diagonal/>
    </border>
    <border>
      <left style="thin">
        <color rgb="FF808080"/>
      </left>
      <right/>
      <top/>
      <bottom style="thin">
        <color rgb="FF808080"/>
      </bottom>
      <diagonal/>
    </border>
    <border>
      <left/>
      <right style="thin">
        <color rgb="FF808080"/>
      </right>
      <top/>
      <bottom style="thin">
        <color rgb="FF808080"/>
      </bottom>
      <diagonal/>
    </border>
    <border>
      <left/>
      <right style="thin">
        <color rgb="FF000000"/>
      </right>
      <top style="thin">
        <color rgb="FF808080"/>
      </top>
      <bottom/>
      <diagonal/>
    </border>
    <border>
      <left/>
      <right style="thin">
        <color rgb="FF000000"/>
      </right>
      <top/>
      <bottom style="thin">
        <color rgb="FF808080"/>
      </bottom>
      <diagonal/>
    </border>
    <border>
      <left style="thin">
        <color rgb="FF808080"/>
      </left>
      <right style="thin">
        <color rgb="FF808080"/>
      </right>
      <top/>
      <bottom style="thin">
        <color rgb="FF000000"/>
      </bottom>
      <diagonal/>
    </border>
    <border>
      <left style="thin">
        <color rgb="FF000000"/>
      </left>
      <right/>
      <top style="thin">
        <color rgb="FF808080"/>
      </top>
      <bottom/>
      <diagonal/>
    </border>
    <border>
      <left style="thin">
        <color rgb="FF000000"/>
      </left>
      <right/>
      <top/>
      <bottom style="thin">
        <color rgb="FF000000"/>
      </bottom>
      <diagonal/>
    </border>
    <border>
      <left/>
      <right style="thin">
        <color rgb="FF808080"/>
      </right>
      <top/>
      <bottom style="thin">
        <color rgb="FF000000"/>
      </bottom>
      <diagonal/>
    </border>
    <border>
      <left/>
      <right style="thin">
        <color rgb="FF808080"/>
      </right>
      <top/>
      <bottom/>
      <diagonal/>
    </border>
    <border>
      <left style="thin">
        <color rgb="FF000000"/>
      </left>
      <right/>
      <top style="thin">
        <color rgb="FF000000"/>
      </top>
      <bottom/>
      <diagonal/>
    </border>
    <border>
      <left/>
      <right/>
      <top style="thin">
        <color rgb="FF000000"/>
      </top>
      <bottom/>
      <diagonal/>
    </border>
    <border>
      <left/>
      <right style="thin">
        <color rgb="FF808080"/>
      </right>
      <top style="thin">
        <color rgb="FF000000"/>
      </top>
      <bottom/>
      <diagonal/>
    </border>
    <border>
      <left style="thin">
        <color rgb="FF000000"/>
      </left>
      <right/>
      <top/>
      <bottom/>
      <diagonal/>
    </border>
    <border>
      <left style="thin">
        <color rgb="FF000000"/>
      </left>
      <right/>
      <top/>
      <bottom style="thin">
        <color rgb="FF808080"/>
      </bottom>
      <diagonal/>
    </border>
    <border>
      <left/>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bottom/>
      <diagonal/>
    </border>
    <border>
      <left style="thin">
        <color auto="1"/>
      </left>
      <right/>
      <top style="thin">
        <color auto="1"/>
      </top>
      <bottom style="hair">
        <color auto="1"/>
      </bottom>
      <diagonal/>
    </border>
    <border>
      <left/>
      <right style="thin">
        <color auto="1"/>
      </right>
      <top style="thin">
        <color auto="1"/>
      </top>
      <bottom style="hair">
        <color auto="1"/>
      </bottom>
      <diagonal/>
    </border>
    <border>
      <left style="thin">
        <color auto="1"/>
      </left>
      <right style="thin">
        <color auto="1"/>
      </right>
      <top style="thin">
        <color auto="1"/>
      </top>
      <bottom style="hair">
        <color auto="1"/>
      </bottom>
      <diagonal/>
    </border>
    <border>
      <left style="thin">
        <color auto="1"/>
      </left>
      <right/>
      <top style="hair">
        <color auto="1"/>
      </top>
      <bottom style="hair">
        <color auto="1"/>
      </bottom>
      <diagonal/>
    </border>
    <border>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bottom style="thin">
        <color auto="1"/>
      </bottom>
      <diagonal/>
    </border>
    <border>
      <left style="thin">
        <color auto="1"/>
      </left>
      <right style="thin">
        <color auto="1"/>
      </right>
      <top style="hair">
        <color auto="1"/>
      </top>
      <bottom style="thin">
        <color auto="1"/>
      </bottom>
      <diagonal/>
    </border>
    <border>
      <left style="thin">
        <color auto="1"/>
      </left>
      <right/>
      <top style="hair">
        <color auto="1"/>
      </top>
      <bottom style="thin">
        <color auto="1"/>
      </bottom>
      <diagonal/>
    </border>
    <border>
      <left/>
      <right style="thin">
        <color auto="1"/>
      </right>
      <top style="hair">
        <color auto="1"/>
      </top>
      <bottom style="thin">
        <color auto="1"/>
      </bottom>
      <diagonal/>
    </border>
    <border>
      <left/>
      <right/>
      <top style="thin">
        <color indexed="64"/>
      </top>
      <bottom/>
      <diagonal/>
    </border>
    <border>
      <left/>
      <right style="thin">
        <color auto="1"/>
      </right>
      <top style="thin">
        <color auto="1"/>
      </top>
      <bottom/>
      <diagonal/>
    </border>
    <border>
      <left style="thin">
        <color indexed="64"/>
      </left>
      <right style="thin">
        <color indexed="64"/>
      </right>
      <top style="thin">
        <color auto="1"/>
      </top>
      <bottom/>
      <diagonal/>
    </border>
    <border>
      <left style="thin">
        <color auto="1"/>
      </left>
      <right style="thin">
        <color auto="1"/>
      </right>
      <top/>
      <bottom style="hair">
        <color auto="1"/>
      </bottom>
      <diagonal/>
    </border>
    <border>
      <left style="thin">
        <color indexed="64"/>
      </left>
      <right/>
      <top/>
      <bottom/>
      <diagonal/>
    </border>
    <border>
      <left style="hair">
        <color auto="1"/>
      </left>
      <right/>
      <top style="hair">
        <color auto="1"/>
      </top>
      <bottom style="thin">
        <color auto="1"/>
      </bottom>
      <diagonal/>
    </border>
    <border>
      <left style="thin">
        <color indexed="64"/>
      </left>
      <right/>
      <top/>
      <bottom style="thin">
        <color indexed="64"/>
      </bottom>
      <diagonal/>
    </border>
    <border>
      <left style="thin">
        <color auto="1"/>
      </left>
      <right style="thin">
        <color auto="1"/>
      </right>
      <top style="hair">
        <color auto="1"/>
      </top>
      <bottom/>
      <diagonal/>
    </border>
    <border>
      <left/>
      <right style="thin">
        <color indexed="64"/>
      </right>
      <top/>
      <bottom style="hair">
        <color indexed="64"/>
      </bottom>
      <diagonal/>
    </border>
    <border>
      <left/>
      <right style="thin">
        <color auto="1"/>
      </right>
      <top/>
      <bottom style="thin">
        <color auto="1"/>
      </bottom>
      <diagonal/>
    </border>
    <border>
      <left style="hair">
        <color auto="1"/>
      </left>
      <right style="thin">
        <color indexed="64"/>
      </right>
      <top style="hair">
        <color auto="1"/>
      </top>
      <bottom/>
      <diagonal/>
    </border>
    <border>
      <left style="thin">
        <color auto="1"/>
      </left>
      <right/>
      <top style="hair">
        <color auto="1"/>
      </top>
      <bottom/>
      <diagonal/>
    </border>
    <border>
      <left/>
      <right style="thin">
        <color auto="1"/>
      </right>
      <top style="hair">
        <color auto="1"/>
      </top>
      <bottom/>
      <diagonal/>
    </border>
    <border>
      <left style="hair">
        <color indexed="64"/>
      </left>
      <right style="thin">
        <color auto="1"/>
      </right>
      <top/>
      <bottom/>
      <diagonal/>
    </border>
    <border>
      <left/>
      <right style="thin">
        <color indexed="64"/>
      </right>
      <top/>
      <bottom/>
      <diagonal/>
    </border>
    <border>
      <left style="hair">
        <color auto="1"/>
      </left>
      <right style="thin">
        <color auto="1"/>
      </right>
      <top/>
      <bottom style="thin">
        <color auto="1"/>
      </bottom>
      <diagonal/>
    </border>
    <border>
      <left style="hair">
        <color auto="1"/>
      </left>
      <right style="thin">
        <color auto="1"/>
      </right>
      <top style="hair">
        <color auto="1"/>
      </top>
      <bottom style="hair">
        <color auto="1"/>
      </bottom>
      <diagonal/>
    </border>
    <border>
      <left style="thin">
        <color auto="1"/>
      </left>
      <right style="hair">
        <color auto="1"/>
      </right>
      <top/>
      <bottom/>
      <diagonal/>
    </border>
    <border>
      <left/>
      <right/>
      <top style="hair">
        <color auto="1"/>
      </top>
      <bottom style="hair">
        <color auto="1"/>
      </bottom>
      <diagonal/>
    </border>
    <border>
      <left style="hair">
        <color auto="1"/>
      </left>
      <right/>
      <top style="hair">
        <color auto="1"/>
      </top>
      <bottom/>
      <diagonal/>
    </border>
    <border>
      <left style="hair">
        <color auto="1"/>
      </left>
      <right/>
      <top/>
      <bottom/>
      <diagonal/>
    </border>
    <border>
      <left style="thin">
        <color indexed="64"/>
      </left>
      <right/>
      <top/>
      <bottom style="hair">
        <color indexed="64"/>
      </bottom>
      <diagonal/>
    </border>
    <border>
      <left style="hair">
        <color auto="1"/>
      </left>
      <right/>
      <top/>
      <bottom style="hair">
        <color indexed="64"/>
      </bottom>
      <diagonal/>
    </border>
    <border>
      <left/>
      <right/>
      <top/>
      <bottom style="thin">
        <color indexed="64"/>
      </bottom>
      <diagonal/>
    </border>
    <border>
      <left/>
      <right/>
      <top/>
      <bottom style="hair">
        <color indexed="64"/>
      </bottom>
      <diagonal/>
    </border>
    <border>
      <left/>
      <right/>
      <top style="hair">
        <color indexed="64"/>
      </top>
      <bottom/>
      <diagonal/>
    </border>
    <border>
      <left/>
      <right/>
      <top style="hair">
        <color auto="1"/>
      </top>
      <bottom style="thin">
        <color auto="1"/>
      </bottom>
      <diagonal/>
    </border>
    <border>
      <left style="hair">
        <color auto="1"/>
      </left>
      <right/>
      <top style="thin">
        <color auto="1"/>
      </top>
      <bottom style="thin">
        <color auto="1"/>
      </bottom>
      <diagonal/>
    </border>
    <border>
      <left style="hair">
        <color auto="1"/>
      </left>
      <right/>
      <top style="thin">
        <color indexed="64"/>
      </top>
      <bottom/>
      <diagonal/>
    </border>
    <border>
      <left style="hair">
        <color auto="1"/>
      </left>
      <right/>
      <top/>
      <bottom style="thin">
        <color auto="1"/>
      </bottom>
      <diagonal/>
    </border>
    <border>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thin">
        <color auto="1"/>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hair">
        <color auto="1"/>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right style="hair">
        <color auto="1"/>
      </right>
      <top/>
      <bottom style="thin">
        <color auto="1"/>
      </bottom>
      <diagonal/>
    </border>
    <border>
      <left style="hair">
        <color auto="1"/>
      </left>
      <right style="hair">
        <color auto="1"/>
      </right>
      <top/>
      <bottom style="thin">
        <color auto="1"/>
      </bottom>
      <diagonal/>
    </border>
    <border>
      <left style="thin">
        <color auto="1"/>
      </left>
      <right style="hair">
        <color auto="1"/>
      </right>
      <top/>
      <bottom style="thin">
        <color auto="1"/>
      </bottom>
      <diagonal/>
    </border>
    <border>
      <left/>
      <right/>
      <top style="thin">
        <color auto="1"/>
      </top>
      <bottom style="hair">
        <color auto="1"/>
      </bottom>
      <diagonal/>
    </border>
    <border>
      <left/>
      <right style="dotted">
        <color auto="1"/>
      </right>
      <top/>
      <bottom/>
      <diagonal/>
    </border>
    <border>
      <left/>
      <right style="dotted">
        <color auto="1"/>
      </right>
      <top style="thin">
        <color auto="1"/>
      </top>
      <bottom/>
      <diagonal/>
    </border>
    <border>
      <left/>
      <right style="dotted">
        <color auto="1"/>
      </right>
      <top/>
      <bottom style="thin">
        <color auto="1"/>
      </bottom>
      <diagonal/>
    </border>
    <border>
      <left style="dotted">
        <color auto="1"/>
      </left>
      <right/>
      <top/>
      <bottom style="thin">
        <color indexed="64"/>
      </bottom>
      <diagonal/>
    </border>
    <border>
      <left style="medium">
        <color theme="0" tint="-0.24994659260841701"/>
      </left>
      <right/>
      <top style="medium">
        <color theme="0" tint="-0.24994659260841701"/>
      </top>
      <bottom/>
      <diagonal/>
    </border>
    <border>
      <left/>
      <right/>
      <top style="medium">
        <color theme="0" tint="-0.24994659260841701"/>
      </top>
      <bottom/>
      <diagonal/>
    </border>
    <border>
      <left/>
      <right style="dotted">
        <color auto="1"/>
      </right>
      <top style="medium">
        <color theme="0" tint="-0.24994659260841701"/>
      </top>
      <bottom/>
      <diagonal/>
    </border>
    <border>
      <left/>
      <right style="medium">
        <color theme="0" tint="-0.24994659260841701"/>
      </right>
      <top style="medium">
        <color theme="0" tint="-0.24994659260841701"/>
      </top>
      <bottom/>
      <diagonal/>
    </border>
    <border>
      <left style="medium">
        <color theme="0" tint="-0.24994659260841701"/>
      </left>
      <right/>
      <top/>
      <bottom/>
      <diagonal/>
    </border>
    <border>
      <left/>
      <right style="medium">
        <color theme="0" tint="-0.24994659260841701"/>
      </right>
      <top/>
      <bottom/>
      <diagonal/>
    </border>
    <border>
      <left style="medium">
        <color theme="0" tint="-0.24994659260841701"/>
      </left>
      <right/>
      <top/>
      <bottom style="medium">
        <color theme="0" tint="-0.24994659260841701"/>
      </bottom>
      <diagonal/>
    </border>
    <border>
      <left/>
      <right/>
      <top/>
      <bottom style="medium">
        <color theme="0" tint="-0.24994659260841701"/>
      </bottom>
      <diagonal/>
    </border>
    <border>
      <left/>
      <right style="dotted">
        <color auto="1"/>
      </right>
      <top/>
      <bottom style="medium">
        <color theme="0" tint="-0.24994659260841701"/>
      </bottom>
      <diagonal/>
    </border>
    <border>
      <left/>
      <right style="medium">
        <color theme="0" tint="-0.24994659260841701"/>
      </right>
      <top/>
      <bottom style="medium">
        <color theme="0" tint="-0.24994659260841701"/>
      </bottom>
      <diagonal/>
    </border>
    <border>
      <left style="medium">
        <color theme="0" tint="-0.24994659260841701"/>
      </left>
      <right/>
      <top/>
      <bottom style="thin">
        <color theme="0" tint="-0.24994659260841701"/>
      </bottom>
      <diagonal/>
    </border>
    <border>
      <left/>
      <right/>
      <top/>
      <bottom style="thin">
        <color theme="0" tint="-0.24994659260841701"/>
      </bottom>
      <diagonal/>
    </border>
    <border>
      <left/>
      <right style="dotted">
        <color auto="1"/>
      </right>
      <top/>
      <bottom style="thin">
        <color theme="0" tint="-0.24994659260841701"/>
      </bottom>
      <diagonal/>
    </border>
    <border>
      <left/>
      <right style="medium">
        <color theme="0" tint="-0.24994659260841701"/>
      </right>
      <top/>
      <bottom style="thin">
        <color theme="0" tint="-0.24994659260841701"/>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dotted">
        <color auto="1"/>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style="medium">
        <color theme="0" tint="-0.24994659260841701"/>
      </right>
      <top style="thin">
        <color theme="0" tint="-0.24994659260841701"/>
      </top>
      <bottom/>
      <diagonal/>
    </border>
    <border>
      <left style="dotted">
        <color auto="1"/>
      </left>
      <right/>
      <top/>
      <bottom/>
      <diagonal/>
    </border>
    <border>
      <left/>
      <right style="dotted">
        <color auto="1"/>
      </right>
      <top/>
      <bottom style="hair">
        <color auto="1"/>
      </bottom>
      <diagonal/>
    </border>
    <border>
      <left/>
      <right style="dotted">
        <color auto="1"/>
      </right>
      <top style="thin">
        <color indexed="64"/>
      </top>
      <bottom style="thin">
        <color indexed="64"/>
      </bottom>
      <diagonal/>
    </border>
    <border>
      <left/>
      <right/>
      <top style="thin">
        <color indexed="64"/>
      </top>
      <bottom style="double">
        <color indexed="64"/>
      </bottom>
      <diagonal/>
    </border>
    <border>
      <left/>
      <right style="dotted">
        <color auto="1"/>
      </right>
      <top style="thin">
        <color indexed="64"/>
      </top>
      <bottom style="double">
        <color indexed="64"/>
      </bottom>
      <diagonal/>
    </border>
    <border>
      <left/>
      <right/>
      <top/>
      <bottom style="dotted">
        <color auto="1"/>
      </bottom>
      <diagonal/>
    </border>
    <border>
      <left/>
      <right style="dotted">
        <color auto="1"/>
      </right>
      <top/>
      <bottom style="dotted">
        <color auto="1"/>
      </bottom>
      <diagonal/>
    </border>
    <border>
      <left style="thin">
        <color indexed="64"/>
      </left>
      <right style="thin">
        <color indexed="64"/>
      </right>
      <top style="thin">
        <color auto="1"/>
      </top>
      <bottom style="thin">
        <color theme="0" tint="-0.24994659260841701"/>
      </bottom>
      <diagonal/>
    </border>
    <border>
      <left style="thin">
        <color indexed="64"/>
      </left>
      <right/>
      <top style="thin">
        <color theme="0" tint="-0.34998626667073579"/>
      </top>
      <bottom style="thin">
        <color indexed="64"/>
      </bottom>
      <diagonal/>
    </border>
    <border>
      <left style="thin">
        <color theme="0" tint="-0.24994659260841701"/>
      </left>
      <right style="thin">
        <color theme="0" tint="-0.24994659260841701"/>
      </right>
      <top style="thin">
        <color theme="0" tint="-0.34998626667073579"/>
      </top>
      <bottom style="thin">
        <color indexed="64"/>
      </bottom>
      <diagonal/>
    </border>
    <border>
      <left/>
      <right/>
      <top style="thin">
        <color theme="0" tint="-0.34998626667073579"/>
      </top>
      <bottom style="thin">
        <color indexed="64"/>
      </bottom>
      <diagonal/>
    </border>
    <border>
      <left/>
      <right style="thin">
        <color theme="0" tint="-0.34998626667073579"/>
      </right>
      <top style="thin">
        <color theme="0" tint="-0.34998626667073579"/>
      </top>
      <bottom style="thin">
        <color auto="1"/>
      </bottom>
      <diagonal/>
    </border>
    <border>
      <left style="thin">
        <color theme="0" tint="-0.34998626667073579"/>
      </left>
      <right style="thin">
        <color theme="0" tint="-0.34998626667073579"/>
      </right>
      <top style="thin">
        <color theme="0" tint="-0.34998626667073579"/>
      </top>
      <bottom style="thin">
        <color auto="1"/>
      </bottom>
      <diagonal/>
    </border>
    <border>
      <left style="thin">
        <color theme="0" tint="-0.24994659260841701"/>
      </left>
      <right style="thin">
        <color theme="0" tint="-0.34998626667073579"/>
      </right>
      <top style="thin">
        <color theme="0" tint="-0.34998626667073579"/>
      </top>
      <bottom style="thin">
        <color indexed="64"/>
      </bottom>
      <diagonal/>
    </border>
    <border>
      <left style="thin">
        <color theme="0" tint="-0.24994659260841701"/>
      </left>
      <right style="thin">
        <color auto="1"/>
      </right>
      <top/>
      <bottom style="thin">
        <color auto="1"/>
      </bottom>
      <diagonal/>
    </border>
    <border>
      <left style="thin">
        <color theme="0" tint="-0.24994659260841701"/>
      </left>
      <right style="thin">
        <color theme="0" tint="-0.24994659260841701"/>
      </right>
      <top style="thin">
        <color auto="1"/>
      </top>
      <bottom/>
      <diagonal/>
    </border>
    <border>
      <left/>
      <right style="thin">
        <color theme="0" tint="-0.34998626667073579"/>
      </right>
      <top style="thin">
        <color indexed="64"/>
      </top>
      <bottom/>
      <diagonal/>
    </border>
    <border>
      <left style="thin">
        <color theme="0" tint="-0.24994659260841701"/>
      </left>
      <right style="thin">
        <color theme="0" tint="-0.34998626667073579"/>
      </right>
      <top style="thin">
        <color auto="1"/>
      </top>
      <bottom/>
      <diagonal/>
    </border>
    <border>
      <left style="thin">
        <color theme="0" tint="-0.34998626667073579"/>
      </left>
      <right style="thin">
        <color theme="0" tint="-0.34998626667073579"/>
      </right>
      <top style="thin">
        <color indexed="64"/>
      </top>
      <bottom/>
      <diagonal/>
    </border>
    <border>
      <left style="thin">
        <color theme="0" tint="-0.24994659260841701"/>
      </left>
      <right style="thin">
        <color indexed="64"/>
      </right>
      <top style="thin">
        <color auto="1"/>
      </top>
      <bottom/>
      <diagonal/>
    </border>
    <border>
      <left style="thin">
        <color indexed="64"/>
      </left>
      <right style="thin">
        <color auto="1"/>
      </right>
      <top style="thin">
        <color theme="0" tint="-0.14996795556505021"/>
      </top>
      <bottom style="thin">
        <color theme="0" tint="-0.14996795556505021"/>
      </bottom>
      <diagonal/>
    </border>
    <border>
      <left style="thin">
        <color indexed="64"/>
      </left>
      <right/>
      <top style="thin">
        <color theme="0" tint="-0.14996795556505021"/>
      </top>
      <bottom style="thin">
        <color theme="0" tint="-0.14996795556505021"/>
      </bottom>
      <diagonal/>
    </border>
    <border>
      <left style="thin">
        <color theme="0" tint="-0.24994659260841701"/>
      </left>
      <right style="thin">
        <color theme="0" tint="-0.24994659260841701"/>
      </right>
      <top style="thin">
        <color theme="0" tint="-0.14996795556505021"/>
      </top>
      <bottom style="thin">
        <color theme="0" tint="-0.14996795556505021"/>
      </bottom>
      <diagonal/>
    </border>
    <border>
      <left/>
      <right/>
      <top style="thin">
        <color theme="0" tint="-0.14996795556505021"/>
      </top>
      <bottom style="thin">
        <color theme="0" tint="-0.14996795556505021"/>
      </bottom>
      <diagonal/>
    </border>
    <border>
      <left/>
      <right style="thin">
        <color theme="0" tint="-0.34998626667073579"/>
      </right>
      <top style="thin">
        <color theme="0" tint="-0.14996795556505021"/>
      </top>
      <bottom style="thin">
        <color theme="0" tint="-0.14996795556505021"/>
      </bottom>
      <diagonal/>
    </border>
    <border>
      <left/>
      <right style="thin">
        <color auto="1"/>
      </right>
      <top style="thin">
        <color theme="0" tint="-0.14996795556505021"/>
      </top>
      <bottom style="thin">
        <color theme="0" tint="-0.14996795556505021"/>
      </bottom>
      <diagonal/>
    </border>
    <border>
      <left style="thin">
        <color theme="0" tint="-0.24994659260841701"/>
      </left>
      <right style="thin">
        <color theme="0" tint="-0.34998626667073579"/>
      </right>
      <top style="thin">
        <color theme="0" tint="-0.14996795556505021"/>
      </top>
      <bottom style="thin">
        <color theme="0" tint="-0.14996795556505021"/>
      </bottom>
      <diagonal/>
    </border>
    <border>
      <left style="thin">
        <color theme="0" tint="-0.34998626667073579"/>
      </left>
      <right style="thin">
        <color theme="0" tint="-0.34998626667073579"/>
      </right>
      <top style="thin">
        <color theme="0" tint="-0.14996795556505021"/>
      </top>
      <bottom style="thin">
        <color theme="0" tint="-0.14996795556505021"/>
      </bottom>
      <diagonal/>
    </border>
    <border>
      <left style="thin">
        <color theme="0" tint="-0.24994659260841701"/>
      </left>
      <right style="thin">
        <color auto="1"/>
      </right>
      <top style="thin">
        <color theme="0" tint="-0.14996795556505021"/>
      </top>
      <bottom style="thin">
        <color theme="0" tint="-0.14996795556505021"/>
      </bottom>
      <diagonal/>
    </border>
    <border>
      <left style="thin">
        <color theme="0" tint="-0.24994659260841701"/>
      </left>
      <right style="thin">
        <color theme="0" tint="-0.24994659260841701"/>
      </right>
      <top/>
      <bottom style="thin">
        <color auto="1"/>
      </bottom>
      <diagonal/>
    </border>
    <border>
      <left/>
      <right style="thin">
        <color theme="0" tint="-0.34998626667073579"/>
      </right>
      <top/>
      <bottom style="thin">
        <color auto="1"/>
      </bottom>
      <diagonal/>
    </border>
    <border>
      <left style="thin">
        <color theme="0" tint="-0.24994659260841701"/>
      </left>
      <right style="thin">
        <color theme="0" tint="-0.34998626667073579"/>
      </right>
      <top/>
      <bottom style="thin">
        <color auto="1"/>
      </bottom>
      <diagonal/>
    </border>
    <border>
      <left style="thin">
        <color theme="0" tint="-0.34998626667073579"/>
      </left>
      <right style="thin">
        <color theme="0" tint="-0.34998626667073579"/>
      </right>
      <top/>
      <bottom style="thin">
        <color auto="1"/>
      </bottom>
      <diagonal/>
    </border>
    <border>
      <left style="thin">
        <color theme="0" tint="-0.24994659260841701"/>
      </left>
      <right style="thin">
        <color theme="0" tint="-0.24994659260841701"/>
      </right>
      <top style="thin">
        <color indexed="64"/>
      </top>
      <bottom style="thin">
        <color indexed="64"/>
      </bottom>
      <diagonal/>
    </border>
    <border>
      <left/>
      <right style="thin">
        <color theme="0" tint="-0.34998626667073579"/>
      </right>
      <top style="thin">
        <color auto="1"/>
      </top>
      <bottom style="thin">
        <color auto="1"/>
      </bottom>
      <diagonal/>
    </border>
    <border>
      <left style="thin">
        <color theme="0" tint="-0.24994659260841701"/>
      </left>
      <right style="thin">
        <color theme="0" tint="-0.34998626667073579"/>
      </right>
      <top style="thin">
        <color indexed="64"/>
      </top>
      <bottom style="thin">
        <color indexed="64"/>
      </bottom>
      <diagonal/>
    </border>
    <border>
      <left style="thin">
        <color theme="0" tint="-0.34998626667073579"/>
      </left>
      <right style="thin">
        <color theme="0" tint="-0.34998626667073579"/>
      </right>
      <top style="thin">
        <color auto="1"/>
      </top>
      <bottom style="thin">
        <color indexed="64"/>
      </bottom>
      <diagonal/>
    </border>
    <border>
      <left style="thin">
        <color theme="0" tint="-0.24994659260841701"/>
      </left>
      <right style="thin">
        <color auto="1"/>
      </right>
      <top style="thin">
        <color auto="1"/>
      </top>
      <bottom style="thin">
        <color indexed="64"/>
      </bottom>
      <diagonal/>
    </border>
    <border>
      <left style="thin">
        <color theme="0" tint="-0.24994659260841701"/>
      </left>
      <right style="thin">
        <color theme="0" tint="-0.24994659260841701"/>
      </right>
      <top/>
      <bottom/>
      <diagonal/>
    </border>
    <border>
      <left/>
      <right style="thin">
        <color theme="0" tint="-0.34998626667073579"/>
      </right>
      <top/>
      <bottom/>
      <diagonal/>
    </border>
    <border>
      <left style="thin">
        <color theme="0" tint="-0.24994659260841701"/>
      </left>
      <right style="thin">
        <color theme="0" tint="-0.34998626667073579"/>
      </right>
      <top/>
      <bottom/>
      <diagonal/>
    </border>
    <border>
      <left style="thin">
        <color theme="0" tint="-0.34998626667073579"/>
      </left>
      <right style="thin">
        <color theme="0" tint="-0.34998626667073579"/>
      </right>
      <top/>
      <bottom/>
      <diagonal/>
    </border>
    <border>
      <left style="thin">
        <color theme="0" tint="-0.24994659260841701"/>
      </left>
      <right style="thin">
        <color auto="1"/>
      </right>
      <top/>
      <bottom/>
      <diagonal/>
    </border>
    <border>
      <left style="thin">
        <color auto="1"/>
      </left>
      <right style="thin">
        <color indexed="64"/>
      </right>
      <top/>
      <bottom style="double">
        <color theme="0" tint="-0.499984740745262"/>
      </bottom>
      <diagonal/>
    </border>
    <border>
      <left style="thin">
        <color indexed="64"/>
      </left>
      <right/>
      <top/>
      <bottom style="double">
        <color theme="0" tint="-0.499984740745262"/>
      </bottom>
      <diagonal/>
    </border>
    <border>
      <left style="thin">
        <color theme="0" tint="-0.24994659260841701"/>
      </left>
      <right style="thin">
        <color theme="0" tint="-0.24994659260841701"/>
      </right>
      <top/>
      <bottom style="double">
        <color theme="0" tint="-0.499984740745262"/>
      </bottom>
      <diagonal/>
    </border>
    <border>
      <left/>
      <right/>
      <top/>
      <bottom style="double">
        <color theme="0" tint="-0.499984740745262"/>
      </bottom>
      <diagonal/>
    </border>
    <border>
      <left/>
      <right style="thin">
        <color theme="0" tint="-0.34998626667073579"/>
      </right>
      <top/>
      <bottom style="double">
        <color theme="0" tint="-0.499984740745262"/>
      </bottom>
      <diagonal/>
    </border>
    <border>
      <left/>
      <right style="thin">
        <color indexed="64"/>
      </right>
      <top/>
      <bottom style="double">
        <color theme="0" tint="-0.499984740745262"/>
      </bottom>
      <diagonal/>
    </border>
    <border>
      <left style="thin">
        <color theme="0" tint="-0.24994659260841701"/>
      </left>
      <right style="thin">
        <color theme="0" tint="-0.34998626667073579"/>
      </right>
      <top/>
      <bottom style="double">
        <color theme="0" tint="-0.499984740745262"/>
      </bottom>
      <diagonal/>
    </border>
    <border>
      <left style="thin">
        <color theme="0" tint="-0.34998626667073579"/>
      </left>
      <right style="thin">
        <color theme="0" tint="-0.34998626667073579"/>
      </right>
      <top/>
      <bottom style="double">
        <color theme="0" tint="-0.499984740745262"/>
      </bottom>
      <diagonal/>
    </border>
    <border>
      <left style="thin">
        <color theme="0" tint="-0.24994659260841701"/>
      </left>
      <right style="thin">
        <color auto="1"/>
      </right>
      <top/>
      <bottom style="double">
        <color theme="0" tint="-0.499984740745262"/>
      </bottom>
      <diagonal/>
    </border>
    <border>
      <left style="thin">
        <color indexed="64"/>
      </left>
      <right style="thin">
        <color indexed="64"/>
      </right>
      <top style="thin">
        <color theme="0" tint="-0.24994659260841701"/>
      </top>
      <bottom/>
      <diagonal/>
    </border>
    <border>
      <left style="thin">
        <color indexed="64"/>
      </left>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right style="thin">
        <color theme="0" tint="-0.34998626667073579"/>
      </right>
      <top style="thin">
        <color theme="0" tint="-0.24994659260841701"/>
      </top>
      <bottom/>
      <diagonal/>
    </border>
    <border>
      <left/>
      <right style="thin">
        <color indexed="64"/>
      </right>
      <top style="thin">
        <color theme="0" tint="-0.24994659260841701"/>
      </top>
      <bottom/>
      <diagonal/>
    </border>
    <border>
      <left style="thin">
        <color theme="0" tint="-0.24994659260841701"/>
      </left>
      <right style="thin">
        <color theme="0" tint="-0.34998626667073579"/>
      </right>
      <top style="thin">
        <color theme="0" tint="-0.24994659260841701"/>
      </top>
      <bottom/>
      <diagonal/>
    </border>
    <border>
      <left style="thin">
        <color theme="0" tint="-0.34998626667073579"/>
      </left>
      <right style="thin">
        <color theme="0" tint="-0.34998626667073579"/>
      </right>
      <top style="thin">
        <color theme="0" tint="-0.24994659260841701"/>
      </top>
      <bottom/>
      <diagonal/>
    </border>
    <border>
      <left style="thin">
        <color theme="0" tint="-0.24994659260841701"/>
      </left>
      <right style="thin">
        <color auto="1"/>
      </right>
      <top style="thin">
        <color theme="0" tint="-0.24994659260841701"/>
      </top>
      <bottom/>
      <diagonal/>
    </border>
    <border>
      <left style="thin">
        <color indexed="64"/>
      </left>
      <right style="thin">
        <color indexed="64"/>
      </right>
      <top/>
      <bottom style="thin">
        <color theme="0" tint="-0.24994659260841701"/>
      </bottom>
      <diagonal/>
    </border>
    <border>
      <left style="thin">
        <color indexed="64"/>
      </left>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right style="thin">
        <color theme="0" tint="-0.34998626667073579"/>
      </right>
      <top/>
      <bottom style="thin">
        <color theme="0" tint="-0.24994659260841701"/>
      </bottom>
      <diagonal/>
    </border>
    <border>
      <left/>
      <right style="thin">
        <color indexed="64"/>
      </right>
      <top/>
      <bottom style="thin">
        <color theme="0" tint="-0.24994659260841701"/>
      </bottom>
      <diagonal/>
    </border>
    <border>
      <left style="thin">
        <color theme="0" tint="-0.24994659260841701"/>
      </left>
      <right style="thin">
        <color theme="0" tint="-0.34998626667073579"/>
      </right>
      <top/>
      <bottom style="thin">
        <color theme="0" tint="-0.24994659260841701"/>
      </bottom>
      <diagonal/>
    </border>
    <border>
      <left style="thin">
        <color theme="0" tint="-0.34998626667073579"/>
      </left>
      <right style="thin">
        <color theme="0" tint="-0.34998626667073579"/>
      </right>
      <top/>
      <bottom style="thin">
        <color theme="0" tint="-0.24994659260841701"/>
      </bottom>
      <diagonal/>
    </border>
    <border>
      <left style="thin">
        <color theme="0" tint="-0.24994659260841701"/>
      </left>
      <right style="thin">
        <color auto="1"/>
      </right>
      <top/>
      <bottom style="thin">
        <color theme="0" tint="-0.24994659260841701"/>
      </bottom>
      <diagonal/>
    </border>
    <border>
      <left style="thin">
        <color rgb="FF00338D"/>
      </left>
      <right/>
      <top style="thin">
        <color rgb="FF00338D"/>
      </top>
      <bottom/>
      <diagonal/>
    </border>
    <border>
      <left/>
      <right/>
      <top style="thin">
        <color rgb="FF00338D"/>
      </top>
      <bottom/>
      <diagonal/>
    </border>
    <border>
      <left style="hair">
        <color rgb="FF00338D"/>
      </left>
      <right style="thin">
        <color rgb="FF00338D"/>
      </right>
      <top style="thin">
        <color rgb="FF00338D"/>
      </top>
      <bottom/>
      <diagonal/>
    </border>
    <border>
      <left/>
      <right style="hair">
        <color rgb="FF00338D"/>
      </right>
      <top style="thin">
        <color rgb="FF00338D"/>
      </top>
      <bottom/>
      <diagonal/>
    </border>
    <border>
      <left/>
      <right style="thin">
        <color rgb="FF00338D"/>
      </right>
      <top style="thin">
        <color rgb="FF00338D"/>
      </top>
      <bottom/>
      <diagonal/>
    </border>
    <border>
      <left style="thin">
        <color rgb="FF00338D"/>
      </left>
      <right/>
      <top/>
      <bottom/>
      <diagonal/>
    </border>
    <border>
      <left style="hair">
        <color rgb="FF00338D"/>
      </left>
      <right style="thin">
        <color rgb="FF00338D"/>
      </right>
      <top/>
      <bottom/>
      <diagonal/>
    </border>
    <border>
      <left/>
      <right style="hair">
        <color rgb="FF00338D"/>
      </right>
      <top/>
      <bottom/>
      <diagonal/>
    </border>
    <border>
      <left style="thin">
        <color rgb="FF00338D"/>
      </left>
      <right style="thin">
        <color rgb="FF00338D"/>
      </right>
      <top style="thin">
        <color rgb="FF00338D"/>
      </top>
      <bottom/>
      <diagonal/>
    </border>
    <border>
      <left style="thin">
        <color rgb="FF00338D"/>
      </left>
      <right style="thin">
        <color rgb="FF00338D"/>
      </right>
      <top/>
      <bottom/>
      <diagonal/>
    </border>
    <border>
      <left style="thin">
        <color rgb="FF00338D"/>
      </left>
      <right style="thin">
        <color rgb="FF00338D"/>
      </right>
      <top/>
      <bottom style="thin">
        <color rgb="FF00338D"/>
      </bottom>
      <diagonal/>
    </border>
    <border>
      <left/>
      <right/>
      <top/>
      <bottom style="dotted">
        <color rgb="FF00338D"/>
      </bottom>
      <diagonal/>
    </border>
    <border>
      <left/>
      <right/>
      <top style="dotted">
        <color rgb="FF00338D"/>
      </top>
      <bottom/>
      <diagonal/>
    </border>
    <border>
      <left/>
      <right style="thin">
        <color rgb="FF00338D"/>
      </right>
      <top/>
      <bottom style="dotted">
        <color rgb="FF00338D"/>
      </bottom>
      <diagonal/>
    </border>
    <border>
      <left/>
      <right style="dotted">
        <color rgb="FF00338D"/>
      </right>
      <top style="thin">
        <color rgb="FF00338D"/>
      </top>
      <bottom/>
      <diagonal/>
    </border>
    <border>
      <left/>
      <right style="dotted">
        <color rgb="FF00338D"/>
      </right>
      <top/>
      <bottom/>
      <diagonal/>
    </border>
    <border>
      <left/>
      <right style="dotted">
        <color rgb="FF00338D"/>
      </right>
      <top/>
      <bottom style="thin">
        <color rgb="FF00338D"/>
      </bottom>
      <diagonal/>
    </border>
    <border>
      <left/>
      <right style="dotted">
        <color rgb="FF00338D"/>
      </right>
      <top/>
      <bottom style="dotted">
        <color rgb="FF00338D"/>
      </bottom>
      <diagonal/>
    </border>
    <border>
      <left/>
      <right style="dotted">
        <color rgb="FF00338D"/>
      </right>
      <top style="dotted">
        <color rgb="FF00338D"/>
      </top>
      <bottom/>
      <diagonal/>
    </border>
    <border>
      <left/>
      <right style="dotted">
        <color rgb="FF00338D"/>
      </right>
      <top style="thin">
        <color rgb="FF00338D"/>
      </top>
      <bottom style="dotted">
        <color rgb="FF00338D"/>
      </bottom>
      <diagonal/>
    </border>
    <border>
      <left style="dotted">
        <color rgb="FF00338D"/>
      </left>
      <right/>
      <top style="dotted">
        <color rgb="FF00338D"/>
      </top>
      <bottom/>
      <diagonal/>
    </border>
    <border>
      <left style="dotted">
        <color rgb="FF00338D"/>
      </left>
      <right/>
      <top/>
      <bottom/>
      <diagonal/>
    </border>
    <border>
      <left style="thin">
        <color rgb="FF00338D"/>
      </left>
      <right style="dotted">
        <color rgb="FF00338D"/>
      </right>
      <top/>
      <bottom style="dotted">
        <color rgb="FF00338D"/>
      </bottom>
      <diagonal/>
    </border>
    <border>
      <left style="thin">
        <color rgb="FF00338D"/>
      </left>
      <right style="thin">
        <color rgb="FF00338D"/>
      </right>
      <top style="thin">
        <color rgb="FF00338D"/>
      </top>
      <bottom style="thin">
        <color rgb="FF00338D"/>
      </bottom>
      <diagonal/>
    </border>
    <border>
      <left style="thin">
        <color rgb="FF00338D"/>
      </left>
      <right style="dotted">
        <color rgb="FF00338D"/>
      </right>
      <top style="thin">
        <color rgb="FF00338D"/>
      </top>
      <bottom/>
      <diagonal/>
    </border>
    <border>
      <left style="medium">
        <color rgb="FF00338D"/>
      </left>
      <right/>
      <top style="medium">
        <color rgb="FF00338D"/>
      </top>
      <bottom style="medium">
        <color rgb="FF00338D"/>
      </bottom>
      <diagonal/>
    </border>
    <border>
      <left/>
      <right/>
      <top style="medium">
        <color rgb="FF00338D"/>
      </top>
      <bottom style="medium">
        <color rgb="FF00338D"/>
      </bottom>
      <diagonal/>
    </border>
    <border>
      <left/>
      <right style="medium">
        <color rgb="FF00338D"/>
      </right>
      <top style="medium">
        <color rgb="FF00338D"/>
      </top>
      <bottom style="medium">
        <color rgb="FF00338D"/>
      </bottom>
      <diagonal/>
    </border>
    <border>
      <left style="thin">
        <color rgb="FF00338D"/>
      </left>
      <right/>
      <top/>
      <bottom style="thin">
        <color rgb="FF00338D"/>
      </bottom>
      <diagonal/>
    </border>
    <border>
      <left style="thin">
        <color rgb="FF00338D"/>
      </left>
      <right/>
      <top style="thin">
        <color rgb="FF00338D"/>
      </top>
      <bottom style="thin">
        <color rgb="FF00338D"/>
      </bottom>
      <diagonal/>
    </border>
    <border>
      <left style="dotted">
        <color rgb="FF00338D"/>
      </left>
      <right style="dotted">
        <color rgb="FF00338D"/>
      </right>
      <top style="dotted">
        <color rgb="FF00338D"/>
      </top>
      <bottom style="dotted">
        <color rgb="FF00338D"/>
      </bottom>
      <diagonal/>
    </border>
    <border>
      <left style="dotted">
        <color rgb="FF00338D"/>
      </left>
      <right style="dotted">
        <color rgb="FF00338D"/>
      </right>
      <top style="thin">
        <color rgb="FF00338D"/>
      </top>
      <bottom style="dotted">
        <color rgb="FF00338D"/>
      </bottom>
      <diagonal/>
    </border>
    <border>
      <left style="dotted">
        <color rgb="FF00338D"/>
      </left>
      <right style="thin">
        <color rgb="FF00338D"/>
      </right>
      <top style="thin">
        <color rgb="FF00338D"/>
      </top>
      <bottom style="dotted">
        <color rgb="FF00338D"/>
      </bottom>
      <diagonal/>
    </border>
    <border>
      <left style="thin">
        <color rgb="FF00338D"/>
      </left>
      <right style="dotted">
        <color rgb="FF00338D"/>
      </right>
      <top style="dotted">
        <color rgb="FF00338D"/>
      </top>
      <bottom style="dotted">
        <color rgb="FF00338D"/>
      </bottom>
      <diagonal/>
    </border>
    <border>
      <left style="dotted">
        <color rgb="FF00338D"/>
      </left>
      <right style="thin">
        <color rgb="FF00338D"/>
      </right>
      <top style="dotted">
        <color rgb="FF00338D"/>
      </top>
      <bottom style="dotted">
        <color rgb="FF00338D"/>
      </bottom>
      <diagonal/>
    </border>
    <border>
      <left style="thin">
        <color rgb="FF00338D"/>
      </left>
      <right style="dotted">
        <color rgb="FF00338D"/>
      </right>
      <top style="dotted">
        <color rgb="FF00338D"/>
      </top>
      <bottom style="thin">
        <color rgb="FF00338D"/>
      </bottom>
      <diagonal/>
    </border>
    <border>
      <left style="dotted">
        <color rgb="FF00338D"/>
      </left>
      <right style="dotted">
        <color rgb="FF00338D"/>
      </right>
      <top style="dotted">
        <color rgb="FF00338D"/>
      </top>
      <bottom style="thin">
        <color rgb="FF00338D"/>
      </bottom>
      <diagonal/>
    </border>
    <border>
      <left style="dotted">
        <color rgb="FF00338D"/>
      </left>
      <right style="thin">
        <color rgb="FF00338D"/>
      </right>
      <top style="dotted">
        <color rgb="FF00338D"/>
      </top>
      <bottom style="thin">
        <color rgb="FF00338D"/>
      </bottom>
      <diagonal/>
    </border>
  </borders>
  <cellStyleXfs count="11">
    <xf numFmtId="0" fontId="0" fillId="0" borderId="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0" fontId="30" fillId="0" borderId="0"/>
    <xf numFmtId="41" fontId="1" fillId="0" borderId="0" applyFont="0" applyFill="0" applyBorder="0" applyAlignment="0" applyProtection="0">
      <alignment vertical="center"/>
    </xf>
    <xf numFmtId="9" fontId="41" fillId="0" borderId="0" applyFont="0" applyFill="0" applyBorder="0" applyAlignment="0" applyProtection="0">
      <alignment vertical="center"/>
    </xf>
    <xf numFmtId="0" fontId="52" fillId="0" borderId="0"/>
    <xf numFmtId="0" fontId="1" fillId="0" borderId="0">
      <alignment vertical="center"/>
    </xf>
    <xf numFmtId="0" fontId="60" fillId="0" borderId="0">
      <alignment vertical="center"/>
    </xf>
    <xf numFmtId="41" fontId="63" fillId="0" borderId="0" applyFont="0" applyFill="0" applyBorder="0" applyAlignment="0" applyProtection="0"/>
    <xf numFmtId="9" fontId="1" fillId="0" borderId="0" applyFont="0" applyFill="0" applyBorder="0" applyAlignment="0" applyProtection="0">
      <alignment vertical="center"/>
    </xf>
  </cellStyleXfs>
  <cellXfs count="1801">
    <xf numFmtId="0" fontId="0" fillId="0" borderId="0" xfId="0">
      <alignment vertical="center"/>
    </xf>
    <xf numFmtId="3" fontId="0" fillId="0" borderId="0" xfId="0" applyNumberFormat="1">
      <alignment vertical="center"/>
    </xf>
    <xf numFmtId="0" fontId="3" fillId="0" borderId="0" xfId="0" applyFont="1">
      <alignment vertical="center"/>
    </xf>
    <xf numFmtId="0" fontId="4" fillId="5" borderId="0" xfId="0" applyFont="1" applyFill="1" applyAlignment="1">
      <alignment horizontal="center" vertical="center"/>
    </xf>
    <xf numFmtId="0" fontId="6" fillId="6" borderId="0" xfId="0" applyFont="1" applyFill="1">
      <alignment vertical="center"/>
    </xf>
    <xf numFmtId="0" fontId="4" fillId="6" borderId="0" xfId="0" applyFont="1" applyFill="1" applyAlignment="1">
      <alignment horizontal="center" vertical="center"/>
    </xf>
    <xf numFmtId="0" fontId="7" fillId="0" borderId="0" xfId="0" applyFont="1" applyAlignment="1">
      <alignment horizontal="center" vertical="center"/>
    </xf>
    <xf numFmtId="0" fontId="9" fillId="7" borderId="0" xfId="0" applyFont="1" applyFill="1" applyAlignment="1">
      <alignment horizontal="center" vertical="center"/>
    </xf>
    <xf numFmtId="0" fontId="4" fillId="6" borderId="29" xfId="0" applyFont="1" applyFill="1" applyBorder="1" applyAlignment="1">
      <alignment horizontal="center" vertical="center"/>
    </xf>
    <xf numFmtId="0" fontId="4" fillId="5" borderId="31" xfId="0" applyFont="1" applyFill="1" applyBorder="1" applyAlignment="1">
      <alignment horizontal="center" vertical="center"/>
    </xf>
    <xf numFmtId="0" fontId="4" fillId="5" borderId="29" xfId="0" applyFont="1" applyFill="1" applyBorder="1" applyAlignment="1">
      <alignment horizontal="center" vertical="center"/>
    </xf>
    <xf numFmtId="0" fontId="5" fillId="0" borderId="28" xfId="0" applyFont="1" applyBorder="1">
      <alignment vertical="center"/>
    </xf>
    <xf numFmtId="0" fontId="5" fillId="0" borderId="28" xfId="0" applyFont="1" applyBorder="1" applyAlignment="1">
      <alignment horizontal="center" vertical="center"/>
    </xf>
    <xf numFmtId="0" fontId="5" fillId="0" borderId="30" xfId="0" applyFont="1" applyBorder="1" applyAlignment="1">
      <alignment horizontal="center" vertical="center"/>
    </xf>
    <xf numFmtId="0" fontId="5" fillId="0" borderId="32" xfId="0" applyFont="1" applyBorder="1" applyAlignment="1">
      <alignment horizontal="center" vertical="center"/>
    </xf>
    <xf numFmtId="176" fontId="5" fillId="0" borderId="0" xfId="0" applyNumberFormat="1" applyFont="1">
      <alignment vertical="center"/>
    </xf>
    <xf numFmtId="176" fontId="5" fillId="0" borderId="29" xfId="0" applyNumberFormat="1" applyFont="1" applyBorder="1">
      <alignment vertical="center"/>
    </xf>
    <xf numFmtId="176" fontId="5" fillId="0" borderId="31" xfId="0" applyNumberFormat="1" applyFont="1" applyBorder="1">
      <alignment vertical="center"/>
    </xf>
    <xf numFmtId="176" fontId="10" fillId="0" borderId="0" xfId="0" applyNumberFormat="1" applyFont="1">
      <alignment vertical="center"/>
    </xf>
    <xf numFmtId="176" fontId="10" fillId="0" borderId="29" xfId="0" applyNumberFormat="1" applyFont="1" applyBorder="1">
      <alignment vertical="center"/>
    </xf>
    <xf numFmtId="176" fontId="10" fillId="0" borderId="31" xfId="0" applyNumberFormat="1" applyFont="1" applyBorder="1">
      <alignment vertical="center"/>
    </xf>
    <xf numFmtId="0" fontId="10" fillId="0" borderId="0" xfId="0" applyFont="1">
      <alignment vertical="center"/>
    </xf>
    <xf numFmtId="176" fontId="10" fillId="0" borderId="0" xfId="0" applyNumberFormat="1" applyFont="1" applyAlignment="1">
      <alignment horizontal="left" vertical="center" indent="2"/>
    </xf>
    <xf numFmtId="176" fontId="10" fillId="0" borderId="0" xfId="0" applyNumberFormat="1" applyFont="1" applyAlignment="1">
      <alignment horizontal="left" vertical="center" indent="1"/>
    </xf>
    <xf numFmtId="176" fontId="10" fillId="8" borderId="0" xfId="0" applyNumberFormat="1" applyFont="1" applyFill="1">
      <alignment vertical="center"/>
    </xf>
    <xf numFmtId="176" fontId="10" fillId="9" borderId="0" xfId="0" applyNumberFormat="1" applyFont="1" applyFill="1">
      <alignment vertical="center"/>
    </xf>
    <xf numFmtId="176" fontId="10" fillId="9" borderId="29" xfId="0" applyNumberFormat="1" applyFont="1" applyFill="1" applyBorder="1">
      <alignment vertical="center"/>
    </xf>
    <xf numFmtId="176" fontId="10" fillId="9" borderId="31" xfId="0" applyNumberFormat="1" applyFont="1" applyFill="1" applyBorder="1">
      <alignment vertical="center"/>
    </xf>
    <xf numFmtId="176" fontId="5" fillId="9" borderId="0" xfId="0" applyNumberFormat="1" applyFont="1" applyFill="1">
      <alignment vertical="center"/>
    </xf>
    <xf numFmtId="176" fontId="5" fillId="9" borderId="29" xfId="0" applyNumberFormat="1" applyFont="1" applyFill="1" applyBorder="1">
      <alignment vertical="center"/>
    </xf>
    <xf numFmtId="176" fontId="5" fillId="9" borderId="31" xfId="0" applyNumberFormat="1" applyFont="1" applyFill="1" applyBorder="1">
      <alignment vertical="center"/>
    </xf>
    <xf numFmtId="176" fontId="10" fillId="0" borderId="28" xfId="0" applyNumberFormat="1" applyFont="1" applyBorder="1">
      <alignment vertical="center"/>
    </xf>
    <xf numFmtId="176" fontId="10" fillId="0" borderId="30" xfId="0" applyNumberFormat="1" applyFont="1" applyBorder="1">
      <alignment vertical="center"/>
    </xf>
    <xf numFmtId="176" fontId="10" fillId="0" borderId="32" xfId="0" applyNumberFormat="1" applyFont="1" applyBorder="1">
      <alignment vertical="center"/>
    </xf>
    <xf numFmtId="176" fontId="5" fillId="9" borderId="33" xfId="0" applyNumberFormat="1" applyFont="1" applyFill="1" applyBorder="1">
      <alignment vertical="center"/>
    </xf>
    <xf numFmtId="176" fontId="5" fillId="9" borderId="34" xfId="0" applyNumberFormat="1" applyFont="1" applyFill="1" applyBorder="1">
      <alignment vertical="center"/>
    </xf>
    <xf numFmtId="176" fontId="5" fillId="9" borderId="35" xfId="0" applyNumberFormat="1" applyFont="1" applyFill="1" applyBorder="1">
      <alignment vertical="center"/>
    </xf>
    <xf numFmtId="176" fontId="5" fillId="0" borderId="36" xfId="0" applyNumberFormat="1" applyFont="1" applyBorder="1" applyAlignment="1">
      <alignment horizontal="left" vertical="center" indent="1"/>
    </xf>
    <xf numFmtId="176" fontId="5" fillId="0" borderId="36" xfId="0" applyNumberFormat="1" applyFont="1" applyBorder="1">
      <alignment vertical="center"/>
    </xf>
    <xf numFmtId="176" fontId="5" fillId="0" borderId="37" xfId="0" applyNumberFormat="1" applyFont="1" applyBorder="1">
      <alignment vertical="center"/>
    </xf>
    <xf numFmtId="176" fontId="5" fillId="0" borderId="38" xfId="0" applyNumberFormat="1" applyFont="1" applyBorder="1">
      <alignment vertical="center"/>
    </xf>
    <xf numFmtId="176" fontId="5" fillId="9" borderId="36" xfId="0" applyNumberFormat="1" applyFont="1" applyFill="1" applyBorder="1">
      <alignment vertical="center"/>
    </xf>
    <xf numFmtId="176" fontId="5" fillId="9" borderId="37" xfId="0" applyNumberFormat="1" applyFont="1" applyFill="1" applyBorder="1">
      <alignment vertical="center"/>
    </xf>
    <xf numFmtId="176" fontId="5" fillId="9" borderId="38" xfId="0" applyNumberFormat="1" applyFont="1" applyFill="1" applyBorder="1">
      <alignment vertical="center"/>
    </xf>
    <xf numFmtId="177" fontId="7" fillId="0" borderId="0" xfId="1" applyNumberFormat="1" applyFont="1">
      <alignment vertical="center"/>
    </xf>
    <xf numFmtId="176" fontId="7" fillId="0" borderId="0" xfId="0" applyNumberFormat="1" applyFont="1">
      <alignment vertical="center"/>
    </xf>
    <xf numFmtId="176" fontId="8" fillId="0" borderId="39" xfId="0" applyNumberFormat="1" applyFont="1" applyBorder="1">
      <alignment vertical="center"/>
    </xf>
    <xf numFmtId="177" fontId="8" fillId="0" borderId="39" xfId="1" applyNumberFormat="1" applyFont="1" applyBorder="1">
      <alignment vertical="center"/>
    </xf>
    <xf numFmtId="177" fontId="8" fillId="0" borderId="40" xfId="1" applyNumberFormat="1" applyFont="1" applyBorder="1">
      <alignment vertical="center"/>
    </xf>
    <xf numFmtId="177" fontId="8" fillId="0" borderId="41" xfId="1" applyNumberFormat="1" applyFont="1" applyBorder="1">
      <alignment vertical="center"/>
    </xf>
    <xf numFmtId="178" fontId="5" fillId="0" borderId="36" xfId="0" applyNumberFormat="1" applyFont="1" applyBorder="1">
      <alignment vertical="center"/>
    </xf>
    <xf numFmtId="178" fontId="5" fillId="0" borderId="37" xfId="0" applyNumberFormat="1" applyFont="1" applyBorder="1">
      <alignment vertical="center"/>
    </xf>
    <xf numFmtId="178" fontId="5" fillId="0" borderId="38" xfId="0" applyNumberFormat="1" applyFont="1" applyBorder="1">
      <alignment vertical="center"/>
    </xf>
    <xf numFmtId="178" fontId="10" fillId="0" borderId="0" xfId="0" applyNumberFormat="1" applyFont="1">
      <alignment vertical="center"/>
    </xf>
    <xf numFmtId="178" fontId="10" fillId="0" borderId="29" xfId="0" applyNumberFormat="1" applyFont="1" applyBorder="1">
      <alignment vertical="center"/>
    </xf>
    <xf numFmtId="178" fontId="10" fillId="0" borderId="31" xfId="0" applyNumberFormat="1" applyFont="1" applyBorder="1">
      <alignment vertical="center"/>
    </xf>
    <xf numFmtId="178" fontId="11" fillId="0" borderId="36" xfId="0" applyNumberFormat="1" applyFont="1" applyBorder="1">
      <alignment vertical="center"/>
    </xf>
    <xf numFmtId="178" fontId="11" fillId="0" borderId="37" xfId="0" applyNumberFormat="1" applyFont="1" applyBorder="1">
      <alignment vertical="center"/>
    </xf>
    <xf numFmtId="178" fontId="11" fillId="0" borderId="38" xfId="0" applyNumberFormat="1" applyFont="1" applyBorder="1">
      <alignment vertical="center"/>
    </xf>
    <xf numFmtId="178" fontId="7" fillId="0" borderId="0" xfId="0" applyNumberFormat="1" applyFont="1">
      <alignment vertical="center"/>
    </xf>
    <xf numFmtId="178" fontId="7" fillId="0" borderId="29" xfId="0" applyNumberFormat="1" applyFont="1" applyBorder="1">
      <alignment vertical="center"/>
    </xf>
    <xf numFmtId="178" fontId="7" fillId="0" borderId="31" xfId="0" applyNumberFormat="1" applyFont="1" applyBorder="1">
      <alignment vertical="center"/>
    </xf>
    <xf numFmtId="178" fontId="11" fillId="0" borderId="37" xfId="0" applyNumberFormat="1" applyFont="1" applyBorder="1" applyAlignment="1">
      <alignment horizontal="right" vertical="center"/>
    </xf>
    <xf numFmtId="178" fontId="11" fillId="0" borderId="38" xfId="0" applyNumberFormat="1" applyFont="1" applyBorder="1" applyAlignment="1">
      <alignment horizontal="right" vertical="center"/>
    </xf>
    <xf numFmtId="178" fontId="7" fillId="0" borderId="29" xfId="0" applyNumberFormat="1" applyFont="1" applyBorder="1" applyAlignment="1">
      <alignment horizontal="right" vertical="center"/>
    </xf>
    <xf numFmtId="178" fontId="7" fillId="0" borderId="31" xfId="0" applyNumberFormat="1" applyFont="1" applyBorder="1" applyAlignment="1">
      <alignment horizontal="right" vertical="center"/>
    </xf>
    <xf numFmtId="176" fontId="10" fillId="10" borderId="0" xfId="0" applyNumberFormat="1" applyFont="1" applyFill="1">
      <alignment vertical="center"/>
    </xf>
    <xf numFmtId="176" fontId="11" fillId="0" borderId="0" xfId="0" applyNumberFormat="1" applyFont="1">
      <alignment vertical="center"/>
    </xf>
    <xf numFmtId="178" fontId="11" fillId="10" borderId="36" xfId="0" applyNumberFormat="1" applyFont="1" applyFill="1" applyBorder="1">
      <alignment vertical="center"/>
    </xf>
    <xf numFmtId="176" fontId="5" fillId="0" borderId="0" xfId="0" applyNumberFormat="1" applyFont="1" applyAlignment="1">
      <alignment horizontal="right" vertical="center"/>
    </xf>
    <xf numFmtId="176" fontId="10" fillId="10" borderId="31" xfId="0" applyNumberFormat="1" applyFont="1" applyFill="1" applyBorder="1">
      <alignment vertical="center"/>
    </xf>
    <xf numFmtId="176" fontId="10" fillId="9" borderId="33" xfId="0" applyNumberFormat="1" applyFont="1" applyFill="1" applyBorder="1">
      <alignment vertical="center"/>
    </xf>
    <xf numFmtId="0" fontId="12" fillId="6" borderId="0" xfId="0" applyFont="1" applyFill="1">
      <alignment vertical="center"/>
    </xf>
    <xf numFmtId="176" fontId="10" fillId="0" borderId="36" xfId="0" applyNumberFormat="1" applyFont="1" applyBorder="1">
      <alignment vertical="center"/>
    </xf>
    <xf numFmtId="176" fontId="10" fillId="9" borderId="36" xfId="0" applyNumberFormat="1" applyFont="1" applyFill="1" applyBorder="1">
      <alignment vertical="center"/>
    </xf>
    <xf numFmtId="0" fontId="7" fillId="0" borderId="28" xfId="0" applyFont="1" applyBorder="1">
      <alignment vertical="center"/>
    </xf>
    <xf numFmtId="176" fontId="5" fillId="11" borderId="33" xfId="0" applyNumberFormat="1" applyFont="1" applyFill="1" applyBorder="1">
      <alignment vertical="center"/>
    </xf>
    <xf numFmtId="176" fontId="10" fillId="11" borderId="33" xfId="0" applyNumberFormat="1" applyFont="1" applyFill="1" applyBorder="1">
      <alignment vertical="center"/>
    </xf>
    <xf numFmtId="178" fontId="11" fillId="11" borderId="33" xfId="0" applyNumberFormat="1" applyFont="1" applyFill="1" applyBorder="1">
      <alignment vertical="center"/>
    </xf>
    <xf numFmtId="178" fontId="11" fillId="11" borderId="34" xfId="0" applyNumberFormat="1" applyFont="1" applyFill="1" applyBorder="1">
      <alignment vertical="center"/>
    </xf>
    <xf numFmtId="178" fontId="11" fillId="11" borderId="35" xfId="0" applyNumberFormat="1" applyFont="1" applyFill="1" applyBorder="1">
      <alignment vertical="center"/>
    </xf>
    <xf numFmtId="178" fontId="10" fillId="8" borderId="0" xfId="0" applyNumberFormat="1" applyFont="1" applyFill="1">
      <alignment vertical="center"/>
    </xf>
    <xf numFmtId="178" fontId="5" fillId="11" borderId="33" xfId="0" applyNumberFormat="1" applyFont="1" applyFill="1" applyBorder="1">
      <alignment vertical="center"/>
    </xf>
    <xf numFmtId="178" fontId="5" fillId="11" borderId="34" xfId="0" applyNumberFormat="1" applyFont="1" applyFill="1" applyBorder="1">
      <alignment vertical="center"/>
    </xf>
    <xf numFmtId="178" fontId="5" fillId="11" borderId="35" xfId="0" applyNumberFormat="1" applyFont="1" applyFill="1" applyBorder="1">
      <alignment vertical="center"/>
    </xf>
    <xf numFmtId="178" fontId="10" fillId="10" borderId="0" xfId="0" applyNumberFormat="1" applyFont="1" applyFill="1">
      <alignment vertical="center"/>
    </xf>
    <xf numFmtId="178" fontId="10" fillId="10" borderId="29" xfId="0" applyNumberFormat="1" applyFont="1" applyFill="1" applyBorder="1">
      <alignment vertical="center"/>
    </xf>
    <xf numFmtId="176" fontId="5" fillId="11" borderId="36" xfId="0" applyNumberFormat="1" applyFont="1" applyFill="1" applyBorder="1">
      <alignment vertical="center"/>
    </xf>
    <xf numFmtId="176" fontId="10" fillId="11" borderId="36" xfId="0" applyNumberFormat="1" applyFont="1" applyFill="1" applyBorder="1">
      <alignment vertical="center"/>
    </xf>
    <xf numFmtId="178" fontId="5" fillId="11" borderId="36" xfId="0" applyNumberFormat="1" applyFont="1" applyFill="1" applyBorder="1">
      <alignment vertical="center"/>
    </xf>
    <xf numFmtId="178" fontId="5" fillId="11" borderId="37" xfId="0" applyNumberFormat="1" applyFont="1" applyFill="1" applyBorder="1">
      <alignment vertical="center"/>
    </xf>
    <xf numFmtId="178" fontId="5" fillId="11" borderId="38" xfId="0" applyNumberFormat="1" applyFont="1" applyFill="1" applyBorder="1">
      <alignment vertical="center"/>
    </xf>
    <xf numFmtId="176" fontId="5" fillId="12" borderId="33" xfId="0" applyNumberFormat="1" applyFont="1" applyFill="1" applyBorder="1">
      <alignment vertical="center"/>
    </xf>
    <xf numFmtId="176" fontId="10" fillId="12" borderId="33" xfId="0" applyNumberFormat="1" applyFont="1" applyFill="1" applyBorder="1">
      <alignment vertical="center"/>
    </xf>
    <xf numFmtId="178" fontId="11" fillId="12" borderId="33" xfId="0" applyNumberFormat="1" applyFont="1" applyFill="1" applyBorder="1">
      <alignment vertical="center"/>
    </xf>
    <xf numFmtId="178" fontId="11" fillId="12" borderId="34" xfId="0" applyNumberFormat="1" applyFont="1" applyFill="1" applyBorder="1" applyAlignment="1">
      <alignment horizontal="right" vertical="center"/>
    </xf>
    <xf numFmtId="178" fontId="11" fillId="12" borderId="35" xfId="0" applyNumberFormat="1" applyFont="1" applyFill="1" applyBorder="1" applyAlignment="1">
      <alignment horizontal="right" vertical="center"/>
    </xf>
    <xf numFmtId="178" fontId="11" fillId="12" borderId="34" xfId="0" applyNumberFormat="1" applyFont="1" applyFill="1" applyBorder="1">
      <alignment vertical="center"/>
    </xf>
    <xf numFmtId="0" fontId="18" fillId="0" borderId="0" xfId="0" applyFont="1" applyAlignment="1">
      <alignment horizontal="left" vertical="center"/>
    </xf>
    <xf numFmtId="0" fontId="14" fillId="0" borderId="0" xfId="0" applyFont="1" applyAlignment="1">
      <alignment horizontal="justify" vertical="center"/>
    </xf>
    <xf numFmtId="0" fontId="15" fillId="0" borderId="0" xfId="0" applyFont="1">
      <alignment vertical="center"/>
    </xf>
    <xf numFmtId="0" fontId="14" fillId="0" borderId="0" xfId="0" applyFont="1" applyAlignment="1">
      <alignment horizontal="center" vertical="center"/>
    </xf>
    <xf numFmtId="0" fontId="16" fillId="0" borderId="0" xfId="0" applyFont="1" applyAlignment="1">
      <alignment horizontal="center" vertical="center"/>
    </xf>
    <xf numFmtId="0" fontId="16" fillId="0" borderId="0" xfId="0" applyFont="1" applyAlignment="1"/>
    <xf numFmtId="0" fontId="16" fillId="0" borderId="0" xfId="0" applyFont="1" applyAlignment="1">
      <alignment horizontal="right"/>
    </xf>
    <xf numFmtId="0" fontId="16" fillId="0" borderId="0" xfId="0" applyFont="1" applyAlignment="1">
      <alignment horizontal="right" vertical="center"/>
    </xf>
    <xf numFmtId="0" fontId="16" fillId="13" borderId="45" xfId="0" applyFont="1" applyFill="1" applyBorder="1" applyAlignment="1">
      <alignment horizontal="center" vertical="center"/>
    </xf>
    <xf numFmtId="0" fontId="16" fillId="13" borderId="46" xfId="0" applyFont="1" applyFill="1" applyBorder="1" applyAlignment="1">
      <alignment horizontal="center" vertical="center"/>
    </xf>
    <xf numFmtId="0" fontId="16" fillId="13" borderId="67" xfId="0" applyFont="1" applyFill="1" applyBorder="1" applyAlignment="1">
      <alignment horizontal="center" vertical="center"/>
    </xf>
    <xf numFmtId="0" fontId="16" fillId="0" borderId="50" xfId="0" applyFont="1" applyBorder="1" applyAlignment="1">
      <alignment vertical="top"/>
    </xf>
    <xf numFmtId="0" fontId="16" fillId="0" borderId="42" xfId="0" applyFont="1" applyBorder="1">
      <alignment vertical="center"/>
    </xf>
    <xf numFmtId="0" fontId="16" fillId="0" borderId="42" xfId="0" applyFont="1" applyBorder="1" applyAlignment="1">
      <alignment horizontal="right" vertical="top"/>
    </xf>
    <xf numFmtId="0" fontId="16" fillId="0" borderId="51" xfId="0" applyFont="1" applyBorder="1" applyAlignment="1">
      <alignment horizontal="right" vertical="top"/>
    </xf>
    <xf numFmtId="0" fontId="16" fillId="0" borderId="42" xfId="0" applyFont="1" applyBorder="1" applyAlignment="1">
      <alignment vertical="top"/>
    </xf>
    <xf numFmtId="0" fontId="16" fillId="0" borderId="50" xfId="0" applyFont="1" applyBorder="1">
      <alignment vertical="center"/>
    </xf>
    <xf numFmtId="0" fontId="16" fillId="0" borderId="42" xfId="0" applyFont="1" applyBorder="1" applyAlignment="1">
      <alignment horizontal="right" vertical="center"/>
    </xf>
    <xf numFmtId="0" fontId="16" fillId="0" borderId="51" xfId="0" applyFont="1" applyBorder="1" applyAlignment="1">
      <alignment horizontal="right" vertical="center"/>
    </xf>
    <xf numFmtId="3" fontId="16" fillId="0" borderId="42" xfId="0" applyNumberFormat="1" applyFont="1" applyBorder="1" applyAlignment="1">
      <alignment horizontal="right" vertical="top"/>
    </xf>
    <xf numFmtId="3" fontId="16" fillId="0" borderId="51" xfId="0" applyNumberFormat="1" applyFont="1" applyBorder="1" applyAlignment="1">
      <alignment horizontal="right" vertical="top"/>
    </xf>
    <xf numFmtId="3" fontId="16" fillId="0" borderId="42" xfId="0" applyNumberFormat="1" applyFont="1" applyBorder="1" applyAlignment="1">
      <alignment horizontal="right" vertical="center"/>
    </xf>
    <xf numFmtId="3" fontId="16" fillId="0" borderId="51" xfId="0" applyNumberFormat="1" applyFont="1" applyBorder="1" applyAlignment="1">
      <alignment horizontal="right" vertical="center"/>
    </xf>
    <xf numFmtId="0" fontId="16" fillId="0" borderId="52" xfId="0" applyFont="1" applyBorder="1" applyAlignment="1">
      <alignment vertical="top"/>
    </xf>
    <xf numFmtId="0" fontId="16" fillId="0" borderId="53" xfId="0" applyFont="1" applyBorder="1">
      <alignment vertical="center"/>
    </xf>
    <xf numFmtId="0" fontId="16" fillId="0" borderId="53" xfId="0" applyFont="1" applyBorder="1" applyAlignment="1">
      <alignment horizontal="right" vertical="top"/>
    </xf>
    <xf numFmtId="0" fontId="16" fillId="0" borderId="54" xfId="0" applyFont="1" applyBorder="1" applyAlignment="1">
      <alignment horizontal="right" vertical="top"/>
    </xf>
    <xf numFmtId="0" fontId="16" fillId="0" borderId="52" xfId="0" applyFont="1" applyBorder="1">
      <alignment vertical="center"/>
    </xf>
    <xf numFmtId="3" fontId="16" fillId="0" borderId="53" xfId="0" applyNumberFormat="1" applyFont="1" applyBorder="1" applyAlignment="1">
      <alignment horizontal="right" vertical="center"/>
    </xf>
    <xf numFmtId="3" fontId="16" fillId="0" borderId="54" xfId="0" applyNumberFormat="1" applyFont="1" applyBorder="1" applyAlignment="1">
      <alignment horizontal="right" vertical="center"/>
    </xf>
    <xf numFmtId="0" fontId="17" fillId="0" borderId="0" xfId="0" applyFont="1">
      <alignment vertical="center"/>
    </xf>
    <xf numFmtId="0" fontId="16" fillId="0" borderId="53" xfId="0" applyFont="1" applyBorder="1" applyAlignment="1">
      <alignment vertical="top"/>
    </xf>
    <xf numFmtId="3" fontId="16" fillId="0" borderId="53" xfId="0" applyNumberFormat="1" applyFont="1" applyBorder="1" applyAlignment="1">
      <alignment horizontal="right" vertical="top"/>
    </xf>
    <xf numFmtId="3" fontId="16" fillId="0" borderId="54" xfId="0" applyNumberFormat="1" applyFont="1" applyBorder="1" applyAlignment="1">
      <alignment horizontal="right" vertical="top"/>
    </xf>
    <xf numFmtId="0" fontId="16" fillId="0" borderId="0" xfId="0" applyFont="1" applyAlignment="1">
      <alignment horizontal="justify" vertical="center"/>
    </xf>
    <xf numFmtId="0" fontId="16" fillId="0" borderId="0" xfId="0" applyFont="1">
      <alignment vertical="center"/>
    </xf>
    <xf numFmtId="0" fontId="16" fillId="13" borderId="42" xfId="0" applyFont="1" applyFill="1" applyBorder="1" applyAlignment="1">
      <alignment horizontal="center" vertical="center"/>
    </xf>
    <xf numFmtId="0" fontId="16" fillId="13" borderId="51" xfId="0" applyFont="1" applyFill="1" applyBorder="1" applyAlignment="1">
      <alignment horizontal="center" vertical="center"/>
    </xf>
    <xf numFmtId="0" fontId="16" fillId="0" borderId="53" xfId="0" applyFont="1" applyBorder="1" applyAlignment="1">
      <alignment horizontal="right" vertical="center"/>
    </xf>
    <xf numFmtId="0" fontId="16" fillId="0" borderId="54" xfId="0" applyFont="1" applyBorder="1" applyAlignment="1">
      <alignment horizontal="right" vertical="center"/>
    </xf>
    <xf numFmtId="0" fontId="16" fillId="13" borderId="58" xfId="0" applyFont="1" applyFill="1" applyBorder="1" applyAlignment="1">
      <alignment horizontal="center" vertical="center"/>
    </xf>
    <xf numFmtId="0" fontId="16" fillId="13" borderId="56" xfId="0" applyFont="1" applyFill="1" applyBorder="1" applyAlignment="1">
      <alignment horizontal="center" vertical="center"/>
    </xf>
    <xf numFmtId="0" fontId="16" fillId="0" borderId="0" xfId="0" applyFont="1" applyAlignment="1">
      <alignment horizontal="center" vertical="top"/>
    </xf>
    <xf numFmtId="0" fontId="16" fillId="0" borderId="0" xfId="0" applyFont="1" applyAlignment="1">
      <alignment vertical="top"/>
    </xf>
    <xf numFmtId="0" fontId="17" fillId="0" borderId="0" xfId="0" applyFont="1" applyAlignment="1">
      <alignment horizontal="justify" vertical="center"/>
    </xf>
    <xf numFmtId="0" fontId="15" fillId="0" borderId="0" xfId="0" applyFont="1" applyAlignment="1">
      <alignment horizontal="justify" vertical="center"/>
    </xf>
    <xf numFmtId="10" fontId="16" fillId="0" borderId="42" xfId="0" applyNumberFormat="1" applyFont="1" applyBorder="1" applyAlignment="1">
      <alignment horizontal="right" vertical="center"/>
    </xf>
    <xf numFmtId="10" fontId="16" fillId="0" borderId="51" xfId="0" applyNumberFormat="1" applyFont="1" applyBorder="1" applyAlignment="1">
      <alignment horizontal="right" vertical="center"/>
    </xf>
    <xf numFmtId="0" fontId="16" fillId="0" borderId="52" xfId="0" applyFont="1" applyBorder="1" applyAlignment="1">
      <alignment horizontal="center" vertical="center"/>
    </xf>
    <xf numFmtId="10" fontId="16" fillId="0" borderId="53" xfId="0" applyNumberFormat="1" applyFont="1" applyBorder="1" applyAlignment="1">
      <alignment horizontal="right" vertical="center"/>
    </xf>
    <xf numFmtId="10" fontId="16" fillId="0" borderId="54" xfId="0" applyNumberFormat="1" applyFont="1" applyBorder="1" applyAlignment="1">
      <alignment horizontal="right" vertical="center"/>
    </xf>
    <xf numFmtId="0" fontId="16" fillId="13" borderId="51" xfId="0" applyFont="1" applyFill="1" applyBorder="1" applyAlignment="1">
      <alignment horizontal="center"/>
    </xf>
    <xf numFmtId="0" fontId="16" fillId="0" borderId="42" xfId="0" applyFont="1" applyBorder="1" applyAlignment="1">
      <alignment horizontal="center" vertical="top"/>
    </xf>
    <xf numFmtId="10" fontId="16" fillId="0" borderId="42" xfId="0" applyNumberFormat="1" applyFont="1" applyBorder="1" applyAlignment="1">
      <alignment horizontal="center"/>
    </xf>
    <xf numFmtId="10" fontId="16" fillId="0" borderId="51" xfId="0" applyNumberFormat="1" applyFont="1" applyBorder="1" applyAlignment="1">
      <alignment horizontal="center"/>
    </xf>
    <xf numFmtId="0" fontId="16" fillId="0" borderId="53" xfId="0" applyFont="1" applyBorder="1" applyAlignment="1">
      <alignment horizontal="center" vertical="top"/>
    </xf>
    <xf numFmtId="10" fontId="16" fillId="0" borderId="53" xfId="0" applyNumberFormat="1" applyFont="1" applyBorder="1" applyAlignment="1">
      <alignment horizontal="center"/>
    </xf>
    <xf numFmtId="10" fontId="16" fillId="0" borderId="54" xfId="0" applyNumberFormat="1" applyFont="1" applyBorder="1" applyAlignment="1">
      <alignment horizontal="center"/>
    </xf>
    <xf numFmtId="0" fontId="16" fillId="14" borderId="42" xfId="0" applyFont="1" applyFill="1" applyBorder="1" applyAlignment="1">
      <alignment horizontal="center" vertical="center"/>
    </xf>
    <xf numFmtId="0" fontId="16" fillId="14" borderId="51" xfId="0" applyFont="1" applyFill="1" applyBorder="1" applyAlignment="1">
      <alignment horizontal="center" vertical="center"/>
    </xf>
    <xf numFmtId="0" fontId="16" fillId="0" borderId="42" xfId="0" applyFont="1" applyBorder="1" applyAlignment="1">
      <alignment horizontal="center" vertical="center"/>
    </xf>
    <xf numFmtId="0" fontId="16" fillId="0" borderId="53" xfId="0" applyFont="1" applyBorder="1" applyAlignment="1">
      <alignment horizontal="center" vertical="center"/>
    </xf>
    <xf numFmtId="0" fontId="16" fillId="0" borderId="54" xfId="0" applyFont="1" applyBorder="1" applyAlignment="1">
      <alignment horizontal="center" vertical="center"/>
    </xf>
    <xf numFmtId="0" fontId="16" fillId="13" borderId="50" xfId="0" applyFont="1" applyFill="1" applyBorder="1" applyAlignment="1">
      <alignment horizontal="center" vertical="center"/>
    </xf>
    <xf numFmtId="0" fontId="16" fillId="0" borderId="50" xfId="0" applyFont="1" applyBorder="1" applyAlignment="1">
      <alignment horizontal="center" vertical="center"/>
    </xf>
    <xf numFmtId="0" fontId="16" fillId="13" borderId="55" xfId="0" applyFont="1" applyFill="1" applyBorder="1" applyAlignment="1">
      <alignment horizontal="center" vertical="center"/>
    </xf>
    <xf numFmtId="0" fontId="16" fillId="13" borderId="72" xfId="0" applyFont="1" applyFill="1" applyBorder="1" applyAlignment="1">
      <alignment horizontal="center" vertical="center"/>
    </xf>
    <xf numFmtId="0" fontId="16" fillId="0" borderId="45" xfId="0" applyFont="1" applyBorder="1">
      <alignment vertical="center"/>
    </xf>
    <xf numFmtId="0" fontId="16" fillId="0" borderId="67" xfId="0" applyFont="1" applyBorder="1">
      <alignment vertical="center"/>
    </xf>
    <xf numFmtId="0" fontId="16" fillId="0" borderId="51" xfId="0" applyFont="1" applyBorder="1">
      <alignment vertical="center"/>
    </xf>
    <xf numFmtId="0" fontId="16" fillId="0" borderId="54" xfId="0" applyFont="1" applyBorder="1">
      <alignment vertical="center"/>
    </xf>
    <xf numFmtId="0" fontId="16" fillId="13" borderId="59" xfId="0" applyFont="1" applyFill="1" applyBorder="1" applyAlignment="1">
      <alignment horizontal="center" vertical="center"/>
    </xf>
    <xf numFmtId="0" fontId="16" fillId="0" borderId="50" xfId="0" applyFont="1" applyBorder="1" applyAlignment="1">
      <alignment horizontal="center" vertical="top"/>
    </xf>
    <xf numFmtId="0" fontId="16" fillId="0" borderId="51" xfId="0" applyFont="1" applyBorder="1" applyAlignment="1">
      <alignment horizontal="center" vertical="top"/>
    </xf>
    <xf numFmtId="0" fontId="16" fillId="13" borderId="75" xfId="0" applyFont="1" applyFill="1" applyBorder="1" applyAlignment="1">
      <alignment horizontal="center" vertical="center"/>
    </xf>
    <xf numFmtId="0" fontId="16" fillId="13" borderId="61" xfId="0" applyFont="1" applyFill="1" applyBorder="1" applyAlignment="1">
      <alignment horizontal="center" vertical="center"/>
    </xf>
    <xf numFmtId="0" fontId="16" fillId="0" borderId="74" xfId="0" applyFont="1" applyBorder="1">
      <alignment vertical="center"/>
    </xf>
    <xf numFmtId="0" fontId="16" fillId="0" borderId="75" xfId="0" applyFont="1" applyBorder="1">
      <alignment vertical="center"/>
    </xf>
    <xf numFmtId="0" fontId="16" fillId="0" borderId="76" xfId="0" applyFont="1" applyBorder="1">
      <alignment vertical="center"/>
    </xf>
    <xf numFmtId="0" fontId="16" fillId="0" borderId="52" xfId="0" applyFont="1" applyBorder="1" applyAlignment="1">
      <alignment horizontal="center" vertical="top"/>
    </xf>
    <xf numFmtId="0" fontId="16" fillId="0" borderId="54" xfId="0" applyFont="1" applyBorder="1" applyAlignment="1">
      <alignment horizontal="center" vertical="top"/>
    </xf>
    <xf numFmtId="0" fontId="16" fillId="0" borderId="42" xfId="0" applyFont="1" applyBorder="1" applyAlignment="1">
      <alignment horizontal="right"/>
    </xf>
    <xf numFmtId="3" fontId="16" fillId="0" borderId="51" xfId="0" applyNumberFormat="1" applyFont="1" applyBorder="1" applyAlignment="1">
      <alignment horizontal="right"/>
    </xf>
    <xf numFmtId="0" fontId="16" fillId="0" borderId="53" xfId="0" applyFont="1" applyBorder="1" applyAlignment="1">
      <alignment horizontal="right"/>
    </xf>
    <xf numFmtId="3" fontId="16" fillId="0" borderId="54" xfId="0" applyNumberFormat="1" applyFont="1" applyBorder="1" applyAlignment="1">
      <alignment horizontal="right"/>
    </xf>
    <xf numFmtId="3" fontId="16" fillId="0" borderId="42" xfId="0" applyNumberFormat="1" applyFont="1" applyBorder="1" applyAlignment="1">
      <alignment horizontal="right"/>
    </xf>
    <xf numFmtId="3" fontId="16" fillId="0" borderId="53" xfId="0" applyNumberFormat="1" applyFont="1" applyBorder="1" applyAlignment="1">
      <alignment horizontal="right"/>
    </xf>
    <xf numFmtId="0" fontId="16" fillId="0" borderId="51" xfId="0" applyFont="1" applyBorder="1" applyAlignment="1">
      <alignment horizontal="right"/>
    </xf>
    <xf numFmtId="0" fontId="16" fillId="0" borderId="51" xfId="0" applyFont="1" applyBorder="1" applyAlignment="1">
      <alignment horizontal="center" vertical="center"/>
    </xf>
    <xf numFmtId="14" fontId="16" fillId="0" borderId="51" xfId="0" applyNumberFormat="1" applyFont="1" applyBorder="1" applyAlignment="1">
      <alignment horizontal="center" vertical="center"/>
    </xf>
    <xf numFmtId="0" fontId="16" fillId="0" borderId="74" xfId="0" applyFont="1" applyBorder="1" applyAlignment="1">
      <alignment horizontal="center" vertical="center"/>
    </xf>
    <xf numFmtId="0" fontId="16" fillId="0" borderId="75" xfId="0" applyFont="1" applyBorder="1" applyAlignment="1">
      <alignment horizontal="center" vertical="center"/>
    </xf>
    <xf numFmtId="0" fontId="16" fillId="0" borderId="61" xfId="0" applyFont="1" applyBorder="1" applyAlignment="1">
      <alignment horizontal="center" vertical="center"/>
    </xf>
    <xf numFmtId="0" fontId="16" fillId="0" borderId="74" xfId="0" applyFont="1" applyBorder="1" applyAlignment="1">
      <alignment vertical="top"/>
    </xf>
    <xf numFmtId="0" fontId="16" fillId="0" borderId="75" xfId="0" applyFont="1" applyBorder="1" applyAlignment="1">
      <alignment vertical="top"/>
    </xf>
    <xf numFmtId="0" fontId="16" fillId="0" borderId="76" xfId="0" applyFont="1" applyBorder="1" applyAlignment="1">
      <alignment vertical="top"/>
    </xf>
    <xf numFmtId="0" fontId="16" fillId="14" borderId="50" xfId="0" applyFont="1" applyFill="1" applyBorder="1" applyAlignment="1">
      <alignment horizontal="center" vertical="center"/>
    </xf>
    <xf numFmtId="0" fontId="16" fillId="0" borderId="61" xfId="0" applyFont="1" applyBorder="1">
      <alignment vertical="center"/>
    </xf>
    <xf numFmtId="10" fontId="16" fillId="0" borderId="42" xfId="0" applyNumberFormat="1" applyFont="1" applyBorder="1" applyAlignment="1">
      <alignment horizontal="center" vertical="center"/>
    </xf>
    <xf numFmtId="10" fontId="16" fillId="0" borderId="51" xfId="0" applyNumberFormat="1" applyFont="1" applyBorder="1" applyAlignment="1">
      <alignment horizontal="center" vertical="center"/>
    </xf>
    <xf numFmtId="10" fontId="16" fillId="0" borderId="53" xfId="0" applyNumberFormat="1" applyFont="1" applyBorder="1" applyAlignment="1">
      <alignment horizontal="center" vertical="center"/>
    </xf>
    <xf numFmtId="10" fontId="16" fillId="0" borderId="54" xfId="0" applyNumberFormat="1" applyFont="1" applyBorder="1" applyAlignment="1">
      <alignment horizontal="center" vertical="center"/>
    </xf>
    <xf numFmtId="0" fontId="16" fillId="0" borderId="54" xfId="0" applyFont="1" applyBorder="1" applyAlignment="1">
      <alignment horizontal="right"/>
    </xf>
    <xf numFmtId="14" fontId="16" fillId="0" borderId="42" xfId="0" applyNumberFormat="1" applyFont="1" applyBorder="1" applyAlignment="1">
      <alignment horizontal="center" vertical="center"/>
    </xf>
    <xf numFmtId="0" fontId="16" fillId="0" borderId="55" xfId="0" applyFont="1" applyBorder="1" applyAlignment="1">
      <alignment horizontal="center" vertical="center"/>
    </xf>
    <xf numFmtId="0" fontId="16" fillId="0" borderId="56" xfId="0" applyFont="1" applyBorder="1" applyAlignment="1">
      <alignment horizontal="center" vertical="center"/>
    </xf>
    <xf numFmtId="0" fontId="16" fillId="0" borderId="55" xfId="0" applyFont="1" applyBorder="1">
      <alignment vertical="center"/>
    </xf>
    <xf numFmtId="0" fontId="16" fillId="0" borderId="83" xfId="0" applyFont="1" applyBorder="1">
      <alignment vertical="center"/>
    </xf>
    <xf numFmtId="10" fontId="16" fillId="0" borderId="42" xfId="0" applyNumberFormat="1" applyFont="1" applyBorder="1" applyAlignment="1">
      <alignment horizontal="right" vertical="top"/>
    </xf>
    <xf numFmtId="10" fontId="16" fillId="0" borderId="51" xfId="0" applyNumberFormat="1" applyFont="1" applyBorder="1" applyAlignment="1">
      <alignment horizontal="right" vertical="top"/>
    </xf>
    <xf numFmtId="10" fontId="16" fillId="0" borderId="53" xfId="0" applyNumberFormat="1" applyFont="1" applyBorder="1" applyAlignment="1">
      <alignment horizontal="right" vertical="top"/>
    </xf>
    <xf numFmtId="10" fontId="16" fillId="0" borderId="54" xfId="0" applyNumberFormat="1" applyFont="1" applyBorder="1" applyAlignment="1">
      <alignment horizontal="right" vertical="top"/>
    </xf>
    <xf numFmtId="0" fontId="16" fillId="13" borderId="42" xfId="0" applyFont="1" applyFill="1" applyBorder="1" applyAlignment="1">
      <alignment horizontal="center"/>
    </xf>
    <xf numFmtId="0" fontId="16" fillId="14" borderId="45" xfId="0" applyFont="1" applyFill="1" applyBorder="1" applyAlignment="1">
      <alignment horizontal="center" vertical="center"/>
    </xf>
    <xf numFmtId="0" fontId="16" fillId="14" borderId="67" xfId="0" applyFont="1" applyFill="1" applyBorder="1" applyAlignment="1">
      <alignment horizontal="center" vertical="center"/>
    </xf>
    <xf numFmtId="14" fontId="16" fillId="0" borderId="42" xfId="0" applyNumberFormat="1" applyFont="1" applyBorder="1" applyAlignment="1">
      <alignment horizontal="right" vertical="top"/>
    </xf>
    <xf numFmtId="14" fontId="16" fillId="0" borderId="51" xfId="0" applyNumberFormat="1" applyFont="1" applyBorder="1" applyAlignment="1">
      <alignment horizontal="right" vertical="top"/>
    </xf>
    <xf numFmtId="9" fontId="16" fillId="0" borderId="42" xfId="0" applyNumberFormat="1" applyFont="1" applyBorder="1" applyAlignment="1">
      <alignment horizontal="right" vertical="top"/>
    </xf>
    <xf numFmtId="9" fontId="16" fillId="0" borderId="51" xfId="0" applyNumberFormat="1" applyFont="1" applyBorder="1" applyAlignment="1">
      <alignment horizontal="right" vertical="top"/>
    </xf>
    <xf numFmtId="3" fontId="16" fillId="0" borderId="51" xfId="0" applyNumberFormat="1" applyFont="1" applyBorder="1" applyAlignment="1">
      <alignment horizontal="center" vertical="center"/>
    </xf>
    <xf numFmtId="3" fontId="16" fillId="0" borderId="54" xfId="0" applyNumberFormat="1" applyFont="1" applyBorder="1" applyAlignment="1">
      <alignment horizontal="center" vertical="center"/>
    </xf>
    <xf numFmtId="176" fontId="16" fillId="0" borderId="42" xfId="0" applyNumberFormat="1" applyFont="1" applyBorder="1" applyAlignment="1">
      <alignment horizontal="right" vertical="top"/>
    </xf>
    <xf numFmtId="176" fontId="16" fillId="0" borderId="51" xfId="0" applyNumberFormat="1" applyFont="1" applyBorder="1" applyAlignment="1">
      <alignment horizontal="right" vertical="top"/>
    </xf>
    <xf numFmtId="176" fontId="16" fillId="0" borderId="53" xfId="0" applyNumberFormat="1" applyFont="1" applyBorder="1" applyAlignment="1">
      <alignment horizontal="right" vertical="top"/>
    </xf>
    <xf numFmtId="176" fontId="16" fillId="0" borderId="54" xfId="0" applyNumberFormat="1" applyFont="1" applyBorder="1" applyAlignment="1">
      <alignment horizontal="right" vertical="top"/>
    </xf>
    <xf numFmtId="0" fontId="16" fillId="10" borderId="50" xfId="0" applyFont="1" applyFill="1" applyBorder="1" applyAlignment="1">
      <alignment vertical="top"/>
    </xf>
    <xf numFmtId="176" fontId="16" fillId="10" borderId="42" xfId="0" applyNumberFormat="1" applyFont="1" applyFill="1" applyBorder="1" applyAlignment="1">
      <alignment horizontal="right" vertical="top"/>
    </xf>
    <xf numFmtId="176" fontId="16" fillId="10" borderId="51" xfId="0" applyNumberFormat="1" applyFont="1" applyFill="1" applyBorder="1" applyAlignment="1">
      <alignment horizontal="right" vertical="top"/>
    </xf>
    <xf numFmtId="176" fontId="15" fillId="0" borderId="0" xfId="0" applyNumberFormat="1" applyFont="1">
      <alignment vertical="center"/>
    </xf>
    <xf numFmtId="0" fontId="16" fillId="10" borderId="42" xfId="0" applyFont="1" applyFill="1" applyBorder="1" applyAlignment="1">
      <alignment vertical="top"/>
    </xf>
    <xf numFmtId="0" fontId="16" fillId="10" borderId="50" xfId="0" applyFont="1" applyFill="1" applyBorder="1">
      <alignment vertical="center"/>
    </xf>
    <xf numFmtId="3" fontId="16" fillId="10" borderId="42" xfId="0" applyNumberFormat="1" applyFont="1" applyFill="1" applyBorder="1" applyAlignment="1">
      <alignment horizontal="right" vertical="center"/>
    </xf>
    <xf numFmtId="3" fontId="16" fillId="10" borderId="51" xfId="0" applyNumberFormat="1" applyFont="1" applyFill="1" applyBorder="1" applyAlignment="1">
      <alignment horizontal="right" vertical="center"/>
    </xf>
    <xf numFmtId="176" fontId="16" fillId="0" borderId="42" xfId="0" applyNumberFormat="1" applyFont="1" applyBorder="1" applyAlignment="1">
      <alignment horizontal="right" vertical="center"/>
    </xf>
    <xf numFmtId="176" fontId="16" fillId="0" borderId="51" xfId="0" applyNumberFormat="1" applyFont="1" applyBorder="1" applyAlignment="1">
      <alignment horizontal="right" vertical="center"/>
    </xf>
    <xf numFmtId="176" fontId="16" fillId="0" borderId="53" xfId="0" applyNumberFormat="1" applyFont="1" applyBorder="1" applyAlignment="1">
      <alignment horizontal="right" vertical="center"/>
    </xf>
    <xf numFmtId="176" fontId="16" fillId="0" borderId="54" xfId="0" applyNumberFormat="1" applyFont="1" applyBorder="1" applyAlignment="1">
      <alignment horizontal="right" vertical="center"/>
    </xf>
    <xf numFmtId="176" fontId="16" fillId="10" borderId="51" xfId="0" applyNumberFormat="1" applyFont="1" applyFill="1" applyBorder="1" applyAlignment="1">
      <alignment horizontal="right" vertical="center"/>
    </xf>
    <xf numFmtId="176" fontId="16" fillId="10" borderId="42" xfId="0" applyNumberFormat="1" applyFont="1" applyFill="1" applyBorder="1" applyAlignment="1">
      <alignment horizontal="right" vertical="center"/>
    </xf>
    <xf numFmtId="176" fontId="16" fillId="15" borderId="51" xfId="0" applyNumberFormat="1" applyFont="1" applyFill="1" applyBorder="1" applyAlignment="1">
      <alignment horizontal="right" vertical="center"/>
    </xf>
    <xf numFmtId="176" fontId="16" fillId="15" borderId="53" xfId="0" applyNumberFormat="1" applyFont="1" applyFill="1" applyBorder="1" applyAlignment="1">
      <alignment horizontal="right" vertical="center"/>
    </xf>
    <xf numFmtId="0" fontId="16" fillId="10" borderId="42" xfId="0" applyFont="1" applyFill="1" applyBorder="1" applyAlignment="1">
      <alignment horizontal="right" vertical="center"/>
    </xf>
    <xf numFmtId="0" fontId="16" fillId="10" borderId="51" xfId="0" applyFont="1" applyFill="1" applyBorder="1" applyAlignment="1">
      <alignment horizontal="right" vertical="center"/>
    </xf>
    <xf numFmtId="0" fontId="17" fillId="10" borderId="0" xfId="0" applyFont="1" applyFill="1" applyAlignment="1">
      <alignment horizontal="justify" vertical="center"/>
    </xf>
    <xf numFmtId="176" fontId="5" fillId="9" borderId="0" xfId="0" applyNumberFormat="1" applyFont="1" applyFill="1" applyAlignment="1">
      <alignment horizontal="right" vertical="center"/>
    </xf>
    <xf numFmtId="176" fontId="10" fillId="15" borderId="29" xfId="0" applyNumberFormat="1" applyFont="1" applyFill="1" applyBorder="1">
      <alignment vertical="center"/>
    </xf>
    <xf numFmtId="176" fontId="5" fillId="11" borderId="0" xfId="0" applyNumberFormat="1" applyFont="1" applyFill="1">
      <alignment vertical="center"/>
    </xf>
    <xf numFmtId="176" fontId="5" fillId="11" borderId="29" xfId="0" applyNumberFormat="1" applyFont="1" applyFill="1" applyBorder="1">
      <alignment vertical="center"/>
    </xf>
    <xf numFmtId="176" fontId="5" fillId="11" borderId="31" xfId="0" applyNumberFormat="1" applyFont="1" applyFill="1" applyBorder="1">
      <alignment vertical="center"/>
    </xf>
    <xf numFmtId="176" fontId="5" fillId="11" borderId="0" xfId="0" applyNumberFormat="1" applyFont="1" applyFill="1" applyAlignment="1">
      <alignment horizontal="right" vertical="center"/>
    </xf>
    <xf numFmtId="176" fontId="5" fillId="12" borderId="0" xfId="0" applyNumberFormat="1" applyFont="1" applyFill="1">
      <alignment vertical="center"/>
    </xf>
    <xf numFmtId="176" fontId="5" fillId="12" borderId="29" xfId="0" applyNumberFormat="1" applyFont="1" applyFill="1" applyBorder="1">
      <alignment vertical="center"/>
    </xf>
    <xf numFmtId="176" fontId="5" fillId="12" borderId="31" xfId="0" applyNumberFormat="1" applyFont="1" applyFill="1" applyBorder="1">
      <alignment vertical="center"/>
    </xf>
    <xf numFmtId="179" fontId="7" fillId="0" borderId="0" xfId="0" applyNumberFormat="1" applyFont="1">
      <alignment vertical="center"/>
    </xf>
    <xf numFmtId="179" fontId="7" fillId="0" borderId="29" xfId="0" applyNumberFormat="1" applyFont="1" applyBorder="1">
      <alignment vertical="center"/>
    </xf>
    <xf numFmtId="179" fontId="7" fillId="0" borderId="31" xfId="0" applyNumberFormat="1" applyFont="1" applyBorder="1">
      <alignment vertical="center"/>
    </xf>
    <xf numFmtId="179" fontId="7" fillId="10" borderId="29" xfId="0" applyNumberFormat="1" applyFont="1" applyFill="1" applyBorder="1">
      <alignment vertical="center"/>
    </xf>
    <xf numFmtId="0" fontId="5" fillId="0" borderId="0" xfId="0" applyFont="1" applyAlignment="1">
      <alignment horizontal="right" vertical="center"/>
    </xf>
    <xf numFmtId="177" fontId="20" fillId="0" borderId="0" xfId="1" applyNumberFormat="1" applyFont="1" applyAlignment="1">
      <alignment vertical="center"/>
    </xf>
    <xf numFmtId="3" fontId="15" fillId="0" borderId="0" xfId="0" applyNumberFormat="1" applyFont="1">
      <alignment vertical="center"/>
    </xf>
    <xf numFmtId="0" fontId="3" fillId="0" borderId="93" xfId="0" applyFont="1" applyBorder="1">
      <alignment vertical="center"/>
    </xf>
    <xf numFmtId="0" fontId="0" fillId="0" borderId="93" xfId="0" applyBorder="1">
      <alignment vertical="center"/>
    </xf>
    <xf numFmtId="180" fontId="0" fillId="0" borderId="0" xfId="0" applyNumberFormat="1">
      <alignment vertical="center"/>
    </xf>
    <xf numFmtId="0" fontId="5" fillId="8" borderId="97" xfId="0" applyFont="1" applyFill="1" applyBorder="1" applyAlignment="1">
      <alignment horizontal="center" vertical="center"/>
    </xf>
    <xf numFmtId="0" fontId="5" fillId="16" borderId="98" xfId="0" applyFont="1" applyFill="1" applyBorder="1">
      <alignment vertical="center"/>
    </xf>
    <xf numFmtId="0" fontId="5" fillId="16" borderId="95" xfId="0" applyFont="1" applyFill="1" applyBorder="1">
      <alignment vertical="center"/>
    </xf>
    <xf numFmtId="0" fontId="5" fillId="16" borderId="96" xfId="0" applyFont="1" applyFill="1" applyBorder="1">
      <alignment vertical="center"/>
    </xf>
    <xf numFmtId="180" fontId="5" fillId="16" borderId="97" xfId="0" applyNumberFormat="1" applyFont="1" applyFill="1" applyBorder="1">
      <alignment vertical="center"/>
    </xf>
    <xf numFmtId="181" fontId="5" fillId="16" borderId="97" xfId="0" applyNumberFormat="1" applyFont="1" applyFill="1" applyBorder="1">
      <alignment vertical="center"/>
    </xf>
    <xf numFmtId="43" fontId="10" fillId="0" borderId="0" xfId="0" applyNumberFormat="1" applyFont="1">
      <alignment vertical="center"/>
    </xf>
    <xf numFmtId="0" fontId="5" fillId="17" borderId="99" xfId="0" applyFont="1" applyFill="1" applyBorder="1">
      <alignment vertical="center"/>
    </xf>
    <xf numFmtId="0" fontId="5" fillId="17" borderId="98" xfId="0" applyFont="1" applyFill="1" applyBorder="1">
      <alignment vertical="center"/>
    </xf>
    <xf numFmtId="0" fontId="5" fillId="17" borderId="96" xfId="0" applyFont="1" applyFill="1" applyBorder="1">
      <alignment vertical="center"/>
    </xf>
    <xf numFmtId="180" fontId="5" fillId="17" borderId="97" xfId="0" applyNumberFormat="1" applyFont="1" applyFill="1" applyBorder="1">
      <alignment vertical="center"/>
    </xf>
    <xf numFmtId="181" fontId="5" fillId="17" borderId="97" xfId="0" applyNumberFormat="1" applyFont="1" applyFill="1" applyBorder="1">
      <alignment vertical="center"/>
    </xf>
    <xf numFmtId="0" fontId="10" fillId="17" borderId="100" xfId="0" applyFont="1" applyFill="1" applyBorder="1">
      <alignment vertical="center"/>
    </xf>
    <xf numFmtId="0" fontId="10" fillId="17" borderId="101" xfId="0" applyFont="1" applyFill="1" applyBorder="1">
      <alignment vertical="center"/>
    </xf>
    <xf numFmtId="180" fontId="10" fillId="17" borderId="102" xfId="0" applyNumberFormat="1" applyFont="1" applyFill="1" applyBorder="1">
      <alignment vertical="center"/>
    </xf>
    <xf numFmtId="181" fontId="10" fillId="17" borderId="102" xfId="0" applyNumberFormat="1" applyFont="1" applyFill="1" applyBorder="1">
      <alignment vertical="center"/>
    </xf>
    <xf numFmtId="0" fontId="10" fillId="17" borderId="99" xfId="0" applyFont="1" applyFill="1" applyBorder="1">
      <alignment vertical="center"/>
    </xf>
    <xf numFmtId="0" fontId="10" fillId="17" borderId="102" xfId="0" applyFont="1" applyFill="1" applyBorder="1">
      <alignment vertical="center"/>
    </xf>
    <xf numFmtId="0" fontId="10" fillId="17" borderId="103" xfId="0" applyFont="1" applyFill="1" applyBorder="1">
      <alignment vertical="center"/>
    </xf>
    <xf numFmtId="0" fontId="10" fillId="17" borderId="104" xfId="0" applyFont="1" applyFill="1" applyBorder="1">
      <alignment vertical="center"/>
    </xf>
    <xf numFmtId="180" fontId="10" fillId="17" borderId="105" xfId="0" applyNumberFormat="1" applyFont="1" applyFill="1" applyBorder="1">
      <alignment vertical="center"/>
    </xf>
    <xf numFmtId="181" fontId="10" fillId="17" borderId="105" xfId="0" applyNumberFormat="1" applyFont="1" applyFill="1" applyBorder="1">
      <alignment vertical="center"/>
    </xf>
    <xf numFmtId="0" fontId="10" fillId="17" borderId="105" xfId="0" applyFont="1" applyFill="1" applyBorder="1">
      <alignment vertical="center"/>
    </xf>
    <xf numFmtId="0" fontId="10" fillId="17" borderId="106" xfId="0" applyFont="1" applyFill="1" applyBorder="1">
      <alignment vertical="center"/>
    </xf>
    <xf numFmtId="0" fontId="10" fillId="17" borderId="107" xfId="0" applyFont="1" applyFill="1" applyBorder="1">
      <alignment vertical="center"/>
    </xf>
    <xf numFmtId="180" fontId="10" fillId="17" borderId="107" xfId="0" applyNumberFormat="1" applyFont="1" applyFill="1" applyBorder="1">
      <alignment vertical="center"/>
    </xf>
    <xf numFmtId="181" fontId="10" fillId="17" borderId="107" xfId="0" applyNumberFormat="1" applyFont="1" applyFill="1" applyBorder="1">
      <alignment vertical="center"/>
    </xf>
    <xf numFmtId="0" fontId="10" fillId="17" borderId="108" xfId="0" applyFont="1" applyFill="1" applyBorder="1">
      <alignment vertical="center"/>
    </xf>
    <xf numFmtId="0" fontId="10" fillId="17" borderId="109" xfId="0" applyFont="1" applyFill="1" applyBorder="1">
      <alignment vertical="center"/>
    </xf>
    <xf numFmtId="0" fontId="5" fillId="16" borderId="110" xfId="0" applyFont="1" applyFill="1" applyBorder="1">
      <alignment vertical="center"/>
    </xf>
    <xf numFmtId="0" fontId="5" fillId="16" borderId="111" xfId="0" applyFont="1" applyFill="1" applyBorder="1">
      <alignment vertical="center"/>
    </xf>
    <xf numFmtId="180" fontId="5" fillId="16" borderId="112" xfId="0" applyNumberFormat="1" applyFont="1" applyFill="1" applyBorder="1">
      <alignment vertical="center"/>
    </xf>
    <xf numFmtId="181" fontId="5" fillId="16" borderId="112" xfId="0" applyNumberFormat="1" applyFont="1" applyFill="1" applyBorder="1">
      <alignment vertical="center"/>
    </xf>
    <xf numFmtId="0" fontId="10" fillId="17" borderId="113" xfId="0" applyFont="1" applyFill="1" applyBorder="1">
      <alignment vertical="center"/>
    </xf>
    <xf numFmtId="180" fontId="10" fillId="17" borderId="113" xfId="0" applyNumberFormat="1" applyFont="1" applyFill="1" applyBorder="1">
      <alignment vertical="center"/>
    </xf>
    <xf numFmtId="181" fontId="10" fillId="17" borderId="113" xfId="0" applyNumberFormat="1" applyFont="1" applyFill="1" applyBorder="1">
      <alignment vertical="center"/>
    </xf>
    <xf numFmtId="0" fontId="5" fillId="16" borderId="114" xfId="0" applyFont="1" applyFill="1" applyBorder="1">
      <alignment vertical="center"/>
    </xf>
    <xf numFmtId="0" fontId="11" fillId="16" borderId="115" xfId="0" applyFont="1" applyFill="1" applyBorder="1">
      <alignment vertical="center"/>
    </xf>
    <xf numFmtId="0" fontId="11" fillId="16" borderId="109" xfId="0" applyFont="1" applyFill="1" applyBorder="1">
      <alignment vertical="center"/>
    </xf>
    <xf numFmtId="181" fontId="11" fillId="16" borderId="107" xfId="0" applyNumberFormat="1" applyFont="1" applyFill="1" applyBorder="1">
      <alignment vertical="center"/>
    </xf>
    <xf numFmtId="0" fontId="10" fillId="0" borderId="99" xfId="0" applyFont="1" applyBorder="1">
      <alignment vertical="center"/>
    </xf>
    <xf numFmtId="0" fontId="10" fillId="0" borderId="100" xfId="0" applyFont="1" applyBorder="1">
      <alignment vertical="center"/>
    </xf>
    <xf numFmtId="0" fontId="10" fillId="0" borderId="101" xfId="0" applyFont="1" applyBorder="1">
      <alignment vertical="center"/>
    </xf>
    <xf numFmtId="180" fontId="10" fillId="0" borderId="102" xfId="0" applyNumberFormat="1" applyFont="1" applyBorder="1">
      <alignment vertical="center"/>
    </xf>
    <xf numFmtId="181" fontId="10" fillId="0" borderId="102" xfId="0" applyNumberFormat="1" applyFont="1" applyBorder="1">
      <alignment vertical="center"/>
    </xf>
    <xf numFmtId="0" fontId="10" fillId="0" borderId="103" xfId="0" applyFont="1" applyBorder="1">
      <alignment vertical="center"/>
    </xf>
    <xf numFmtId="0" fontId="10" fillId="0" borderId="104" xfId="0" applyFont="1" applyBorder="1">
      <alignment vertical="center"/>
    </xf>
    <xf numFmtId="180" fontId="10" fillId="0" borderId="105" xfId="0" applyNumberFormat="1" applyFont="1" applyBorder="1">
      <alignment vertical="center"/>
    </xf>
    <xf numFmtId="181" fontId="10" fillId="0" borderId="105" xfId="0" applyNumberFormat="1" applyFont="1" applyBorder="1">
      <alignment vertical="center"/>
    </xf>
    <xf numFmtId="0" fontId="10" fillId="0" borderId="106" xfId="0" applyFont="1" applyBorder="1">
      <alignment vertical="center"/>
    </xf>
    <xf numFmtId="0" fontId="10" fillId="0" borderId="108" xfId="0" applyFont="1" applyBorder="1">
      <alignment vertical="center"/>
    </xf>
    <xf numFmtId="0" fontId="10" fillId="0" borderId="109" xfId="0" applyFont="1" applyBorder="1">
      <alignment vertical="center"/>
    </xf>
    <xf numFmtId="180" fontId="10" fillId="0" borderId="107" xfId="0" applyNumberFormat="1" applyFont="1" applyBorder="1">
      <alignment vertical="center"/>
    </xf>
    <xf numFmtId="181" fontId="10" fillId="0" borderId="107" xfId="0" applyNumberFormat="1" applyFont="1" applyBorder="1">
      <alignment vertical="center"/>
    </xf>
    <xf numFmtId="0" fontId="5" fillId="16" borderId="112" xfId="0" applyFont="1" applyFill="1" applyBorder="1">
      <alignment vertical="center"/>
    </xf>
    <xf numFmtId="182" fontId="5" fillId="16" borderId="112" xfId="0" applyNumberFormat="1" applyFont="1" applyFill="1" applyBorder="1">
      <alignment vertical="center"/>
    </xf>
    <xf numFmtId="0" fontId="5" fillId="16" borderId="116" xfId="0" applyFont="1" applyFill="1" applyBorder="1">
      <alignment vertical="center"/>
    </xf>
    <xf numFmtId="181" fontId="5" fillId="16" borderId="107" xfId="0" applyNumberFormat="1" applyFont="1" applyFill="1" applyBorder="1">
      <alignment vertical="center"/>
    </xf>
    <xf numFmtId="183" fontId="10" fillId="0" borderId="0" xfId="2" applyNumberFormat="1" applyFont="1">
      <alignment vertical="center"/>
    </xf>
    <xf numFmtId="41" fontId="10" fillId="0" borderId="0" xfId="2" applyFont="1">
      <alignment vertical="center"/>
    </xf>
    <xf numFmtId="184" fontId="0" fillId="0" borderId="0" xfId="0" applyNumberFormat="1">
      <alignment vertical="center"/>
    </xf>
    <xf numFmtId="43" fontId="0" fillId="0" borderId="0" xfId="0" applyNumberFormat="1">
      <alignment vertical="center"/>
    </xf>
    <xf numFmtId="185" fontId="0" fillId="0" borderId="0" xfId="2" applyNumberFormat="1" applyFont="1">
      <alignment vertical="center"/>
    </xf>
    <xf numFmtId="41" fontId="0" fillId="0" borderId="0" xfId="0" applyNumberFormat="1">
      <alignment vertical="center"/>
    </xf>
    <xf numFmtId="177" fontId="0" fillId="0" borderId="0" xfId="1" applyNumberFormat="1" applyFont="1">
      <alignment vertical="center"/>
    </xf>
    <xf numFmtId="41" fontId="0" fillId="0" borderId="0" xfId="2" applyFont="1">
      <alignment vertical="center"/>
    </xf>
    <xf numFmtId="182" fontId="0" fillId="0" borderId="0" xfId="0" applyNumberFormat="1">
      <alignment vertical="center"/>
    </xf>
    <xf numFmtId="0" fontId="10" fillId="17" borderId="117" xfId="0" applyFont="1" applyFill="1" applyBorder="1">
      <alignment vertical="center"/>
    </xf>
    <xf numFmtId="180" fontId="10" fillId="17" borderId="117" xfId="0" applyNumberFormat="1" applyFont="1" applyFill="1" applyBorder="1">
      <alignment vertical="center"/>
    </xf>
    <xf numFmtId="181" fontId="10" fillId="17" borderId="117" xfId="0" applyNumberFormat="1" applyFont="1" applyFill="1" applyBorder="1">
      <alignment vertical="center"/>
    </xf>
    <xf numFmtId="0" fontId="5" fillId="16" borderId="97" xfId="0" applyFont="1" applyFill="1" applyBorder="1">
      <alignment vertical="center"/>
    </xf>
    <xf numFmtId="0" fontId="5" fillId="16" borderId="94" xfId="0" applyFont="1" applyFill="1" applyBorder="1">
      <alignment vertical="center"/>
    </xf>
    <xf numFmtId="186" fontId="0" fillId="0" borderId="0" xfId="0" applyNumberFormat="1">
      <alignment vertical="center"/>
    </xf>
    <xf numFmtId="187" fontId="0" fillId="0" borderId="0" xfId="0" applyNumberFormat="1">
      <alignment vertical="center"/>
    </xf>
    <xf numFmtId="188" fontId="0" fillId="0" borderId="0" xfId="0" applyNumberFormat="1">
      <alignment vertical="center"/>
    </xf>
    <xf numFmtId="0" fontId="13" fillId="18" borderId="98" xfId="0" quotePrefix="1" applyFont="1" applyFill="1" applyBorder="1" applyAlignment="1">
      <alignment horizontal="center" vertical="center" wrapText="1" readingOrder="1"/>
    </xf>
    <xf numFmtId="0" fontId="13" fillId="18" borderId="112" xfId="0" quotePrefix="1" applyFont="1" applyFill="1" applyBorder="1" applyAlignment="1">
      <alignment horizontal="center" vertical="center" wrapText="1" readingOrder="1"/>
    </xf>
    <xf numFmtId="0" fontId="13" fillId="18" borderId="111" xfId="0" quotePrefix="1" applyFont="1" applyFill="1" applyBorder="1" applyAlignment="1">
      <alignment horizontal="center" vertical="center" wrapText="1" readingOrder="1"/>
    </xf>
    <xf numFmtId="0" fontId="23" fillId="18" borderId="112" xfId="0" quotePrefix="1" applyFont="1" applyFill="1" applyBorder="1" applyAlignment="1">
      <alignment horizontal="center" vertical="center" wrapText="1" readingOrder="1"/>
    </xf>
    <xf numFmtId="0" fontId="13" fillId="18" borderId="111" xfId="0" quotePrefix="1" applyFont="1" applyFill="1" applyBorder="1" applyAlignment="1">
      <alignment horizontal="left" vertical="center" wrapText="1" readingOrder="1"/>
    </xf>
    <xf numFmtId="0" fontId="5" fillId="0" borderId="0" xfId="0" applyFont="1">
      <alignment vertical="center"/>
    </xf>
    <xf numFmtId="41" fontId="25" fillId="19" borderId="94" xfId="2" applyFont="1" applyFill="1" applyBorder="1" applyAlignment="1">
      <alignment vertical="center" wrapText="1"/>
    </xf>
    <xf numFmtId="41" fontId="25" fillId="19" borderId="97" xfId="2" applyFont="1" applyFill="1" applyBorder="1" applyAlignment="1">
      <alignment vertical="center" wrapText="1"/>
    </xf>
    <xf numFmtId="41" fontId="25" fillId="15" borderId="96" xfId="2" applyFont="1" applyFill="1" applyBorder="1" applyAlignment="1">
      <alignment vertical="center" wrapText="1"/>
    </xf>
    <xf numFmtId="41" fontId="25" fillId="19" borderId="112" xfId="2" applyFont="1" applyFill="1" applyBorder="1" applyAlignment="1">
      <alignment vertical="center" wrapText="1"/>
    </xf>
    <xf numFmtId="177" fontId="23" fillId="19" borderId="112" xfId="1" applyNumberFormat="1" applyFont="1" applyFill="1" applyBorder="1" applyAlignment="1">
      <alignment horizontal="right" vertical="center" wrapText="1"/>
    </xf>
    <xf numFmtId="189" fontId="25" fillId="19" borderId="96" xfId="0" applyNumberFormat="1" applyFont="1" applyFill="1" applyBorder="1" applyAlignment="1">
      <alignment horizontal="left" vertical="center" wrapText="1"/>
    </xf>
    <xf numFmtId="0" fontId="24" fillId="8" borderId="106" xfId="0" applyFont="1" applyFill="1" applyBorder="1" applyAlignment="1">
      <alignment vertical="center" wrapText="1" readingOrder="1"/>
    </xf>
    <xf numFmtId="0" fontId="24" fillId="17" borderId="98" xfId="0" applyFont="1" applyFill="1" applyBorder="1" applyAlignment="1">
      <alignment horizontal="left" vertical="center" indent="1" readingOrder="1"/>
    </xf>
    <xf numFmtId="0" fontId="26" fillId="17" borderId="111" xfId="0" applyFont="1" applyFill="1" applyBorder="1" applyAlignment="1">
      <alignment vertical="center" readingOrder="1"/>
    </xf>
    <xf numFmtId="41" fontId="5" fillId="17" borderId="100" xfId="2" quotePrefix="1" applyFont="1" applyFill="1" applyBorder="1" applyAlignment="1">
      <alignment vertical="center" wrapText="1" readingOrder="1"/>
    </xf>
    <xf numFmtId="41" fontId="5" fillId="17" borderId="113" xfId="2" quotePrefix="1" applyFont="1" applyFill="1" applyBorder="1" applyAlignment="1">
      <alignment vertical="center" wrapText="1" readingOrder="1"/>
    </xf>
    <xf numFmtId="41" fontId="5" fillId="15" borderId="118" xfId="2" quotePrefix="1" applyFont="1" applyFill="1" applyBorder="1" applyAlignment="1">
      <alignment vertical="center" wrapText="1" readingOrder="1"/>
    </xf>
    <xf numFmtId="41" fontId="5" fillId="17" borderId="99" xfId="2" quotePrefix="1" applyFont="1" applyFill="1" applyBorder="1" applyAlignment="1">
      <alignment vertical="center" wrapText="1" readingOrder="1"/>
    </xf>
    <xf numFmtId="9" fontId="5" fillId="15" borderId="99" xfId="2" quotePrefix="1" applyNumberFormat="1" applyFont="1" applyFill="1" applyBorder="1" applyAlignment="1">
      <alignment vertical="center" wrapText="1" readingOrder="1"/>
    </xf>
    <xf numFmtId="177" fontId="23" fillId="0" borderId="112" xfId="1" applyNumberFormat="1" applyFont="1" applyFill="1" applyBorder="1" applyAlignment="1">
      <alignment horizontal="right" vertical="center" wrapText="1"/>
    </xf>
    <xf numFmtId="189" fontId="27" fillId="17" borderId="119" xfId="0" applyNumberFormat="1" applyFont="1" applyFill="1" applyBorder="1" applyAlignment="1">
      <alignment horizontal="left" vertical="center"/>
    </xf>
    <xf numFmtId="0" fontId="10" fillId="0" borderId="0" xfId="0" quotePrefix="1" applyFont="1">
      <alignment vertical="center"/>
    </xf>
    <xf numFmtId="187" fontId="10" fillId="0" borderId="0" xfId="0" applyNumberFormat="1" applyFont="1">
      <alignment vertical="center"/>
    </xf>
    <xf numFmtId="41" fontId="24" fillId="19" borderId="98" xfId="2" applyFont="1" applyFill="1" applyBorder="1" applyAlignment="1">
      <alignment horizontal="center" vertical="center" wrapText="1" readingOrder="1"/>
    </xf>
    <xf numFmtId="41" fontId="24" fillId="19" borderId="112" xfId="2" applyFont="1" applyFill="1" applyBorder="1" applyAlignment="1">
      <alignment horizontal="center" vertical="center" wrapText="1" readingOrder="1"/>
    </xf>
    <xf numFmtId="41" fontId="24" fillId="19" borderId="111" xfId="2" applyFont="1" applyFill="1" applyBorder="1" applyAlignment="1">
      <alignment horizontal="center" vertical="center" wrapText="1" readingOrder="1"/>
    </xf>
    <xf numFmtId="189" fontId="25" fillId="19" borderId="111" xfId="0" applyNumberFormat="1" applyFont="1" applyFill="1" applyBorder="1" applyAlignment="1">
      <alignment horizontal="left" vertical="center" wrapText="1"/>
    </xf>
    <xf numFmtId="0" fontId="24" fillId="19" borderId="99" xfId="0" applyFont="1" applyFill="1" applyBorder="1" applyAlignment="1">
      <alignment horizontal="left" vertical="center" wrapText="1" indent="1" readingOrder="1"/>
    </xf>
    <xf numFmtId="41" fontId="24" fillId="20" borderId="98" xfId="2" applyFont="1" applyFill="1" applyBorder="1" applyAlignment="1">
      <alignment horizontal="center" vertical="center" wrapText="1" readingOrder="1"/>
    </xf>
    <xf numFmtId="41" fontId="24" fillId="20" borderId="112" xfId="2" applyFont="1" applyFill="1" applyBorder="1" applyAlignment="1">
      <alignment horizontal="center" vertical="center" wrapText="1" readingOrder="1"/>
    </xf>
    <xf numFmtId="177" fontId="23" fillId="20" borderId="112" xfId="1" applyNumberFormat="1" applyFont="1" applyFill="1" applyBorder="1" applyAlignment="1">
      <alignment horizontal="right" vertical="center" wrapText="1"/>
    </xf>
    <xf numFmtId="189" fontId="25" fillId="20" borderId="111" xfId="0" applyNumberFormat="1" applyFont="1" applyFill="1" applyBorder="1" applyAlignment="1">
      <alignment horizontal="left" vertical="center" wrapText="1"/>
    </xf>
    <xf numFmtId="0" fontId="27" fillId="19" borderId="114" xfId="0" applyFont="1" applyFill="1" applyBorder="1" applyAlignment="1">
      <alignment vertical="center" wrapText="1"/>
    </xf>
    <xf numFmtId="41" fontId="24" fillId="17" borderId="98" xfId="2" applyFont="1" applyFill="1" applyBorder="1" applyAlignment="1">
      <alignment horizontal="center" vertical="center" readingOrder="1"/>
    </xf>
    <xf numFmtId="41" fontId="25" fillId="17" borderId="112" xfId="2" applyFont="1" applyFill="1" applyBorder="1" applyAlignment="1">
      <alignment horizontal="center" vertical="center" readingOrder="1"/>
    </xf>
    <xf numFmtId="177" fontId="28" fillId="17" borderId="112" xfId="1" applyNumberFormat="1" applyFont="1" applyFill="1" applyBorder="1" applyAlignment="1">
      <alignment horizontal="right" vertical="center"/>
    </xf>
    <xf numFmtId="189" fontId="27" fillId="17" borderId="111" xfId="0" applyNumberFormat="1" applyFont="1" applyFill="1" applyBorder="1" applyAlignment="1">
      <alignment horizontal="left" vertical="center"/>
    </xf>
    <xf numFmtId="0" fontId="24" fillId="17" borderId="114" xfId="0" applyFont="1" applyFill="1" applyBorder="1" applyAlignment="1">
      <alignment horizontal="left" vertical="center" indent="1" readingOrder="1"/>
    </xf>
    <xf numFmtId="0" fontId="26" fillId="17" borderId="120" xfId="0" applyFont="1" applyFill="1" applyBorder="1" applyAlignment="1">
      <alignment vertical="center" readingOrder="1"/>
    </xf>
    <xf numFmtId="41" fontId="27" fillId="17" borderId="121" xfId="2" applyFont="1" applyFill="1" applyBorder="1" applyAlignment="1">
      <alignment horizontal="center" vertical="center"/>
    </xf>
    <xf numFmtId="41" fontId="27" fillId="17" borderId="117" xfId="2" applyFont="1" applyFill="1" applyBorder="1" applyAlignment="1">
      <alignment horizontal="center" vertical="center"/>
    </xf>
    <xf numFmtId="41" fontId="27" fillId="15" borderId="122" xfId="2" applyFont="1" applyFill="1" applyBorder="1" applyAlignment="1">
      <alignment horizontal="center" vertical="center"/>
    </xf>
    <xf numFmtId="41" fontId="27" fillId="0" borderId="117" xfId="2" applyFont="1" applyFill="1" applyBorder="1" applyAlignment="1">
      <alignment horizontal="center" vertical="center"/>
    </xf>
    <xf numFmtId="9" fontId="27" fillId="15" borderId="117" xfId="1" applyFont="1" applyFill="1" applyBorder="1" applyAlignment="1">
      <alignment horizontal="center" vertical="center"/>
    </xf>
    <xf numFmtId="177" fontId="28" fillId="17" borderId="117" xfId="1" applyNumberFormat="1" applyFont="1" applyFill="1" applyBorder="1" applyAlignment="1">
      <alignment horizontal="right" vertical="center"/>
    </xf>
    <xf numFmtId="189" fontId="27" fillId="17" borderId="122" xfId="0" applyNumberFormat="1" applyFont="1" applyFill="1" applyBorder="1" applyAlignment="1">
      <alignment horizontal="left" vertical="center"/>
    </xf>
    <xf numFmtId="0" fontId="26" fillId="17" borderId="123" xfId="0" applyFont="1" applyFill="1" applyBorder="1" applyAlignment="1">
      <alignment vertical="center" readingOrder="1"/>
    </xf>
    <xf numFmtId="41" fontId="27" fillId="17" borderId="114" xfId="2" applyFont="1" applyFill="1" applyBorder="1" applyAlignment="1">
      <alignment horizontal="center" vertical="center"/>
    </xf>
    <xf numFmtId="41" fontId="27" fillId="17" borderId="99" xfId="2" applyFont="1" applyFill="1" applyBorder="1" applyAlignment="1">
      <alignment horizontal="center" vertical="center"/>
    </xf>
    <xf numFmtId="41" fontId="27" fillId="15" borderId="124" xfId="2" applyFont="1" applyFill="1" applyBorder="1" applyAlignment="1">
      <alignment horizontal="center" vertical="center"/>
    </xf>
    <xf numFmtId="41" fontId="27" fillId="0" borderId="99" xfId="2" applyFont="1" applyFill="1" applyBorder="1" applyAlignment="1">
      <alignment horizontal="center" vertical="center"/>
    </xf>
    <xf numFmtId="9" fontId="27" fillId="15" borderId="99" xfId="1" applyFont="1" applyFill="1" applyBorder="1" applyAlignment="1">
      <alignment horizontal="center" vertical="center"/>
    </xf>
    <xf numFmtId="177" fontId="28" fillId="17" borderId="99" xfId="1" applyNumberFormat="1" applyFont="1" applyFill="1" applyBorder="1" applyAlignment="1">
      <alignment horizontal="right" vertical="center"/>
    </xf>
    <xf numFmtId="189" fontId="27" fillId="17" borderId="124" xfId="0" applyNumberFormat="1" applyFont="1" applyFill="1" applyBorder="1" applyAlignment="1">
      <alignment horizontal="left" vertical="center"/>
    </xf>
    <xf numFmtId="0" fontId="26" fillId="17" borderId="125" xfId="0" applyFont="1" applyFill="1" applyBorder="1" applyAlignment="1">
      <alignment vertical="center" readingOrder="1"/>
    </xf>
    <xf numFmtId="41" fontId="27" fillId="17" borderId="106" xfId="2" applyFont="1" applyFill="1" applyBorder="1" applyAlignment="1">
      <alignment horizontal="center" vertical="center"/>
    </xf>
    <xf numFmtId="41" fontId="27" fillId="15" borderId="119" xfId="2" applyFont="1" applyFill="1" applyBorder="1" applyAlignment="1">
      <alignment horizontal="center" vertical="center"/>
    </xf>
    <xf numFmtId="41" fontId="27" fillId="0" borderId="106" xfId="2" applyFont="1" applyFill="1" applyBorder="1" applyAlignment="1">
      <alignment horizontal="center" vertical="center"/>
    </xf>
    <xf numFmtId="9" fontId="27" fillId="15" borderId="106" xfId="1" applyFont="1" applyFill="1" applyBorder="1" applyAlignment="1">
      <alignment horizontal="center" vertical="center"/>
    </xf>
    <xf numFmtId="177" fontId="28" fillId="17" borderId="106" xfId="1" applyNumberFormat="1" applyFont="1" applyFill="1" applyBorder="1" applyAlignment="1">
      <alignment horizontal="right" vertical="center"/>
    </xf>
    <xf numFmtId="0" fontId="26" fillId="17" borderId="111" xfId="0" applyFont="1" applyFill="1" applyBorder="1" applyAlignment="1">
      <alignment horizontal="left" vertical="center" indent="1" readingOrder="1"/>
    </xf>
    <xf numFmtId="9" fontId="25" fillId="17" borderId="112" xfId="1" applyFont="1" applyFill="1" applyBorder="1" applyAlignment="1">
      <alignment horizontal="center" vertical="center" readingOrder="1"/>
    </xf>
    <xf numFmtId="177" fontId="28" fillId="17" borderId="102" xfId="1" applyNumberFormat="1" applyFont="1" applyFill="1" applyBorder="1" applyAlignment="1">
      <alignment horizontal="right" vertical="center"/>
    </xf>
    <xf numFmtId="0" fontId="24" fillId="17" borderId="116" xfId="0" applyFont="1" applyFill="1" applyBorder="1" applyAlignment="1">
      <alignment horizontal="left" vertical="center" indent="1" readingOrder="1"/>
    </xf>
    <xf numFmtId="41" fontId="27" fillId="17" borderId="116" xfId="2" applyFont="1" applyFill="1" applyBorder="1" applyAlignment="1">
      <alignment horizontal="center" vertical="center"/>
    </xf>
    <xf numFmtId="190" fontId="10" fillId="17" borderId="102" xfId="0" applyNumberFormat="1" applyFont="1" applyFill="1" applyBorder="1">
      <alignment vertical="center"/>
    </xf>
    <xf numFmtId="0" fontId="27" fillId="19" borderId="116" xfId="0" applyFont="1" applyFill="1" applyBorder="1" applyAlignment="1">
      <alignment vertical="center" wrapText="1"/>
    </xf>
    <xf numFmtId="41" fontId="27" fillId="20" borderId="116" xfId="2" applyFont="1" applyFill="1" applyBorder="1" applyAlignment="1">
      <alignment horizontal="center" vertical="center"/>
    </xf>
    <xf numFmtId="41" fontId="25" fillId="20" borderId="106" xfId="2" applyFont="1" applyFill="1" applyBorder="1" applyAlignment="1">
      <alignment horizontal="center" vertical="center"/>
    </xf>
    <xf numFmtId="41" fontId="25" fillId="20" borderId="97" xfId="2" applyFont="1" applyFill="1" applyBorder="1" applyAlignment="1">
      <alignment horizontal="center" vertical="center"/>
    </xf>
    <xf numFmtId="177" fontId="23" fillId="20" borderId="97" xfId="1" applyNumberFormat="1" applyFont="1" applyFill="1" applyBorder="1" applyAlignment="1">
      <alignment horizontal="right" vertical="center" wrapText="1"/>
    </xf>
    <xf numFmtId="189" fontId="27" fillId="20" borderId="119" xfId="0" applyNumberFormat="1" applyFont="1" applyFill="1" applyBorder="1" applyAlignment="1">
      <alignment horizontal="left" vertical="center"/>
    </xf>
    <xf numFmtId="41" fontId="25" fillId="19" borderId="99" xfId="2" applyFont="1" applyFill="1" applyBorder="1" applyAlignment="1">
      <alignment horizontal="center" vertical="center" wrapText="1"/>
    </xf>
    <xf numFmtId="9" fontId="23" fillId="19" borderId="99" xfId="1" applyFont="1" applyFill="1" applyBorder="1" applyAlignment="1">
      <alignment horizontal="center" vertical="center" wrapText="1"/>
    </xf>
    <xf numFmtId="0" fontId="27" fillId="8" borderId="106" xfId="0" applyFont="1" applyFill="1" applyBorder="1" applyAlignment="1"/>
    <xf numFmtId="0" fontId="26" fillId="17" borderId="112" xfId="0" applyFont="1" applyFill="1" applyBorder="1" applyAlignment="1">
      <alignment horizontal="left" vertical="center" indent="1" readingOrder="1"/>
    </xf>
    <xf numFmtId="0" fontId="26" fillId="17" borderId="112" xfId="0" applyFont="1" applyFill="1" applyBorder="1" applyAlignment="1">
      <alignment vertical="center" readingOrder="1"/>
    </xf>
    <xf numFmtId="41" fontId="27" fillId="17" borderId="112" xfId="2" applyFont="1" applyFill="1" applyBorder="1" applyAlignment="1">
      <alignment horizontal="center" vertical="center"/>
    </xf>
    <xf numFmtId="41" fontId="27" fillId="0" borderId="112" xfId="2" applyFont="1" applyFill="1" applyBorder="1" applyAlignment="1">
      <alignment horizontal="right" vertical="center"/>
    </xf>
    <xf numFmtId="41" fontId="27" fillId="15" borderId="112" xfId="2" applyFont="1" applyFill="1" applyBorder="1" applyAlignment="1">
      <alignment horizontal="right" vertical="center"/>
    </xf>
    <xf numFmtId="9" fontId="28" fillId="17" borderId="112" xfId="1" applyFont="1" applyFill="1" applyBorder="1" applyAlignment="1">
      <alignment horizontal="center" vertical="center"/>
    </xf>
    <xf numFmtId="0" fontId="27" fillId="17" borderId="99" xfId="0" applyFont="1" applyFill="1" applyBorder="1" applyAlignment="1"/>
    <xf numFmtId="180" fontId="10" fillId="17" borderId="97" xfId="0" applyNumberFormat="1" applyFont="1" applyFill="1" applyBorder="1">
      <alignment vertical="center"/>
    </xf>
    <xf numFmtId="0" fontId="27" fillId="19" borderId="106" xfId="0" applyFont="1" applyFill="1" applyBorder="1" applyAlignment="1">
      <alignment vertical="center" wrapText="1"/>
    </xf>
    <xf numFmtId="0" fontId="26" fillId="17" borderId="119" xfId="0" applyFont="1" applyFill="1" applyBorder="1" applyAlignment="1">
      <alignment horizontal="left" vertical="center" indent="1" readingOrder="1"/>
    </xf>
    <xf numFmtId="0" fontId="26" fillId="17" borderId="106" xfId="0" applyFont="1" applyFill="1" applyBorder="1" applyAlignment="1">
      <alignment vertical="center" readingOrder="1"/>
    </xf>
    <xf numFmtId="9" fontId="27" fillId="0" borderId="106" xfId="2" applyNumberFormat="1" applyFont="1" applyFill="1" applyBorder="1" applyAlignment="1">
      <alignment horizontal="right" vertical="center"/>
    </xf>
    <xf numFmtId="9" fontId="27" fillId="15" borderId="106" xfId="2" applyNumberFormat="1" applyFont="1" applyFill="1" applyBorder="1" applyAlignment="1">
      <alignment horizontal="right" vertical="center"/>
    </xf>
    <xf numFmtId="9" fontId="28" fillId="17" borderId="106" xfId="1" applyFont="1" applyFill="1" applyBorder="1" applyAlignment="1">
      <alignment horizontal="center" vertical="center"/>
    </xf>
    <xf numFmtId="0" fontId="27" fillId="17" borderId="106" xfId="0" applyFont="1" applyFill="1" applyBorder="1" applyAlignment="1"/>
    <xf numFmtId="41" fontId="25" fillId="19" borderId="112" xfId="2" applyFont="1" applyFill="1" applyBorder="1" applyAlignment="1">
      <alignment horizontal="center" vertical="center" wrapText="1"/>
    </xf>
    <xf numFmtId="9" fontId="23" fillId="19" borderId="112" xfId="1" applyFont="1" applyFill="1" applyBorder="1" applyAlignment="1">
      <alignment horizontal="center" vertical="center" wrapText="1"/>
    </xf>
    <xf numFmtId="9" fontId="25" fillId="19" borderId="97" xfId="1" applyFont="1" applyFill="1" applyBorder="1" applyAlignment="1">
      <alignment vertical="center"/>
    </xf>
    <xf numFmtId="189" fontId="27" fillId="17" borderId="99" xfId="0" applyNumberFormat="1" applyFont="1" applyFill="1" applyBorder="1" applyAlignment="1">
      <alignment horizontal="right"/>
    </xf>
    <xf numFmtId="41" fontId="26" fillId="17" borderId="120" xfId="2" applyFont="1" applyFill="1" applyBorder="1" applyAlignment="1">
      <alignment vertical="center" readingOrder="1"/>
    </xf>
    <xf numFmtId="41" fontId="26" fillId="15" borderId="120" xfId="2" applyFont="1" applyFill="1" applyBorder="1" applyAlignment="1">
      <alignment vertical="center" readingOrder="1"/>
    </xf>
    <xf numFmtId="41" fontId="26" fillId="0" borderId="120" xfId="2" applyFont="1" applyFill="1" applyBorder="1" applyAlignment="1">
      <alignment vertical="center" readingOrder="1"/>
    </xf>
    <xf numFmtId="189" fontId="27" fillId="17" borderId="99" xfId="0" applyNumberFormat="1" applyFont="1" applyFill="1" applyBorder="1" applyAlignment="1"/>
    <xf numFmtId="41" fontId="26" fillId="0" borderId="122" xfId="2" applyFont="1" applyFill="1" applyBorder="1" applyAlignment="1">
      <alignment vertical="center" readingOrder="1"/>
    </xf>
    <xf numFmtId="0" fontId="26" fillId="17" borderId="105" xfId="0" applyFont="1" applyFill="1" applyBorder="1" applyAlignment="1">
      <alignment vertical="center" readingOrder="1"/>
    </xf>
    <xf numFmtId="41" fontId="26" fillId="0" borderId="107" xfId="2" applyFont="1" applyFill="1" applyBorder="1" applyAlignment="1">
      <alignment vertical="center" readingOrder="1"/>
    </xf>
    <xf numFmtId="189" fontId="27" fillId="17" borderId="106" xfId="0" applyNumberFormat="1" applyFont="1" applyFill="1" applyBorder="1" applyAlignment="1">
      <alignment horizontal="right"/>
    </xf>
    <xf numFmtId="191" fontId="5" fillId="16" borderId="97" xfId="0" applyNumberFormat="1" applyFont="1" applyFill="1" applyBorder="1">
      <alignment vertical="center"/>
    </xf>
    <xf numFmtId="41" fontId="26" fillId="15" borderId="105" xfId="2" applyFont="1" applyFill="1" applyBorder="1" applyAlignment="1">
      <alignment vertical="center" readingOrder="1"/>
    </xf>
    <xf numFmtId="41" fontId="26" fillId="0" borderId="105" xfId="2" applyFont="1" applyFill="1" applyBorder="1" applyAlignment="1">
      <alignment vertical="center" readingOrder="1"/>
    </xf>
    <xf numFmtId="41" fontId="26" fillId="0" borderId="104" xfId="2" applyFont="1" applyFill="1" applyBorder="1" applyAlignment="1">
      <alignment vertical="center" readingOrder="1"/>
    </xf>
    <xf numFmtId="0" fontId="26" fillId="17" borderId="126" xfId="0" applyFont="1" applyFill="1" applyBorder="1" applyAlignment="1">
      <alignment vertical="center" readingOrder="1"/>
    </xf>
    <xf numFmtId="0" fontId="27" fillId="17" borderId="99" xfId="0" applyFont="1" applyFill="1" applyBorder="1" applyAlignment="1">
      <alignment horizontal="left"/>
    </xf>
    <xf numFmtId="41" fontId="26" fillId="17" borderId="107" xfId="2" applyFont="1" applyFill="1" applyBorder="1" applyAlignment="1">
      <alignment vertical="center" readingOrder="1"/>
    </xf>
    <xf numFmtId="41" fontId="27" fillId="17" borderId="107" xfId="2" applyFont="1" applyFill="1" applyBorder="1" applyAlignment="1">
      <alignment vertical="center" readingOrder="1"/>
    </xf>
    <xf numFmtId="41" fontId="27" fillId="15" borderId="107" xfId="2" applyFont="1" applyFill="1" applyBorder="1" applyAlignment="1">
      <alignment vertical="center" readingOrder="1"/>
    </xf>
    <xf numFmtId="41" fontId="29" fillId="15" borderId="125" xfId="2" applyFont="1" applyFill="1" applyBorder="1" applyAlignment="1">
      <alignment vertical="center" readingOrder="1"/>
    </xf>
    <xf numFmtId="41" fontId="27" fillId="17" borderId="106" xfId="2" applyFont="1" applyFill="1" applyBorder="1" applyAlignment="1">
      <alignment horizontal="left"/>
    </xf>
    <xf numFmtId="9" fontId="25" fillId="19" borderId="106" xfId="1" applyFont="1" applyFill="1" applyBorder="1" applyAlignment="1">
      <alignment horizontal="center" vertical="center" wrapText="1"/>
    </xf>
    <xf numFmtId="0" fontId="26" fillId="17" borderId="98" xfId="0" applyFont="1" applyFill="1" applyBorder="1" applyAlignment="1">
      <alignment horizontal="left" vertical="center" indent="1" readingOrder="1"/>
    </xf>
    <xf numFmtId="9" fontId="27" fillId="17" borderId="112" xfId="1" applyFont="1" applyFill="1" applyBorder="1" applyAlignment="1">
      <alignment horizontal="right" vertical="center"/>
    </xf>
    <xf numFmtId="9" fontId="27" fillId="17" borderId="112" xfId="1" applyFont="1" applyFill="1" applyBorder="1" applyAlignment="1">
      <alignment vertical="center"/>
    </xf>
    <xf numFmtId="9" fontId="27" fillId="15" borderId="112" xfId="1" applyFont="1" applyFill="1" applyBorder="1" applyAlignment="1">
      <alignment horizontal="right" vertical="center"/>
    </xf>
    <xf numFmtId="9" fontId="27" fillId="0" borderId="112" xfId="1" applyFont="1" applyFill="1" applyBorder="1" applyAlignment="1">
      <alignment horizontal="right" vertical="center"/>
    </xf>
    <xf numFmtId="0" fontId="26" fillId="17" borderId="103" xfId="0" applyFont="1" applyFill="1" applyBorder="1" applyAlignment="1">
      <alignment horizontal="left" vertical="center" indent="1" readingOrder="1"/>
    </xf>
    <xf numFmtId="0" fontId="26" fillId="17" borderId="104" xfId="0" applyFont="1" applyFill="1" applyBorder="1" applyAlignment="1">
      <alignment vertical="center" readingOrder="1"/>
    </xf>
    <xf numFmtId="9" fontId="27" fillId="17" borderId="105" xfId="1" applyFont="1" applyFill="1" applyBorder="1" applyAlignment="1">
      <alignment horizontal="right" vertical="center"/>
    </xf>
    <xf numFmtId="9" fontId="27" fillId="17" borderId="105" xfId="1" applyFont="1" applyFill="1" applyBorder="1" applyAlignment="1">
      <alignment vertical="center"/>
    </xf>
    <xf numFmtId="9" fontId="27" fillId="15" borderId="105" xfId="1" applyFont="1" applyFill="1" applyBorder="1" applyAlignment="1">
      <alignment horizontal="right" vertical="center"/>
    </xf>
    <xf numFmtId="9" fontId="27" fillId="0" borderId="105" xfId="1" applyFont="1" applyFill="1" applyBorder="1" applyAlignment="1">
      <alignment horizontal="right" vertical="center"/>
    </xf>
    <xf numFmtId="9" fontId="28" fillId="17" borderId="105" xfId="1" applyFont="1" applyFill="1" applyBorder="1" applyAlignment="1">
      <alignment horizontal="center" vertical="center"/>
    </xf>
    <xf numFmtId="9" fontId="27" fillId="17" borderId="99" xfId="0" applyNumberFormat="1" applyFont="1" applyFill="1" applyBorder="1" applyAlignment="1"/>
    <xf numFmtId="0" fontId="26" fillId="0" borderId="103" xfId="0" applyFont="1" applyBorder="1" applyAlignment="1">
      <alignment horizontal="left" vertical="center" indent="1" readingOrder="1"/>
    </xf>
    <xf numFmtId="0" fontId="26" fillId="0" borderId="104" xfId="0" applyFont="1" applyBorder="1" applyAlignment="1">
      <alignment vertical="center" readingOrder="1"/>
    </xf>
    <xf numFmtId="41" fontId="27" fillId="0" borderId="105" xfId="2" applyFont="1" applyFill="1" applyBorder="1" applyAlignment="1">
      <alignment horizontal="center" vertical="center"/>
    </xf>
    <xf numFmtId="41" fontId="27" fillId="0" borderId="105" xfId="2" applyFont="1" applyFill="1" applyBorder="1" applyAlignment="1">
      <alignment vertical="center"/>
    </xf>
    <xf numFmtId="41" fontId="27" fillId="15" borderId="105" xfId="2" applyFont="1" applyFill="1" applyBorder="1" applyAlignment="1">
      <alignment horizontal="right" vertical="center"/>
    </xf>
    <xf numFmtId="41" fontId="27" fillId="0" borderId="105" xfId="2" applyFont="1" applyFill="1" applyBorder="1" applyAlignment="1">
      <alignment horizontal="right" vertical="center"/>
    </xf>
    <xf numFmtId="9" fontId="28" fillId="0" borderId="105" xfId="1" applyFont="1" applyFill="1" applyBorder="1" applyAlignment="1">
      <alignment horizontal="center" vertical="center"/>
    </xf>
    <xf numFmtId="0" fontId="27" fillId="0" borderId="106" xfId="0" applyFont="1" applyBorder="1" applyAlignment="1"/>
    <xf numFmtId="191" fontId="5" fillId="17" borderId="97" xfId="0" applyNumberFormat="1" applyFont="1" applyFill="1" applyBorder="1">
      <alignment vertical="center"/>
    </xf>
    <xf numFmtId="9" fontId="25" fillId="19" borderId="112" xfId="2" applyNumberFormat="1" applyFont="1" applyFill="1" applyBorder="1" applyAlignment="1">
      <alignment horizontal="center" vertical="center" wrapText="1"/>
    </xf>
    <xf numFmtId="10" fontId="25" fillId="15" borderId="112" xfId="2" applyNumberFormat="1" applyFont="1" applyFill="1" applyBorder="1" applyAlignment="1">
      <alignment horizontal="center" vertical="center" wrapText="1"/>
    </xf>
    <xf numFmtId="41" fontId="27" fillId="17" borderId="102" xfId="2" applyFont="1" applyFill="1" applyBorder="1" applyAlignment="1">
      <alignment horizontal="center" vertical="center"/>
    </xf>
    <xf numFmtId="9" fontId="28" fillId="17" borderId="102" xfId="1" applyFont="1" applyFill="1" applyBorder="1" applyAlignment="1">
      <alignment horizontal="center" vertical="center"/>
    </xf>
    <xf numFmtId="0" fontId="24" fillId="0" borderId="114" xfId="0" applyFont="1" applyBorder="1" applyAlignment="1">
      <alignment horizontal="left" vertical="center" indent="1" readingOrder="1"/>
    </xf>
    <xf numFmtId="0" fontId="26" fillId="0" borderId="120" xfId="0" applyFont="1" applyBorder="1" applyAlignment="1">
      <alignment horizontal="left" vertical="center" indent="1" readingOrder="1"/>
    </xf>
    <xf numFmtId="177" fontId="27" fillId="0" borderId="117" xfId="1" applyNumberFormat="1" applyFont="1" applyBorder="1" applyAlignment="1">
      <alignment horizontal="center" vertical="center"/>
    </xf>
    <xf numFmtId="9" fontId="27" fillId="0" borderId="117" xfId="1" applyFont="1" applyBorder="1" applyAlignment="1">
      <alignment horizontal="center" vertical="center"/>
    </xf>
    <xf numFmtId="177" fontId="27" fillId="15" borderId="117" xfId="1" applyNumberFormat="1" applyFont="1" applyFill="1" applyBorder="1" applyAlignment="1">
      <alignment horizontal="center" vertical="center"/>
    </xf>
    <xf numFmtId="9" fontId="27" fillId="0" borderId="117" xfId="1" applyFont="1" applyFill="1" applyBorder="1" applyAlignment="1">
      <alignment horizontal="center" vertical="center"/>
    </xf>
    <xf numFmtId="9" fontId="28" fillId="15" borderId="117" xfId="1" applyFont="1" applyFill="1" applyBorder="1" applyAlignment="1">
      <alignment horizontal="center" vertical="center"/>
    </xf>
    <xf numFmtId="0" fontId="26" fillId="17" borderId="123" xfId="0" applyFont="1" applyFill="1" applyBorder="1" applyAlignment="1">
      <alignment horizontal="left" vertical="center" indent="1" readingOrder="1"/>
    </xf>
    <xf numFmtId="9" fontId="27" fillId="17" borderId="99" xfId="2" applyNumberFormat="1" applyFont="1" applyFill="1" applyBorder="1" applyAlignment="1">
      <alignment horizontal="center" vertical="center"/>
    </xf>
    <xf numFmtId="9" fontId="27" fillId="15" borderId="99" xfId="2" applyNumberFormat="1" applyFont="1" applyFill="1" applyBorder="1" applyAlignment="1">
      <alignment horizontal="center" vertical="center"/>
    </xf>
    <xf numFmtId="9" fontId="27" fillId="0" borderId="99" xfId="2" applyNumberFormat="1" applyFont="1" applyFill="1" applyBorder="1" applyAlignment="1">
      <alignment horizontal="center" vertical="center"/>
    </xf>
    <xf numFmtId="0" fontId="26" fillId="17" borderId="125" xfId="0" applyFont="1" applyFill="1" applyBorder="1" applyAlignment="1">
      <alignment horizontal="left" vertical="center" indent="1" readingOrder="1"/>
    </xf>
    <xf numFmtId="9" fontId="27" fillId="0" borderId="99" xfId="1" applyFont="1" applyFill="1" applyBorder="1" applyAlignment="1">
      <alignment horizontal="center" vertical="center"/>
    </xf>
    <xf numFmtId="9" fontId="28" fillId="0" borderId="99" xfId="2" applyNumberFormat="1" applyFont="1" applyFill="1" applyBorder="1" applyAlignment="1">
      <alignment vertical="center"/>
    </xf>
    <xf numFmtId="41" fontId="29" fillId="17" borderId="106" xfId="2" applyFont="1" applyFill="1" applyBorder="1" applyAlignment="1"/>
    <xf numFmtId="9" fontId="27" fillId="17" borderId="112" xfId="2" applyNumberFormat="1" applyFont="1" applyFill="1" applyBorder="1" applyAlignment="1">
      <alignment horizontal="center" vertical="center"/>
    </xf>
    <xf numFmtId="9" fontId="27" fillId="0" borderId="112" xfId="2" applyNumberFormat="1" applyFont="1" applyFill="1" applyBorder="1" applyAlignment="1">
      <alignment horizontal="center" vertical="center"/>
    </xf>
    <xf numFmtId="0" fontId="24" fillId="0" borderId="127" xfId="0" applyFont="1" applyBorder="1" applyAlignment="1">
      <alignment horizontal="left" vertical="center" indent="1" readingOrder="1"/>
    </xf>
    <xf numFmtId="9" fontId="28" fillId="0" borderId="117" xfId="1" applyFont="1" applyFill="1" applyBorder="1" applyAlignment="1">
      <alignment horizontal="center" vertical="center"/>
    </xf>
    <xf numFmtId="0" fontId="27" fillId="17" borderId="117" xfId="0" applyFont="1" applyFill="1" applyBorder="1" applyAlignment="1"/>
    <xf numFmtId="9" fontId="27" fillId="17" borderId="106" xfId="1" applyFont="1" applyFill="1" applyBorder="1" applyAlignment="1">
      <alignment horizontal="center" vertical="center"/>
    </xf>
    <xf numFmtId="9" fontId="27" fillId="0" borderId="106" xfId="2" applyNumberFormat="1" applyFont="1" applyFill="1" applyBorder="1" applyAlignment="1">
      <alignment horizontal="center" vertical="center"/>
    </xf>
    <xf numFmtId="41" fontId="25" fillId="19" borderId="98" xfId="2" applyFont="1" applyFill="1" applyBorder="1" applyAlignment="1">
      <alignment horizontal="center" vertical="center" wrapText="1"/>
    </xf>
    <xf numFmtId="9" fontId="25" fillId="19" borderId="97" xfId="1" applyFont="1" applyFill="1" applyBorder="1" applyAlignment="1">
      <alignment horizontal="center" vertical="center" wrapText="1"/>
    </xf>
    <xf numFmtId="0" fontId="10" fillId="8" borderId="99" xfId="0" applyFont="1" applyFill="1" applyBorder="1">
      <alignment vertical="center"/>
    </xf>
    <xf numFmtId="0" fontId="10" fillId="0" borderId="98" xfId="0" applyFont="1" applyBorder="1">
      <alignment vertical="center"/>
    </xf>
    <xf numFmtId="0" fontId="10" fillId="0" borderId="110" xfId="0" applyFont="1" applyBorder="1">
      <alignment vertical="center"/>
    </xf>
    <xf numFmtId="3" fontId="10" fillId="0" borderId="98" xfId="0" applyNumberFormat="1" applyFont="1" applyBorder="1">
      <alignment vertical="center"/>
    </xf>
    <xf numFmtId="3" fontId="10" fillId="0" borderId="112" xfId="1" applyNumberFormat="1" applyFont="1" applyBorder="1">
      <alignment vertical="center"/>
    </xf>
    <xf numFmtId="3" fontId="10" fillId="15" borderId="112" xfId="1" applyNumberFormat="1" applyFont="1" applyFill="1" applyBorder="1">
      <alignment vertical="center"/>
    </xf>
    <xf numFmtId="9" fontId="10" fillId="15" borderId="98" xfId="1" applyFont="1" applyFill="1" applyBorder="1">
      <alignment vertical="center"/>
    </xf>
    <xf numFmtId="0" fontId="10" fillId="0" borderId="112" xfId="0" applyFont="1" applyBorder="1">
      <alignment vertical="center"/>
    </xf>
    <xf numFmtId="0" fontId="10" fillId="0" borderId="128" xfId="0" applyFont="1" applyBorder="1">
      <alignment vertical="center"/>
    </xf>
    <xf numFmtId="3" fontId="10" fillId="0" borderId="103" xfId="0" applyNumberFormat="1" applyFont="1" applyBorder="1">
      <alignment vertical="center"/>
    </xf>
    <xf numFmtId="3" fontId="10" fillId="0" borderId="105" xfId="1" applyNumberFormat="1" applyFont="1" applyBorder="1">
      <alignment vertical="center"/>
    </xf>
    <xf numFmtId="3" fontId="10" fillId="15" borderId="105" xfId="1" applyNumberFormat="1" applyFont="1" applyFill="1" applyBorder="1">
      <alignment vertical="center"/>
    </xf>
    <xf numFmtId="9" fontId="10" fillId="15" borderId="103" xfId="1" applyFont="1" applyFill="1" applyBorder="1">
      <alignment vertical="center"/>
    </xf>
    <xf numFmtId="0" fontId="10" fillId="0" borderId="121" xfId="0" applyFont="1" applyBorder="1">
      <alignment vertical="center"/>
    </xf>
    <xf numFmtId="9" fontId="10" fillId="0" borderId="103" xfId="1" applyFont="1" applyBorder="1">
      <alignment vertical="center"/>
    </xf>
    <xf numFmtId="0" fontId="10" fillId="0" borderId="127" xfId="0" applyFont="1" applyBorder="1">
      <alignment vertical="center"/>
    </xf>
    <xf numFmtId="0" fontId="10" fillId="0" borderId="129" xfId="0" applyFont="1" applyBorder="1">
      <alignment vertical="center"/>
    </xf>
    <xf numFmtId="3" fontId="10" fillId="0" borderId="121" xfId="0" applyNumberFormat="1" applyFont="1" applyBorder="1">
      <alignment vertical="center"/>
    </xf>
    <xf numFmtId="3" fontId="10" fillId="0" borderId="117" xfId="1" applyNumberFormat="1" applyFont="1" applyBorder="1">
      <alignment vertical="center"/>
    </xf>
    <xf numFmtId="3" fontId="10" fillId="15" borderId="117" xfId="1" applyNumberFormat="1" applyFont="1" applyFill="1" applyBorder="1">
      <alignment vertical="center"/>
    </xf>
    <xf numFmtId="9" fontId="10" fillId="0" borderId="121" xfId="1" applyFont="1" applyBorder="1">
      <alignment vertical="center"/>
    </xf>
    <xf numFmtId="0" fontId="10" fillId="0" borderId="114" xfId="0" applyFont="1" applyBorder="1">
      <alignment vertical="center"/>
    </xf>
    <xf numFmtId="0" fontId="10" fillId="0" borderId="130" xfId="0" applyFont="1" applyBorder="1">
      <alignment vertical="center"/>
    </xf>
    <xf numFmtId="3" fontId="10" fillId="0" borderId="114" xfId="0" applyNumberFormat="1" applyFont="1" applyBorder="1">
      <alignment vertical="center"/>
    </xf>
    <xf numFmtId="3" fontId="10" fillId="15" borderId="114" xfId="0" applyNumberFormat="1" applyFont="1" applyFill="1" applyBorder="1">
      <alignment vertical="center"/>
    </xf>
    <xf numFmtId="3" fontId="10" fillId="0" borderId="99" xfId="1" applyNumberFormat="1" applyFont="1" applyBorder="1">
      <alignment vertical="center"/>
    </xf>
    <xf numFmtId="9" fontId="10" fillId="15" borderId="114" xfId="1" applyFont="1" applyFill="1" applyBorder="1">
      <alignment vertical="center"/>
    </xf>
    <xf numFmtId="0" fontId="0" fillId="0" borderId="99" xfId="0" applyBorder="1">
      <alignment vertical="center"/>
    </xf>
    <xf numFmtId="0" fontId="10" fillId="0" borderId="131" xfId="0" applyFont="1" applyBorder="1">
      <alignment vertical="center"/>
    </xf>
    <xf numFmtId="0" fontId="10" fillId="0" borderId="132" xfId="0" applyFont="1" applyBorder="1">
      <alignment vertical="center"/>
    </xf>
    <xf numFmtId="3" fontId="10" fillId="0" borderId="131" xfId="0" applyNumberFormat="1" applyFont="1" applyBorder="1">
      <alignment vertical="center"/>
    </xf>
    <xf numFmtId="3" fontId="10" fillId="0" borderId="113" xfId="1" applyNumberFormat="1" applyFont="1" applyBorder="1">
      <alignment vertical="center"/>
    </xf>
    <xf numFmtId="3" fontId="10" fillId="15" borderId="113" xfId="1" applyNumberFormat="1" applyFont="1" applyFill="1" applyBorder="1">
      <alignment vertical="center"/>
    </xf>
    <xf numFmtId="9" fontId="10" fillId="0" borderId="131" xfId="1" applyFont="1" applyBorder="1">
      <alignment vertical="center"/>
    </xf>
    <xf numFmtId="0" fontId="0" fillId="8" borderId="106" xfId="0" applyFill="1" applyBorder="1">
      <alignment vertical="center"/>
    </xf>
    <xf numFmtId="0" fontId="10" fillId="0" borderId="116" xfId="0" applyFont="1" applyBorder="1">
      <alignment vertical="center"/>
    </xf>
    <xf numFmtId="0" fontId="0" fillId="0" borderId="133" xfId="0" applyBorder="1">
      <alignment vertical="center"/>
    </xf>
    <xf numFmtId="3" fontId="0" fillId="0" borderId="116" xfId="0" applyNumberFormat="1" applyBorder="1">
      <alignment vertical="center"/>
    </xf>
    <xf numFmtId="3" fontId="10" fillId="0" borderId="106" xfId="1" applyNumberFormat="1" applyFont="1" applyBorder="1">
      <alignment vertical="center"/>
    </xf>
    <xf numFmtId="3" fontId="10" fillId="15" borderId="106" xfId="1" applyNumberFormat="1" applyFont="1" applyFill="1" applyBorder="1">
      <alignment vertical="center"/>
    </xf>
    <xf numFmtId="3" fontId="0" fillId="0" borderId="106" xfId="1" applyNumberFormat="1" applyFont="1" applyBorder="1">
      <alignment vertical="center"/>
    </xf>
    <xf numFmtId="9" fontId="0" fillId="15" borderId="116" xfId="1" applyFont="1" applyFill="1" applyBorder="1">
      <alignment vertical="center"/>
    </xf>
    <xf numFmtId="0" fontId="0" fillId="0" borderId="106" xfId="0" applyBorder="1">
      <alignment vertical="center"/>
    </xf>
    <xf numFmtId="184" fontId="10" fillId="0" borderId="0" xfId="0" applyNumberFormat="1" applyFont="1">
      <alignment vertical="center"/>
    </xf>
    <xf numFmtId="41" fontId="25" fillId="19" borderId="97" xfId="2" applyFont="1" applyFill="1" applyBorder="1" applyAlignment="1">
      <alignment horizontal="center" vertical="center" wrapText="1"/>
    </xf>
    <xf numFmtId="9" fontId="23" fillId="19" borderId="97" xfId="1" applyFont="1" applyFill="1" applyBorder="1" applyAlignment="1">
      <alignment horizontal="right" vertical="center" wrapText="1"/>
    </xf>
    <xf numFmtId="9" fontId="25" fillId="19" borderId="97" xfId="1" applyFont="1" applyFill="1" applyBorder="1" applyAlignment="1">
      <alignment horizontal="right" vertical="center" wrapText="1"/>
    </xf>
    <xf numFmtId="0" fontId="26" fillId="17" borderId="110" xfId="0" applyFont="1" applyFill="1" applyBorder="1" applyAlignment="1">
      <alignment vertical="center" readingOrder="1"/>
    </xf>
    <xf numFmtId="177" fontId="27" fillId="17" borderId="112" xfId="1" applyNumberFormat="1" applyFont="1" applyFill="1" applyBorder="1" applyAlignment="1">
      <alignment horizontal="center" vertical="center"/>
    </xf>
    <xf numFmtId="177" fontId="27" fillId="15" borderId="112" xfId="1" applyNumberFormat="1" applyFont="1" applyFill="1" applyBorder="1" applyAlignment="1">
      <alignment horizontal="center" vertical="center"/>
    </xf>
    <xf numFmtId="9" fontId="27" fillId="17" borderId="117" xfId="1" applyFont="1" applyFill="1" applyBorder="1" applyAlignment="1">
      <alignment horizontal="center" vertical="center"/>
    </xf>
    <xf numFmtId="41" fontId="25" fillId="19" borderId="112" xfId="4" applyFont="1" applyFill="1" applyBorder="1" applyAlignment="1">
      <alignment horizontal="center" vertical="center" wrapText="1"/>
    </xf>
    <xf numFmtId="0" fontId="27" fillId="19" borderId="114" xfId="3" applyFont="1" applyFill="1" applyBorder="1" applyAlignment="1">
      <alignment vertical="center" wrapText="1"/>
    </xf>
    <xf numFmtId="0" fontId="26" fillId="17" borderId="98" xfId="3" applyFont="1" applyFill="1" applyBorder="1" applyAlignment="1">
      <alignment horizontal="left" vertical="center" indent="1" readingOrder="1"/>
    </xf>
    <xf numFmtId="0" fontId="26" fillId="17" borderId="111" xfId="3" applyFont="1" applyFill="1" applyBorder="1" applyAlignment="1">
      <alignment vertical="center" readingOrder="1"/>
    </xf>
    <xf numFmtId="41" fontId="27" fillId="17" borderId="112" xfId="4" applyFont="1" applyFill="1" applyBorder="1" applyAlignment="1">
      <alignment horizontal="right" vertical="center"/>
    </xf>
    <xf numFmtId="41" fontId="27" fillId="15" borderId="112" xfId="4" applyFont="1" applyFill="1" applyBorder="1" applyAlignment="1">
      <alignment horizontal="right" vertical="center"/>
    </xf>
    <xf numFmtId="41" fontId="27" fillId="17" borderId="112" xfId="4" applyFont="1" applyFill="1" applyBorder="1" applyAlignment="1">
      <alignment horizontal="center" vertical="center"/>
    </xf>
    <xf numFmtId="0" fontId="27" fillId="19" borderId="116" xfId="3" applyFont="1" applyFill="1" applyBorder="1" applyAlignment="1">
      <alignment vertical="center" wrapText="1"/>
    </xf>
    <xf numFmtId="0" fontId="26" fillId="17" borderId="108" xfId="3" applyFont="1" applyFill="1" applyBorder="1" applyAlignment="1">
      <alignment horizontal="left" vertical="center" indent="1" readingOrder="1"/>
    </xf>
    <xf numFmtId="0" fontId="26" fillId="17" borderId="119" xfId="3" applyFont="1" applyFill="1" applyBorder="1" applyAlignment="1">
      <alignment horizontal="left" vertical="center" indent="1" readingOrder="1"/>
    </xf>
    <xf numFmtId="41" fontId="27" fillId="17" borderId="106" xfId="4" applyFont="1" applyFill="1" applyBorder="1" applyAlignment="1">
      <alignment horizontal="center" vertical="center"/>
    </xf>
    <xf numFmtId="41" fontId="27" fillId="15" borderId="106" xfId="4" applyFont="1" applyFill="1" applyBorder="1" applyAlignment="1">
      <alignment horizontal="center" vertical="center"/>
    </xf>
    <xf numFmtId="9" fontId="27" fillId="0" borderId="106" xfId="1" applyFont="1" applyFill="1" applyBorder="1" applyAlignment="1">
      <alignment horizontal="center" vertical="center"/>
    </xf>
    <xf numFmtId="177" fontId="10" fillId="0" borderId="0" xfId="1" applyNumberFormat="1" applyFont="1">
      <alignment vertical="center"/>
    </xf>
    <xf numFmtId="192" fontId="10" fillId="0" borderId="0" xfId="0" applyNumberFormat="1" applyFont="1">
      <alignment vertical="center"/>
    </xf>
    <xf numFmtId="41" fontId="25" fillId="0" borderId="0" xfId="4" applyFont="1" applyFill="1" applyBorder="1" applyAlignment="1">
      <alignment horizontal="center" vertical="center" wrapText="1"/>
    </xf>
    <xf numFmtId="0" fontId="31" fillId="21" borderId="98" xfId="0" applyFont="1" applyFill="1" applyBorder="1">
      <alignment vertical="center"/>
    </xf>
    <xf numFmtId="0" fontId="31" fillId="21" borderId="110" xfId="0" applyFont="1" applyFill="1" applyBorder="1">
      <alignment vertical="center"/>
    </xf>
    <xf numFmtId="0" fontId="31" fillId="21" borderId="98" xfId="0" applyFont="1" applyFill="1" applyBorder="1" applyAlignment="1">
      <alignment horizontal="center" vertical="center"/>
    </xf>
    <xf numFmtId="0" fontId="31" fillId="21" borderId="110" xfId="0" applyFont="1" applyFill="1" applyBorder="1" applyAlignment="1">
      <alignment horizontal="center" vertical="center"/>
    </xf>
    <xf numFmtId="0" fontId="31" fillId="21" borderId="112" xfId="0" applyFont="1" applyFill="1" applyBorder="1" applyAlignment="1">
      <alignment horizontal="center" vertical="center"/>
    </xf>
    <xf numFmtId="0" fontId="31" fillId="21" borderId="111" xfId="0" applyFont="1" applyFill="1" applyBorder="1" applyAlignment="1">
      <alignment horizontal="center" vertical="center"/>
    </xf>
    <xf numFmtId="0" fontId="31" fillId="21" borderId="112" xfId="0" applyFont="1" applyFill="1" applyBorder="1">
      <alignment vertical="center"/>
    </xf>
    <xf numFmtId="0" fontId="3" fillId="8" borderId="98" xfId="0" applyFont="1" applyFill="1" applyBorder="1">
      <alignment vertical="center"/>
    </xf>
    <xf numFmtId="0" fontId="0" fillId="8" borderId="110" xfId="0" applyFill="1" applyBorder="1">
      <alignment vertical="center"/>
    </xf>
    <xf numFmtId="0" fontId="10" fillId="8" borderId="98" xfId="0" applyFont="1" applyFill="1" applyBorder="1">
      <alignment vertical="center"/>
    </xf>
    <xf numFmtId="0" fontId="10" fillId="8" borderId="110" xfId="0" applyFont="1" applyFill="1" applyBorder="1">
      <alignment vertical="center"/>
    </xf>
    <xf numFmtId="0" fontId="10" fillId="8" borderId="98" xfId="0" applyFont="1" applyFill="1" applyBorder="1" applyAlignment="1">
      <alignment horizontal="center" vertical="center"/>
    </xf>
    <xf numFmtId="0" fontId="10" fillId="8" borderId="112" xfId="0" applyFont="1" applyFill="1" applyBorder="1" applyAlignment="1">
      <alignment horizontal="center" vertical="center"/>
    </xf>
    <xf numFmtId="0" fontId="10" fillId="8" borderId="112" xfId="0" applyFont="1" applyFill="1" applyBorder="1">
      <alignment vertical="center"/>
    </xf>
    <xf numFmtId="0" fontId="0" fillId="8" borderId="112" xfId="0" applyFill="1" applyBorder="1">
      <alignment vertical="center"/>
    </xf>
    <xf numFmtId="0" fontId="3" fillId="8" borderId="114" xfId="0" applyFont="1" applyFill="1" applyBorder="1">
      <alignment vertical="center"/>
    </xf>
    <xf numFmtId="0" fontId="0" fillId="0" borderId="98" xfId="0" applyBorder="1">
      <alignment vertical="center"/>
    </xf>
    <xf numFmtId="0" fontId="0" fillId="0" borderId="110" xfId="0" applyBorder="1">
      <alignment vertical="center"/>
    </xf>
    <xf numFmtId="3" fontId="10" fillId="15" borderId="98" xfId="0" applyNumberFormat="1" applyFont="1" applyFill="1" applyBorder="1">
      <alignment vertical="center"/>
    </xf>
    <xf numFmtId="0" fontId="10" fillId="15" borderId="112" xfId="0" applyFont="1" applyFill="1" applyBorder="1">
      <alignment vertical="center"/>
    </xf>
    <xf numFmtId="9" fontId="10" fillId="0" borderId="110" xfId="1" applyFont="1" applyBorder="1">
      <alignment vertical="center"/>
    </xf>
    <xf numFmtId="0" fontId="0" fillId="0" borderId="112" xfId="0" applyBorder="1">
      <alignment vertical="center"/>
    </xf>
    <xf numFmtId="0" fontId="0" fillId="0" borderId="114" xfId="0" applyBorder="1">
      <alignment vertical="center"/>
    </xf>
    <xf numFmtId="3" fontId="10" fillId="15" borderId="99" xfId="0" applyNumberFormat="1" applyFont="1" applyFill="1" applyBorder="1">
      <alignment vertical="center"/>
    </xf>
    <xf numFmtId="9" fontId="10" fillId="0" borderId="0" xfId="1" applyFont="1" applyBorder="1">
      <alignment vertical="center"/>
    </xf>
    <xf numFmtId="9" fontId="10" fillId="0" borderId="99" xfId="1" applyFont="1" applyFill="1" applyBorder="1">
      <alignment vertical="center"/>
    </xf>
    <xf numFmtId="9" fontId="0" fillId="0" borderId="99" xfId="1" applyFont="1" applyFill="1" applyBorder="1">
      <alignment vertical="center"/>
    </xf>
    <xf numFmtId="0" fontId="3" fillId="8" borderId="116" xfId="0" applyFont="1" applyFill="1" applyBorder="1">
      <alignment vertical="center"/>
    </xf>
    <xf numFmtId="0" fontId="0" fillId="0" borderId="116" xfId="0" applyBorder="1">
      <alignment vertical="center"/>
    </xf>
    <xf numFmtId="0" fontId="10" fillId="0" borderId="133" xfId="0" applyFont="1" applyBorder="1">
      <alignment vertical="center"/>
    </xf>
    <xf numFmtId="3" fontId="10" fillId="15" borderId="116" xfId="0" applyNumberFormat="1" applyFont="1" applyFill="1" applyBorder="1">
      <alignment vertical="center"/>
    </xf>
    <xf numFmtId="3" fontId="10" fillId="15" borderId="106" xfId="0" applyNumberFormat="1" applyFont="1" applyFill="1" applyBorder="1">
      <alignment vertical="center"/>
    </xf>
    <xf numFmtId="9" fontId="10" fillId="0" borderId="133" xfId="0" applyNumberFormat="1" applyFont="1" applyBorder="1">
      <alignment vertical="center"/>
    </xf>
    <xf numFmtId="9" fontId="10" fillId="0" borderId="106" xfId="0" applyNumberFormat="1" applyFont="1" applyBorder="1">
      <alignment vertical="center"/>
    </xf>
    <xf numFmtId="9" fontId="0" fillId="0" borderId="106" xfId="0" applyNumberFormat="1" applyBorder="1">
      <alignment vertical="center"/>
    </xf>
    <xf numFmtId="9" fontId="10" fillId="0" borderId="98" xfId="0" applyNumberFormat="1" applyFont="1" applyBorder="1">
      <alignment vertical="center"/>
    </xf>
    <xf numFmtId="9" fontId="10" fillId="0" borderId="112" xfId="0" applyNumberFormat="1" applyFont="1" applyBorder="1">
      <alignment vertical="center"/>
    </xf>
    <xf numFmtId="9" fontId="10" fillId="15" borderId="110" xfId="0" applyNumberFormat="1" applyFont="1" applyFill="1" applyBorder="1">
      <alignment vertical="center"/>
    </xf>
    <xf numFmtId="9" fontId="0" fillId="0" borderId="112" xfId="0" applyNumberFormat="1" applyBorder="1">
      <alignment vertical="center"/>
    </xf>
    <xf numFmtId="3" fontId="10" fillId="0" borderId="99" xfId="0" applyNumberFormat="1" applyFont="1" applyBorder="1">
      <alignment vertical="center"/>
    </xf>
    <xf numFmtId="9" fontId="10" fillId="15" borderId="0" xfId="0" applyNumberFormat="1" applyFont="1" applyFill="1">
      <alignment vertical="center"/>
    </xf>
    <xf numFmtId="9" fontId="10" fillId="15" borderId="116" xfId="1" applyFont="1" applyFill="1" applyBorder="1">
      <alignment vertical="center"/>
    </xf>
    <xf numFmtId="9" fontId="10" fillId="15" borderId="133" xfId="1" applyFont="1" applyFill="1" applyBorder="1">
      <alignment vertical="center"/>
    </xf>
    <xf numFmtId="41" fontId="10" fillId="15" borderId="98" xfId="0" applyNumberFormat="1" applyFont="1" applyFill="1" applyBorder="1">
      <alignment vertical="center"/>
    </xf>
    <xf numFmtId="3" fontId="10" fillId="0" borderId="112" xfId="0" applyNumberFormat="1" applyFont="1" applyBorder="1">
      <alignment vertical="center"/>
    </xf>
    <xf numFmtId="9" fontId="10" fillId="15" borderId="110" xfId="1" applyFont="1" applyFill="1" applyBorder="1">
      <alignment vertical="center"/>
    </xf>
    <xf numFmtId="41" fontId="10" fillId="15" borderId="114" xfId="0" applyNumberFormat="1" applyFont="1" applyFill="1" applyBorder="1">
      <alignment vertical="center"/>
    </xf>
    <xf numFmtId="177" fontId="10" fillId="0" borderId="114" xfId="0" applyNumberFormat="1" applyFont="1" applyBorder="1">
      <alignment vertical="center"/>
    </xf>
    <xf numFmtId="177" fontId="10" fillId="0" borderId="99" xfId="0" applyNumberFormat="1" applyFont="1" applyBorder="1">
      <alignment vertical="center"/>
    </xf>
    <xf numFmtId="177" fontId="10" fillId="15" borderId="0" xfId="0" applyNumberFormat="1" applyFont="1" applyFill="1">
      <alignment vertical="center"/>
    </xf>
    <xf numFmtId="177" fontId="0" fillId="0" borderId="99" xfId="0" applyNumberFormat="1" applyBorder="1">
      <alignment vertical="center"/>
    </xf>
    <xf numFmtId="9" fontId="10" fillId="0" borderId="114" xfId="0" applyNumberFormat="1" applyFont="1" applyBorder="1">
      <alignment vertical="center"/>
    </xf>
    <xf numFmtId="9" fontId="10" fillId="0" borderId="99" xfId="0" applyNumberFormat="1" applyFont="1" applyBorder="1">
      <alignment vertical="center"/>
    </xf>
    <xf numFmtId="9" fontId="0" fillId="0" borderId="99" xfId="0" applyNumberFormat="1" applyBorder="1">
      <alignment vertical="center"/>
    </xf>
    <xf numFmtId="0" fontId="10" fillId="15" borderId="99" xfId="0" applyFont="1" applyFill="1" applyBorder="1">
      <alignment vertical="center"/>
    </xf>
    <xf numFmtId="0" fontId="10" fillId="15" borderId="114" xfId="0" applyFont="1" applyFill="1" applyBorder="1">
      <alignment vertical="center"/>
    </xf>
    <xf numFmtId="0" fontId="10" fillId="15" borderId="116" xfId="0" applyFont="1" applyFill="1" applyBorder="1">
      <alignment vertical="center"/>
    </xf>
    <xf numFmtId="0" fontId="10" fillId="15" borderId="106" xfId="0" applyFont="1" applyFill="1" applyBorder="1">
      <alignment vertical="center"/>
    </xf>
    <xf numFmtId="9" fontId="10" fillId="0" borderId="133" xfId="1" applyFont="1" applyFill="1" applyBorder="1">
      <alignment vertical="center"/>
    </xf>
    <xf numFmtId="0" fontId="0" fillId="8" borderId="0" xfId="0" applyFill="1">
      <alignment vertical="center"/>
    </xf>
    <xf numFmtId="0" fontId="10" fillId="8" borderId="114" xfId="0" applyFont="1" applyFill="1" applyBorder="1">
      <alignment vertical="center"/>
    </xf>
    <xf numFmtId="0" fontId="10" fillId="8" borderId="0" xfId="0" applyFont="1" applyFill="1">
      <alignment vertical="center"/>
    </xf>
    <xf numFmtId="3" fontId="10" fillId="8" borderId="114" xfId="0" applyNumberFormat="1" applyFont="1" applyFill="1" applyBorder="1">
      <alignment vertical="center"/>
    </xf>
    <xf numFmtId="0" fontId="0" fillId="8" borderId="99" xfId="0" applyFill="1" applyBorder="1">
      <alignment vertical="center"/>
    </xf>
    <xf numFmtId="0" fontId="3" fillId="0" borderId="98" xfId="0" applyFont="1" applyBorder="1">
      <alignment vertical="center"/>
    </xf>
    <xf numFmtId="0" fontId="3" fillId="0" borderId="110" xfId="0" applyFont="1" applyBorder="1">
      <alignment vertical="center"/>
    </xf>
    <xf numFmtId="0" fontId="5" fillId="0" borderId="98" xfId="0" applyFont="1" applyBorder="1">
      <alignment vertical="center"/>
    </xf>
    <xf numFmtId="0" fontId="5" fillId="0" borderId="110" xfId="0" applyFont="1" applyBorder="1">
      <alignment vertical="center"/>
    </xf>
    <xf numFmtId="3" fontId="5" fillId="0" borderId="98" xfId="0" applyNumberFormat="1" applyFont="1" applyBorder="1">
      <alignment vertical="center"/>
    </xf>
    <xf numFmtId="3" fontId="5" fillId="0" borderId="112" xfId="0" applyNumberFormat="1" applyFont="1" applyBorder="1">
      <alignment vertical="center"/>
    </xf>
    <xf numFmtId="0" fontId="5" fillId="0" borderId="112" xfId="0" applyFont="1" applyBorder="1">
      <alignment vertical="center"/>
    </xf>
    <xf numFmtId="0" fontId="3" fillId="0" borderId="112" xfId="0" applyFont="1" applyBorder="1">
      <alignment vertical="center"/>
    </xf>
    <xf numFmtId="182" fontId="5" fillId="16" borderId="97" xfId="0" applyNumberFormat="1" applyFont="1" applyFill="1" applyBorder="1">
      <alignment vertical="center"/>
    </xf>
    <xf numFmtId="1" fontId="10" fillId="0" borderId="98" xfId="0" applyNumberFormat="1" applyFont="1" applyBorder="1">
      <alignment vertical="center"/>
    </xf>
    <xf numFmtId="1" fontId="10" fillId="0" borderId="112" xfId="0" applyNumberFormat="1" applyFont="1" applyBorder="1">
      <alignment vertical="center"/>
    </xf>
    <xf numFmtId="4" fontId="0" fillId="0" borderId="0" xfId="0" applyNumberFormat="1">
      <alignment vertical="center"/>
    </xf>
    <xf numFmtId="1" fontId="10" fillId="0" borderId="114" xfId="0" applyNumberFormat="1" applyFont="1" applyBorder="1">
      <alignment vertical="center"/>
    </xf>
    <xf numFmtId="1" fontId="10" fillId="0" borderId="99" xfId="0" applyNumberFormat="1" applyFont="1" applyBorder="1">
      <alignment vertical="center"/>
    </xf>
    <xf numFmtId="192" fontId="0" fillId="0" borderId="0" xfId="0" applyNumberFormat="1">
      <alignment vertical="center"/>
    </xf>
    <xf numFmtId="193" fontId="0" fillId="0" borderId="0" xfId="0" applyNumberFormat="1">
      <alignment vertical="center"/>
    </xf>
    <xf numFmtId="1" fontId="10" fillId="0" borderId="116" xfId="0" applyNumberFormat="1" applyFont="1" applyBorder="1">
      <alignment vertical="center"/>
    </xf>
    <xf numFmtId="1" fontId="10" fillId="0" borderId="106" xfId="0" applyNumberFormat="1" applyFont="1" applyBorder="1">
      <alignment vertical="center"/>
    </xf>
    <xf numFmtId="3" fontId="10" fillId="0" borderId="106" xfId="0" applyNumberFormat="1" applyFont="1" applyBorder="1">
      <alignment vertical="center"/>
    </xf>
    <xf numFmtId="41" fontId="10" fillId="15" borderId="116" xfId="0" applyNumberFormat="1" applyFont="1" applyFill="1" applyBorder="1">
      <alignment vertical="center"/>
    </xf>
    <xf numFmtId="0" fontId="10" fillId="8" borderId="111" xfId="0" applyFont="1" applyFill="1" applyBorder="1">
      <alignment vertical="center"/>
    </xf>
    <xf numFmtId="9" fontId="10" fillId="8" borderId="98" xfId="1" applyFont="1" applyFill="1" applyBorder="1">
      <alignment vertical="center"/>
    </xf>
    <xf numFmtId="9" fontId="10" fillId="8" borderId="112" xfId="1" applyFont="1" applyFill="1" applyBorder="1">
      <alignment vertical="center"/>
    </xf>
    <xf numFmtId="9" fontId="10" fillId="8" borderId="110" xfId="0" applyNumberFormat="1" applyFont="1" applyFill="1" applyBorder="1">
      <alignment vertical="center"/>
    </xf>
    <xf numFmtId="9" fontId="10" fillId="8" borderId="112" xfId="0" applyNumberFormat="1" applyFont="1" applyFill="1" applyBorder="1">
      <alignment vertical="center"/>
    </xf>
    <xf numFmtId="9" fontId="0" fillId="8" borderId="112" xfId="0" applyNumberFormat="1" applyFill="1" applyBorder="1">
      <alignment vertical="center"/>
    </xf>
    <xf numFmtId="0" fontId="10" fillId="0" borderId="111" xfId="0" applyFont="1" applyBorder="1">
      <alignment vertical="center"/>
    </xf>
    <xf numFmtId="9" fontId="10" fillId="0" borderId="98" xfId="1" applyFont="1" applyBorder="1">
      <alignment vertical="center"/>
    </xf>
    <xf numFmtId="9" fontId="10" fillId="0" borderId="112" xfId="1" applyFont="1" applyBorder="1">
      <alignment vertical="center"/>
    </xf>
    <xf numFmtId="0" fontId="10" fillId="0" borderId="119" xfId="0" applyFont="1" applyBorder="1">
      <alignment vertical="center"/>
    </xf>
    <xf numFmtId="9" fontId="10" fillId="0" borderId="116" xfId="1" applyFont="1" applyBorder="1">
      <alignment vertical="center"/>
    </xf>
    <xf numFmtId="9" fontId="10" fillId="0" borderId="106" xfId="1" applyFont="1" applyBorder="1">
      <alignment vertical="center"/>
    </xf>
    <xf numFmtId="9" fontId="10" fillId="15" borderId="133" xfId="0" applyNumberFormat="1" applyFont="1" applyFill="1" applyBorder="1">
      <alignment vertical="center"/>
    </xf>
    <xf numFmtId="41" fontId="25" fillId="19" borderId="95" xfId="2" applyFont="1" applyFill="1" applyBorder="1" applyAlignment="1">
      <alignment horizontal="center" vertical="center" wrapText="1"/>
    </xf>
    <xf numFmtId="41" fontId="25" fillId="19" borderId="96" xfId="2" applyFont="1" applyFill="1" applyBorder="1" applyAlignment="1">
      <alignment horizontal="center" vertical="center" wrapText="1"/>
    </xf>
    <xf numFmtId="0" fontId="26" fillId="17" borderId="100" xfId="0" applyFont="1" applyFill="1" applyBorder="1" applyAlignment="1">
      <alignment horizontal="left" vertical="center" indent="1" readingOrder="1"/>
    </xf>
    <xf numFmtId="0" fontId="26" fillId="17" borderId="101" xfId="0" applyFont="1" applyFill="1" applyBorder="1" applyAlignment="1">
      <alignment vertical="center" readingOrder="1"/>
    </xf>
    <xf numFmtId="41" fontId="27" fillId="17" borderId="110" xfId="2" applyFont="1" applyFill="1" applyBorder="1" applyAlignment="1">
      <alignment horizontal="center" vertical="center"/>
    </xf>
    <xf numFmtId="41" fontId="27" fillId="17" borderId="111" xfId="2" applyFont="1" applyFill="1" applyBorder="1" applyAlignment="1">
      <alignment horizontal="center" vertical="center"/>
    </xf>
    <xf numFmtId="41" fontId="27" fillId="15" borderId="110" xfId="2" applyFont="1" applyFill="1" applyBorder="1" applyAlignment="1">
      <alignment horizontal="center" vertical="center"/>
    </xf>
    <xf numFmtId="41" fontId="27" fillId="15" borderId="112" xfId="2" applyFont="1" applyFill="1" applyBorder="1" applyAlignment="1">
      <alignment horizontal="center" vertical="center"/>
    </xf>
    <xf numFmtId="41" fontId="27" fillId="15" borderId="98" xfId="2" applyFont="1" applyFill="1" applyBorder="1" applyAlignment="1">
      <alignment horizontal="center" vertical="center"/>
    </xf>
    <xf numFmtId="9" fontId="27" fillId="15" borderId="111" xfId="2" applyNumberFormat="1" applyFont="1" applyFill="1" applyBorder="1" applyAlignment="1">
      <alignment horizontal="center" vertical="center"/>
    </xf>
    <xf numFmtId="9" fontId="27" fillId="17" borderId="104" xfId="1" applyFont="1" applyFill="1" applyBorder="1" applyAlignment="1">
      <alignment horizontal="center" vertical="center"/>
    </xf>
    <xf numFmtId="194" fontId="27" fillId="0" borderId="111" xfId="0" applyNumberFormat="1" applyFont="1" applyBorder="1" applyAlignment="1">
      <alignment horizontal="left" vertical="center"/>
    </xf>
    <xf numFmtId="41" fontId="27" fillId="17" borderId="128" xfId="2" applyFont="1" applyFill="1" applyBorder="1" applyAlignment="1">
      <alignment horizontal="center" vertical="center"/>
    </xf>
    <xf numFmtId="41" fontId="27" fillId="17" borderId="104" xfId="2" applyFont="1" applyFill="1" applyBorder="1" applyAlignment="1">
      <alignment horizontal="center" vertical="center"/>
    </xf>
    <xf numFmtId="41" fontId="27" fillId="15" borderId="128" xfId="2" applyFont="1" applyFill="1" applyBorder="1" applyAlignment="1">
      <alignment horizontal="center" vertical="center"/>
    </xf>
    <xf numFmtId="41" fontId="27" fillId="15" borderId="105" xfId="2" applyFont="1" applyFill="1" applyBorder="1" applyAlignment="1">
      <alignment horizontal="center" vertical="center"/>
    </xf>
    <xf numFmtId="41" fontId="27" fillId="15" borderId="103" xfId="2" applyFont="1" applyFill="1" applyBorder="1" applyAlignment="1">
      <alignment horizontal="center" vertical="center"/>
    </xf>
    <xf numFmtId="41" fontId="27" fillId="17" borderId="105" xfId="2" applyFont="1" applyFill="1" applyBorder="1" applyAlignment="1">
      <alignment horizontal="center" vertical="center"/>
    </xf>
    <xf numFmtId="9" fontId="27" fillId="0" borderId="104" xfId="2" applyNumberFormat="1" applyFont="1" applyFill="1" applyBorder="1" applyAlignment="1">
      <alignment horizontal="center" vertical="center"/>
    </xf>
    <xf numFmtId="194" fontId="27" fillId="0" borderId="104" xfId="0" applyNumberFormat="1" applyFont="1" applyBorder="1" applyAlignment="1">
      <alignment horizontal="left" vertical="center"/>
    </xf>
    <xf numFmtId="9" fontId="27" fillId="15" borderId="104" xfId="2" applyNumberFormat="1" applyFont="1" applyFill="1" applyBorder="1" applyAlignment="1">
      <alignment horizontal="center" vertical="center"/>
    </xf>
    <xf numFmtId="0" fontId="26" fillId="17" borderId="114" xfId="0" applyFont="1" applyFill="1" applyBorder="1" applyAlignment="1">
      <alignment horizontal="left" vertical="center" indent="1" readingOrder="1"/>
    </xf>
    <xf numFmtId="0" fontId="26" fillId="17" borderId="124" xfId="0" applyFont="1" applyFill="1" applyBorder="1" applyAlignment="1">
      <alignment vertical="center" readingOrder="1"/>
    </xf>
    <xf numFmtId="41" fontId="27" fillId="17" borderId="134" xfId="2" applyFont="1" applyFill="1" applyBorder="1" applyAlignment="1">
      <alignment horizontal="center" vertical="center"/>
    </xf>
    <xf numFmtId="41" fontId="27" fillId="17" borderId="118" xfId="2" applyFont="1" applyFill="1" applyBorder="1" applyAlignment="1">
      <alignment horizontal="center" vertical="center"/>
    </xf>
    <xf numFmtId="41" fontId="27" fillId="17" borderId="113" xfId="2" applyFont="1" applyFill="1" applyBorder="1" applyAlignment="1">
      <alignment horizontal="center" vertical="center"/>
    </xf>
    <xf numFmtId="194" fontId="27" fillId="0" borderId="118" xfId="0" applyNumberFormat="1" applyFont="1" applyBorder="1" applyAlignment="1">
      <alignment horizontal="left" vertical="center"/>
    </xf>
    <xf numFmtId="0" fontId="24" fillId="17" borderId="127" xfId="0" applyFont="1" applyFill="1" applyBorder="1" applyAlignment="1">
      <alignment horizontal="left" vertical="center" indent="1" readingOrder="1"/>
    </xf>
    <xf numFmtId="0" fontId="26" fillId="17" borderId="120" xfId="0" applyFont="1" applyFill="1" applyBorder="1" applyAlignment="1">
      <alignment horizontal="left" vertical="center" indent="1" readingOrder="1"/>
    </xf>
    <xf numFmtId="41" fontId="27" fillId="17" borderId="135" xfId="2" applyFont="1" applyFill="1" applyBorder="1" applyAlignment="1">
      <alignment horizontal="center" vertical="center"/>
    </xf>
    <xf numFmtId="41" fontId="27" fillId="17" borderId="122" xfId="2" applyFont="1" applyFill="1" applyBorder="1" applyAlignment="1">
      <alignment horizontal="center" vertical="center"/>
    </xf>
    <xf numFmtId="41" fontId="27" fillId="15" borderId="135" xfId="2" applyFont="1" applyFill="1" applyBorder="1" applyAlignment="1">
      <alignment horizontal="center" vertical="center"/>
    </xf>
    <xf numFmtId="41" fontId="27" fillId="15" borderId="117" xfId="2" applyFont="1" applyFill="1" applyBorder="1" applyAlignment="1">
      <alignment horizontal="center" vertical="center"/>
    </xf>
    <xf numFmtId="9" fontId="27" fillId="0" borderId="122" xfId="2" applyNumberFormat="1" applyFont="1" applyFill="1" applyBorder="1" applyAlignment="1">
      <alignment horizontal="center" vertical="center"/>
    </xf>
    <xf numFmtId="194" fontId="27" fillId="17" borderId="122" xfId="0" applyNumberFormat="1" applyFont="1" applyFill="1" applyBorder="1" applyAlignment="1">
      <alignment horizontal="left" vertical="center"/>
    </xf>
    <xf numFmtId="41" fontId="27" fillId="17" borderId="0" xfId="2" applyFont="1" applyFill="1" applyBorder="1" applyAlignment="1">
      <alignment horizontal="center" vertical="center"/>
    </xf>
    <xf numFmtId="41" fontId="27" fillId="17" borderId="124" xfId="2" applyFont="1" applyFill="1" applyBorder="1" applyAlignment="1">
      <alignment horizontal="center" vertical="center"/>
    </xf>
    <xf numFmtId="41" fontId="27" fillId="15" borderId="99" xfId="2" applyFont="1" applyFill="1" applyBorder="1" applyAlignment="1">
      <alignment horizontal="center" vertical="center"/>
    </xf>
    <xf numFmtId="194" fontId="27" fillId="17" borderId="124" xfId="0" applyNumberFormat="1" applyFont="1" applyFill="1" applyBorder="1" applyAlignment="1">
      <alignment horizontal="left" vertical="center"/>
    </xf>
    <xf numFmtId="9" fontId="27" fillId="15" borderId="124" xfId="2" applyNumberFormat="1" applyFont="1" applyFill="1" applyBorder="1" applyAlignment="1">
      <alignment horizontal="center" vertical="center"/>
    </xf>
    <xf numFmtId="0" fontId="26" fillId="17" borderId="108" xfId="0" applyFont="1" applyFill="1" applyBorder="1" applyAlignment="1">
      <alignment horizontal="left" vertical="center" indent="1" readingOrder="1"/>
    </xf>
    <xf numFmtId="0" fontId="26" fillId="17" borderId="109" xfId="0" applyFont="1" applyFill="1" applyBorder="1" applyAlignment="1">
      <alignment vertical="center" readingOrder="1"/>
    </xf>
    <xf numFmtId="41" fontId="27" fillId="17" borderId="136" xfId="2" applyFont="1" applyFill="1" applyBorder="1" applyAlignment="1">
      <alignment horizontal="center" vertical="center"/>
    </xf>
    <xf numFmtId="41" fontId="27" fillId="17" borderId="109" xfId="2" applyFont="1" applyFill="1" applyBorder="1" applyAlignment="1">
      <alignment horizontal="center" vertical="center"/>
    </xf>
    <xf numFmtId="41" fontId="27" fillId="15" borderId="136" xfId="2" applyFont="1" applyFill="1" applyBorder="1" applyAlignment="1">
      <alignment horizontal="center" vertical="center"/>
    </xf>
    <xf numFmtId="41" fontId="27" fillId="15" borderId="107" xfId="2" applyFont="1" applyFill="1" applyBorder="1" applyAlignment="1">
      <alignment horizontal="center" vertical="center"/>
    </xf>
    <xf numFmtId="9" fontId="27" fillId="15" borderId="109" xfId="2" applyNumberFormat="1" applyFont="1" applyFill="1" applyBorder="1" applyAlignment="1">
      <alignment horizontal="center" vertical="center"/>
    </xf>
    <xf numFmtId="194" fontId="27" fillId="17" borderId="109" xfId="0" applyNumberFormat="1" applyFont="1" applyFill="1" applyBorder="1" applyAlignment="1">
      <alignment horizontal="left" vertical="center"/>
    </xf>
    <xf numFmtId="9" fontId="32" fillId="0" borderId="0" xfId="1" applyFont="1">
      <alignment vertical="center"/>
    </xf>
    <xf numFmtId="0" fontId="10" fillId="22" borderId="95" xfId="0" applyFont="1" applyFill="1" applyBorder="1">
      <alignment vertical="center"/>
    </xf>
    <xf numFmtId="0" fontId="5" fillId="22" borderId="94" xfId="0" applyFont="1" applyFill="1" applyBorder="1" applyAlignment="1">
      <alignment horizontal="center" vertical="center"/>
    </xf>
    <xf numFmtId="0" fontId="5" fillId="22" borderId="95" xfId="0" applyFont="1" applyFill="1" applyBorder="1" applyAlignment="1">
      <alignment horizontal="center" vertical="center"/>
    </xf>
    <xf numFmtId="0" fontId="5" fillId="22" borderId="137" xfId="0" applyFont="1" applyFill="1" applyBorder="1" applyAlignment="1">
      <alignment horizontal="center" vertical="center"/>
    </xf>
    <xf numFmtId="0" fontId="5" fillId="22" borderId="96" xfId="0" applyFont="1" applyFill="1" applyBorder="1" applyAlignment="1">
      <alignment horizontal="center" vertical="center"/>
    </xf>
    <xf numFmtId="0" fontId="10" fillId="22" borderId="137" xfId="0" applyFont="1" applyFill="1" applyBorder="1">
      <alignment vertical="center"/>
    </xf>
    <xf numFmtId="9" fontId="10" fillId="0" borderId="114" xfId="1" applyFont="1" applyBorder="1">
      <alignment vertical="center"/>
    </xf>
    <xf numFmtId="9" fontId="10" fillId="0" borderId="130" xfId="1" applyFont="1" applyBorder="1">
      <alignment vertical="center"/>
    </xf>
    <xf numFmtId="9" fontId="10" fillId="0" borderId="124" xfId="1" applyFont="1" applyBorder="1">
      <alignment vertical="center"/>
    </xf>
    <xf numFmtId="0" fontId="10" fillId="0" borderId="95" xfId="0" applyFont="1" applyBorder="1">
      <alignment vertical="center"/>
    </xf>
    <xf numFmtId="0" fontId="10" fillId="0" borderId="97" xfId="0" quotePrefix="1" applyFont="1" applyBorder="1" applyAlignment="1">
      <alignment horizontal="center" vertical="center"/>
    </xf>
    <xf numFmtId="0" fontId="10" fillId="0" borderId="94" xfId="0" quotePrefix="1" applyFont="1" applyBorder="1" applyAlignment="1">
      <alignment horizontal="center" vertical="center"/>
    </xf>
    <xf numFmtId="9" fontId="10" fillId="0" borderId="138" xfId="1" applyFont="1" applyBorder="1">
      <alignment vertical="center"/>
    </xf>
    <xf numFmtId="9" fontId="10" fillId="0" borderId="111" xfId="1" applyFont="1" applyBorder="1">
      <alignment vertical="center"/>
    </xf>
    <xf numFmtId="193" fontId="10" fillId="0" borderId="99" xfId="0" applyNumberFormat="1" applyFont="1" applyBorder="1">
      <alignment vertical="center"/>
    </xf>
    <xf numFmtId="193" fontId="10" fillId="0" borderId="94" xfId="0" applyNumberFormat="1" applyFont="1" applyBorder="1">
      <alignment vertical="center"/>
    </xf>
    <xf numFmtId="3" fontId="10" fillId="0" borderId="0" xfId="0" applyNumberFormat="1" applyFont="1">
      <alignment vertical="center"/>
    </xf>
    <xf numFmtId="9" fontId="10" fillId="0" borderId="135" xfId="1" applyFont="1" applyBorder="1">
      <alignment vertical="center"/>
    </xf>
    <xf numFmtId="9" fontId="10" fillId="0" borderId="129" xfId="1" applyFont="1" applyBorder="1">
      <alignment vertical="center"/>
    </xf>
    <xf numFmtId="9" fontId="10" fillId="0" borderId="122" xfId="1" applyFont="1" applyBorder="1">
      <alignment vertical="center"/>
    </xf>
    <xf numFmtId="180" fontId="10" fillId="0" borderId="113" xfId="0" applyNumberFormat="1" applyFont="1" applyBorder="1">
      <alignment vertical="center"/>
    </xf>
    <xf numFmtId="9" fontId="10" fillId="15" borderId="130" xfId="1" applyFont="1" applyFill="1" applyBorder="1">
      <alignment vertical="center"/>
    </xf>
    <xf numFmtId="9" fontId="10" fillId="15" borderId="0" xfId="1" applyFont="1" applyFill="1" applyBorder="1">
      <alignment vertical="center"/>
    </xf>
    <xf numFmtId="9" fontId="10" fillId="15" borderId="124" xfId="1" applyFont="1" applyFill="1" applyBorder="1">
      <alignment vertical="center"/>
    </xf>
    <xf numFmtId="9" fontId="10" fillId="0" borderId="0" xfId="0" applyNumberFormat="1" applyFont="1">
      <alignment vertical="center"/>
    </xf>
    <xf numFmtId="180" fontId="10" fillId="17" borderId="105" xfId="0" quotePrefix="1" applyNumberFormat="1" applyFont="1" applyFill="1" applyBorder="1">
      <alignment vertical="center"/>
    </xf>
    <xf numFmtId="180" fontId="10" fillId="15" borderId="105" xfId="0" applyNumberFormat="1" applyFont="1" applyFill="1" applyBorder="1">
      <alignment vertical="center"/>
    </xf>
    <xf numFmtId="3" fontId="10" fillId="0" borderId="116" xfId="0" applyNumberFormat="1" applyFont="1" applyBorder="1">
      <alignment vertical="center"/>
    </xf>
    <xf numFmtId="3" fontId="5" fillId="0" borderId="0" xfId="0" applyNumberFormat="1" applyFont="1">
      <alignment vertical="center"/>
    </xf>
    <xf numFmtId="3" fontId="36" fillId="0" borderId="0" xfId="0" applyNumberFormat="1" applyFont="1">
      <alignment vertical="center"/>
    </xf>
    <xf numFmtId="180" fontId="5" fillId="0" borderId="97" xfId="0" applyNumberFormat="1" applyFont="1" applyBorder="1">
      <alignment vertical="center"/>
    </xf>
    <xf numFmtId="0" fontId="10" fillId="0" borderId="139" xfId="0" applyFont="1" applyBorder="1">
      <alignment vertical="center"/>
    </xf>
    <xf numFmtId="9" fontId="10" fillId="0" borderId="133" xfId="1" applyFont="1" applyBorder="1">
      <alignment vertical="center"/>
    </xf>
    <xf numFmtId="9" fontId="10" fillId="0" borderId="139" xfId="1" applyFont="1" applyBorder="1">
      <alignment vertical="center"/>
    </xf>
    <xf numFmtId="9" fontId="10" fillId="15" borderId="119" xfId="1" applyFont="1" applyFill="1" applyBorder="1">
      <alignment vertical="center"/>
    </xf>
    <xf numFmtId="9" fontId="10" fillId="15" borderId="135" xfId="1" applyFont="1" applyFill="1" applyBorder="1">
      <alignment vertical="center"/>
    </xf>
    <xf numFmtId="9" fontId="10" fillId="15" borderId="122" xfId="1" applyFont="1" applyFill="1" applyBorder="1">
      <alignment vertical="center"/>
    </xf>
    <xf numFmtId="177" fontId="10" fillId="0" borderId="0" xfId="0" applyNumberFormat="1" applyFont="1">
      <alignment vertical="center"/>
    </xf>
    <xf numFmtId="180" fontId="10" fillId="0" borderId="0" xfId="0" applyNumberFormat="1" applyFont="1">
      <alignment vertical="center"/>
    </xf>
    <xf numFmtId="180" fontId="10" fillId="15" borderId="102" xfId="0" applyNumberFormat="1" applyFont="1" applyFill="1" applyBorder="1">
      <alignment vertical="center"/>
    </xf>
    <xf numFmtId="9" fontId="10" fillId="0" borderId="130" xfId="1" applyFont="1" applyFill="1" applyBorder="1">
      <alignment vertical="center"/>
    </xf>
    <xf numFmtId="9" fontId="10" fillId="0" borderId="130" xfId="1" quotePrefix="1" applyFont="1" applyBorder="1">
      <alignment vertical="center"/>
    </xf>
    <xf numFmtId="177" fontId="10" fillId="15" borderId="0" xfId="1" applyNumberFormat="1" applyFont="1" applyFill="1" applyBorder="1">
      <alignment vertical="center"/>
    </xf>
    <xf numFmtId="190" fontId="5" fillId="17" borderId="97" xfId="0" applyNumberFormat="1" applyFont="1" applyFill="1" applyBorder="1">
      <alignment vertical="center"/>
    </xf>
    <xf numFmtId="177" fontId="10" fillId="0" borderId="114" xfId="1" applyNumberFormat="1" applyFont="1" applyBorder="1">
      <alignment vertical="center"/>
    </xf>
    <xf numFmtId="177" fontId="10" fillId="0" borderId="0" xfId="1" applyNumberFormat="1" applyFont="1" applyBorder="1">
      <alignment vertical="center"/>
    </xf>
    <xf numFmtId="9" fontId="10" fillId="0" borderId="0" xfId="1" applyFont="1" applyFill="1" applyBorder="1">
      <alignment vertical="center"/>
    </xf>
    <xf numFmtId="9" fontId="10" fillId="0" borderId="124" xfId="1" applyFont="1" applyFill="1" applyBorder="1">
      <alignment vertical="center"/>
    </xf>
    <xf numFmtId="195" fontId="10" fillId="0" borderId="0" xfId="0" applyNumberFormat="1" applyFont="1">
      <alignment vertical="center"/>
    </xf>
    <xf numFmtId="9" fontId="10" fillId="0" borderId="119" xfId="1" applyFont="1" applyBorder="1">
      <alignment vertical="center"/>
    </xf>
    <xf numFmtId="3" fontId="10" fillId="0" borderId="110" xfId="0" applyNumberFormat="1" applyFont="1" applyBorder="1">
      <alignment vertical="center"/>
    </xf>
    <xf numFmtId="0" fontId="10" fillId="0" borderId="138" xfId="0" applyFont="1" applyBorder="1">
      <alignment vertical="center"/>
    </xf>
    <xf numFmtId="0" fontId="10" fillId="0" borderId="135" xfId="0" applyFont="1" applyBorder="1">
      <alignment vertical="center"/>
    </xf>
    <xf numFmtId="3" fontId="10" fillId="0" borderId="135" xfId="1" applyNumberFormat="1" applyFont="1" applyBorder="1">
      <alignment vertical="center"/>
    </xf>
    <xf numFmtId="3" fontId="10" fillId="0" borderId="129" xfId="1" applyNumberFormat="1" applyFont="1" applyBorder="1">
      <alignment vertical="center"/>
    </xf>
    <xf numFmtId="3" fontId="10" fillId="0" borderId="135" xfId="0" applyNumberFormat="1" applyFont="1" applyBorder="1">
      <alignment vertical="center"/>
    </xf>
    <xf numFmtId="3" fontId="10" fillId="0" borderId="122" xfId="0" applyNumberFormat="1" applyFont="1" applyBorder="1">
      <alignment vertical="center"/>
    </xf>
    <xf numFmtId="3" fontId="10" fillId="0" borderId="0" xfId="1" applyNumberFormat="1" applyFont="1" applyBorder="1">
      <alignment vertical="center"/>
    </xf>
    <xf numFmtId="3" fontId="10" fillId="0" borderId="130" xfId="1" applyNumberFormat="1" applyFont="1" applyBorder="1">
      <alignment vertical="center"/>
    </xf>
    <xf numFmtId="3" fontId="10" fillId="0" borderId="124" xfId="0" applyNumberFormat="1" applyFont="1" applyBorder="1">
      <alignment vertical="center"/>
    </xf>
    <xf numFmtId="3" fontId="10" fillId="0" borderId="133" xfId="0" applyNumberFormat="1" applyFont="1" applyBorder="1">
      <alignment vertical="center"/>
    </xf>
    <xf numFmtId="3" fontId="10" fillId="15" borderId="130" xfId="1" applyNumberFormat="1" applyFont="1" applyFill="1" applyBorder="1">
      <alignment vertical="center"/>
    </xf>
    <xf numFmtId="3" fontId="10" fillId="15" borderId="0" xfId="0" applyNumberFormat="1" applyFont="1" applyFill="1">
      <alignment vertical="center"/>
    </xf>
    <xf numFmtId="3" fontId="10" fillId="15" borderId="124" xfId="0" applyNumberFormat="1" applyFont="1" applyFill="1" applyBorder="1">
      <alignment vertical="center"/>
    </xf>
    <xf numFmtId="0" fontId="10" fillId="0" borderId="134" xfId="0" applyFont="1" applyBorder="1">
      <alignment vertical="center"/>
    </xf>
    <xf numFmtId="3" fontId="10" fillId="0" borderId="134" xfId="1" applyNumberFormat="1" applyFont="1" applyBorder="1">
      <alignment vertical="center"/>
    </xf>
    <xf numFmtId="3" fontId="10" fillId="0" borderId="132" xfId="1" applyNumberFormat="1" applyFont="1" applyBorder="1">
      <alignment vertical="center"/>
    </xf>
    <xf numFmtId="3" fontId="10" fillId="0" borderId="134" xfId="0" applyNumberFormat="1" applyFont="1" applyBorder="1">
      <alignment vertical="center"/>
    </xf>
    <xf numFmtId="3" fontId="10" fillId="0" borderId="118" xfId="0" applyNumberFormat="1" applyFont="1" applyBorder="1">
      <alignment vertical="center"/>
    </xf>
    <xf numFmtId="9" fontId="10" fillId="15" borderId="134" xfId="1" applyFont="1" applyFill="1" applyBorder="1">
      <alignment vertical="center"/>
    </xf>
    <xf numFmtId="3" fontId="10" fillId="0" borderId="133" xfId="1" applyNumberFormat="1" applyFont="1" applyBorder="1">
      <alignment vertical="center"/>
    </xf>
    <xf numFmtId="3" fontId="10" fillId="0" borderId="139" xfId="1" applyNumberFormat="1" applyFont="1" applyBorder="1">
      <alignment vertical="center"/>
    </xf>
    <xf numFmtId="3" fontId="10" fillId="0" borderId="119" xfId="0" applyNumberFormat="1" applyFont="1" applyBorder="1">
      <alignment vertical="center"/>
    </xf>
    <xf numFmtId="0" fontId="5" fillId="23" borderId="98" xfId="0" applyFont="1" applyFill="1" applyBorder="1">
      <alignment vertical="center"/>
    </xf>
    <xf numFmtId="0" fontId="5" fillId="23" borderId="110" xfId="0" applyFont="1" applyFill="1" applyBorder="1">
      <alignment vertical="center"/>
    </xf>
    <xf numFmtId="0" fontId="5" fillId="0" borderId="138" xfId="0" applyFont="1" applyBorder="1">
      <alignment vertical="center"/>
    </xf>
    <xf numFmtId="0" fontId="5" fillId="0" borderId="111" xfId="0" applyFont="1" applyBorder="1">
      <alignment vertical="center"/>
    </xf>
    <xf numFmtId="0" fontId="10" fillId="23" borderId="114" xfId="0" applyFont="1" applyFill="1" applyBorder="1">
      <alignment vertical="center"/>
    </xf>
    <xf numFmtId="0" fontId="10" fillId="23" borderId="0" xfId="0" applyFont="1" applyFill="1">
      <alignment vertical="center"/>
    </xf>
    <xf numFmtId="0" fontId="10" fillId="15" borderId="130" xfId="0" applyFont="1" applyFill="1" applyBorder="1">
      <alignment vertical="center"/>
    </xf>
    <xf numFmtId="0" fontId="10" fillId="15" borderId="0" xfId="0" applyFont="1" applyFill="1">
      <alignment vertical="center"/>
    </xf>
    <xf numFmtId="0" fontId="10" fillId="0" borderId="124" xfId="0" applyFont="1" applyBorder="1">
      <alignment vertical="center"/>
    </xf>
    <xf numFmtId="0" fontId="10" fillId="23" borderId="98" xfId="0" applyFont="1" applyFill="1" applyBorder="1">
      <alignment vertical="center"/>
    </xf>
    <xf numFmtId="0" fontId="10" fillId="23" borderId="110" xfId="0" applyFont="1" applyFill="1" applyBorder="1">
      <alignment vertical="center"/>
    </xf>
    <xf numFmtId="9" fontId="10" fillId="23" borderId="0" xfId="1" applyFont="1" applyFill="1" applyBorder="1">
      <alignment vertical="center"/>
    </xf>
    <xf numFmtId="0" fontId="10" fillId="23" borderId="116" xfId="0" applyFont="1" applyFill="1" applyBorder="1">
      <alignment vertical="center"/>
    </xf>
    <xf numFmtId="0" fontId="10" fillId="23" borderId="133" xfId="0" applyFont="1" applyFill="1" applyBorder="1">
      <alignment vertical="center"/>
    </xf>
    <xf numFmtId="9" fontId="10" fillId="23" borderId="133" xfId="1" applyFont="1" applyFill="1" applyBorder="1">
      <alignment vertical="center"/>
    </xf>
    <xf numFmtId="9" fontId="10" fillId="15" borderId="139" xfId="1" applyFont="1" applyFill="1" applyBorder="1">
      <alignment vertical="center"/>
    </xf>
    <xf numFmtId="0" fontId="10" fillId="15" borderId="133" xfId="0" applyFont="1" applyFill="1" applyBorder="1">
      <alignment vertical="center"/>
    </xf>
    <xf numFmtId="3" fontId="10" fillId="0" borderId="138" xfId="0" applyNumberFormat="1" applyFont="1" applyBorder="1">
      <alignment vertical="center"/>
    </xf>
    <xf numFmtId="3" fontId="10" fillId="0" borderId="111" xfId="0" applyNumberFormat="1" applyFont="1" applyBorder="1">
      <alignment vertical="center"/>
    </xf>
    <xf numFmtId="0" fontId="10" fillId="23" borderId="121" xfId="0" applyFont="1" applyFill="1" applyBorder="1">
      <alignment vertical="center"/>
    </xf>
    <xf numFmtId="9" fontId="10" fillId="23" borderId="135" xfId="1" applyFont="1" applyFill="1" applyBorder="1">
      <alignment vertical="center"/>
    </xf>
    <xf numFmtId="3" fontId="10" fillId="15" borderId="129" xfId="1" applyNumberFormat="1" applyFont="1" applyFill="1" applyBorder="1">
      <alignment vertical="center"/>
    </xf>
    <xf numFmtId="3" fontId="10" fillId="15" borderId="135" xfId="1" applyNumberFormat="1" applyFont="1" applyFill="1" applyBorder="1">
      <alignment vertical="center"/>
    </xf>
    <xf numFmtId="0" fontId="10" fillId="0" borderId="129" xfId="0" quotePrefix="1" applyFont="1" applyBorder="1">
      <alignment vertical="center"/>
    </xf>
    <xf numFmtId="0" fontId="10" fillId="0" borderId="130" xfId="0" quotePrefix="1" applyFont="1" applyBorder="1">
      <alignment vertical="center"/>
    </xf>
    <xf numFmtId="3" fontId="10" fillId="0" borderId="130" xfId="1" applyNumberFormat="1" applyFont="1" applyFill="1" applyBorder="1">
      <alignment vertical="center"/>
    </xf>
    <xf numFmtId="3" fontId="10" fillId="23" borderId="114" xfId="0" applyNumberFormat="1" applyFont="1" applyFill="1" applyBorder="1">
      <alignment vertical="center"/>
    </xf>
    <xf numFmtId="3" fontId="10" fillId="23" borderId="0" xfId="1" applyNumberFormat="1" applyFont="1" applyFill="1" applyBorder="1">
      <alignment vertical="center"/>
    </xf>
    <xf numFmtId="3" fontId="10" fillId="15" borderId="139" xfId="1" applyNumberFormat="1" applyFont="1" applyFill="1" applyBorder="1">
      <alignment vertical="center"/>
    </xf>
    <xf numFmtId="0" fontId="10" fillId="23" borderId="94" xfId="0" applyFont="1" applyFill="1" applyBorder="1">
      <alignment vertical="center"/>
    </xf>
    <xf numFmtId="0" fontId="10" fillId="23" borderId="95" xfId="0" applyFont="1" applyFill="1" applyBorder="1">
      <alignment vertical="center"/>
    </xf>
    <xf numFmtId="0" fontId="10" fillId="15" borderId="137" xfId="0" applyFont="1" applyFill="1" applyBorder="1">
      <alignment vertical="center"/>
    </xf>
    <xf numFmtId="0" fontId="10" fillId="15" borderId="95" xfId="0" applyFont="1" applyFill="1" applyBorder="1">
      <alignment vertical="center"/>
    </xf>
    <xf numFmtId="0" fontId="10" fillId="0" borderId="96" xfId="0" applyFont="1" applyBorder="1">
      <alignment vertical="center"/>
    </xf>
    <xf numFmtId="0" fontId="10" fillId="0" borderId="137" xfId="0" applyFont="1" applyBorder="1">
      <alignment vertical="center"/>
    </xf>
    <xf numFmtId="9" fontId="10" fillId="23" borderId="95" xfId="1" applyFont="1" applyFill="1" applyBorder="1">
      <alignment vertical="center"/>
    </xf>
    <xf numFmtId="9" fontId="10" fillId="15" borderId="137" xfId="1" applyFont="1" applyFill="1" applyBorder="1">
      <alignment vertical="center"/>
    </xf>
    <xf numFmtId="9" fontId="10" fillId="0" borderId="95" xfId="1" applyFont="1" applyBorder="1">
      <alignment vertical="center"/>
    </xf>
    <xf numFmtId="9" fontId="10" fillId="0" borderId="96" xfId="1" applyFont="1" applyBorder="1">
      <alignment vertical="center"/>
    </xf>
    <xf numFmtId="9" fontId="10" fillId="15" borderId="95" xfId="0" applyNumberFormat="1" applyFont="1" applyFill="1" applyBorder="1">
      <alignment vertical="center"/>
    </xf>
    <xf numFmtId="196" fontId="10" fillId="0" borderId="0" xfId="2" applyNumberFormat="1" applyFont="1">
      <alignment vertical="center"/>
    </xf>
    <xf numFmtId="185" fontId="10" fillId="0" borderId="0" xfId="2" applyNumberFormat="1" applyFont="1">
      <alignment vertical="center"/>
    </xf>
    <xf numFmtId="197" fontId="0" fillId="0" borderId="0" xfId="0" applyNumberFormat="1">
      <alignment vertical="center"/>
    </xf>
    <xf numFmtId="0" fontId="5" fillId="0" borderId="94" xfId="0" applyFont="1" applyBorder="1" applyAlignment="1">
      <alignment horizontal="center" vertical="center"/>
    </xf>
    <xf numFmtId="0" fontId="5" fillId="0" borderId="96" xfId="0" applyFont="1" applyBorder="1" applyAlignment="1">
      <alignment horizontal="center" vertical="center"/>
    </xf>
    <xf numFmtId="0" fontId="5" fillId="0" borderId="95" xfId="0" applyFont="1" applyBorder="1" applyAlignment="1">
      <alignment horizontal="center" vertical="center"/>
    </xf>
    <xf numFmtId="0" fontId="10" fillId="0" borderId="94" xfId="0" applyFont="1" applyBorder="1">
      <alignment vertical="center"/>
    </xf>
    <xf numFmtId="0" fontId="10" fillId="17" borderId="98" xfId="0" applyFont="1" applyFill="1" applyBorder="1">
      <alignment vertical="center"/>
    </xf>
    <xf numFmtId="0" fontId="10" fillId="17" borderId="96" xfId="0" applyFont="1" applyFill="1" applyBorder="1">
      <alignment vertical="center"/>
    </xf>
    <xf numFmtId="180" fontId="10" fillId="0" borderId="97" xfId="0" applyNumberFormat="1" applyFont="1" applyBorder="1">
      <alignment vertical="center"/>
    </xf>
    <xf numFmtId="180" fontId="10" fillId="15" borderId="97" xfId="0" applyNumberFormat="1" applyFont="1" applyFill="1" applyBorder="1">
      <alignment vertical="center"/>
    </xf>
    <xf numFmtId="181" fontId="10" fillId="17" borderId="97" xfId="0" applyNumberFormat="1" applyFont="1" applyFill="1" applyBorder="1">
      <alignment vertical="center"/>
    </xf>
    <xf numFmtId="180" fontId="10" fillId="0" borderId="114" xfId="1" applyNumberFormat="1" applyFont="1" applyBorder="1">
      <alignment vertical="center"/>
    </xf>
    <xf numFmtId="3" fontId="10" fillId="0" borderId="124" xfId="1" applyNumberFormat="1" applyFont="1" applyBorder="1">
      <alignment vertical="center"/>
    </xf>
    <xf numFmtId="3" fontId="10" fillId="15" borderId="0" xfId="1" applyNumberFormat="1" applyFont="1" applyFill="1" applyBorder="1">
      <alignment vertical="center"/>
    </xf>
    <xf numFmtId="3" fontId="10" fillId="0" borderId="114" xfId="1" applyNumberFormat="1" applyFont="1" applyBorder="1">
      <alignment vertical="center"/>
    </xf>
    <xf numFmtId="9" fontId="10" fillId="15" borderId="114" xfId="0" applyNumberFormat="1" applyFont="1" applyFill="1" applyBorder="1">
      <alignment vertical="center"/>
    </xf>
    <xf numFmtId="180" fontId="10" fillId="0" borderId="117" xfId="0" applyNumberFormat="1" applyFont="1" applyBorder="1">
      <alignment vertical="center"/>
    </xf>
    <xf numFmtId="180" fontId="10" fillId="15" borderId="117" xfId="0" applyNumberFormat="1" applyFont="1" applyFill="1" applyBorder="1">
      <alignment vertical="center"/>
    </xf>
    <xf numFmtId="180" fontId="10" fillId="0" borderId="133" xfId="0" applyNumberFormat="1" applyFont="1" applyBorder="1">
      <alignment vertical="center"/>
    </xf>
    <xf numFmtId="180" fontId="10" fillId="15" borderId="107" xfId="0" applyNumberFormat="1" applyFont="1" applyFill="1" applyBorder="1">
      <alignment vertical="center"/>
    </xf>
    <xf numFmtId="180" fontId="10" fillId="17" borderId="102" xfId="0" quotePrefix="1" applyNumberFormat="1" applyFont="1" applyFill="1" applyBorder="1">
      <alignment vertical="center"/>
    </xf>
    <xf numFmtId="9" fontId="5" fillId="0" borderId="0" xfId="0" applyNumberFormat="1" applyFont="1">
      <alignment vertical="center"/>
    </xf>
    <xf numFmtId="9" fontId="10" fillId="0" borderId="0" xfId="1" applyFont="1">
      <alignment vertical="center"/>
    </xf>
    <xf numFmtId="0" fontId="10" fillId="0" borderId="112" xfId="0" applyFont="1" applyBorder="1" applyAlignment="1">
      <alignment horizontal="center" vertical="center"/>
    </xf>
    <xf numFmtId="0" fontId="10" fillId="0" borderId="110" xfId="0" applyFont="1" applyBorder="1" applyAlignment="1">
      <alignment horizontal="center" vertical="center"/>
    </xf>
    <xf numFmtId="180" fontId="10" fillId="0" borderId="110" xfId="0" applyNumberFormat="1" applyFont="1" applyBorder="1" applyAlignment="1">
      <alignment horizontal="center" vertical="center"/>
    </xf>
    <xf numFmtId="9" fontId="10" fillId="15" borderId="99" xfId="0" applyNumberFormat="1" applyFont="1" applyFill="1" applyBorder="1">
      <alignment vertical="center"/>
    </xf>
    <xf numFmtId="9" fontId="10" fillId="15" borderId="106" xfId="0" applyNumberFormat="1" applyFont="1" applyFill="1" applyBorder="1">
      <alignment vertical="center"/>
    </xf>
    <xf numFmtId="0" fontId="5" fillId="0" borderId="0" xfId="0" applyFont="1" applyAlignment="1">
      <alignment horizontal="left" vertical="center"/>
    </xf>
    <xf numFmtId="0" fontId="10" fillId="0" borderId="0" xfId="0" applyFont="1" applyAlignment="1">
      <alignment horizontal="left" vertical="center"/>
    </xf>
    <xf numFmtId="0" fontId="10" fillId="0" borderId="97" xfId="0" applyFont="1" applyBorder="1" applyAlignment="1">
      <alignment horizontal="center" vertical="center"/>
    </xf>
    <xf numFmtId="0" fontId="10" fillId="9" borderId="97" xfId="0" applyFont="1" applyFill="1" applyBorder="1" applyAlignment="1">
      <alignment horizontal="center" vertical="center"/>
    </xf>
    <xf numFmtId="0" fontId="10" fillId="9" borderId="97" xfId="0" applyFont="1" applyFill="1" applyBorder="1">
      <alignment vertical="center"/>
    </xf>
    <xf numFmtId="9" fontId="10" fillId="9" borderId="97" xfId="0" applyNumberFormat="1" applyFont="1" applyFill="1" applyBorder="1">
      <alignment vertical="center"/>
    </xf>
    <xf numFmtId="0" fontId="10" fillId="0" borderId="97" xfId="0" applyFont="1" applyBorder="1">
      <alignment vertical="center"/>
    </xf>
    <xf numFmtId="9" fontId="10" fillId="0" borderId="97" xfId="0" applyNumberFormat="1" applyFont="1" applyBorder="1">
      <alignment vertical="center"/>
    </xf>
    <xf numFmtId="9" fontId="10" fillId="9" borderId="97" xfId="1" applyFont="1" applyFill="1" applyBorder="1">
      <alignment vertical="center"/>
    </xf>
    <xf numFmtId="0" fontId="5" fillId="0" borderId="97" xfId="0" applyFont="1" applyBorder="1" applyAlignment="1">
      <alignment horizontal="center" vertical="center"/>
    </xf>
    <xf numFmtId="9" fontId="5" fillId="0" borderId="97" xfId="0" applyNumberFormat="1" applyFont="1" applyBorder="1">
      <alignment vertical="center"/>
    </xf>
    <xf numFmtId="0" fontId="5" fillId="0" borderId="97" xfId="0" applyFont="1" applyBorder="1">
      <alignment vertical="center"/>
    </xf>
    <xf numFmtId="0" fontId="39" fillId="9" borderId="97" xfId="0" applyFont="1" applyFill="1" applyBorder="1">
      <alignment vertical="center"/>
    </xf>
    <xf numFmtId="0" fontId="39" fillId="0" borderId="97" xfId="0" applyFont="1" applyBorder="1">
      <alignment vertical="center"/>
    </xf>
    <xf numFmtId="9" fontId="40" fillId="0" borderId="97" xfId="0" applyNumberFormat="1" applyFont="1" applyBorder="1">
      <alignment vertical="center"/>
    </xf>
    <xf numFmtId="9" fontId="10" fillId="10" borderId="97" xfId="1" applyFont="1" applyFill="1" applyBorder="1">
      <alignment vertical="center"/>
    </xf>
    <xf numFmtId="9" fontId="39" fillId="0" borderId="97" xfId="0" applyNumberFormat="1" applyFont="1" applyBorder="1">
      <alignment vertical="center"/>
    </xf>
    <xf numFmtId="9" fontId="41" fillId="0" borderId="0" xfId="0" applyNumberFormat="1" applyFont="1">
      <alignment vertical="center"/>
    </xf>
    <xf numFmtId="9" fontId="0" fillId="0" borderId="0" xfId="0" applyNumberFormat="1">
      <alignment vertical="center"/>
    </xf>
    <xf numFmtId="0" fontId="10" fillId="0" borderId="94" xfId="0" applyFont="1" applyBorder="1" applyAlignment="1">
      <alignment horizontal="center" vertical="center"/>
    </xf>
    <xf numFmtId="0" fontId="0" fillId="0" borderId="95" xfId="0" applyBorder="1" applyAlignment="1">
      <alignment horizontal="center" vertical="center"/>
    </xf>
    <xf numFmtId="0" fontId="0" fillId="0" borderId="94" xfId="0" applyBorder="1" applyAlignment="1">
      <alignment horizontal="center" vertical="center"/>
    </xf>
    <xf numFmtId="0" fontId="10" fillId="0" borderId="95" xfId="0" applyFont="1" applyBorder="1" applyAlignment="1">
      <alignment horizontal="center" vertical="center"/>
    </xf>
    <xf numFmtId="0" fontId="10" fillId="0" borderId="96" xfId="0" applyFont="1" applyBorder="1" applyAlignment="1">
      <alignment horizontal="center" vertical="center"/>
    </xf>
    <xf numFmtId="0" fontId="0" fillId="0" borderId="95" xfId="0" applyBorder="1">
      <alignment vertical="center"/>
    </xf>
    <xf numFmtId="0" fontId="0" fillId="0" borderId="111" xfId="0" applyBorder="1">
      <alignment vertical="center"/>
    </xf>
    <xf numFmtId="180" fontId="0" fillId="0" borderId="114" xfId="0" applyNumberFormat="1" applyBorder="1">
      <alignment vertical="center"/>
    </xf>
    <xf numFmtId="3" fontId="0" fillId="0" borderId="114" xfId="0" applyNumberFormat="1" applyBorder="1">
      <alignment vertical="center"/>
    </xf>
    <xf numFmtId="3" fontId="0" fillId="0" borderId="124" xfId="0" applyNumberFormat="1" applyBorder="1">
      <alignment vertical="center"/>
    </xf>
    <xf numFmtId="180" fontId="0" fillId="0" borderId="124" xfId="0" applyNumberFormat="1" applyBorder="1">
      <alignment vertical="center"/>
    </xf>
    <xf numFmtId="180" fontId="0" fillId="0" borderId="116" xfId="0" applyNumberFormat="1" applyBorder="1">
      <alignment vertical="center"/>
    </xf>
    <xf numFmtId="180" fontId="0" fillId="0" borderId="133" xfId="0" applyNumberFormat="1" applyBorder="1">
      <alignment vertical="center"/>
    </xf>
    <xf numFmtId="180" fontId="0" fillId="0" borderId="119" xfId="0" applyNumberFormat="1" applyBorder="1">
      <alignment vertical="center"/>
    </xf>
    <xf numFmtId="0" fontId="0" fillId="0" borderId="124" xfId="0" applyBorder="1">
      <alignment vertical="center"/>
    </xf>
    <xf numFmtId="3" fontId="0" fillId="15" borderId="114" xfId="0" applyNumberFormat="1" applyFill="1" applyBorder="1">
      <alignment vertical="center"/>
    </xf>
    <xf numFmtId="3" fontId="0" fillId="15" borderId="0" xfId="0" applyNumberFormat="1" applyFill="1">
      <alignment vertical="center"/>
    </xf>
    <xf numFmtId="3" fontId="0" fillId="15" borderId="124" xfId="0" applyNumberFormat="1" applyFill="1" applyBorder="1">
      <alignment vertical="center"/>
    </xf>
    <xf numFmtId="0" fontId="0" fillId="15" borderId="116" xfId="0" applyFill="1" applyBorder="1">
      <alignment vertical="center"/>
    </xf>
    <xf numFmtId="3" fontId="0" fillId="0" borderId="133" xfId="0" applyNumberFormat="1" applyBorder="1">
      <alignment vertical="center"/>
    </xf>
    <xf numFmtId="3" fontId="0" fillId="0" borderId="119" xfId="0" applyNumberFormat="1" applyBorder="1">
      <alignment vertical="center"/>
    </xf>
    <xf numFmtId="9" fontId="0" fillId="0" borderId="133" xfId="0" applyNumberFormat="1" applyBorder="1">
      <alignment vertical="center"/>
    </xf>
    <xf numFmtId="198" fontId="0" fillId="0" borderId="0" xfId="0" applyNumberFormat="1">
      <alignment vertical="center"/>
    </xf>
    <xf numFmtId="199" fontId="0" fillId="0" borderId="0" xfId="0" applyNumberFormat="1">
      <alignment vertical="center"/>
    </xf>
    <xf numFmtId="0" fontId="41" fillId="22" borderId="97" xfId="0" applyFont="1" applyFill="1" applyBorder="1" applyAlignment="1">
      <alignment horizontal="center" vertical="center"/>
    </xf>
    <xf numFmtId="0" fontId="41" fillId="22" borderId="140" xfId="0" applyFont="1" applyFill="1" applyBorder="1" applyAlignment="1">
      <alignment horizontal="center" vertical="center"/>
    </xf>
    <xf numFmtId="0" fontId="41" fillId="22" borderId="141" xfId="0" applyFont="1" applyFill="1" applyBorder="1" applyAlignment="1">
      <alignment horizontal="center" vertical="center"/>
    </xf>
    <xf numFmtId="0" fontId="41" fillId="22" borderId="142" xfId="0" applyFont="1" applyFill="1" applyBorder="1" applyAlignment="1">
      <alignment horizontal="center" vertical="center"/>
    </xf>
    <xf numFmtId="0" fontId="41" fillId="0" borderId="0" xfId="0" applyFont="1">
      <alignment vertical="center"/>
    </xf>
    <xf numFmtId="180" fontId="10" fillId="12" borderId="102" xfId="0" applyNumberFormat="1" applyFont="1" applyFill="1" applyBorder="1">
      <alignment vertical="center"/>
    </xf>
    <xf numFmtId="0" fontId="41" fillId="0" borderId="102" xfId="0" applyFont="1" applyBorder="1" applyAlignment="1">
      <alignment horizontal="center" vertical="center"/>
    </xf>
    <xf numFmtId="185" fontId="10" fillId="0" borderId="143" xfId="2" applyNumberFormat="1" applyFont="1" applyBorder="1">
      <alignment vertical="center"/>
    </xf>
    <xf numFmtId="185" fontId="10" fillId="0" borderId="144" xfId="2" applyNumberFormat="1" applyFont="1" applyBorder="1">
      <alignment vertical="center"/>
    </xf>
    <xf numFmtId="200" fontId="10" fillId="0" borderId="145" xfId="0" applyNumberFormat="1" applyFont="1" applyBorder="1">
      <alignment vertical="center"/>
    </xf>
    <xf numFmtId="9" fontId="10" fillId="0" borderId="146" xfId="1" applyFont="1" applyBorder="1">
      <alignment vertical="center"/>
    </xf>
    <xf numFmtId="9" fontId="10" fillId="0" borderId="144" xfId="1" applyFont="1" applyBorder="1">
      <alignment vertical="center"/>
    </xf>
    <xf numFmtId="9" fontId="10" fillId="20" borderId="145" xfId="0" applyNumberFormat="1" applyFont="1" applyFill="1" applyBorder="1">
      <alignment vertical="center"/>
    </xf>
    <xf numFmtId="0" fontId="10" fillId="0" borderId="105" xfId="0" applyFont="1" applyBorder="1" applyAlignment="1">
      <alignment horizontal="center" vertical="center"/>
    </xf>
    <xf numFmtId="185" fontId="10" fillId="0" borderId="147" xfId="2" applyNumberFormat="1" applyFont="1" applyBorder="1">
      <alignment vertical="center"/>
    </xf>
    <xf numFmtId="185" fontId="10" fillId="0" borderId="148" xfId="2" applyNumberFormat="1" applyFont="1" applyBorder="1">
      <alignment vertical="center"/>
    </xf>
    <xf numFmtId="43" fontId="10" fillId="0" borderId="126" xfId="0" applyNumberFormat="1" applyFont="1" applyBorder="1">
      <alignment vertical="center"/>
    </xf>
    <xf numFmtId="0" fontId="41" fillId="0" borderId="149" xfId="0" applyFont="1" applyBorder="1">
      <alignment vertical="center"/>
    </xf>
    <xf numFmtId="9" fontId="10" fillId="0" borderId="148" xfId="1" applyFont="1" applyBorder="1">
      <alignment vertical="center"/>
    </xf>
    <xf numFmtId="9" fontId="10" fillId="20" borderId="126" xfId="0" applyNumberFormat="1" applyFont="1" applyFill="1" applyBorder="1">
      <alignment vertical="center"/>
    </xf>
    <xf numFmtId="0" fontId="41" fillId="0" borderId="105" xfId="0" applyFont="1" applyBorder="1" applyAlignment="1">
      <alignment horizontal="center" vertical="center"/>
    </xf>
    <xf numFmtId="9" fontId="10" fillId="0" borderId="150" xfId="1" applyFont="1" applyBorder="1">
      <alignment vertical="center"/>
    </xf>
    <xf numFmtId="9" fontId="10" fillId="0" borderId="151" xfId="1" applyFont="1" applyBorder="1">
      <alignment vertical="center"/>
    </xf>
    <xf numFmtId="9" fontId="10" fillId="20" borderId="120" xfId="0" applyNumberFormat="1" applyFont="1" applyFill="1" applyBorder="1">
      <alignment vertical="center"/>
    </xf>
    <xf numFmtId="0" fontId="41" fillId="24" borderId="107" xfId="0" applyFont="1" applyFill="1" applyBorder="1" applyAlignment="1">
      <alignment horizontal="center" vertical="center"/>
    </xf>
    <xf numFmtId="185" fontId="10" fillId="24" borderId="152" xfId="2" applyNumberFormat="1" applyFont="1" applyFill="1" applyBorder="1">
      <alignment vertical="center"/>
    </xf>
    <xf numFmtId="185" fontId="10" fillId="24" borderId="153" xfId="2" applyNumberFormat="1" applyFont="1" applyFill="1" applyBorder="1">
      <alignment vertical="center"/>
    </xf>
    <xf numFmtId="185" fontId="10" fillId="24" borderId="154" xfId="2" applyNumberFormat="1" applyFont="1" applyFill="1" applyBorder="1">
      <alignment vertical="center"/>
    </xf>
    <xf numFmtId="9" fontId="10" fillId="0" borderId="155" xfId="1" applyFont="1" applyBorder="1">
      <alignment vertical="center"/>
    </xf>
    <xf numFmtId="9" fontId="10" fillId="0" borderId="141" xfId="1" applyFont="1" applyBorder="1">
      <alignment vertical="center"/>
    </xf>
    <xf numFmtId="9" fontId="10" fillId="0" borderId="142" xfId="1" applyFont="1" applyBorder="1">
      <alignment vertical="center"/>
    </xf>
    <xf numFmtId="9" fontId="10" fillId="0" borderId="127" xfId="1" applyFont="1" applyBorder="1">
      <alignment vertical="center"/>
    </xf>
    <xf numFmtId="9" fontId="10" fillId="0" borderId="156" xfId="1" applyFont="1" applyBorder="1">
      <alignment vertical="center"/>
    </xf>
    <xf numFmtId="9" fontId="10" fillId="0" borderId="123" xfId="1" applyFont="1" applyBorder="1">
      <alignment vertical="center"/>
    </xf>
    <xf numFmtId="43" fontId="10" fillId="0" borderId="145" xfId="0" applyNumberFormat="1" applyFont="1" applyBorder="1">
      <alignment vertical="center"/>
    </xf>
    <xf numFmtId="9" fontId="10" fillId="0" borderId="157" xfId="1" applyFont="1" applyBorder="1">
      <alignment vertical="center"/>
    </xf>
    <xf numFmtId="9" fontId="10" fillId="0" borderId="158" xfId="1" applyFont="1" applyBorder="1">
      <alignment vertical="center"/>
    </xf>
    <xf numFmtId="9" fontId="10" fillId="20" borderId="159" xfId="0" applyNumberFormat="1" applyFont="1" applyFill="1" applyBorder="1">
      <alignment vertical="center"/>
    </xf>
    <xf numFmtId="185" fontId="10" fillId="0" borderId="126" xfId="2" applyNumberFormat="1" applyFont="1" applyFill="1" applyBorder="1" applyAlignment="1">
      <alignment vertical="center"/>
    </xf>
    <xf numFmtId="9" fontId="10" fillId="0" borderId="149" xfId="1" applyFont="1" applyBorder="1">
      <alignment vertical="center"/>
    </xf>
    <xf numFmtId="9" fontId="10" fillId="20" borderId="126" xfId="1" applyFont="1" applyFill="1" applyBorder="1">
      <alignment vertical="center"/>
    </xf>
    <xf numFmtId="185" fontId="10" fillId="0" borderId="126" xfId="2" applyNumberFormat="1" applyFont="1" applyBorder="1" applyAlignment="1">
      <alignment vertical="center"/>
    </xf>
    <xf numFmtId="185" fontId="10" fillId="0" borderId="149" xfId="2" applyNumberFormat="1" applyFont="1" applyBorder="1">
      <alignment vertical="center"/>
    </xf>
    <xf numFmtId="185" fontId="10" fillId="0" borderId="145" xfId="2" applyNumberFormat="1" applyFont="1" applyFill="1" applyBorder="1">
      <alignment vertical="center"/>
    </xf>
    <xf numFmtId="9" fontId="10" fillId="0" borderId="158" xfId="1" applyFont="1" applyFill="1" applyBorder="1">
      <alignment vertical="center"/>
    </xf>
    <xf numFmtId="9" fontId="10" fillId="20" borderId="159" xfId="1" applyFont="1" applyFill="1" applyBorder="1">
      <alignment vertical="center"/>
    </xf>
    <xf numFmtId="185" fontId="10" fillId="0" borderId="126" xfId="2" applyNumberFormat="1" applyFont="1" applyFill="1" applyBorder="1">
      <alignment vertical="center"/>
    </xf>
    <xf numFmtId="9" fontId="10" fillId="20" borderId="120" xfId="1" applyFont="1" applyFill="1" applyBorder="1">
      <alignment vertical="center"/>
    </xf>
    <xf numFmtId="0" fontId="10" fillId="0" borderId="106" xfId="0" applyFont="1" applyBorder="1" applyAlignment="1">
      <alignment horizontal="center" vertical="center"/>
    </xf>
    <xf numFmtId="185" fontId="5" fillId="0" borderId="160" xfId="2" applyNumberFormat="1" applyFont="1" applyBorder="1">
      <alignment vertical="center"/>
    </xf>
    <xf numFmtId="185" fontId="5" fillId="0" borderId="161" xfId="2" applyNumberFormat="1" applyFont="1" applyBorder="1">
      <alignment vertical="center"/>
    </xf>
    <xf numFmtId="185" fontId="5" fillId="0" borderId="125" xfId="2" applyNumberFormat="1" applyFont="1" applyBorder="1">
      <alignment vertical="center"/>
    </xf>
    <xf numFmtId="9" fontId="10" fillId="0" borderId="162" xfId="1" applyFont="1" applyBorder="1">
      <alignment vertical="center"/>
    </xf>
    <xf numFmtId="9" fontId="10" fillId="0" borderId="161" xfId="1" applyFont="1" applyBorder="1">
      <alignment vertical="center"/>
    </xf>
    <xf numFmtId="9" fontId="10" fillId="0" borderId="125" xfId="1" applyFont="1" applyBorder="1">
      <alignment vertical="center"/>
    </xf>
    <xf numFmtId="0" fontId="10" fillId="0" borderId="137" xfId="0" applyFont="1" applyBorder="1" applyAlignment="1">
      <alignment horizontal="center" vertical="center"/>
    </xf>
    <xf numFmtId="199" fontId="0" fillId="0" borderId="0" xfId="1" applyNumberFormat="1" applyFont="1">
      <alignment vertical="center"/>
    </xf>
    <xf numFmtId="187" fontId="0" fillId="0" borderId="0" xfId="1" applyNumberFormat="1" applyFont="1">
      <alignment vertical="center"/>
    </xf>
    <xf numFmtId="201" fontId="3" fillId="0" borderId="95" xfId="0" applyNumberFormat="1" applyFont="1" applyBorder="1" applyAlignment="1">
      <alignment horizontal="center" vertical="center"/>
    </xf>
    <xf numFmtId="201" fontId="0" fillId="0" borderId="95" xfId="0" quotePrefix="1" applyNumberFormat="1" applyBorder="1" applyAlignment="1">
      <alignment horizontal="center" vertical="center"/>
    </xf>
    <xf numFmtId="0" fontId="42" fillId="0" borderId="0" xfId="0" applyFont="1" applyAlignment="1">
      <alignment horizontal="right" vertical="center"/>
    </xf>
    <xf numFmtId="185" fontId="43" fillId="0" borderId="0" xfId="2" applyNumberFormat="1" applyFont="1">
      <alignment vertical="center"/>
    </xf>
    <xf numFmtId="0" fontId="0" fillId="0" borderId="0" xfId="0" applyAlignment="1">
      <alignment horizontal="right" vertical="center"/>
    </xf>
    <xf numFmtId="9" fontId="10" fillId="0" borderId="97" xfId="1" applyFont="1" applyBorder="1">
      <alignment vertical="center"/>
    </xf>
    <xf numFmtId="9" fontId="10" fillId="0" borderId="94" xfId="1" applyFont="1" applyBorder="1">
      <alignment vertical="center"/>
    </xf>
    <xf numFmtId="177" fontId="10" fillId="0" borderId="112" xfId="1" applyNumberFormat="1" applyFont="1" applyBorder="1">
      <alignment vertical="center"/>
    </xf>
    <xf numFmtId="177" fontId="10" fillId="0" borderId="98" xfId="1" applyNumberFormat="1" applyFont="1" applyBorder="1">
      <alignment vertical="center"/>
    </xf>
    <xf numFmtId="177" fontId="10" fillId="15" borderId="98" xfId="1" applyNumberFormat="1" applyFont="1" applyFill="1" applyBorder="1">
      <alignment vertical="center"/>
    </xf>
    <xf numFmtId="177" fontId="10" fillId="0" borderId="99" xfId="1" applyNumberFormat="1" applyFont="1" applyBorder="1">
      <alignment vertical="center"/>
    </xf>
    <xf numFmtId="177" fontId="10" fillId="15" borderId="114" xfId="1" applyNumberFormat="1" applyFont="1" applyFill="1" applyBorder="1">
      <alignment vertical="center"/>
    </xf>
    <xf numFmtId="177" fontId="10" fillId="0" borderId="106" xfId="1" applyNumberFormat="1" applyFont="1" applyBorder="1">
      <alignment vertical="center"/>
    </xf>
    <xf numFmtId="177" fontId="10" fillId="0" borderId="116" xfId="1" applyNumberFormat="1" applyFont="1" applyBorder="1">
      <alignment vertical="center"/>
    </xf>
    <xf numFmtId="177" fontId="10" fillId="15" borderId="116" xfId="1" applyNumberFormat="1" applyFont="1" applyFill="1" applyBorder="1">
      <alignment vertical="center"/>
    </xf>
    <xf numFmtId="0" fontId="5" fillId="0" borderId="0" xfId="0" applyFont="1" applyAlignment="1">
      <alignment horizontal="center" vertical="center"/>
    </xf>
    <xf numFmtId="9" fontId="0" fillId="0" borderId="0" xfId="1" applyFont="1">
      <alignment vertical="center"/>
    </xf>
    <xf numFmtId="0" fontId="13" fillId="18" borderId="112" xfId="3" quotePrefix="1" applyFont="1" applyFill="1" applyBorder="1" applyAlignment="1">
      <alignment horizontal="center" vertical="center" wrapText="1" readingOrder="1"/>
    </xf>
    <xf numFmtId="41" fontId="25" fillId="19" borderId="112" xfId="4" applyFont="1" applyFill="1" applyBorder="1" applyAlignment="1">
      <alignment vertical="center" wrapText="1"/>
    </xf>
    <xf numFmtId="0" fontId="24" fillId="17" borderId="98" xfId="3" applyFont="1" applyFill="1" applyBorder="1" applyAlignment="1">
      <alignment horizontal="left" vertical="center" indent="1" readingOrder="1"/>
    </xf>
    <xf numFmtId="41" fontId="27" fillId="17" borderId="102" xfId="4" applyFont="1" applyFill="1" applyBorder="1" applyAlignment="1">
      <alignment horizontal="center" vertical="center"/>
    </xf>
    <xf numFmtId="0" fontId="24" fillId="17" borderId="127" xfId="3" applyFont="1" applyFill="1" applyBorder="1" applyAlignment="1">
      <alignment horizontal="left" vertical="center" indent="1" readingOrder="1"/>
    </xf>
    <xf numFmtId="0" fontId="26" fillId="17" borderId="120" xfId="3" applyFont="1" applyFill="1" applyBorder="1" applyAlignment="1">
      <alignment horizontal="left" vertical="center" indent="1" readingOrder="1"/>
    </xf>
    <xf numFmtId="41" fontId="27" fillId="17" borderId="117" xfId="4" applyFont="1" applyFill="1" applyBorder="1" applyAlignment="1">
      <alignment horizontal="center" vertical="center"/>
    </xf>
    <xf numFmtId="0" fontId="24" fillId="17" borderId="114" xfId="3" applyFont="1" applyFill="1" applyBorder="1" applyAlignment="1">
      <alignment horizontal="left" vertical="center" indent="1" readingOrder="1"/>
    </xf>
    <xf numFmtId="0" fontId="26" fillId="17" borderId="130" xfId="3" applyFont="1" applyFill="1" applyBorder="1" applyAlignment="1">
      <alignment horizontal="left" vertical="center" indent="1" readingOrder="1"/>
    </xf>
    <xf numFmtId="41" fontId="27" fillId="17" borderId="99" xfId="4" applyFont="1" applyFill="1" applyBorder="1" applyAlignment="1">
      <alignment horizontal="center" vertical="center"/>
    </xf>
    <xf numFmtId="0" fontId="27" fillId="17" borderId="130" xfId="3" applyFont="1" applyFill="1" applyBorder="1" applyAlignment="1">
      <alignment horizontal="left" vertical="center" indent="1" readingOrder="1"/>
    </xf>
    <xf numFmtId="9" fontId="27" fillId="15" borderId="99" xfId="4" applyNumberFormat="1" applyFont="1" applyFill="1" applyBorder="1" applyAlignment="1">
      <alignment horizontal="center" vertical="center"/>
    </xf>
    <xf numFmtId="0" fontId="24" fillId="19" borderId="98" xfId="3" applyFont="1" applyFill="1" applyBorder="1" applyAlignment="1">
      <alignment horizontal="left" vertical="center" wrapText="1" indent="1" readingOrder="1"/>
    </xf>
    <xf numFmtId="0" fontId="27" fillId="17" borderId="163" xfId="3" applyFont="1" applyFill="1" applyBorder="1" applyAlignment="1">
      <alignment vertical="center" readingOrder="1"/>
    </xf>
    <xf numFmtId="9" fontId="27" fillId="17" borderId="99" xfId="1" applyFont="1" applyFill="1" applyBorder="1" applyAlignment="1">
      <alignment vertical="center"/>
    </xf>
    <xf numFmtId="9" fontId="27" fillId="17" borderId="99" xfId="4" applyNumberFormat="1" applyFont="1" applyFill="1" applyBorder="1" applyAlignment="1">
      <alignment vertical="center"/>
    </xf>
    <xf numFmtId="9" fontId="26" fillId="17" borderId="99" xfId="1" applyFont="1" applyFill="1" applyBorder="1" applyAlignment="1"/>
    <xf numFmtId="9" fontId="26" fillId="15" borderId="99" xfId="1" applyFont="1" applyFill="1" applyBorder="1" applyAlignment="1">
      <alignment horizontal="center"/>
    </xf>
    <xf numFmtId="0" fontId="44" fillId="19" borderId="114" xfId="3" applyFont="1" applyFill="1" applyBorder="1" applyAlignment="1">
      <alignment vertical="center" wrapText="1"/>
    </xf>
    <xf numFmtId="0" fontId="24" fillId="17" borderId="116" xfId="3" applyFont="1" applyFill="1" applyBorder="1" applyAlignment="1">
      <alignment horizontal="left" vertical="center" indent="1" readingOrder="1"/>
    </xf>
    <xf numFmtId="0" fontId="27" fillId="17" borderId="139" xfId="3" applyFont="1" applyFill="1" applyBorder="1" applyAlignment="1">
      <alignment horizontal="left" vertical="center" indent="1" readingOrder="1"/>
    </xf>
    <xf numFmtId="9" fontId="26" fillId="17" borderId="106" xfId="1" applyFont="1" applyFill="1" applyBorder="1" applyAlignment="1"/>
    <xf numFmtId="9" fontId="26" fillId="15" borderId="106" xfId="1" applyFont="1" applyFill="1" applyBorder="1" applyAlignment="1">
      <alignment horizontal="center"/>
    </xf>
    <xf numFmtId="195" fontId="26" fillId="17" borderId="106" xfId="3" applyNumberFormat="1" applyFont="1" applyFill="1" applyBorder="1"/>
    <xf numFmtId="193" fontId="26" fillId="17" borderId="106" xfId="3" applyNumberFormat="1" applyFont="1" applyFill="1" applyBorder="1"/>
    <xf numFmtId="180" fontId="10" fillId="0" borderId="105" xfId="0" quotePrefix="1" applyNumberFormat="1" applyFont="1" applyBorder="1">
      <alignment vertical="center"/>
    </xf>
    <xf numFmtId="185" fontId="10" fillId="0" borderId="0" xfId="0" applyNumberFormat="1" applyFont="1">
      <alignment vertical="center"/>
    </xf>
    <xf numFmtId="41" fontId="10" fillId="0" borderId="0" xfId="0" applyNumberFormat="1" applyFont="1">
      <alignment vertical="center"/>
    </xf>
    <xf numFmtId="41" fontId="45" fillId="0" borderId="0" xfId="4" applyFont="1" applyFill="1">
      <alignment vertical="center"/>
    </xf>
    <xf numFmtId="41" fontId="46" fillId="0" borderId="0" xfId="4" applyFont="1" applyFill="1">
      <alignment vertical="center"/>
    </xf>
    <xf numFmtId="41" fontId="46" fillId="0" borderId="164" xfId="4" applyFont="1" applyFill="1" applyBorder="1">
      <alignment vertical="center"/>
    </xf>
    <xf numFmtId="41" fontId="39" fillId="0" borderId="0" xfId="4" applyFont="1" applyFill="1">
      <alignment vertical="center"/>
    </xf>
    <xf numFmtId="41" fontId="45" fillId="25" borderId="0" xfId="4" applyFont="1" applyFill="1">
      <alignment vertical="center"/>
    </xf>
    <xf numFmtId="41" fontId="46" fillId="25" borderId="0" xfId="4" applyFont="1" applyFill="1">
      <alignment vertical="center"/>
    </xf>
    <xf numFmtId="41" fontId="46" fillId="25" borderId="164" xfId="4" applyFont="1" applyFill="1" applyBorder="1">
      <alignment vertical="center"/>
    </xf>
    <xf numFmtId="0" fontId="15" fillId="0" borderId="0" xfId="3" applyFont="1" applyAlignment="1">
      <alignment vertical="center"/>
    </xf>
    <xf numFmtId="0" fontId="40" fillId="20" borderId="0" xfId="3" applyFont="1" applyFill="1" applyAlignment="1">
      <alignment vertical="center"/>
    </xf>
    <xf numFmtId="0" fontId="15" fillId="20" borderId="0" xfId="3" applyFont="1" applyFill="1" applyAlignment="1">
      <alignment vertical="center"/>
    </xf>
    <xf numFmtId="0" fontId="15" fillId="20" borderId="164" xfId="3" applyFont="1" applyFill="1" applyBorder="1" applyAlignment="1">
      <alignment vertical="center"/>
    </xf>
    <xf numFmtId="41" fontId="15" fillId="20" borderId="0" xfId="3" applyNumberFormat="1" applyFont="1" applyFill="1" applyAlignment="1">
      <alignment vertical="center"/>
    </xf>
    <xf numFmtId="0" fontId="40" fillId="0" borderId="0" xfId="3" applyFont="1" applyAlignment="1">
      <alignment vertical="center"/>
    </xf>
    <xf numFmtId="0" fontId="40" fillId="0" borderId="133" xfId="3" applyFont="1" applyBorder="1" applyAlignment="1">
      <alignment vertical="center"/>
    </xf>
    <xf numFmtId="41" fontId="40" fillId="0" borderId="0" xfId="3" applyNumberFormat="1" applyFont="1" applyAlignment="1">
      <alignment vertical="center"/>
    </xf>
    <xf numFmtId="41" fontId="40" fillId="9" borderId="164" xfId="3" applyNumberFormat="1" applyFont="1" applyFill="1" applyBorder="1" applyAlignment="1">
      <alignment vertical="center"/>
    </xf>
    <xf numFmtId="41" fontId="40" fillId="9" borderId="0" xfId="4" applyFont="1" applyFill="1">
      <alignment vertical="center"/>
    </xf>
    <xf numFmtId="41" fontId="40" fillId="0" borderId="0" xfId="4" applyFont="1">
      <alignment vertical="center"/>
    </xf>
    <xf numFmtId="0" fontId="15" fillId="0" borderId="110" xfId="3" applyFont="1" applyBorder="1" applyAlignment="1">
      <alignment vertical="center"/>
    </xf>
    <xf numFmtId="0" fontId="15" fillId="9" borderId="165" xfId="3" applyFont="1" applyFill="1" applyBorder="1" applyAlignment="1">
      <alignment vertical="center"/>
    </xf>
    <xf numFmtId="0" fontId="15" fillId="9" borderId="110" xfId="3" applyFont="1" applyFill="1" applyBorder="1" applyAlignment="1">
      <alignment vertical="center"/>
    </xf>
    <xf numFmtId="0" fontId="15" fillId="9" borderId="164" xfId="3" applyFont="1" applyFill="1" applyBorder="1" applyAlignment="1">
      <alignment vertical="center"/>
    </xf>
    <xf numFmtId="0" fontId="47" fillId="0" borderId="0" xfId="3" applyFont="1" applyAlignment="1">
      <alignment vertical="center"/>
    </xf>
    <xf numFmtId="0" fontId="15" fillId="9" borderId="0" xfId="3" applyFont="1" applyFill="1" applyAlignment="1">
      <alignment vertical="center"/>
    </xf>
    <xf numFmtId="177" fontId="47" fillId="0" borderId="0" xfId="5" applyNumberFormat="1" applyFont="1">
      <alignment vertical="center"/>
    </xf>
    <xf numFmtId="0" fontId="40" fillId="0" borderId="0" xfId="0" applyFont="1">
      <alignment vertical="center"/>
    </xf>
    <xf numFmtId="0" fontId="40" fillId="0" borderId="133" xfId="0" applyFont="1" applyBorder="1">
      <alignment vertical="center"/>
    </xf>
    <xf numFmtId="0" fontId="39" fillId="0" borderId="133" xfId="0" applyFont="1" applyBorder="1">
      <alignment vertical="center"/>
    </xf>
    <xf numFmtId="41" fontId="40" fillId="0" borderId="133" xfId="0" applyNumberFormat="1" applyFont="1" applyBorder="1">
      <alignment vertical="center"/>
    </xf>
    <xf numFmtId="41" fontId="40" fillId="9" borderId="166" xfId="0" applyNumberFormat="1" applyFont="1" applyFill="1" applyBorder="1">
      <alignment vertical="center"/>
    </xf>
    <xf numFmtId="41" fontId="40" fillId="9" borderId="167" xfId="4" applyFont="1" applyFill="1" applyBorder="1">
      <alignment vertical="center"/>
    </xf>
    <xf numFmtId="41" fontId="40" fillId="0" borderId="133" xfId="4" applyFont="1" applyBorder="1">
      <alignment vertical="center"/>
    </xf>
    <xf numFmtId="41" fontId="40" fillId="0" borderId="133" xfId="3" applyNumberFormat="1" applyFont="1" applyBorder="1" applyAlignment="1">
      <alignment vertical="center"/>
    </xf>
    <xf numFmtId="41" fontId="40" fillId="9" borderId="166" xfId="3" applyNumberFormat="1" applyFont="1" applyFill="1" applyBorder="1" applyAlignment="1">
      <alignment vertical="center"/>
    </xf>
    <xf numFmtId="41" fontId="40" fillId="9" borderId="133" xfId="4" applyFont="1" applyFill="1" applyBorder="1">
      <alignment vertical="center"/>
    </xf>
    <xf numFmtId="0" fontId="39" fillId="0" borderId="0" xfId="3" applyFont="1" applyAlignment="1">
      <alignment vertical="center"/>
    </xf>
    <xf numFmtId="177" fontId="47" fillId="9" borderId="164" xfId="5" applyNumberFormat="1" applyFont="1" applyFill="1" applyBorder="1">
      <alignment vertical="center"/>
    </xf>
    <xf numFmtId="177" fontId="47" fillId="0" borderId="0" xfId="3" applyNumberFormat="1" applyFont="1" applyAlignment="1">
      <alignment vertical="center"/>
    </xf>
    <xf numFmtId="41" fontId="15" fillId="0" borderId="0" xfId="4" applyFont="1">
      <alignment vertical="center"/>
    </xf>
    <xf numFmtId="41" fontId="15" fillId="9" borderId="164" xfId="4" applyFont="1" applyFill="1" applyBorder="1">
      <alignment vertical="center"/>
    </xf>
    <xf numFmtId="43" fontId="15" fillId="0" borderId="0" xfId="3" applyNumberFormat="1" applyFont="1" applyAlignment="1">
      <alignment vertical="center"/>
    </xf>
    <xf numFmtId="43" fontId="15" fillId="9" borderId="164" xfId="3" applyNumberFormat="1" applyFont="1" applyFill="1" applyBorder="1" applyAlignment="1">
      <alignment vertical="center"/>
    </xf>
    <xf numFmtId="41" fontId="40" fillId="9" borderId="166" xfId="4" applyFont="1" applyFill="1" applyBorder="1">
      <alignment vertical="center"/>
    </xf>
    <xf numFmtId="0" fontId="48" fillId="0" borderId="0" xfId="3" applyFont="1" applyAlignment="1">
      <alignment vertical="center"/>
    </xf>
    <xf numFmtId="41" fontId="15" fillId="0" borderId="0" xfId="3" applyNumberFormat="1" applyFont="1" applyAlignment="1">
      <alignment vertical="center"/>
    </xf>
    <xf numFmtId="41" fontId="15" fillId="9" borderId="164" xfId="3" applyNumberFormat="1" applyFont="1" applyFill="1" applyBorder="1" applyAlignment="1">
      <alignment vertical="center"/>
    </xf>
    <xf numFmtId="41" fontId="15" fillId="9" borderId="0" xfId="4" applyFont="1" applyFill="1" applyBorder="1">
      <alignment vertical="center"/>
    </xf>
    <xf numFmtId="41" fontId="15" fillId="0" borderId="0" xfId="4" applyFont="1" applyFill="1" applyBorder="1">
      <alignment vertical="center"/>
    </xf>
    <xf numFmtId="0" fontId="15" fillId="0" borderId="0" xfId="3" quotePrefix="1" applyFont="1" applyAlignment="1">
      <alignment vertical="center"/>
    </xf>
    <xf numFmtId="0" fontId="39" fillId="0" borderId="133" xfId="3" applyFont="1" applyBorder="1" applyAlignment="1">
      <alignment vertical="center"/>
    </xf>
    <xf numFmtId="41" fontId="40" fillId="0" borderId="133" xfId="4" applyFont="1" applyFill="1" applyBorder="1">
      <alignment vertical="center"/>
    </xf>
    <xf numFmtId="0" fontId="39" fillId="0" borderId="0" xfId="3" quotePrefix="1" applyFont="1" applyAlignment="1">
      <alignment vertical="center"/>
    </xf>
    <xf numFmtId="177" fontId="47" fillId="9" borderId="0" xfId="5" applyNumberFormat="1" applyFont="1" applyFill="1">
      <alignment vertical="center"/>
    </xf>
    <xf numFmtId="41" fontId="49" fillId="0" borderId="0" xfId="4" applyFont="1" applyFill="1">
      <alignment vertical="center"/>
    </xf>
    <xf numFmtId="41" fontId="40" fillId="9" borderId="133" xfId="3" applyNumberFormat="1" applyFont="1" applyFill="1" applyBorder="1" applyAlignment="1">
      <alignment vertical="center"/>
    </xf>
    <xf numFmtId="41" fontId="40" fillId="9" borderId="0" xfId="3" applyNumberFormat="1" applyFont="1" applyFill="1" applyAlignment="1">
      <alignment vertical="center"/>
    </xf>
    <xf numFmtId="41" fontId="40" fillId="0" borderId="0" xfId="4" applyFont="1" applyBorder="1">
      <alignment vertical="center"/>
    </xf>
    <xf numFmtId="0" fontId="39" fillId="20" borderId="0" xfId="3" applyFont="1" applyFill="1" applyAlignment="1">
      <alignment vertical="center"/>
    </xf>
    <xf numFmtId="41" fontId="40" fillId="20" borderId="0" xfId="2" applyFont="1" applyFill="1">
      <alignment vertical="center"/>
    </xf>
    <xf numFmtId="41" fontId="40" fillId="20" borderId="164" xfId="2" applyFont="1" applyFill="1" applyBorder="1">
      <alignment vertical="center"/>
    </xf>
    <xf numFmtId="41" fontId="40" fillId="0" borderId="0" xfId="2" applyFont="1" applyFill="1">
      <alignment vertical="center"/>
    </xf>
    <xf numFmtId="41" fontId="40" fillId="0" borderId="164" xfId="2" applyFont="1" applyFill="1" applyBorder="1">
      <alignment vertical="center"/>
    </xf>
    <xf numFmtId="38" fontId="40" fillId="0" borderId="133" xfId="3" applyNumberFormat="1" applyFont="1" applyBorder="1" applyAlignment="1">
      <alignment vertical="center"/>
    </xf>
    <xf numFmtId="38" fontId="40" fillId="9" borderId="166" xfId="3" applyNumberFormat="1" applyFont="1" applyFill="1" applyBorder="1" applyAlignment="1">
      <alignment vertical="center"/>
    </xf>
    <xf numFmtId="38" fontId="40" fillId="9" borderId="133" xfId="4" applyNumberFormat="1" applyFont="1" applyFill="1" applyBorder="1">
      <alignment vertical="center"/>
    </xf>
    <xf numFmtId="38" fontId="40" fillId="0" borderId="133" xfId="4" applyNumberFormat="1" applyFont="1" applyBorder="1">
      <alignment vertical="center"/>
    </xf>
    <xf numFmtId="41" fontId="15" fillId="0" borderId="0" xfId="4" applyFont="1" applyFill="1">
      <alignment vertical="center"/>
    </xf>
    <xf numFmtId="0" fontId="39" fillId="0" borderId="0" xfId="3" applyFont="1" applyAlignment="1">
      <alignment horizontal="left" vertical="center"/>
    </xf>
    <xf numFmtId="0" fontId="50" fillId="0" borderId="164" xfId="3" applyFont="1" applyBorder="1" applyAlignment="1">
      <alignment vertical="center"/>
    </xf>
    <xf numFmtId="0" fontId="15" fillId="0" borderId="164" xfId="3" applyFont="1" applyBorder="1" applyAlignment="1">
      <alignment vertical="center"/>
    </xf>
    <xf numFmtId="41" fontId="39" fillId="0" borderId="0" xfId="4" applyFont="1">
      <alignment vertical="center"/>
    </xf>
    <xf numFmtId="41" fontId="39" fillId="0" borderId="110" xfId="4" applyFont="1" applyBorder="1">
      <alignment vertical="center"/>
    </xf>
    <xf numFmtId="41" fontId="40" fillId="0" borderId="110" xfId="4" applyFont="1" applyBorder="1" applyAlignment="1">
      <alignment horizontal="left" vertical="center"/>
    </xf>
    <xf numFmtId="41" fontId="40" fillId="0" borderId="110" xfId="4" applyFont="1" applyBorder="1">
      <alignment vertical="center"/>
    </xf>
    <xf numFmtId="41" fontId="40" fillId="0" borderId="110" xfId="4" applyFont="1" applyBorder="1" applyAlignment="1">
      <alignment horizontal="centerContinuous" vertical="center"/>
    </xf>
    <xf numFmtId="41" fontId="40" fillId="0" borderId="165" xfId="4" applyFont="1" applyBorder="1" applyAlignment="1">
      <alignment horizontal="centerContinuous" vertical="center"/>
    </xf>
    <xf numFmtId="41" fontId="39" fillId="0" borderId="133" xfId="4" applyFont="1" applyBorder="1">
      <alignment vertical="center"/>
    </xf>
    <xf numFmtId="41" fontId="40" fillId="0" borderId="133" xfId="4" applyFont="1" applyBorder="1" applyAlignment="1">
      <alignment horizontal="right" vertical="center"/>
    </xf>
    <xf numFmtId="202" fontId="53" fillId="0" borderId="133" xfId="6" applyNumberFormat="1" applyFont="1" applyBorder="1" applyAlignment="1">
      <alignment horizontal="center" vertical="center"/>
    </xf>
    <xf numFmtId="0" fontId="53" fillId="0" borderId="166" xfId="6" applyFont="1" applyBorder="1" applyAlignment="1">
      <alignment horizontal="center" vertical="center"/>
    </xf>
    <xf numFmtId="203" fontId="53" fillId="0" borderId="133" xfId="6" applyNumberFormat="1" applyFont="1" applyBorder="1" applyAlignment="1">
      <alignment horizontal="center" vertical="center"/>
    </xf>
    <xf numFmtId="41" fontId="39" fillId="0" borderId="164" xfId="4" applyFont="1" applyBorder="1">
      <alignment vertical="center"/>
    </xf>
    <xf numFmtId="41" fontId="51" fillId="9" borderId="168" xfId="4" applyFont="1" applyFill="1" applyBorder="1">
      <alignment vertical="center"/>
    </xf>
    <xf numFmtId="41" fontId="54" fillId="9" borderId="169" xfId="4" applyFont="1" applyFill="1" applyBorder="1">
      <alignment vertical="center"/>
    </xf>
    <xf numFmtId="38" fontId="54" fillId="9" borderId="170" xfId="4" applyNumberFormat="1" applyFont="1" applyFill="1" applyBorder="1">
      <alignment vertical="center"/>
    </xf>
    <xf numFmtId="38" fontId="54" fillId="9" borderId="169" xfId="4" applyNumberFormat="1" applyFont="1" applyFill="1" applyBorder="1">
      <alignment vertical="center"/>
    </xf>
    <xf numFmtId="38" fontId="54" fillId="9" borderId="171" xfId="4" applyNumberFormat="1" applyFont="1" applyFill="1" applyBorder="1">
      <alignment vertical="center"/>
    </xf>
    <xf numFmtId="204" fontId="39" fillId="0" borderId="0" xfId="4" applyNumberFormat="1" applyFont="1">
      <alignment vertical="center"/>
    </xf>
    <xf numFmtId="41" fontId="51" fillId="9" borderId="172" xfId="4" applyFont="1" applyFill="1" applyBorder="1">
      <alignment vertical="center"/>
    </xf>
    <xf numFmtId="41" fontId="54" fillId="9" borderId="0" xfId="4" applyFont="1" applyFill="1" applyBorder="1">
      <alignment vertical="center"/>
    </xf>
    <xf numFmtId="38" fontId="54" fillId="9" borderId="164" xfId="4" applyNumberFormat="1" applyFont="1" applyFill="1" applyBorder="1">
      <alignment vertical="center"/>
    </xf>
    <xf numFmtId="38" fontId="54" fillId="9" borderId="0" xfId="4" applyNumberFormat="1" applyFont="1" applyFill="1" applyBorder="1">
      <alignment vertical="center"/>
    </xf>
    <xf numFmtId="38" fontId="54" fillId="9" borderId="173" xfId="4" applyNumberFormat="1" applyFont="1" applyFill="1" applyBorder="1">
      <alignment vertical="center"/>
    </xf>
    <xf numFmtId="41" fontId="51" fillId="9" borderId="174" xfId="4" applyFont="1" applyFill="1" applyBorder="1">
      <alignment vertical="center"/>
    </xf>
    <xf numFmtId="41" fontId="54" fillId="9" borderId="175" xfId="4" applyFont="1" applyFill="1" applyBorder="1">
      <alignment vertical="center"/>
    </xf>
    <xf numFmtId="38" fontId="54" fillId="9" borderId="176" xfId="4" applyNumberFormat="1" applyFont="1" applyFill="1" applyBorder="1">
      <alignment vertical="center"/>
    </xf>
    <xf numFmtId="38" fontId="54" fillId="9" borderId="175" xfId="4" applyNumberFormat="1" applyFont="1" applyFill="1" applyBorder="1">
      <alignment vertical="center"/>
    </xf>
    <xf numFmtId="38" fontId="54" fillId="9" borderId="177" xfId="4" applyNumberFormat="1" applyFont="1" applyFill="1" applyBorder="1">
      <alignment vertical="center"/>
    </xf>
    <xf numFmtId="41" fontId="39" fillId="0" borderId="0" xfId="4" applyFont="1" applyBorder="1">
      <alignment vertical="center"/>
    </xf>
    <xf numFmtId="38" fontId="54" fillId="9" borderId="173" xfId="4" applyNumberFormat="1" applyFont="1" applyFill="1" applyBorder="1" applyAlignment="1">
      <alignment vertical="center"/>
    </xf>
    <xf numFmtId="41" fontId="51" fillId="9" borderId="178" xfId="4" applyFont="1" applyFill="1" applyBorder="1">
      <alignment vertical="center"/>
    </xf>
    <xf numFmtId="41" fontId="54" fillId="9" borderId="179" xfId="4" applyFont="1" applyFill="1" applyBorder="1">
      <alignment vertical="center"/>
    </xf>
    <xf numFmtId="38" fontId="54" fillId="9" borderId="180" xfId="4" applyNumberFormat="1" applyFont="1" applyFill="1" applyBorder="1">
      <alignment vertical="center"/>
    </xf>
    <xf numFmtId="38" fontId="54" fillId="9" borderId="179" xfId="4" applyNumberFormat="1" applyFont="1" applyFill="1" applyBorder="1">
      <alignment vertical="center"/>
    </xf>
    <xf numFmtId="38" fontId="54" fillId="9" borderId="181" xfId="4" applyNumberFormat="1" applyFont="1" applyFill="1" applyBorder="1" applyAlignment="1">
      <alignment vertical="center"/>
    </xf>
    <xf numFmtId="38" fontId="51" fillId="9" borderId="0" xfId="4" applyNumberFormat="1" applyFont="1" applyFill="1" applyBorder="1">
      <alignment vertical="center"/>
    </xf>
    <xf numFmtId="41" fontId="51" fillId="9" borderId="0" xfId="4" applyFont="1" applyFill="1" applyBorder="1">
      <alignment vertical="center"/>
    </xf>
    <xf numFmtId="41" fontId="54" fillId="9" borderId="182" xfId="4" applyFont="1" applyFill="1" applyBorder="1">
      <alignment vertical="center"/>
    </xf>
    <xf numFmtId="41" fontId="54" fillId="9" borderId="183" xfId="4" applyFont="1" applyFill="1" applyBorder="1">
      <alignment vertical="center"/>
    </xf>
    <xf numFmtId="38" fontId="54" fillId="9" borderId="184" xfId="4" applyNumberFormat="1" applyFont="1" applyFill="1" applyBorder="1">
      <alignment vertical="center"/>
    </xf>
    <xf numFmtId="38" fontId="54" fillId="9" borderId="183" xfId="4" applyNumberFormat="1" applyFont="1" applyFill="1" applyBorder="1">
      <alignment vertical="center"/>
    </xf>
    <xf numFmtId="38" fontId="54" fillId="9" borderId="185" xfId="4" applyNumberFormat="1" applyFont="1" applyFill="1" applyBorder="1">
      <alignment vertical="center"/>
    </xf>
    <xf numFmtId="41" fontId="54" fillId="9" borderId="186" xfId="4" applyFont="1" applyFill="1" applyBorder="1">
      <alignment vertical="center"/>
    </xf>
    <xf numFmtId="38" fontId="54" fillId="9" borderId="187" xfId="4" applyNumberFormat="1" applyFont="1" applyFill="1" applyBorder="1">
      <alignment vertical="center"/>
    </xf>
    <xf numFmtId="41" fontId="54" fillId="9" borderId="188" xfId="4" applyFont="1" applyFill="1" applyBorder="1">
      <alignment vertical="center"/>
    </xf>
    <xf numFmtId="38" fontId="54" fillId="9" borderId="179" xfId="4" applyNumberFormat="1" applyFont="1" applyFill="1" applyBorder="1" applyAlignment="1">
      <alignment vertical="center"/>
    </xf>
    <xf numFmtId="38" fontId="54" fillId="9" borderId="0" xfId="4" applyNumberFormat="1" applyFont="1" applyFill="1" applyBorder="1" applyAlignment="1">
      <alignment vertical="center"/>
    </xf>
    <xf numFmtId="38" fontId="54" fillId="9" borderId="189" xfId="4" applyNumberFormat="1" applyFont="1" applyFill="1" applyBorder="1" applyAlignment="1">
      <alignment vertical="center"/>
    </xf>
    <xf numFmtId="38" fontId="54" fillId="9" borderId="190" xfId="4" applyNumberFormat="1" applyFont="1" applyFill="1" applyBorder="1">
      <alignment vertical="center"/>
    </xf>
    <xf numFmtId="41" fontId="54" fillId="9" borderId="164" xfId="4" applyFont="1" applyFill="1" applyBorder="1">
      <alignment vertical="center"/>
    </xf>
    <xf numFmtId="41" fontId="54" fillId="9" borderId="0" xfId="4" applyFont="1" applyFill="1" applyBorder="1" applyAlignment="1">
      <alignment vertical="center"/>
    </xf>
    <xf numFmtId="41" fontId="54" fillId="9" borderId="173" xfId="4" applyFont="1" applyFill="1" applyBorder="1" applyAlignment="1">
      <alignment vertical="center"/>
    </xf>
    <xf numFmtId="41" fontId="45" fillId="26" borderId="0" xfId="4" applyFont="1" applyFill="1">
      <alignment vertical="center"/>
    </xf>
    <xf numFmtId="41" fontId="46" fillId="26" borderId="0" xfId="4" applyFont="1" applyFill="1">
      <alignment vertical="center"/>
    </xf>
    <xf numFmtId="41" fontId="46" fillId="26" borderId="164" xfId="4" applyFont="1" applyFill="1" applyBorder="1">
      <alignment vertical="center"/>
    </xf>
    <xf numFmtId="41" fontId="54" fillId="0" borderId="0" xfId="4" applyFont="1" applyAlignment="1">
      <alignment horizontal="right" vertical="center"/>
    </xf>
    <xf numFmtId="41" fontId="51" fillId="0" borderId="0" xfId="4" applyFont="1">
      <alignment vertical="center"/>
    </xf>
    <xf numFmtId="41" fontId="54" fillId="0" borderId="134" xfId="4" applyFont="1" applyBorder="1">
      <alignment vertical="center"/>
    </xf>
    <xf numFmtId="41" fontId="39" fillId="0" borderId="134" xfId="4" applyFont="1" applyBorder="1">
      <alignment vertical="center"/>
    </xf>
    <xf numFmtId="41" fontId="39" fillId="0" borderId="191" xfId="4" applyFont="1" applyBorder="1">
      <alignment vertical="center"/>
    </xf>
    <xf numFmtId="41" fontId="54" fillId="0" borderId="134" xfId="4" applyFont="1" applyBorder="1" applyAlignment="1">
      <alignment vertical="center"/>
    </xf>
    <xf numFmtId="41" fontId="54" fillId="0" borderId="0" xfId="4" applyFont="1" applyBorder="1">
      <alignment vertical="center"/>
    </xf>
    <xf numFmtId="41" fontId="39" fillId="0" borderId="133" xfId="4" applyFont="1" applyBorder="1" applyAlignment="1">
      <alignment horizontal="center" vertical="center"/>
    </xf>
    <xf numFmtId="41" fontId="54" fillId="0" borderId="166" xfId="4" applyFont="1" applyBorder="1" applyAlignment="1">
      <alignment horizontal="center" vertical="center" wrapText="1"/>
    </xf>
    <xf numFmtId="41" fontId="55" fillId="0" borderId="133" xfId="4" applyFont="1" applyBorder="1" applyAlignment="1">
      <alignment horizontal="center" vertical="center"/>
    </xf>
    <xf numFmtId="38" fontId="15" fillId="0" borderId="0" xfId="4" applyNumberFormat="1" applyFont="1" applyBorder="1" applyAlignment="1">
      <alignment vertical="center"/>
    </xf>
    <xf numFmtId="38" fontId="39" fillId="0" borderId="0" xfId="4" applyNumberFormat="1" applyFont="1">
      <alignment vertical="center"/>
    </xf>
    <xf numFmtId="41" fontId="40" fillId="0" borderId="95" xfId="4" applyFont="1" applyBorder="1">
      <alignment vertical="center"/>
    </xf>
    <xf numFmtId="41" fontId="39" fillId="0" borderId="95" xfId="4" applyFont="1" applyBorder="1">
      <alignment vertical="center"/>
    </xf>
    <xf numFmtId="41" fontId="39" fillId="0" borderId="192" xfId="4" applyFont="1" applyBorder="1">
      <alignment vertical="center"/>
    </xf>
    <xf numFmtId="38" fontId="40" fillId="0" borderId="95" xfId="4" applyNumberFormat="1" applyFont="1" applyBorder="1">
      <alignment vertical="center"/>
    </xf>
    <xf numFmtId="41" fontId="40" fillId="0" borderId="192" xfId="4" applyFont="1" applyBorder="1">
      <alignment vertical="center"/>
    </xf>
    <xf numFmtId="41" fontId="40" fillId="0" borderId="164" xfId="4" applyFont="1" applyBorder="1">
      <alignment vertical="center"/>
    </xf>
    <xf numFmtId="41" fontId="20" fillId="0" borderId="0" xfId="4" applyFont="1">
      <alignment vertical="center"/>
    </xf>
    <xf numFmtId="41" fontId="20" fillId="0" borderId="164" xfId="4" applyFont="1" applyBorder="1">
      <alignment vertical="center"/>
    </xf>
    <xf numFmtId="205" fontId="56" fillId="0" borderId="133" xfId="7" applyNumberFormat="1" applyFont="1" applyBorder="1" applyAlignment="1">
      <alignment horizontal="centerContinuous" vertical="center"/>
    </xf>
    <xf numFmtId="0" fontId="56" fillId="0" borderId="133" xfId="7" applyFont="1" applyBorder="1" applyAlignment="1">
      <alignment horizontal="centerContinuous" vertical="center"/>
    </xf>
    <xf numFmtId="205" fontId="56" fillId="0" borderId="133" xfId="7" applyNumberFormat="1" applyFont="1" applyBorder="1" applyAlignment="1">
      <alignment horizontal="center" vertical="center"/>
    </xf>
    <xf numFmtId="38" fontId="15" fillId="0" borderId="0" xfId="4" applyNumberFormat="1" applyFont="1">
      <alignment vertical="center"/>
    </xf>
    <xf numFmtId="38" fontId="15" fillId="0" borderId="164" xfId="4" applyNumberFormat="1" applyFont="1" applyBorder="1">
      <alignment vertical="center"/>
    </xf>
    <xf numFmtId="38" fontId="15" fillId="0" borderId="0" xfId="3" applyNumberFormat="1" applyFont="1" applyAlignment="1">
      <alignment vertical="center"/>
    </xf>
    <xf numFmtId="38" fontId="15" fillId="0" borderId="164" xfId="3" applyNumberFormat="1" applyFont="1" applyBorder="1" applyAlignment="1">
      <alignment vertical="center"/>
    </xf>
    <xf numFmtId="0" fontId="40" fillId="0" borderId="193" xfId="3" applyFont="1" applyBorder="1" applyAlignment="1">
      <alignment vertical="center"/>
    </xf>
    <xf numFmtId="0" fontId="15" fillId="0" borderId="193" xfId="3" applyFont="1" applyBorder="1" applyAlignment="1">
      <alignment vertical="center"/>
    </xf>
    <xf numFmtId="38" fontId="15" fillId="0" borderId="193" xfId="3" applyNumberFormat="1" applyFont="1" applyBorder="1" applyAlignment="1">
      <alignment vertical="center"/>
    </xf>
    <xf numFmtId="38" fontId="15" fillId="0" borderId="194" xfId="3" applyNumberFormat="1" applyFont="1" applyBorder="1" applyAlignment="1">
      <alignment vertical="center"/>
    </xf>
    <xf numFmtId="0" fontId="57" fillId="0" borderId="0" xfId="3" applyFont="1" applyAlignment="1">
      <alignment vertical="center"/>
    </xf>
    <xf numFmtId="38" fontId="40" fillId="0" borderId="0" xfId="3" applyNumberFormat="1" applyFont="1" applyAlignment="1">
      <alignment vertical="center"/>
    </xf>
    <xf numFmtId="38" fontId="40" fillId="0" borderId="164" xfId="3" applyNumberFormat="1" applyFont="1" applyBorder="1" applyAlignment="1">
      <alignment vertical="center"/>
    </xf>
    <xf numFmtId="0" fontId="15" fillId="0" borderId="0" xfId="3" applyFont="1" applyAlignment="1">
      <alignment horizontal="left" vertical="center" indent="1"/>
    </xf>
    <xf numFmtId="0" fontId="15" fillId="0" borderId="195" xfId="3" applyFont="1" applyBorder="1" applyAlignment="1">
      <alignment vertical="center"/>
    </xf>
    <xf numFmtId="0" fontId="15" fillId="0" borderId="195" xfId="3" applyFont="1" applyBorder="1" applyAlignment="1">
      <alignment horizontal="left" vertical="center" indent="1"/>
    </xf>
    <xf numFmtId="38" fontId="15" fillId="0" borderId="195" xfId="3" applyNumberFormat="1" applyFont="1" applyBorder="1" applyAlignment="1">
      <alignment vertical="center"/>
    </xf>
    <xf numFmtId="38" fontId="15" fillId="0" borderId="196" xfId="3" applyNumberFormat="1" applyFont="1" applyBorder="1" applyAlignment="1">
      <alignment vertical="center"/>
    </xf>
    <xf numFmtId="0" fontId="15" fillId="0" borderId="133" xfId="3" applyFont="1" applyBorder="1" applyAlignment="1">
      <alignment vertical="center"/>
    </xf>
    <xf numFmtId="0" fontId="15" fillId="0" borderId="133" xfId="3" applyFont="1" applyBorder="1" applyAlignment="1">
      <alignment horizontal="left" vertical="center" indent="1"/>
    </xf>
    <xf numFmtId="38" fontId="15" fillId="0" borderId="133" xfId="3" applyNumberFormat="1" applyFont="1" applyBorder="1" applyAlignment="1">
      <alignment vertical="center"/>
    </xf>
    <xf numFmtId="38" fontId="15" fillId="0" borderId="166" xfId="3" applyNumberFormat="1" applyFont="1" applyBorder="1" applyAlignment="1">
      <alignment vertical="center"/>
    </xf>
    <xf numFmtId="0" fontId="20" fillId="0" borderId="133" xfId="3" applyFont="1" applyBorder="1" applyAlignment="1">
      <alignment vertical="center"/>
    </xf>
    <xf numFmtId="0" fontId="40" fillId="15" borderId="133" xfId="3" applyFont="1" applyFill="1" applyBorder="1" applyAlignment="1">
      <alignment horizontal="center" vertical="center"/>
    </xf>
    <xf numFmtId="40" fontId="20" fillId="0" borderId="133" xfId="3" applyNumberFormat="1" applyFont="1" applyBorder="1" applyAlignment="1">
      <alignment vertical="center"/>
    </xf>
    <xf numFmtId="40" fontId="20" fillId="0" borderId="166" xfId="3" applyNumberFormat="1" applyFont="1" applyBorder="1" applyAlignment="1">
      <alignment vertical="center"/>
    </xf>
    <xf numFmtId="177" fontId="39" fillId="0" borderId="0" xfId="3" quotePrefix="1" applyNumberFormat="1" applyFont="1" applyAlignment="1">
      <alignment vertical="center"/>
    </xf>
    <xf numFmtId="0" fontId="58" fillId="0" borderId="93" xfId="0" applyFont="1" applyBorder="1">
      <alignment vertical="center"/>
    </xf>
    <xf numFmtId="0" fontId="3" fillId="10" borderId="0" xfId="0" applyFont="1" applyFill="1">
      <alignment vertical="center"/>
    </xf>
    <xf numFmtId="0" fontId="41" fillId="0" borderId="0" xfId="0" applyFont="1" applyAlignment="1">
      <alignment horizontal="right" vertical="center"/>
    </xf>
    <xf numFmtId="206" fontId="62" fillId="9" borderId="197" xfId="9" applyNumberFormat="1" applyFont="1" applyFill="1" applyBorder="1" applyAlignment="1" applyProtection="1">
      <alignment horizontal="centerContinuous" vertical="center" wrapText="1"/>
    </xf>
    <xf numFmtId="206" fontId="59" fillId="9" borderId="198" xfId="3" applyNumberFormat="1" applyFont="1" applyFill="1" applyBorder="1" applyAlignment="1">
      <alignment horizontal="center" vertical="center"/>
    </xf>
    <xf numFmtId="206" fontId="59" fillId="9" borderId="199" xfId="3" applyNumberFormat="1" applyFont="1" applyFill="1" applyBorder="1" applyAlignment="1">
      <alignment horizontal="center" vertical="center"/>
    </xf>
    <xf numFmtId="206" fontId="59" fillId="9" borderId="200" xfId="3" applyNumberFormat="1" applyFont="1" applyFill="1" applyBorder="1" applyAlignment="1">
      <alignment horizontal="center" vertical="center" wrapText="1"/>
    </xf>
    <xf numFmtId="206" fontId="59" fillId="9" borderId="201" xfId="3" applyNumberFormat="1" applyFont="1" applyFill="1" applyBorder="1" applyAlignment="1">
      <alignment horizontal="center" vertical="center" wrapText="1"/>
    </xf>
    <xf numFmtId="206" fontId="59" fillId="9" borderId="119" xfId="3" applyNumberFormat="1" applyFont="1" applyFill="1" applyBorder="1" applyAlignment="1">
      <alignment horizontal="center" vertical="center"/>
    </xf>
    <xf numFmtId="206" fontId="59" fillId="9" borderId="198" xfId="3" applyNumberFormat="1" applyFont="1" applyFill="1" applyBorder="1" applyAlignment="1">
      <alignment horizontal="center" vertical="center" wrapText="1"/>
    </xf>
    <xf numFmtId="206" fontId="59" fillId="9" borderId="202" xfId="3" applyNumberFormat="1" applyFont="1" applyFill="1" applyBorder="1" applyAlignment="1">
      <alignment horizontal="center" vertical="center" wrapText="1"/>
    </xf>
    <xf numFmtId="206" fontId="59" fillId="9" borderId="203" xfId="3" applyNumberFormat="1" applyFont="1" applyFill="1" applyBorder="1" applyAlignment="1">
      <alignment horizontal="center" vertical="center"/>
    </xf>
    <xf numFmtId="206" fontId="59" fillId="9" borderId="199" xfId="3" applyNumberFormat="1" applyFont="1" applyFill="1" applyBorder="1" applyAlignment="1">
      <alignment horizontal="center" vertical="center" wrapText="1"/>
    </xf>
    <xf numFmtId="206" fontId="59" fillId="9" borderId="119" xfId="3" applyNumberFormat="1" applyFont="1" applyFill="1" applyBorder="1" applyAlignment="1">
      <alignment horizontal="center" vertical="center" wrapText="1"/>
    </xf>
    <xf numFmtId="206" fontId="62" fillId="9" borderId="116" xfId="9" applyNumberFormat="1" applyFont="1" applyFill="1" applyBorder="1" applyAlignment="1" applyProtection="1">
      <alignment horizontal="center" vertical="center"/>
    </xf>
    <xf numFmtId="206" fontId="62" fillId="9" borderId="204" xfId="9" applyNumberFormat="1" applyFont="1" applyFill="1" applyBorder="1" applyAlignment="1" applyProtection="1">
      <alignment horizontal="center" vertical="center"/>
    </xf>
    <xf numFmtId="206" fontId="59" fillId="17" borderId="112" xfId="3" applyNumberFormat="1" applyFont="1" applyFill="1" applyBorder="1" applyAlignment="1">
      <alignment vertical="center"/>
    </xf>
    <xf numFmtId="206" fontId="59" fillId="17" borderId="98" xfId="3" applyNumberFormat="1" applyFont="1" applyFill="1" applyBorder="1" applyAlignment="1">
      <alignment vertical="center"/>
    </xf>
    <xf numFmtId="206" fontId="59" fillId="17" borderId="205" xfId="3" applyNumberFormat="1" applyFont="1" applyFill="1" applyBorder="1" applyAlignment="1">
      <alignment vertical="center"/>
    </xf>
    <xf numFmtId="206" fontId="59" fillId="17" borderId="110" xfId="3" applyNumberFormat="1" applyFont="1" applyFill="1" applyBorder="1" applyAlignment="1">
      <alignment vertical="center"/>
    </xf>
    <xf numFmtId="206" fontId="59" fillId="17" borderId="206" xfId="3" applyNumberFormat="1" applyFont="1" applyFill="1" applyBorder="1" applyAlignment="1">
      <alignment vertical="center"/>
    </xf>
    <xf numFmtId="206" fontId="59" fillId="9" borderId="111" xfId="3" applyNumberFormat="1" applyFont="1" applyFill="1" applyBorder="1" applyAlignment="1">
      <alignment vertical="center"/>
    </xf>
    <xf numFmtId="206" fontId="59" fillId="9" borderId="112" xfId="3" applyNumberFormat="1" applyFont="1" applyFill="1" applyBorder="1" applyAlignment="1">
      <alignment vertical="center"/>
    </xf>
    <xf numFmtId="206" fontId="59" fillId="17" borderId="207" xfId="3" applyNumberFormat="1" applyFont="1" applyFill="1" applyBorder="1" applyAlignment="1">
      <alignment vertical="center"/>
    </xf>
    <xf numFmtId="206" fontId="59" fillId="17" borderId="208" xfId="3" applyNumberFormat="1" applyFont="1" applyFill="1" applyBorder="1" applyAlignment="1">
      <alignment vertical="center"/>
    </xf>
    <xf numFmtId="206" fontId="62" fillId="17" borderId="98" xfId="9" applyNumberFormat="1" applyFont="1" applyFill="1" applyBorder="1" applyAlignment="1" applyProtection="1">
      <alignment vertical="center"/>
    </xf>
    <xf numFmtId="206" fontId="62" fillId="17" borderId="209" xfId="9" applyNumberFormat="1" applyFont="1" applyFill="1" applyBorder="1" applyAlignment="1" applyProtection="1">
      <alignment vertical="center"/>
    </xf>
    <xf numFmtId="206" fontId="59" fillId="17" borderId="210" xfId="3" applyNumberFormat="1" applyFont="1" applyFill="1" applyBorder="1" applyAlignment="1">
      <alignment vertical="center"/>
    </xf>
    <xf numFmtId="206" fontId="59" fillId="17" borderId="211" xfId="3" applyNumberFormat="1" applyFont="1" applyFill="1" applyBorder="1" applyAlignment="1">
      <alignment vertical="center"/>
    </xf>
    <xf numFmtId="206" fontId="59" fillId="17" borderId="212" xfId="3" applyNumberFormat="1" applyFont="1" applyFill="1" applyBorder="1" applyAlignment="1">
      <alignment vertical="center"/>
    </xf>
    <xf numFmtId="206" fontId="59" fillId="17" borderId="213" xfId="3" applyNumberFormat="1" applyFont="1" applyFill="1" applyBorder="1" applyAlignment="1">
      <alignment vertical="center"/>
    </xf>
    <xf numFmtId="206" fontId="59" fillId="17" borderId="214" xfId="3" applyNumberFormat="1" applyFont="1" applyFill="1" applyBorder="1" applyAlignment="1">
      <alignment vertical="center"/>
    </xf>
    <xf numFmtId="206" fontId="59" fillId="9" borderId="215" xfId="3" applyNumberFormat="1" applyFont="1" applyFill="1" applyBorder="1" applyAlignment="1">
      <alignment vertical="center"/>
    </xf>
    <xf numFmtId="206" fontId="59" fillId="9" borderId="210" xfId="3" applyNumberFormat="1" applyFont="1" applyFill="1" applyBorder="1" applyAlignment="1">
      <alignment vertical="center"/>
    </xf>
    <xf numFmtId="206" fontId="59" fillId="17" borderId="216" xfId="3" applyNumberFormat="1" applyFont="1" applyFill="1" applyBorder="1" applyAlignment="1">
      <alignment vertical="center"/>
    </xf>
    <xf numFmtId="206" fontId="59" fillId="17" borderId="217" xfId="3" applyNumberFormat="1" applyFont="1" applyFill="1" applyBorder="1" applyAlignment="1">
      <alignment vertical="center"/>
    </xf>
    <xf numFmtId="206" fontId="62" fillId="17" borderId="211" xfId="9" applyNumberFormat="1" applyFont="1" applyFill="1" applyBorder="1" applyAlignment="1" applyProtection="1">
      <alignment vertical="center"/>
    </xf>
    <xf numFmtId="206" fontId="62" fillId="17" borderId="218" xfId="9" applyNumberFormat="1" applyFont="1" applyFill="1" applyBorder="1" applyAlignment="1" applyProtection="1">
      <alignment vertical="center"/>
    </xf>
    <xf numFmtId="206" fontId="59" fillId="17" borderId="106" xfId="3" applyNumberFormat="1" applyFont="1" applyFill="1" applyBorder="1" applyAlignment="1">
      <alignment vertical="center"/>
    </xf>
    <xf numFmtId="206" fontId="59" fillId="17" borderId="116" xfId="3" applyNumberFormat="1" applyFont="1" applyFill="1" applyBorder="1" applyAlignment="1">
      <alignment vertical="center"/>
    </xf>
    <xf numFmtId="206" fontId="59" fillId="17" borderId="219" xfId="3" applyNumberFormat="1" applyFont="1" applyFill="1" applyBorder="1" applyAlignment="1">
      <alignment vertical="center"/>
    </xf>
    <xf numFmtId="206" fontId="59" fillId="17" borderId="133" xfId="3" applyNumberFormat="1" applyFont="1" applyFill="1" applyBorder="1" applyAlignment="1">
      <alignment vertical="center"/>
    </xf>
    <xf numFmtId="206" fontId="59" fillId="17" borderId="220" xfId="3" applyNumberFormat="1" applyFont="1" applyFill="1" applyBorder="1" applyAlignment="1">
      <alignment vertical="center"/>
    </xf>
    <xf numFmtId="206" fontId="59" fillId="9" borderId="119" xfId="3" applyNumberFormat="1" applyFont="1" applyFill="1" applyBorder="1" applyAlignment="1">
      <alignment vertical="center"/>
    </xf>
    <xf numFmtId="206" fontId="59" fillId="9" borderId="106" xfId="3" applyNumberFormat="1" applyFont="1" applyFill="1" applyBorder="1" applyAlignment="1">
      <alignment vertical="center"/>
    </xf>
    <xf numFmtId="206" fontId="59" fillId="17" borderId="221" xfId="3" applyNumberFormat="1" applyFont="1" applyFill="1" applyBorder="1" applyAlignment="1">
      <alignment vertical="center"/>
    </xf>
    <xf numFmtId="206" fontId="59" fillId="17" borderId="222" xfId="3" applyNumberFormat="1" applyFont="1" applyFill="1" applyBorder="1" applyAlignment="1">
      <alignment vertical="center"/>
    </xf>
    <xf numFmtId="206" fontId="62" fillId="17" borderId="116" xfId="3" applyNumberFormat="1" applyFont="1" applyFill="1" applyBorder="1" applyAlignment="1">
      <alignment vertical="center"/>
    </xf>
    <xf numFmtId="206" fontId="62" fillId="17" borderId="204" xfId="3" applyNumberFormat="1" applyFont="1" applyFill="1" applyBorder="1" applyAlignment="1">
      <alignment vertical="center"/>
    </xf>
    <xf numFmtId="206" fontId="59" fillId="17" borderId="97" xfId="3" quotePrefix="1" applyNumberFormat="1" applyFont="1" applyFill="1" applyBorder="1" applyAlignment="1">
      <alignment vertical="center"/>
    </xf>
    <xf numFmtId="9" fontId="59" fillId="17" borderId="94" xfId="10" applyFont="1" applyFill="1" applyBorder="1" applyAlignment="1" applyProtection="1">
      <alignment vertical="center"/>
    </xf>
    <xf numFmtId="9" fontId="59" fillId="17" borderId="223" xfId="10" applyFont="1" applyFill="1" applyBorder="1" applyAlignment="1" applyProtection="1">
      <alignment vertical="center"/>
    </xf>
    <xf numFmtId="9" fontId="59" fillId="17" borderId="95" xfId="10" applyFont="1" applyFill="1" applyBorder="1" applyAlignment="1" applyProtection="1">
      <alignment vertical="center"/>
    </xf>
    <xf numFmtId="9" fontId="59" fillId="17" borderId="224" xfId="10" applyFont="1" applyFill="1" applyBorder="1" applyAlignment="1" applyProtection="1">
      <alignment vertical="center"/>
    </xf>
    <xf numFmtId="9" fontId="59" fillId="9" borderId="96" xfId="10" applyFont="1" applyFill="1" applyBorder="1" applyAlignment="1" applyProtection="1">
      <alignment vertical="center"/>
    </xf>
    <xf numFmtId="9" fontId="59" fillId="9" borderId="97" xfId="10" applyFont="1" applyFill="1" applyBorder="1" applyAlignment="1" applyProtection="1">
      <alignment vertical="center"/>
    </xf>
    <xf numFmtId="9" fontId="59" fillId="17" borderId="225" xfId="10" applyFont="1" applyFill="1" applyBorder="1" applyAlignment="1" applyProtection="1">
      <alignment vertical="center"/>
    </xf>
    <xf numFmtId="9" fontId="59" fillId="17" borderId="226" xfId="10" applyFont="1" applyFill="1" applyBorder="1" applyAlignment="1" applyProtection="1">
      <alignment vertical="center"/>
    </xf>
    <xf numFmtId="9" fontId="62" fillId="17" borderId="94" xfId="10" applyFont="1" applyFill="1" applyBorder="1" applyAlignment="1" applyProtection="1">
      <alignment vertical="center"/>
    </xf>
    <xf numFmtId="9" fontId="62" fillId="17" borderId="227" xfId="10" applyFont="1" applyFill="1" applyBorder="1" applyAlignment="1" applyProtection="1">
      <alignment vertical="center"/>
    </xf>
    <xf numFmtId="206" fontId="59" fillId="17" borderId="97" xfId="3" applyNumberFormat="1" applyFont="1" applyFill="1" applyBorder="1" applyAlignment="1">
      <alignment vertical="center"/>
    </xf>
    <xf numFmtId="206" fontId="59" fillId="17" borderId="94" xfId="3" applyNumberFormat="1" applyFont="1" applyFill="1" applyBorder="1" applyAlignment="1">
      <alignment vertical="center"/>
    </xf>
    <xf numFmtId="206" fontId="59" fillId="17" borderId="223" xfId="3" applyNumberFormat="1" applyFont="1" applyFill="1" applyBorder="1" applyAlignment="1">
      <alignment vertical="center"/>
    </xf>
    <xf numFmtId="206" fontId="59" fillId="17" borderId="95" xfId="3" applyNumberFormat="1" applyFont="1" applyFill="1" applyBorder="1" applyAlignment="1">
      <alignment vertical="center"/>
    </xf>
    <xf numFmtId="206" fontId="59" fillId="17" borderId="224" xfId="3" applyNumberFormat="1" applyFont="1" applyFill="1" applyBorder="1" applyAlignment="1">
      <alignment vertical="center"/>
    </xf>
    <xf numFmtId="206" fontId="59" fillId="9" borderId="96" xfId="3" applyNumberFormat="1" applyFont="1" applyFill="1" applyBorder="1" applyAlignment="1">
      <alignment vertical="center"/>
    </xf>
    <xf numFmtId="206" fontId="59" fillId="9" borderId="97" xfId="3" applyNumberFormat="1" applyFont="1" applyFill="1" applyBorder="1" applyAlignment="1">
      <alignment vertical="center"/>
    </xf>
    <xf numFmtId="206" fontId="59" fillId="17" borderId="225" xfId="3" applyNumberFormat="1" applyFont="1" applyFill="1" applyBorder="1" applyAlignment="1">
      <alignment vertical="center"/>
    </xf>
    <xf numFmtId="206" fontId="59" fillId="17" borderId="226" xfId="3" applyNumberFormat="1" applyFont="1" applyFill="1" applyBorder="1" applyAlignment="1">
      <alignment vertical="center"/>
    </xf>
    <xf numFmtId="206" fontId="62" fillId="17" borderId="94" xfId="9" applyNumberFormat="1" applyFont="1" applyFill="1" applyBorder="1" applyAlignment="1" applyProtection="1">
      <alignment vertical="center"/>
    </xf>
    <xf numFmtId="206" fontId="62" fillId="17" borderId="227" xfId="9" applyNumberFormat="1" applyFont="1" applyFill="1" applyBorder="1" applyAlignment="1" applyProtection="1">
      <alignment vertical="center"/>
    </xf>
    <xf numFmtId="206" fontId="59" fillId="27" borderId="99" xfId="3" applyNumberFormat="1" applyFont="1" applyFill="1" applyBorder="1" applyAlignment="1">
      <alignment horizontal="left" vertical="center" indent="1"/>
    </xf>
    <xf numFmtId="206" fontId="59" fillId="17" borderId="114" xfId="3" applyNumberFormat="1" applyFont="1" applyFill="1" applyBorder="1" applyAlignment="1">
      <alignment vertical="center"/>
    </xf>
    <xf numFmtId="206" fontId="59" fillId="17" borderId="228" xfId="3" applyNumberFormat="1" applyFont="1" applyFill="1" applyBorder="1" applyAlignment="1">
      <alignment vertical="center"/>
    </xf>
    <xf numFmtId="206" fontId="59" fillId="17" borderId="0" xfId="3" applyNumberFormat="1" applyFont="1" applyFill="1" applyAlignment="1">
      <alignment vertical="center"/>
    </xf>
    <xf numFmtId="206" fontId="59" fillId="17" borderId="229" xfId="3" applyNumberFormat="1" applyFont="1" applyFill="1" applyBorder="1" applyAlignment="1">
      <alignment vertical="center"/>
    </xf>
    <xf numFmtId="206" fontId="59" fillId="9" borderId="124" xfId="3" applyNumberFormat="1" applyFont="1" applyFill="1" applyBorder="1" applyAlignment="1">
      <alignment vertical="center"/>
    </xf>
    <xf numFmtId="206" fontId="59" fillId="9" borderId="99" xfId="3" applyNumberFormat="1" applyFont="1" applyFill="1" applyBorder="1" applyAlignment="1">
      <alignment vertical="center"/>
    </xf>
    <xf numFmtId="206" fontId="59" fillId="17" borderId="230" xfId="3" applyNumberFormat="1" applyFont="1" applyFill="1" applyBorder="1" applyAlignment="1">
      <alignment vertical="center"/>
    </xf>
    <xf numFmtId="206" fontId="59" fillId="17" borderId="231" xfId="3" applyNumberFormat="1" applyFont="1" applyFill="1" applyBorder="1" applyAlignment="1">
      <alignment vertical="center"/>
    </xf>
    <xf numFmtId="206" fontId="62" fillId="17" borderId="114" xfId="9" applyNumberFormat="1" applyFont="1" applyFill="1" applyBorder="1" applyAlignment="1" applyProtection="1">
      <alignment vertical="center"/>
    </xf>
    <xf numFmtId="206" fontId="62" fillId="17" borderId="232" xfId="9" applyNumberFormat="1" applyFont="1" applyFill="1" applyBorder="1" applyAlignment="1" applyProtection="1">
      <alignment vertical="center"/>
    </xf>
    <xf numFmtId="206" fontId="59" fillId="27" borderId="233" xfId="3" applyNumberFormat="1" applyFont="1" applyFill="1" applyBorder="1" applyAlignment="1">
      <alignment horizontal="left" vertical="center" indent="1"/>
    </xf>
    <xf numFmtId="206" fontId="59" fillId="17" borderId="234" xfId="3" applyNumberFormat="1" applyFont="1" applyFill="1" applyBorder="1" applyAlignment="1">
      <alignment vertical="center"/>
    </xf>
    <xf numFmtId="206" fontId="59" fillId="17" borderId="235" xfId="3" applyNumberFormat="1" applyFont="1" applyFill="1" applyBorder="1" applyAlignment="1">
      <alignment vertical="center"/>
    </xf>
    <xf numFmtId="206" fontId="59" fillId="17" borderId="236" xfId="3" applyNumberFormat="1" applyFont="1" applyFill="1" applyBorder="1" applyAlignment="1">
      <alignment vertical="center"/>
    </xf>
    <xf numFmtId="206" fontId="59" fillId="17" borderId="237" xfId="3" applyNumberFormat="1" applyFont="1" applyFill="1" applyBorder="1" applyAlignment="1">
      <alignment vertical="center"/>
    </xf>
    <xf numFmtId="206" fontId="59" fillId="9" borderId="238" xfId="3" applyNumberFormat="1" applyFont="1" applyFill="1" applyBorder="1" applyAlignment="1">
      <alignment vertical="center"/>
    </xf>
    <xf numFmtId="206" fontId="59" fillId="9" borderId="233" xfId="3" applyNumberFormat="1" applyFont="1" applyFill="1" applyBorder="1" applyAlignment="1">
      <alignment vertical="center"/>
    </xf>
    <xf numFmtId="206" fontId="59" fillId="17" borderId="239" xfId="3" applyNumberFormat="1" applyFont="1" applyFill="1" applyBorder="1" applyAlignment="1">
      <alignment vertical="center"/>
    </xf>
    <xf numFmtId="206" fontId="59" fillId="17" borderId="240" xfId="3" applyNumberFormat="1" applyFont="1" applyFill="1" applyBorder="1" applyAlignment="1">
      <alignment vertical="center"/>
    </xf>
    <xf numFmtId="206" fontId="62" fillId="17" borderId="234" xfId="9" applyNumberFormat="1" applyFont="1" applyFill="1" applyBorder="1" applyAlignment="1" applyProtection="1">
      <alignment vertical="center"/>
    </xf>
    <xf numFmtId="206" fontId="62" fillId="17" borderId="241" xfId="9" applyNumberFormat="1" applyFont="1" applyFill="1" applyBorder="1" applyAlignment="1" applyProtection="1">
      <alignment vertical="center"/>
    </xf>
    <xf numFmtId="38" fontId="10" fillId="17" borderId="99" xfId="3" applyNumberFormat="1" applyFont="1" applyFill="1" applyBorder="1" applyAlignment="1">
      <alignment horizontal="left" indent="1"/>
    </xf>
    <xf numFmtId="206" fontId="10" fillId="17" borderId="114" xfId="3" applyNumberFormat="1" applyFont="1" applyFill="1" applyBorder="1" applyAlignment="1">
      <alignment vertical="center"/>
    </xf>
    <xf numFmtId="206" fontId="10" fillId="17" borderId="228" xfId="3" applyNumberFormat="1" applyFont="1" applyFill="1" applyBorder="1" applyAlignment="1">
      <alignment vertical="center"/>
    </xf>
    <xf numFmtId="206" fontId="10" fillId="17" borderId="0" xfId="3" applyNumberFormat="1" applyFont="1" applyFill="1" applyAlignment="1">
      <alignment vertical="center"/>
    </xf>
    <xf numFmtId="206" fontId="10" fillId="17" borderId="229" xfId="3" applyNumberFormat="1" applyFont="1" applyFill="1" applyBorder="1" applyAlignment="1">
      <alignment vertical="center"/>
    </xf>
    <xf numFmtId="206" fontId="10" fillId="9" borderId="124" xfId="3" applyNumberFormat="1" applyFont="1" applyFill="1" applyBorder="1" applyAlignment="1">
      <alignment vertical="center"/>
    </xf>
    <xf numFmtId="206" fontId="10" fillId="9" borderId="99" xfId="3" applyNumberFormat="1" applyFont="1" applyFill="1" applyBorder="1" applyAlignment="1">
      <alignment vertical="center"/>
    </xf>
    <xf numFmtId="206" fontId="10" fillId="17" borderId="230" xfId="3" applyNumberFormat="1" applyFont="1" applyFill="1" applyBorder="1" applyAlignment="1">
      <alignment vertical="center"/>
    </xf>
    <xf numFmtId="206" fontId="10" fillId="17" borderId="231" xfId="3" applyNumberFormat="1" applyFont="1" applyFill="1" applyBorder="1" applyAlignment="1">
      <alignment vertical="center"/>
    </xf>
    <xf numFmtId="206" fontId="5" fillId="17" borderId="114" xfId="9" applyNumberFormat="1" applyFont="1" applyFill="1" applyBorder="1" applyAlignment="1" applyProtection="1">
      <alignment vertical="center"/>
    </xf>
    <xf numFmtId="206" fontId="5" fillId="17" borderId="232" xfId="9" applyNumberFormat="1" applyFont="1" applyFill="1" applyBorder="1" applyAlignment="1" applyProtection="1">
      <alignment vertical="center"/>
    </xf>
    <xf numFmtId="38" fontId="10" fillId="17" borderId="242" xfId="3" applyNumberFormat="1" applyFont="1" applyFill="1" applyBorder="1" applyAlignment="1">
      <alignment horizontal="left" indent="1"/>
    </xf>
    <xf numFmtId="206" fontId="10" fillId="17" borderId="243" xfId="3" applyNumberFormat="1" applyFont="1" applyFill="1" applyBorder="1" applyAlignment="1">
      <alignment vertical="center"/>
    </xf>
    <xf numFmtId="206" fontId="10" fillId="17" borderId="244" xfId="3" applyNumberFormat="1" applyFont="1" applyFill="1" applyBorder="1" applyAlignment="1">
      <alignment vertical="center"/>
    </xf>
    <xf numFmtId="206" fontId="10" fillId="17" borderId="183" xfId="3" applyNumberFormat="1" applyFont="1" applyFill="1" applyBorder="1" applyAlignment="1">
      <alignment vertical="center"/>
    </xf>
    <xf numFmtId="206" fontId="10" fillId="17" borderId="245" xfId="3" applyNumberFormat="1" applyFont="1" applyFill="1" applyBorder="1" applyAlignment="1">
      <alignment vertical="center"/>
    </xf>
    <xf numFmtId="206" fontId="10" fillId="9" borderId="246" xfId="3" applyNumberFormat="1" applyFont="1" applyFill="1" applyBorder="1" applyAlignment="1">
      <alignment vertical="center"/>
    </xf>
    <xf numFmtId="206" fontId="10" fillId="9" borderId="242" xfId="3" applyNumberFormat="1" applyFont="1" applyFill="1" applyBorder="1" applyAlignment="1">
      <alignment vertical="center"/>
    </xf>
    <xf numFmtId="206" fontId="10" fillId="17" borderId="247" xfId="3" applyNumberFormat="1" applyFont="1" applyFill="1" applyBorder="1" applyAlignment="1">
      <alignment vertical="center"/>
    </xf>
    <xf numFmtId="206" fontId="10" fillId="17" borderId="248" xfId="3" applyNumberFormat="1" applyFont="1" applyFill="1" applyBorder="1" applyAlignment="1">
      <alignment vertical="center"/>
    </xf>
    <xf numFmtId="206" fontId="5" fillId="17" borderId="243" xfId="9" applyNumberFormat="1" applyFont="1" applyFill="1" applyBorder="1" applyAlignment="1" applyProtection="1">
      <alignment vertical="center"/>
    </xf>
    <xf numFmtId="206" fontId="5" fillId="17" borderId="249" xfId="9" applyNumberFormat="1" applyFont="1" applyFill="1" applyBorder="1" applyAlignment="1" applyProtection="1">
      <alignment vertical="center"/>
    </xf>
    <xf numFmtId="38" fontId="10" fillId="17" borderId="250" xfId="3" applyNumberFormat="1" applyFont="1" applyFill="1" applyBorder="1" applyAlignment="1">
      <alignment horizontal="left" indent="1"/>
    </xf>
    <xf numFmtId="206" fontId="10" fillId="17" borderId="251" xfId="3" applyNumberFormat="1" applyFont="1" applyFill="1" applyBorder="1" applyAlignment="1">
      <alignment vertical="center"/>
    </xf>
    <xf numFmtId="206" fontId="10" fillId="17" borderId="252" xfId="3" applyNumberFormat="1" applyFont="1" applyFill="1" applyBorder="1" applyAlignment="1">
      <alignment vertical="center"/>
    </xf>
    <xf numFmtId="206" fontId="10" fillId="17" borderId="179" xfId="3" applyNumberFormat="1" applyFont="1" applyFill="1" applyBorder="1" applyAlignment="1">
      <alignment vertical="center"/>
    </xf>
    <xf numFmtId="206" fontId="10" fillId="17" borderId="253" xfId="3" applyNumberFormat="1" applyFont="1" applyFill="1" applyBorder="1" applyAlignment="1">
      <alignment vertical="center"/>
    </xf>
    <xf numFmtId="206" fontId="10" fillId="9" borderId="254" xfId="3" applyNumberFormat="1" applyFont="1" applyFill="1" applyBorder="1" applyAlignment="1">
      <alignment vertical="center"/>
    </xf>
    <xf numFmtId="206" fontId="10" fillId="9" borderId="250" xfId="3" applyNumberFormat="1" applyFont="1" applyFill="1" applyBorder="1" applyAlignment="1">
      <alignment vertical="center"/>
    </xf>
    <xf numFmtId="206" fontId="10" fillId="17" borderId="255" xfId="3" applyNumberFormat="1" applyFont="1" applyFill="1" applyBorder="1" applyAlignment="1">
      <alignment vertical="center"/>
    </xf>
    <xf numFmtId="206" fontId="10" fillId="17" borderId="256" xfId="3" applyNumberFormat="1" applyFont="1" applyFill="1" applyBorder="1" applyAlignment="1">
      <alignment vertical="center"/>
    </xf>
    <xf numFmtId="206" fontId="5" fillId="17" borderId="251" xfId="9" applyNumberFormat="1" applyFont="1" applyFill="1" applyBorder="1" applyAlignment="1" applyProtection="1">
      <alignment vertical="center"/>
    </xf>
    <xf numFmtId="206" fontId="5" fillId="17" borderId="257" xfId="9" applyNumberFormat="1" applyFont="1" applyFill="1" applyBorder="1" applyAlignment="1" applyProtection="1">
      <alignment vertical="center"/>
    </xf>
    <xf numFmtId="38" fontId="10" fillId="17" borderId="106" xfId="3" applyNumberFormat="1" applyFont="1" applyFill="1" applyBorder="1" applyAlignment="1">
      <alignment horizontal="left" indent="1"/>
    </xf>
    <xf numFmtId="206" fontId="10" fillId="17" borderId="116" xfId="3" applyNumberFormat="1" applyFont="1" applyFill="1" applyBorder="1" applyAlignment="1">
      <alignment vertical="center"/>
    </xf>
    <xf numFmtId="206" fontId="10" fillId="17" borderId="219" xfId="3" applyNumberFormat="1" applyFont="1" applyFill="1" applyBorder="1" applyAlignment="1">
      <alignment vertical="center"/>
    </xf>
    <xf numFmtId="206" fontId="10" fillId="17" borderId="133" xfId="3" applyNumberFormat="1" applyFont="1" applyFill="1" applyBorder="1" applyAlignment="1">
      <alignment vertical="center"/>
    </xf>
    <xf numFmtId="206" fontId="10" fillId="17" borderId="220" xfId="3" applyNumberFormat="1" applyFont="1" applyFill="1" applyBorder="1" applyAlignment="1">
      <alignment vertical="center"/>
    </xf>
    <xf numFmtId="206" fontId="10" fillId="9" borderId="119" xfId="3" applyNumberFormat="1" applyFont="1" applyFill="1" applyBorder="1" applyAlignment="1">
      <alignment vertical="center"/>
    </xf>
    <xf numFmtId="206" fontId="10" fillId="9" borderId="106" xfId="3" applyNumberFormat="1" applyFont="1" applyFill="1" applyBorder="1" applyAlignment="1">
      <alignment vertical="center"/>
    </xf>
    <xf numFmtId="206" fontId="10" fillId="17" borderId="221" xfId="3" applyNumberFormat="1" applyFont="1" applyFill="1" applyBorder="1" applyAlignment="1">
      <alignment vertical="center"/>
    </xf>
    <xf numFmtId="206" fontId="10" fillId="17" borderId="222" xfId="3" applyNumberFormat="1" applyFont="1" applyFill="1" applyBorder="1" applyAlignment="1">
      <alignment vertical="center"/>
    </xf>
    <xf numFmtId="206" fontId="5" fillId="17" borderId="116" xfId="9" applyNumberFormat="1" applyFont="1" applyFill="1" applyBorder="1" applyAlignment="1" applyProtection="1">
      <alignment vertical="center"/>
    </xf>
    <xf numFmtId="206" fontId="5" fillId="17" borderId="204" xfId="9" applyNumberFormat="1" applyFont="1" applyFill="1" applyBorder="1" applyAlignment="1" applyProtection="1">
      <alignment vertical="center"/>
    </xf>
    <xf numFmtId="206" fontId="62" fillId="17" borderId="98" xfId="3" applyNumberFormat="1" applyFont="1" applyFill="1" applyBorder="1" applyAlignment="1">
      <alignment vertical="center"/>
    </xf>
    <xf numFmtId="206" fontId="62" fillId="17" borderId="209" xfId="3" applyNumberFormat="1" applyFont="1" applyFill="1" applyBorder="1" applyAlignment="1">
      <alignment vertical="center"/>
    </xf>
    <xf numFmtId="206" fontId="59" fillId="17" borderId="106" xfId="3" quotePrefix="1" applyNumberFormat="1" applyFont="1" applyFill="1" applyBorder="1" applyAlignment="1">
      <alignment vertical="center"/>
    </xf>
    <xf numFmtId="9" fontId="59" fillId="17" borderId="116" xfId="10" applyFont="1" applyFill="1" applyBorder="1" applyAlignment="1" applyProtection="1">
      <alignment vertical="center"/>
    </xf>
    <xf numFmtId="9" fontId="59" fillId="17" borderId="219" xfId="10" applyFont="1" applyFill="1" applyBorder="1" applyAlignment="1" applyProtection="1">
      <alignment vertical="center"/>
    </xf>
    <xf numFmtId="9" fontId="59" fillId="17" borderId="133" xfId="10" applyFont="1" applyFill="1" applyBorder="1" applyAlignment="1" applyProtection="1">
      <alignment vertical="center"/>
    </xf>
    <xf numFmtId="9" fontId="59" fillId="17" borderId="220" xfId="10" applyFont="1" applyFill="1" applyBorder="1" applyAlignment="1" applyProtection="1">
      <alignment vertical="center"/>
    </xf>
    <xf numFmtId="9" fontId="59" fillId="9" borderId="119" xfId="10" applyFont="1" applyFill="1" applyBorder="1" applyAlignment="1" applyProtection="1">
      <alignment vertical="center"/>
    </xf>
    <xf numFmtId="9" fontId="59" fillId="9" borderId="106" xfId="10" applyFont="1" applyFill="1" applyBorder="1" applyAlignment="1" applyProtection="1">
      <alignment vertical="center"/>
    </xf>
    <xf numFmtId="9" fontId="59" fillId="17" borderId="221" xfId="10" applyFont="1" applyFill="1" applyBorder="1" applyAlignment="1" applyProtection="1">
      <alignment vertical="center"/>
    </xf>
    <xf numFmtId="9" fontId="59" fillId="17" borderId="222" xfId="10" applyFont="1" applyFill="1" applyBorder="1" applyAlignment="1" applyProtection="1">
      <alignment vertical="center"/>
    </xf>
    <xf numFmtId="9" fontId="62" fillId="17" borderId="116" xfId="10" applyFont="1" applyFill="1" applyBorder="1" applyAlignment="1" applyProtection="1">
      <alignment vertical="center"/>
    </xf>
    <xf numFmtId="9" fontId="62" fillId="17" borderId="204" xfId="10" applyFont="1" applyFill="1" applyBorder="1" applyAlignment="1" applyProtection="1">
      <alignment vertical="center"/>
    </xf>
    <xf numFmtId="206" fontId="59" fillId="17" borderId="112" xfId="3" quotePrefix="1" applyNumberFormat="1" applyFont="1" applyFill="1" applyBorder="1" applyAlignment="1">
      <alignment vertical="center"/>
    </xf>
    <xf numFmtId="206" fontId="64" fillId="17" borderId="98" xfId="3" applyNumberFormat="1" applyFont="1" applyFill="1" applyBorder="1" applyAlignment="1">
      <alignment vertical="center"/>
    </xf>
    <xf numFmtId="206" fontId="64" fillId="17" borderId="205" xfId="3" applyNumberFormat="1" applyFont="1" applyFill="1" applyBorder="1" applyAlignment="1">
      <alignment vertical="center"/>
    </xf>
    <xf numFmtId="206" fontId="64" fillId="17" borderId="110" xfId="3" applyNumberFormat="1" applyFont="1" applyFill="1" applyBorder="1" applyAlignment="1">
      <alignment vertical="center"/>
    </xf>
    <xf numFmtId="206" fontId="64" fillId="17" borderId="206" xfId="3" applyNumberFormat="1" applyFont="1" applyFill="1" applyBorder="1" applyAlignment="1">
      <alignment vertical="center"/>
    </xf>
    <xf numFmtId="206" fontId="64" fillId="9" borderId="111" xfId="3" applyNumberFormat="1" applyFont="1" applyFill="1" applyBorder="1" applyAlignment="1">
      <alignment vertical="center"/>
    </xf>
    <xf numFmtId="206" fontId="64" fillId="9" borderId="112" xfId="3" applyNumberFormat="1" applyFont="1" applyFill="1" applyBorder="1" applyAlignment="1">
      <alignment vertical="center"/>
    </xf>
    <xf numFmtId="206" fontId="64" fillId="17" borderId="207" xfId="3" applyNumberFormat="1" applyFont="1" applyFill="1" applyBorder="1" applyAlignment="1">
      <alignment vertical="center"/>
    </xf>
    <xf numFmtId="206" fontId="64" fillId="17" borderId="208" xfId="3" applyNumberFormat="1" applyFont="1" applyFill="1" applyBorder="1" applyAlignment="1">
      <alignment vertical="center"/>
    </xf>
    <xf numFmtId="206" fontId="65" fillId="17" borderId="98" xfId="9" applyNumberFormat="1" applyFont="1" applyFill="1" applyBorder="1" applyAlignment="1" applyProtection="1">
      <alignment vertical="center"/>
    </xf>
    <xf numFmtId="206" fontId="65" fillId="17" borderId="209" xfId="9" applyNumberFormat="1" applyFont="1" applyFill="1" applyBorder="1" applyAlignment="1" applyProtection="1">
      <alignment vertical="center"/>
    </xf>
    <xf numFmtId="206" fontId="66" fillId="17" borderId="99" xfId="3" quotePrefix="1" applyNumberFormat="1" applyFont="1" applyFill="1" applyBorder="1" applyAlignment="1">
      <alignment horizontal="right" vertical="center"/>
    </xf>
    <xf numFmtId="206" fontId="66" fillId="17" borderId="114" xfId="3" applyNumberFormat="1" applyFont="1" applyFill="1" applyBorder="1" applyAlignment="1">
      <alignment vertical="center"/>
    </xf>
    <xf numFmtId="206" fontId="66" fillId="17" borderId="228" xfId="3" applyNumberFormat="1" applyFont="1" applyFill="1" applyBorder="1" applyAlignment="1">
      <alignment vertical="center"/>
    </xf>
    <xf numFmtId="206" fontId="66" fillId="17" borderId="0" xfId="3" applyNumberFormat="1" applyFont="1" applyFill="1" applyAlignment="1">
      <alignment vertical="center"/>
    </xf>
    <xf numFmtId="206" fontId="66" fillId="17" borderId="229" xfId="3" applyNumberFormat="1" applyFont="1" applyFill="1" applyBorder="1" applyAlignment="1">
      <alignment vertical="center"/>
    </xf>
    <xf numFmtId="206" fontId="66" fillId="9" borderId="124" xfId="3" applyNumberFormat="1" applyFont="1" applyFill="1" applyBorder="1" applyAlignment="1">
      <alignment vertical="center"/>
    </xf>
    <xf numFmtId="206" fontId="66" fillId="9" borderId="99" xfId="3" applyNumberFormat="1" applyFont="1" applyFill="1" applyBorder="1" applyAlignment="1">
      <alignment vertical="center"/>
    </xf>
    <xf numFmtId="206" fontId="66" fillId="17" borderId="230" xfId="3" applyNumberFormat="1" applyFont="1" applyFill="1" applyBorder="1" applyAlignment="1">
      <alignment vertical="center"/>
    </xf>
    <xf numFmtId="206" fontId="66" fillId="17" borderId="231" xfId="3" applyNumberFormat="1" applyFont="1" applyFill="1" applyBorder="1" applyAlignment="1">
      <alignment vertical="center"/>
    </xf>
    <xf numFmtId="206" fontId="68" fillId="17" borderId="114" xfId="9" applyNumberFormat="1" applyFont="1" applyFill="1" applyBorder="1" applyAlignment="1" applyProtection="1">
      <alignment vertical="center"/>
    </xf>
    <xf numFmtId="206" fontId="68" fillId="17" borderId="232" xfId="9" applyNumberFormat="1" applyFont="1" applyFill="1" applyBorder="1" applyAlignment="1" applyProtection="1">
      <alignment vertical="center"/>
    </xf>
    <xf numFmtId="206" fontId="66" fillId="17" borderId="106" xfId="3" quotePrefix="1" applyNumberFormat="1" applyFont="1" applyFill="1" applyBorder="1" applyAlignment="1">
      <alignment horizontal="right" vertical="center"/>
    </xf>
    <xf numFmtId="206" fontId="66" fillId="17" borderId="116" xfId="3" applyNumberFormat="1" applyFont="1" applyFill="1" applyBorder="1" applyAlignment="1">
      <alignment vertical="center"/>
    </xf>
    <xf numFmtId="206" fontId="66" fillId="17" borderId="219" xfId="3" applyNumberFormat="1" applyFont="1" applyFill="1" applyBorder="1" applyAlignment="1">
      <alignment vertical="center"/>
    </xf>
    <xf numFmtId="206" fontId="66" fillId="17" borderId="133" xfId="3" applyNumberFormat="1" applyFont="1" applyFill="1" applyBorder="1" applyAlignment="1">
      <alignment vertical="center"/>
    </xf>
    <xf numFmtId="206" fontId="66" fillId="17" borderId="220" xfId="3" applyNumberFormat="1" applyFont="1" applyFill="1" applyBorder="1" applyAlignment="1">
      <alignment vertical="center"/>
    </xf>
    <xf numFmtId="206" fontId="66" fillId="9" borderId="119" xfId="3" applyNumberFormat="1" applyFont="1" applyFill="1" applyBorder="1" applyAlignment="1">
      <alignment vertical="center"/>
    </xf>
    <xf numFmtId="206" fontId="66" fillId="9" borderId="106" xfId="3" applyNumberFormat="1" applyFont="1" applyFill="1" applyBorder="1" applyAlignment="1">
      <alignment vertical="center"/>
    </xf>
    <xf numFmtId="206" fontId="66" fillId="17" borderId="221" xfId="3" applyNumberFormat="1" applyFont="1" applyFill="1" applyBorder="1" applyAlignment="1">
      <alignment vertical="center"/>
    </xf>
    <xf numFmtId="206" fontId="66" fillId="17" borderId="222" xfId="3" applyNumberFormat="1" applyFont="1" applyFill="1" applyBorder="1" applyAlignment="1">
      <alignment vertical="center"/>
    </xf>
    <xf numFmtId="206" fontId="68" fillId="17" borderId="116" xfId="9" applyNumberFormat="1" applyFont="1" applyFill="1" applyBorder="1" applyAlignment="1" applyProtection="1">
      <alignment vertical="center"/>
    </xf>
    <xf numFmtId="206" fontId="68" fillId="17" borderId="204" xfId="9" applyNumberFormat="1" applyFont="1" applyFill="1" applyBorder="1" applyAlignment="1" applyProtection="1">
      <alignment vertical="center"/>
    </xf>
    <xf numFmtId="0" fontId="69" fillId="0" borderId="0" xfId="0" applyFont="1" applyAlignment="1">
      <alignment horizontal="centerContinuous" vertical="center"/>
    </xf>
    <xf numFmtId="0" fontId="5" fillId="9" borderId="0" xfId="0" applyFont="1" applyFill="1" applyAlignment="1">
      <alignment horizontal="center" vertical="center"/>
    </xf>
    <xf numFmtId="0" fontId="70" fillId="0" borderId="0" xfId="0" applyFont="1" applyAlignment="1">
      <alignment horizontal="centerContinuous" vertical="center"/>
    </xf>
    <xf numFmtId="0" fontId="71" fillId="0" borderId="0" xfId="0" applyFont="1">
      <alignment vertical="center"/>
    </xf>
    <xf numFmtId="0" fontId="72" fillId="6" borderId="0" xfId="0" applyFont="1" applyFill="1">
      <alignment vertical="center"/>
    </xf>
    <xf numFmtId="0" fontId="73" fillId="6" borderId="0" xfId="0" applyFont="1" applyFill="1">
      <alignment vertical="center"/>
    </xf>
    <xf numFmtId="0" fontId="74" fillId="6" borderId="0" xfId="0" applyFont="1" applyFill="1" applyAlignment="1">
      <alignment horizontal="right" vertical="center"/>
    </xf>
    <xf numFmtId="0" fontId="75" fillId="5" borderId="0" xfId="0" applyFont="1" applyFill="1">
      <alignment vertical="center"/>
    </xf>
    <xf numFmtId="0" fontId="73" fillId="5" borderId="0" xfId="0" applyFont="1" applyFill="1">
      <alignment vertical="center"/>
    </xf>
    <xf numFmtId="0" fontId="76" fillId="6" borderId="258" xfId="0" applyFont="1" applyFill="1" applyBorder="1">
      <alignment vertical="center"/>
    </xf>
    <xf numFmtId="0" fontId="76" fillId="6" borderId="259" xfId="0" applyFont="1" applyFill="1" applyBorder="1" applyAlignment="1">
      <alignment horizontal="center" vertical="center"/>
    </xf>
    <xf numFmtId="0" fontId="76" fillId="6" borderId="260" xfId="0" applyFont="1" applyFill="1" applyBorder="1" applyAlignment="1">
      <alignment horizontal="center" vertical="center"/>
    </xf>
    <xf numFmtId="0" fontId="76" fillId="6" borderId="261" xfId="0" applyFont="1" applyFill="1" applyBorder="1" applyAlignment="1">
      <alignment horizontal="center" vertical="center"/>
    </xf>
    <xf numFmtId="0" fontId="76" fillId="6" borderId="262" xfId="0" applyFont="1" applyFill="1" applyBorder="1" applyAlignment="1">
      <alignment horizontal="center" vertical="center"/>
    </xf>
    <xf numFmtId="0" fontId="76" fillId="5" borderId="263" xfId="0" applyFont="1" applyFill="1" applyBorder="1">
      <alignment vertical="center"/>
    </xf>
    <xf numFmtId="207" fontId="76" fillId="5" borderId="0" xfId="0" applyNumberFormat="1" applyFont="1" applyFill="1" applyAlignment="1">
      <alignment horizontal="center" vertical="center"/>
    </xf>
    <xf numFmtId="207" fontId="76" fillId="5" borderId="264" xfId="0" applyNumberFormat="1" applyFont="1" applyFill="1" applyBorder="1" applyAlignment="1">
      <alignment horizontal="center" vertical="center"/>
    </xf>
    <xf numFmtId="208" fontId="76" fillId="5" borderId="265" xfId="0" applyNumberFormat="1" applyFont="1" applyFill="1" applyBorder="1" applyAlignment="1">
      <alignment horizontal="center" vertical="center"/>
    </xf>
    <xf numFmtId="208" fontId="76" fillId="5" borderId="0" xfId="0" applyNumberFormat="1" applyFont="1" applyFill="1" applyAlignment="1">
      <alignment horizontal="center" vertical="center"/>
    </xf>
    <xf numFmtId="208" fontId="76" fillId="5" borderId="29" xfId="0" applyNumberFormat="1" applyFont="1" applyFill="1" applyBorder="1" applyAlignment="1">
      <alignment horizontal="center" vertical="center"/>
    </xf>
    <xf numFmtId="0" fontId="77" fillId="6" borderId="0" xfId="0" applyFont="1" applyFill="1">
      <alignment vertical="center"/>
    </xf>
    <xf numFmtId="0" fontId="78" fillId="6" borderId="0" xfId="0" applyFont="1" applyFill="1" applyAlignment="1">
      <alignment horizontal="right" vertical="center"/>
    </xf>
    <xf numFmtId="0" fontId="79" fillId="5" borderId="0" xfId="0" applyFont="1" applyFill="1">
      <alignment vertical="center"/>
    </xf>
    <xf numFmtId="0" fontId="78" fillId="5" borderId="0" xfId="0" applyFont="1" applyFill="1" applyAlignment="1">
      <alignment horizontal="right" vertical="center"/>
    </xf>
    <xf numFmtId="0" fontId="80" fillId="0" borderId="0" xfId="0" applyFont="1">
      <alignment vertical="center"/>
    </xf>
    <xf numFmtId="0" fontId="81" fillId="6" borderId="266" xfId="0" applyFont="1" applyFill="1" applyBorder="1" applyAlignment="1">
      <alignment horizontal="left" vertical="center" indent="1"/>
    </xf>
    <xf numFmtId="0" fontId="80" fillId="0" borderId="266" xfId="0" applyFont="1" applyBorder="1" applyAlignment="1">
      <alignment horizontal="left" vertical="center" indent="1"/>
    </xf>
    <xf numFmtId="0" fontId="81" fillId="6" borderId="267" xfId="0" applyFont="1" applyFill="1" applyBorder="1" applyAlignment="1">
      <alignment horizontal="left" vertical="center" indent="1"/>
    </xf>
    <xf numFmtId="0" fontId="80" fillId="0" borderId="267" xfId="0" applyFont="1" applyBorder="1" applyAlignment="1">
      <alignment horizontal="left" vertical="center" indent="1"/>
    </xf>
    <xf numFmtId="14" fontId="80" fillId="0" borderId="267" xfId="0" applyNumberFormat="1" applyFont="1" applyBorder="1" applyAlignment="1">
      <alignment horizontal="left" vertical="center" indent="1"/>
    </xf>
    <xf numFmtId="209" fontId="80" fillId="0" borderId="267" xfId="0" applyNumberFormat="1" applyFont="1" applyBorder="1" applyAlignment="1">
      <alignment horizontal="left" vertical="center" indent="1"/>
    </xf>
    <xf numFmtId="0" fontId="81" fillId="6" borderId="268" xfId="0" applyFont="1" applyFill="1" applyBorder="1" applyAlignment="1">
      <alignment horizontal="left" vertical="center" indent="1"/>
    </xf>
    <xf numFmtId="0" fontId="80" fillId="0" borderId="268" xfId="0" applyFont="1" applyBorder="1" applyAlignment="1">
      <alignment horizontal="left" vertical="center" indent="1"/>
    </xf>
    <xf numFmtId="0" fontId="76" fillId="6" borderId="259" xfId="0" applyFont="1" applyFill="1" applyBorder="1">
      <alignment vertical="center"/>
    </xf>
    <xf numFmtId="0" fontId="76" fillId="5" borderId="0" xfId="0" applyFont="1" applyFill="1">
      <alignment vertical="center"/>
    </xf>
    <xf numFmtId="176" fontId="10" fillId="10" borderId="0" xfId="0" applyNumberFormat="1" applyFont="1" applyFill="1" applyAlignment="1">
      <alignment horizontal="left" vertical="center" indent="2"/>
    </xf>
    <xf numFmtId="176" fontId="10" fillId="10" borderId="29" xfId="0" applyNumberFormat="1" applyFont="1" applyFill="1" applyBorder="1">
      <alignment vertical="center"/>
    </xf>
    <xf numFmtId="176" fontId="5" fillId="10" borderId="0" xfId="0" applyNumberFormat="1" applyFont="1" applyFill="1">
      <alignment vertical="center"/>
    </xf>
    <xf numFmtId="176" fontId="7" fillId="10" borderId="0" xfId="0" applyNumberFormat="1" applyFont="1" applyFill="1">
      <alignment vertical="center"/>
    </xf>
    <xf numFmtId="0" fontId="82" fillId="0" borderId="0" xfId="0" applyFont="1">
      <alignment vertical="center"/>
    </xf>
    <xf numFmtId="0" fontId="5" fillId="10" borderId="0" xfId="0" applyFont="1" applyFill="1">
      <alignment vertical="center"/>
    </xf>
    <xf numFmtId="0" fontId="5" fillId="7" borderId="28" xfId="0" applyFont="1" applyFill="1" applyBorder="1">
      <alignment vertical="center"/>
    </xf>
    <xf numFmtId="0" fontId="41" fillId="7" borderId="28" xfId="0" applyFont="1" applyFill="1" applyBorder="1">
      <alignment vertical="center"/>
    </xf>
    <xf numFmtId="176" fontId="41" fillId="0" borderId="0" xfId="0" applyNumberFormat="1" applyFont="1">
      <alignment vertical="center"/>
    </xf>
    <xf numFmtId="0" fontId="76" fillId="6" borderId="272" xfId="0" applyFont="1" applyFill="1" applyBorder="1" applyAlignment="1">
      <alignment horizontal="center" vertical="center"/>
    </xf>
    <xf numFmtId="207" fontId="76" fillId="5" borderId="273" xfId="0" applyNumberFormat="1" applyFont="1" applyFill="1" applyBorder="1" applyAlignment="1">
      <alignment horizontal="center" vertical="center"/>
    </xf>
    <xf numFmtId="0" fontId="41" fillId="7" borderId="274" xfId="0" applyFont="1" applyFill="1" applyBorder="1">
      <alignment vertical="center"/>
    </xf>
    <xf numFmtId="176" fontId="41" fillId="0" borderId="273" xfId="0" applyNumberFormat="1" applyFont="1" applyBorder="1">
      <alignment vertical="center"/>
    </xf>
    <xf numFmtId="176" fontId="5" fillId="0" borderId="273" xfId="0" applyNumberFormat="1" applyFont="1" applyBorder="1">
      <alignment vertical="center"/>
    </xf>
    <xf numFmtId="177" fontId="20" fillId="9" borderId="164" xfId="1" applyNumberFormat="1" applyFont="1" applyFill="1" applyBorder="1" applyAlignment="1">
      <alignment vertical="center"/>
    </xf>
    <xf numFmtId="177" fontId="83" fillId="0" borderId="0" xfId="1" applyNumberFormat="1" applyFont="1">
      <alignment vertical="center"/>
    </xf>
    <xf numFmtId="177" fontId="83" fillId="10" borderId="0" xfId="1" applyNumberFormat="1" applyFont="1" applyFill="1">
      <alignment vertical="center"/>
    </xf>
    <xf numFmtId="0" fontId="70" fillId="0" borderId="0" xfId="0" applyFont="1" applyAlignment="1">
      <alignment horizontal="center" vertical="center"/>
    </xf>
    <xf numFmtId="0" fontId="41" fillId="0" borderId="0" xfId="0" applyFont="1" applyAlignment="1">
      <alignment horizontal="center" vertical="center"/>
    </xf>
    <xf numFmtId="176" fontId="41" fillId="9" borderId="0" xfId="0" applyNumberFormat="1" applyFont="1" applyFill="1">
      <alignment vertical="center"/>
    </xf>
    <xf numFmtId="176" fontId="41" fillId="9" borderId="36" xfId="0" applyNumberFormat="1" applyFont="1" applyFill="1" applyBorder="1">
      <alignment vertical="center"/>
    </xf>
    <xf numFmtId="176" fontId="41" fillId="9" borderId="277" xfId="0" applyNumberFormat="1" applyFont="1" applyFill="1" applyBorder="1">
      <alignment vertical="center"/>
    </xf>
    <xf numFmtId="176" fontId="5" fillId="9" borderId="277" xfId="0" applyNumberFormat="1" applyFont="1" applyFill="1" applyBorder="1">
      <alignment vertical="center"/>
    </xf>
    <xf numFmtId="176" fontId="10" fillId="0" borderId="273" xfId="0" applyNumberFormat="1" applyFont="1" applyBorder="1">
      <alignment vertical="center"/>
    </xf>
    <xf numFmtId="177" fontId="7" fillId="0" borderId="273" xfId="1" applyNumberFormat="1" applyFont="1" applyBorder="1">
      <alignment vertical="center"/>
    </xf>
    <xf numFmtId="177" fontId="11" fillId="0" borderId="273" xfId="1" applyNumberFormat="1" applyFont="1" applyBorder="1">
      <alignment vertical="center"/>
    </xf>
    <xf numFmtId="177" fontId="11" fillId="0" borderId="0" xfId="1" applyNumberFormat="1" applyFont="1">
      <alignment vertical="center"/>
    </xf>
    <xf numFmtId="180" fontId="5" fillId="17" borderId="102" xfId="0" applyNumberFormat="1" applyFont="1" applyFill="1" applyBorder="1">
      <alignment vertical="center"/>
    </xf>
    <xf numFmtId="176" fontId="41" fillId="0" borderId="270" xfId="0" applyNumberFormat="1" applyFont="1" applyBorder="1">
      <alignment vertical="center"/>
    </xf>
    <xf numFmtId="176" fontId="41" fillId="0" borderId="276" xfId="0" applyNumberFormat="1" applyFont="1" applyBorder="1">
      <alignment vertical="center"/>
    </xf>
    <xf numFmtId="176" fontId="41" fillId="0" borderId="278" xfId="0" applyNumberFormat="1" applyFont="1" applyBorder="1">
      <alignment vertical="center"/>
    </xf>
    <xf numFmtId="176" fontId="41" fillId="0" borderId="279" xfId="0" applyNumberFormat="1" applyFont="1" applyBorder="1">
      <alignment vertical="center"/>
    </xf>
    <xf numFmtId="177" fontId="7" fillId="0" borderId="276" xfId="1" applyNumberFormat="1" applyFont="1" applyBorder="1">
      <alignment vertical="center"/>
    </xf>
    <xf numFmtId="177" fontId="7" fillId="0" borderId="270" xfId="1" applyNumberFormat="1" applyFont="1" applyBorder="1">
      <alignment vertical="center"/>
    </xf>
    <xf numFmtId="177" fontId="7" fillId="0" borderId="0" xfId="1" applyNumberFormat="1" applyFont="1" applyBorder="1">
      <alignment vertical="center"/>
    </xf>
    <xf numFmtId="177" fontId="7" fillId="0" borderId="269" xfId="1" applyNumberFormat="1" applyFont="1" applyBorder="1">
      <alignment vertical="center"/>
    </xf>
    <xf numFmtId="176" fontId="5" fillId="12" borderId="36" xfId="0" applyNumberFormat="1" applyFont="1" applyFill="1" applyBorder="1">
      <alignment vertical="center"/>
    </xf>
    <xf numFmtId="176" fontId="5" fillId="12" borderId="277" xfId="0" applyNumberFormat="1" applyFont="1" applyFill="1" applyBorder="1">
      <alignment vertical="center"/>
    </xf>
    <xf numFmtId="0" fontId="76" fillId="21" borderId="272" xfId="0" applyFont="1" applyFill="1" applyBorder="1" applyAlignment="1">
      <alignment horizontal="center" vertical="center"/>
    </xf>
    <xf numFmtId="0" fontId="76" fillId="21" borderId="259" xfId="0" applyFont="1" applyFill="1" applyBorder="1" applyAlignment="1">
      <alignment horizontal="center" vertical="center"/>
    </xf>
    <xf numFmtId="0" fontId="76" fillId="21" borderId="262" xfId="0" applyFont="1" applyFill="1" applyBorder="1" applyAlignment="1">
      <alignment horizontal="center" vertical="center"/>
    </xf>
    <xf numFmtId="207" fontId="76" fillId="28" borderId="273" xfId="0" applyNumberFormat="1" applyFont="1" applyFill="1" applyBorder="1" applyAlignment="1">
      <alignment horizontal="center" vertical="center"/>
    </xf>
    <xf numFmtId="208" fontId="76" fillId="28" borderId="0" xfId="0" applyNumberFormat="1" applyFont="1" applyFill="1" applyAlignment="1">
      <alignment horizontal="center" vertical="center"/>
    </xf>
    <xf numFmtId="208" fontId="76" fillId="28" borderId="29" xfId="0" applyNumberFormat="1" applyFont="1" applyFill="1" applyBorder="1" applyAlignment="1">
      <alignment horizontal="center" vertical="center"/>
    </xf>
    <xf numFmtId="0" fontId="5" fillId="9" borderId="28" xfId="0" applyFont="1" applyFill="1" applyBorder="1">
      <alignment vertical="center"/>
    </xf>
    <xf numFmtId="0" fontId="41" fillId="9" borderId="28" xfId="0" applyFont="1" applyFill="1" applyBorder="1">
      <alignment vertical="center"/>
    </xf>
    <xf numFmtId="177" fontId="11" fillId="0" borderId="36" xfId="1" applyNumberFormat="1" applyFont="1" applyBorder="1">
      <alignment vertical="center"/>
    </xf>
    <xf numFmtId="177" fontId="11" fillId="0" borderId="269" xfId="1" applyNumberFormat="1" applyFont="1" applyBorder="1">
      <alignment vertical="center"/>
    </xf>
    <xf numFmtId="177" fontId="11" fillId="9" borderId="36" xfId="1" applyNumberFormat="1" applyFont="1" applyFill="1" applyBorder="1">
      <alignment vertical="center"/>
    </xf>
    <xf numFmtId="176" fontId="5" fillId="11" borderId="277" xfId="0" applyNumberFormat="1" applyFont="1" applyFill="1" applyBorder="1">
      <alignment vertical="center"/>
    </xf>
    <xf numFmtId="176" fontId="5" fillId="0" borderId="269" xfId="0" applyNumberFormat="1" applyFont="1" applyBorder="1">
      <alignment vertical="center"/>
    </xf>
    <xf numFmtId="176" fontId="5" fillId="0" borderId="275" xfId="0" applyNumberFormat="1" applyFont="1" applyBorder="1">
      <alignment vertical="center"/>
    </xf>
    <xf numFmtId="177" fontId="11" fillId="0" borderId="269" xfId="1" applyNumberFormat="1" applyFont="1" applyFill="1" applyBorder="1">
      <alignment vertical="center"/>
    </xf>
    <xf numFmtId="176" fontId="11" fillId="0" borderId="0" xfId="1" applyNumberFormat="1" applyFont="1">
      <alignment vertical="center"/>
    </xf>
    <xf numFmtId="176" fontId="7" fillId="0" borderId="270" xfId="1" applyNumberFormat="1" applyFont="1" applyBorder="1">
      <alignment vertical="center"/>
    </xf>
    <xf numFmtId="176" fontId="7" fillId="0" borderId="0" xfId="1" applyNumberFormat="1" applyFont="1">
      <alignment vertical="center"/>
    </xf>
    <xf numFmtId="176" fontId="10" fillId="12" borderId="36" xfId="0" applyNumberFormat="1" applyFont="1" applyFill="1" applyBorder="1">
      <alignment vertical="center"/>
    </xf>
    <xf numFmtId="0" fontId="84" fillId="6" borderId="0" xfId="0" applyFont="1" applyFill="1">
      <alignment vertical="center"/>
    </xf>
    <xf numFmtId="0" fontId="85" fillId="5" borderId="0" xfId="0" applyFont="1" applyFill="1">
      <alignment vertical="center"/>
    </xf>
    <xf numFmtId="0" fontId="39" fillId="0" borderId="0" xfId="0" applyFont="1">
      <alignment vertical="center"/>
    </xf>
    <xf numFmtId="0" fontId="86" fillId="6" borderId="259" xfId="0" applyFont="1" applyFill="1" applyBorder="1">
      <alignment vertical="center"/>
    </xf>
    <xf numFmtId="0" fontId="86" fillId="5" borderId="0" xfId="0" applyFont="1" applyFill="1">
      <alignment vertical="center"/>
    </xf>
    <xf numFmtId="0" fontId="10" fillId="7" borderId="28" xfId="0" applyFont="1" applyFill="1" applyBorder="1">
      <alignment vertical="center"/>
    </xf>
    <xf numFmtId="176" fontId="10" fillId="0" borderId="270" xfId="0" applyNumberFormat="1" applyFont="1" applyBorder="1">
      <alignment vertical="center"/>
    </xf>
    <xf numFmtId="176" fontId="10" fillId="0" borderId="269" xfId="0" applyNumberFormat="1" applyFont="1" applyBorder="1">
      <alignment vertical="center"/>
    </xf>
    <xf numFmtId="0" fontId="87" fillId="6" borderId="0" xfId="0" applyFont="1" applyFill="1">
      <alignment vertical="center"/>
    </xf>
    <xf numFmtId="0" fontId="88" fillId="5" borderId="0" xfId="0" applyFont="1" applyFill="1">
      <alignment vertical="center"/>
    </xf>
    <xf numFmtId="0" fontId="20" fillId="0" borderId="0" xfId="0" applyFont="1">
      <alignment vertical="center"/>
    </xf>
    <xf numFmtId="0" fontId="89" fillId="6" borderId="259" xfId="0" applyFont="1" applyFill="1" applyBorder="1">
      <alignment vertical="center"/>
    </xf>
    <xf numFmtId="0" fontId="90" fillId="5" borderId="0" xfId="0" applyFont="1" applyFill="1">
      <alignment vertical="center"/>
    </xf>
    <xf numFmtId="0" fontId="7" fillId="7" borderId="28" xfId="0" applyFont="1" applyFill="1" applyBorder="1">
      <alignment vertical="center"/>
    </xf>
    <xf numFmtId="176" fontId="7" fillId="11" borderId="36" xfId="0" applyNumberFormat="1" applyFont="1" applyFill="1" applyBorder="1">
      <alignment vertical="center"/>
    </xf>
    <xf numFmtId="176" fontId="7" fillId="0" borderId="270" xfId="0" applyNumberFormat="1" applyFont="1" applyBorder="1">
      <alignment vertical="center"/>
    </xf>
    <xf numFmtId="176" fontId="7" fillId="9" borderId="36" xfId="0" applyNumberFormat="1" applyFont="1" applyFill="1" applyBorder="1">
      <alignment vertical="center"/>
    </xf>
    <xf numFmtId="176" fontId="7" fillId="12" borderId="36" xfId="0" applyNumberFormat="1" applyFont="1" applyFill="1" applyBorder="1">
      <alignment vertical="center"/>
    </xf>
    <xf numFmtId="176" fontId="7" fillId="0" borderId="269" xfId="0" applyNumberFormat="1" applyFont="1" applyBorder="1">
      <alignment vertical="center"/>
    </xf>
    <xf numFmtId="0" fontId="7" fillId="0" borderId="0" xfId="0" applyFont="1">
      <alignment vertical="center"/>
    </xf>
    <xf numFmtId="176" fontId="7" fillId="9" borderId="0" xfId="0" applyNumberFormat="1" applyFont="1" applyFill="1">
      <alignment vertical="center"/>
    </xf>
    <xf numFmtId="176" fontId="7" fillId="9" borderId="273" xfId="0" applyNumberFormat="1" applyFont="1" applyFill="1" applyBorder="1">
      <alignment vertical="center"/>
    </xf>
    <xf numFmtId="176" fontId="11" fillId="11" borderId="36" xfId="0" applyNumberFormat="1" applyFont="1" applyFill="1" applyBorder="1">
      <alignment vertical="center"/>
    </xf>
    <xf numFmtId="176" fontId="5" fillId="0" borderId="0" xfId="1" applyNumberFormat="1" applyFont="1">
      <alignment vertical="center"/>
    </xf>
    <xf numFmtId="176" fontId="10" fillId="0" borderId="276" xfId="0" applyNumberFormat="1" applyFont="1" applyBorder="1">
      <alignment vertical="center"/>
    </xf>
    <xf numFmtId="176" fontId="10" fillId="0" borderId="270" xfId="1" applyNumberFormat="1" applyFont="1" applyBorder="1">
      <alignment vertical="center"/>
    </xf>
    <xf numFmtId="176" fontId="10" fillId="0" borderId="0" xfId="1" applyNumberFormat="1" applyFont="1">
      <alignment vertical="center"/>
    </xf>
    <xf numFmtId="177" fontId="11" fillId="9" borderId="277" xfId="1" applyNumberFormat="1" applyFont="1" applyFill="1" applyBorder="1">
      <alignment vertical="center"/>
    </xf>
    <xf numFmtId="177" fontId="7" fillId="10" borderId="0" xfId="1" applyNumberFormat="1" applyFont="1" applyFill="1">
      <alignment vertical="center"/>
    </xf>
    <xf numFmtId="176" fontId="10" fillId="9" borderId="273" xfId="0" applyNumberFormat="1" applyFont="1" applyFill="1" applyBorder="1">
      <alignment vertical="center"/>
    </xf>
    <xf numFmtId="176" fontId="10" fillId="9" borderId="0" xfId="1" applyNumberFormat="1" applyFont="1" applyFill="1">
      <alignment vertical="center"/>
    </xf>
    <xf numFmtId="177" fontId="7" fillId="9" borderId="273" xfId="1" applyNumberFormat="1" applyFont="1" applyFill="1" applyBorder="1">
      <alignment vertical="center"/>
    </xf>
    <xf numFmtId="177" fontId="7" fillId="9" borderId="0" xfId="1" applyNumberFormat="1" applyFont="1" applyFill="1">
      <alignment vertical="center"/>
    </xf>
    <xf numFmtId="176" fontId="26" fillId="17" borderId="111" xfId="1" applyNumberFormat="1" applyFont="1" applyFill="1" applyBorder="1" applyAlignment="1">
      <alignment horizontal="left" vertical="center" indent="1" readingOrder="1"/>
    </xf>
    <xf numFmtId="176" fontId="26" fillId="17" borderId="111" xfId="0" applyNumberFormat="1" applyFont="1" applyFill="1" applyBorder="1" applyAlignment="1">
      <alignment horizontal="left" vertical="center" indent="1" readingOrder="1"/>
    </xf>
    <xf numFmtId="176" fontId="39" fillId="0" borderId="0" xfId="4" applyNumberFormat="1" applyFont="1">
      <alignment vertical="center"/>
    </xf>
    <xf numFmtId="177" fontId="11" fillId="10" borderId="0" xfId="1" applyNumberFormat="1" applyFont="1" applyFill="1">
      <alignment vertical="center"/>
    </xf>
    <xf numFmtId="177" fontId="11" fillId="10" borderId="269" xfId="1" applyNumberFormat="1" applyFont="1" applyFill="1" applyBorder="1">
      <alignment vertical="center"/>
    </xf>
    <xf numFmtId="176" fontId="10" fillId="0" borderId="271" xfId="0" applyNumberFormat="1" applyFont="1" applyBorder="1">
      <alignment vertical="center"/>
    </xf>
    <xf numFmtId="176" fontId="10" fillId="0" borderId="280" xfId="0" applyNumberFormat="1" applyFont="1" applyBorder="1">
      <alignment vertical="center"/>
    </xf>
    <xf numFmtId="177" fontId="11" fillId="9" borderId="281" xfId="1" applyNumberFormat="1" applyFont="1" applyFill="1" applyBorder="1" applyAlignment="1">
      <alignment horizontal="center" vertical="center"/>
    </xf>
    <xf numFmtId="177" fontId="7" fillId="0" borderId="281" xfId="1" applyNumberFormat="1" applyFont="1" applyFill="1" applyBorder="1" applyAlignment="1">
      <alignment horizontal="center" vertical="center"/>
    </xf>
    <xf numFmtId="177" fontId="7" fillId="0" borderId="281" xfId="1" applyNumberFormat="1" applyFont="1" applyBorder="1" applyAlignment="1">
      <alignment horizontal="center" vertical="center"/>
    </xf>
    <xf numFmtId="210" fontId="10" fillId="0" borderId="31" xfId="0" applyNumberFormat="1" applyFont="1" applyBorder="1">
      <alignment vertical="center"/>
    </xf>
    <xf numFmtId="210" fontId="10" fillId="0" borderId="29" xfId="0" applyNumberFormat="1" applyFont="1" applyBorder="1">
      <alignment vertical="center"/>
    </xf>
    <xf numFmtId="210" fontId="10" fillId="0" borderId="0" xfId="0" applyNumberFormat="1" applyFont="1">
      <alignment vertical="center"/>
    </xf>
    <xf numFmtId="210" fontId="10" fillId="0" borderId="31" xfId="1" applyNumberFormat="1" applyFont="1" applyBorder="1">
      <alignment vertical="center"/>
    </xf>
    <xf numFmtId="210" fontId="10" fillId="0" borderId="29" xfId="1" applyNumberFormat="1" applyFont="1" applyBorder="1">
      <alignment vertical="center"/>
    </xf>
    <xf numFmtId="210" fontId="10" fillId="0" borderId="0" xfId="1" applyNumberFormat="1" applyFont="1">
      <alignment vertical="center"/>
    </xf>
    <xf numFmtId="178" fontId="11" fillId="11" borderId="0" xfId="0" applyNumberFormat="1" applyFont="1" applyFill="1">
      <alignment vertical="center"/>
    </xf>
    <xf numFmtId="178" fontId="11" fillId="0" borderId="0" xfId="0" applyNumberFormat="1" applyFont="1">
      <alignment vertical="center"/>
    </xf>
    <xf numFmtId="178" fontId="11" fillId="12" borderId="0" xfId="0" applyNumberFormat="1" applyFont="1" applyFill="1">
      <alignment vertical="center"/>
    </xf>
    <xf numFmtId="178" fontId="5" fillId="11" borderId="0" xfId="0" applyNumberFormat="1" applyFont="1" applyFill="1">
      <alignment vertical="center"/>
    </xf>
    <xf numFmtId="178" fontId="5" fillId="0" borderId="0" xfId="0" applyNumberFormat="1" applyFont="1">
      <alignment vertical="center"/>
    </xf>
    <xf numFmtId="176" fontId="5" fillId="7" borderId="0" xfId="0" applyNumberFormat="1" applyFont="1" applyFill="1">
      <alignment vertical="center"/>
    </xf>
    <xf numFmtId="176" fontId="5" fillId="7" borderId="29" xfId="0" applyNumberFormat="1" applyFont="1" applyFill="1" applyBorder="1">
      <alignment vertical="center"/>
    </xf>
    <xf numFmtId="176" fontId="5" fillId="7" borderId="31" xfId="0" applyNumberFormat="1" applyFont="1" applyFill="1" applyBorder="1">
      <alignment vertical="center"/>
    </xf>
    <xf numFmtId="176" fontId="11" fillId="29" borderId="281" xfId="0" applyNumberFormat="1" applyFont="1" applyFill="1" applyBorder="1" applyAlignment="1">
      <alignment horizontal="center" vertical="center"/>
    </xf>
    <xf numFmtId="176" fontId="10" fillId="0" borderId="259" xfId="0" applyNumberFormat="1" applyFont="1" applyBorder="1">
      <alignment vertical="center"/>
    </xf>
    <xf numFmtId="177" fontId="7" fillId="0" borderId="259" xfId="1" applyNumberFormat="1" applyFont="1" applyBorder="1">
      <alignment vertical="center"/>
    </xf>
    <xf numFmtId="176" fontId="10" fillId="0" borderId="262" xfId="0" applyNumberFormat="1" applyFont="1" applyBorder="1">
      <alignment vertical="center"/>
    </xf>
    <xf numFmtId="176" fontId="10" fillId="0" borderId="282" xfId="0" applyNumberFormat="1" applyFont="1" applyBorder="1">
      <alignment vertical="center"/>
    </xf>
    <xf numFmtId="0" fontId="13" fillId="0" borderId="0" xfId="0" applyFont="1">
      <alignment vertical="center"/>
    </xf>
    <xf numFmtId="0" fontId="5" fillId="15" borderId="0" xfId="0" applyFont="1" applyFill="1">
      <alignment vertical="center"/>
    </xf>
    <xf numFmtId="176" fontId="5" fillId="15" borderId="0" xfId="0" applyNumberFormat="1" applyFont="1" applyFill="1">
      <alignment vertical="center"/>
    </xf>
    <xf numFmtId="0" fontId="5" fillId="20" borderId="0" xfId="0" applyFont="1" applyFill="1">
      <alignment vertical="center"/>
    </xf>
    <xf numFmtId="0" fontId="10" fillId="20" borderId="0" xfId="0" applyFont="1" applyFill="1">
      <alignment vertical="center"/>
    </xf>
    <xf numFmtId="0" fontId="5" fillId="10" borderId="283" xfId="0" applyFont="1" applyFill="1" applyBorder="1">
      <alignment vertical="center"/>
    </xf>
    <xf numFmtId="0" fontId="5" fillId="10" borderId="284" xfId="0" applyFont="1" applyFill="1" applyBorder="1">
      <alignment vertical="center"/>
    </xf>
    <xf numFmtId="176" fontId="5" fillId="10" borderId="285" xfId="0" applyNumberFormat="1" applyFont="1" applyFill="1" applyBorder="1">
      <alignment vertical="center"/>
    </xf>
    <xf numFmtId="176" fontId="5" fillId="20" borderId="0" xfId="0" applyNumberFormat="1" applyFont="1" applyFill="1">
      <alignment vertical="center"/>
    </xf>
    <xf numFmtId="0" fontId="80" fillId="0" borderId="0" xfId="0" applyFont="1" applyAlignment="1">
      <alignment vertical="center"/>
    </xf>
    <xf numFmtId="0" fontId="91" fillId="2" borderId="0" xfId="0" applyFont="1" applyFill="1" applyAlignment="1">
      <alignment vertical="center"/>
    </xf>
    <xf numFmtId="0" fontId="92" fillId="2" borderId="0" xfId="0" applyFont="1" applyFill="1" applyAlignment="1">
      <alignment vertical="center"/>
    </xf>
    <xf numFmtId="0" fontId="93" fillId="0" borderId="0" xfId="0" applyFont="1" applyAlignment="1">
      <alignment horizontal="left" vertical="center" readingOrder="1"/>
    </xf>
    <xf numFmtId="176" fontId="93" fillId="0" borderId="0" xfId="0" applyNumberFormat="1" applyFont="1" applyAlignment="1">
      <alignment horizontal="right" vertical="center" readingOrder="1"/>
    </xf>
    <xf numFmtId="0" fontId="95" fillId="0" borderId="0" xfId="0" applyFont="1" applyAlignment="1">
      <alignment vertical="center"/>
    </xf>
    <xf numFmtId="176" fontId="95" fillId="0" borderId="0" xfId="0" applyNumberFormat="1" applyFont="1" applyAlignment="1">
      <alignment horizontal="right" vertical="center"/>
    </xf>
    <xf numFmtId="0" fontId="95" fillId="0" borderId="17" xfId="0" applyFont="1" applyBorder="1" applyAlignment="1">
      <alignment vertical="center"/>
    </xf>
    <xf numFmtId="176" fontId="95" fillId="0" borderId="17" xfId="0" applyNumberFormat="1" applyFont="1" applyBorder="1" applyAlignment="1">
      <alignment horizontal="right" vertical="center"/>
    </xf>
    <xf numFmtId="176" fontId="80" fillId="0" borderId="0" xfId="0" applyNumberFormat="1" applyFont="1" applyAlignment="1">
      <alignment horizontal="right" vertical="center"/>
    </xf>
    <xf numFmtId="176" fontId="92" fillId="2" borderId="0" xfId="0" applyNumberFormat="1" applyFont="1" applyFill="1" applyAlignment="1">
      <alignment horizontal="right" vertical="center"/>
    </xf>
    <xf numFmtId="0" fontId="93" fillId="0" borderId="0" xfId="0" applyFont="1" applyAlignment="1">
      <alignment vertical="center"/>
    </xf>
    <xf numFmtId="176" fontId="93" fillId="0" borderId="0" xfId="0" applyNumberFormat="1" applyFont="1" applyAlignment="1">
      <alignment horizontal="right" vertical="center"/>
    </xf>
    <xf numFmtId="0" fontId="95" fillId="0" borderId="26" xfId="0" applyFont="1" applyBorder="1" applyAlignment="1">
      <alignment vertical="center"/>
    </xf>
    <xf numFmtId="176" fontId="95" fillId="0" borderId="26" xfId="0" applyNumberFormat="1" applyFont="1" applyBorder="1" applyAlignment="1">
      <alignment horizontal="right" vertical="center"/>
    </xf>
    <xf numFmtId="0" fontId="97" fillId="0" borderId="0" xfId="0" applyFont="1" applyAlignment="1">
      <alignment horizontal="left" vertical="center" readingOrder="1"/>
    </xf>
    <xf numFmtId="176" fontId="97" fillId="0" borderId="0" xfId="0" applyNumberFormat="1" applyFont="1" applyAlignment="1">
      <alignment horizontal="right" vertical="center" readingOrder="1"/>
    </xf>
    <xf numFmtId="0" fontId="98" fillId="0" borderId="0" xfId="0" applyFont="1" applyAlignment="1">
      <alignment horizontal="left" vertical="center" readingOrder="1"/>
    </xf>
    <xf numFmtId="176" fontId="98" fillId="0" borderId="0" xfId="0" applyNumberFormat="1" applyFont="1" applyAlignment="1">
      <alignment horizontal="right" vertical="center" readingOrder="1"/>
    </xf>
    <xf numFmtId="3" fontId="80" fillId="0" borderId="0" xfId="0" applyNumberFormat="1" applyFont="1">
      <alignment vertical="center"/>
    </xf>
    <xf numFmtId="0" fontId="99" fillId="0" borderId="10" xfId="0" applyFont="1" applyBorder="1" applyAlignment="1">
      <alignment vertical="center" wrapText="1"/>
    </xf>
    <xf numFmtId="0" fontId="92" fillId="2" borderId="0" xfId="0" applyFont="1" applyFill="1" applyAlignment="1">
      <alignment horizontal="left" vertical="center" wrapText="1" indent="1"/>
    </xf>
    <xf numFmtId="0" fontId="92" fillId="2" borderId="0" xfId="0" applyFont="1" applyFill="1" applyAlignment="1">
      <alignment horizontal="center" vertical="center" wrapText="1"/>
    </xf>
    <xf numFmtId="0" fontId="91" fillId="2" borderId="0" xfId="0" applyFont="1" applyFill="1" applyAlignment="1">
      <alignment vertical="center" wrapText="1"/>
    </xf>
    <xf numFmtId="0" fontId="91" fillId="2" borderId="0" xfId="0" applyFont="1" applyFill="1" applyAlignment="1">
      <alignment horizontal="center" vertical="center" wrapText="1"/>
    </xf>
    <xf numFmtId="0" fontId="93" fillId="0" borderId="0" xfId="0" applyFont="1" applyAlignment="1">
      <alignment vertical="center" wrapText="1"/>
    </xf>
    <xf numFmtId="3" fontId="93" fillId="0" borderId="0" xfId="0" applyNumberFormat="1" applyFont="1" applyAlignment="1">
      <alignment horizontal="right" vertical="center" wrapText="1"/>
    </xf>
    <xf numFmtId="3" fontId="93" fillId="0" borderId="1" xfId="0" applyNumberFormat="1" applyFont="1" applyBorder="1" applyAlignment="1">
      <alignment horizontal="right" vertical="center" wrapText="1"/>
    </xf>
    <xf numFmtId="3" fontId="93" fillId="0" borderId="2" xfId="0" applyNumberFormat="1" applyFont="1" applyBorder="1" applyAlignment="1">
      <alignment horizontal="right" vertical="center" wrapText="1"/>
    </xf>
    <xf numFmtId="0" fontId="95" fillId="0" borderId="17" xfId="0" applyFont="1" applyBorder="1" applyAlignment="1">
      <alignment vertical="center" wrapText="1"/>
    </xf>
    <xf numFmtId="3" fontId="95" fillId="0" borderId="17" xfId="0" applyNumberFormat="1" applyFont="1" applyBorder="1" applyAlignment="1">
      <alignment horizontal="right" vertical="center" wrapText="1"/>
    </xf>
    <xf numFmtId="3" fontId="95" fillId="0" borderId="20" xfId="0" applyNumberFormat="1" applyFont="1" applyBorder="1" applyAlignment="1">
      <alignment horizontal="right" vertical="center" wrapText="1"/>
    </xf>
    <xf numFmtId="3" fontId="95" fillId="0" borderId="21" xfId="0" applyNumberFormat="1" applyFont="1" applyBorder="1" applyAlignment="1">
      <alignment horizontal="right" vertical="center" wrapText="1"/>
    </xf>
    <xf numFmtId="0" fontId="93" fillId="0" borderId="18" xfId="0" applyFont="1" applyBorder="1" applyAlignment="1">
      <alignment vertical="center" wrapText="1"/>
    </xf>
    <xf numFmtId="3" fontId="93" fillId="0" borderId="18" xfId="0" applyNumberFormat="1" applyFont="1" applyBorder="1" applyAlignment="1">
      <alignment horizontal="right" vertical="center" wrapText="1"/>
    </xf>
    <xf numFmtId="3" fontId="93" fillId="0" borderId="22" xfId="0" applyNumberFormat="1" applyFont="1" applyBorder="1" applyAlignment="1">
      <alignment horizontal="right" vertical="center" wrapText="1"/>
    </xf>
    <xf numFmtId="3" fontId="93" fillId="0" borderId="23" xfId="0" applyNumberFormat="1" applyFont="1" applyBorder="1" applyAlignment="1">
      <alignment horizontal="right" vertical="center" wrapText="1"/>
    </xf>
    <xf numFmtId="0" fontId="99" fillId="0" borderId="0" xfId="0" applyFont="1" applyAlignment="1">
      <alignment vertical="center" wrapText="1"/>
    </xf>
    <xf numFmtId="10" fontId="99" fillId="0" borderId="0" xfId="0" applyNumberFormat="1" applyFont="1" applyAlignment="1">
      <alignment horizontal="right" vertical="center" wrapText="1"/>
    </xf>
    <xf numFmtId="10" fontId="99" fillId="0" borderId="1" xfId="0" applyNumberFormat="1" applyFont="1" applyBorder="1" applyAlignment="1">
      <alignment horizontal="right" vertical="center" wrapText="1"/>
    </xf>
    <xf numFmtId="10" fontId="99" fillId="0" borderId="2" xfId="0" applyNumberFormat="1" applyFont="1" applyBorder="1" applyAlignment="1">
      <alignment horizontal="right" vertical="center" wrapText="1"/>
    </xf>
    <xf numFmtId="0" fontId="99" fillId="0" borderId="0" xfId="0" applyFont="1" applyAlignment="1">
      <alignment horizontal="right" vertical="center" wrapText="1"/>
    </xf>
    <xf numFmtId="0" fontId="99" fillId="0" borderId="1" xfId="0" applyFont="1" applyBorder="1" applyAlignment="1">
      <alignment horizontal="right" vertical="center" wrapText="1"/>
    </xf>
    <xf numFmtId="0" fontId="99" fillId="0" borderId="2" xfId="0" applyFont="1" applyBorder="1" applyAlignment="1">
      <alignment horizontal="right" vertical="center" wrapText="1"/>
    </xf>
    <xf numFmtId="0" fontId="95" fillId="0" borderId="21" xfId="0" applyFont="1" applyBorder="1" applyAlignment="1">
      <alignment horizontal="right" vertical="center" wrapText="1"/>
    </xf>
    <xf numFmtId="0" fontId="95" fillId="0" borderId="17" xfId="0" applyFont="1" applyBorder="1" applyAlignment="1">
      <alignment horizontal="right" vertical="center" wrapText="1"/>
    </xf>
    <xf numFmtId="0" fontId="95" fillId="0" borderId="0" xfId="0" applyFont="1" applyAlignment="1">
      <alignment vertical="center" wrapText="1"/>
    </xf>
    <xf numFmtId="0" fontId="95" fillId="0" borderId="2" xfId="0" applyFont="1" applyBorder="1" applyAlignment="1">
      <alignment horizontal="right" vertical="center" wrapText="1"/>
    </xf>
    <xf numFmtId="3" fontId="95" fillId="0" borderId="0" xfId="0" applyNumberFormat="1" applyFont="1" applyAlignment="1">
      <alignment horizontal="right" vertical="center" wrapText="1"/>
    </xf>
    <xf numFmtId="0" fontId="95" fillId="0" borderId="0" xfId="0" applyFont="1" applyAlignment="1">
      <alignment horizontal="right" vertical="center" wrapText="1"/>
    </xf>
    <xf numFmtId="0" fontId="93" fillId="0" borderId="19" xfId="0" applyFont="1" applyBorder="1" applyAlignment="1">
      <alignment vertical="center" wrapText="1"/>
    </xf>
    <xf numFmtId="3" fontId="93" fillId="0" borderId="25" xfId="0" applyNumberFormat="1" applyFont="1" applyBorder="1" applyAlignment="1">
      <alignment horizontal="right" vertical="center" wrapText="1"/>
    </xf>
    <xf numFmtId="3" fontId="93" fillId="0" borderId="19" xfId="0" applyNumberFormat="1" applyFont="1" applyBorder="1" applyAlignment="1">
      <alignment horizontal="right" vertical="center" wrapText="1"/>
    </xf>
    <xf numFmtId="0" fontId="95" fillId="0" borderId="19" xfId="0" applyFont="1" applyBorder="1" applyAlignment="1">
      <alignment vertical="center" wrapText="1"/>
    </xf>
    <xf numFmtId="0" fontId="95" fillId="0" borderId="26" xfId="0" applyFont="1" applyBorder="1" applyAlignment="1">
      <alignment horizontal="right" vertical="center" wrapText="1"/>
    </xf>
    <xf numFmtId="0" fontId="100" fillId="0" borderId="26" xfId="0" applyFont="1" applyBorder="1" applyAlignment="1">
      <alignment vertical="top" wrapText="1"/>
    </xf>
    <xf numFmtId="3" fontId="93" fillId="0" borderId="27" xfId="0" applyNumberFormat="1" applyFont="1" applyBorder="1" applyAlignment="1">
      <alignment horizontal="right" vertical="center" wrapText="1"/>
    </xf>
    <xf numFmtId="0" fontId="100" fillId="0" borderId="27" xfId="0" applyFont="1" applyBorder="1" applyAlignment="1">
      <alignment vertical="top" wrapText="1"/>
    </xf>
    <xf numFmtId="176" fontId="80" fillId="0" borderId="0" xfId="0" applyNumberFormat="1" applyFont="1">
      <alignment vertical="center"/>
    </xf>
    <xf numFmtId="177" fontId="101" fillId="0" borderId="0" xfId="1" applyNumberFormat="1" applyFont="1">
      <alignment vertical="center"/>
    </xf>
    <xf numFmtId="0" fontId="102" fillId="0" borderId="0" xfId="0" applyFont="1">
      <alignment vertical="center"/>
    </xf>
    <xf numFmtId="176" fontId="93" fillId="0" borderId="0" xfId="0" applyNumberFormat="1" applyFont="1" applyAlignment="1">
      <alignment horizontal="right" vertical="center" wrapText="1"/>
    </xf>
    <xf numFmtId="176" fontId="93" fillId="0" borderId="1" xfId="0" applyNumberFormat="1" applyFont="1" applyBorder="1" applyAlignment="1">
      <alignment horizontal="right" vertical="center" wrapText="1"/>
    </xf>
    <xf numFmtId="176" fontId="93" fillId="0" borderId="2" xfId="0" applyNumberFormat="1" applyFont="1" applyBorder="1" applyAlignment="1">
      <alignment horizontal="right" vertical="center" wrapText="1"/>
    </xf>
    <xf numFmtId="176" fontId="95" fillId="0" borderId="0" xfId="0" applyNumberFormat="1" applyFont="1" applyAlignment="1">
      <alignment horizontal="right" vertical="center" wrapText="1"/>
    </xf>
    <xf numFmtId="176" fontId="95" fillId="0" borderId="1" xfId="0" applyNumberFormat="1" applyFont="1" applyBorder="1" applyAlignment="1">
      <alignment horizontal="right" vertical="center" wrapText="1"/>
    </xf>
    <xf numFmtId="176" fontId="95" fillId="0" borderId="2" xfId="0" applyNumberFormat="1" applyFont="1" applyBorder="1" applyAlignment="1">
      <alignment horizontal="right" vertical="center" wrapText="1"/>
    </xf>
    <xf numFmtId="0" fontId="95" fillId="0" borderId="3" xfId="0" applyFont="1" applyBorder="1" applyAlignment="1">
      <alignment vertical="center" wrapText="1"/>
    </xf>
    <xf numFmtId="176" fontId="95" fillId="0" borderId="3" xfId="0" applyNumberFormat="1" applyFont="1" applyBorder="1" applyAlignment="1">
      <alignment horizontal="right" vertical="center" wrapText="1"/>
    </xf>
    <xf numFmtId="176" fontId="95" fillId="0" borderId="4" xfId="0" applyNumberFormat="1" applyFont="1" applyBorder="1" applyAlignment="1">
      <alignment horizontal="right" vertical="center" wrapText="1"/>
    </xf>
    <xf numFmtId="176" fontId="95" fillId="0" borderId="5" xfId="0" applyNumberFormat="1" applyFont="1" applyBorder="1" applyAlignment="1">
      <alignment horizontal="right" vertical="center" wrapText="1"/>
    </xf>
    <xf numFmtId="0" fontId="93" fillId="0" borderId="6" xfId="0" applyFont="1" applyBorder="1" applyAlignment="1">
      <alignment vertical="center" wrapText="1"/>
    </xf>
    <xf numFmtId="176" fontId="93" fillId="0" borderId="6" xfId="0" applyNumberFormat="1" applyFont="1" applyBorder="1" applyAlignment="1">
      <alignment horizontal="right" vertical="center" wrapText="1"/>
    </xf>
    <xf numFmtId="176" fontId="93" fillId="0" borderId="7" xfId="0" applyNumberFormat="1" applyFont="1" applyBorder="1" applyAlignment="1">
      <alignment horizontal="right" vertical="center" wrapText="1"/>
    </xf>
    <xf numFmtId="176" fontId="93" fillId="0" borderId="8" xfId="0" applyNumberFormat="1" applyFont="1" applyBorder="1" applyAlignment="1">
      <alignment horizontal="right" vertical="center" wrapText="1"/>
    </xf>
    <xf numFmtId="0" fontId="93" fillId="0" borderId="10" xfId="0" applyFont="1" applyBorder="1" applyAlignment="1">
      <alignment vertical="center" wrapText="1"/>
    </xf>
    <xf numFmtId="176" fontId="93" fillId="0" borderId="10" xfId="0" applyNumberFormat="1" applyFont="1" applyBorder="1" applyAlignment="1">
      <alignment vertical="center" wrapText="1"/>
    </xf>
    <xf numFmtId="176" fontId="93" fillId="0" borderId="9" xfId="0" applyNumberFormat="1" applyFont="1" applyBorder="1" applyAlignment="1">
      <alignment vertical="center" wrapText="1"/>
    </xf>
    <xf numFmtId="176" fontId="93" fillId="0" borderId="11" xfId="0" applyNumberFormat="1" applyFont="1" applyBorder="1" applyAlignment="1">
      <alignment horizontal="right" vertical="center" wrapText="1"/>
    </xf>
    <xf numFmtId="176" fontId="93" fillId="0" borderId="10" xfId="0" applyNumberFormat="1" applyFont="1" applyBorder="1" applyAlignment="1">
      <alignment horizontal="right" vertical="center" wrapText="1"/>
    </xf>
    <xf numFmtId="0" fontId="91" fillId="2" borderId="3" xfId="0" applyFont="1" applyFill="1" applyBorder="1" applyAlignment="1">
      <alignment horizontal="center" vertical="center" wrapText="1"/>
    </xf>
    <xf numFmtId="3" fontId="93" fillId="0" borderId="10" xfId="0" applyNumberFormat="1" applyFont="1" applyBorder="1" applyAlignment="1">
      <alignment horizontal="right" vertical="center" wrapText="1"/>
    </xf>
    <xf numFmtId="3" fontId="93" fillId="0" borderId="4" xfId="0" applyNumberFormat="1" applyFont="1" applyBorder="1" applyAlignment="1">
      <alignment horizontal="right" vertical="center" wrapText="1"/>
    </xf>
    <xf numFmtId="3" fontId="93" fillId="0" borderId="11" xfId="0" applyNumberFormat="1" applyFont="1" applyBorder="1" applyAlignment="1">
      <alignment horizontal="right" vertical="center" wrapText="1"/>
    </xf>
    <xf numFmtId="0" fontId="95" fillId="0" borderId="6" xfId="0" applyFont="1" applyBorder="1" applyAlignment="1">
      <alignment vertical="center" wrapText="1"/>
    </xf>
    <xf numFmtId="3" fontId="95" fillId="0" borderId="6" xfId="0" applyNumberFormat="1" applyFont="1" applyBorder="1" applyAlignment="1">
      <alignment horizontal="right" vertical="center" wrapText="1"/>
    </xf>
    <xf numFmtId="3" fontId="95" fillId="0" borderId="7" xfId="0" applyNumberFormat="1" applyFont="1" applyBorder="1" applyAlignment="1">
      <alignment horizontal="right" vertical="center" wrapText="1"/>
    </xf>
    <xf numFmtId="3" fontId="95" fillId="0" borderId="8" xfId="0" applyNumberFormat="1" applyFont="1" applyBorder="1" applyAlignment="1">
      <alignment horizontal="right" vertical="center" wrapText="1"/>
    </xf>
    <xf numFmtId="3" fontId="95" fillId="0" borderId="1" xfId="0" applyNumberFormat="1" applyFont="1" applyBorder="1" applyAlignment="1">
      <alignment horizontal="right" vertical="center" wrapText="1"/>
    </xf>
    <xf numFmtId="3" fontId="95" fillId="0" borderId="2" xfId="0" applyNumberFormat="1" applyFont="1" applyBorder="1" applyAlignment="1">
      <alignment horizontal="right" vertical="center" wrapText="1"/>
    </xf>
    <xf numFmtId="0" fontId="95" fillId="0" borderId="1" xfId="0" applyFont="1" applyBorder="1" applyAlignment="1">
      <alignment horizontal="right" vertical="center" wrapText="1"/>
    </xf>
    <xf numFmtId="3" fontId="95" fillId="0" borderId="3" xfId="0" applyNumberFormat="1" applyFont="1" applyBorder="1" applyAlignment="1">
      <alignment horizontal="right" vertical="center" wrapText="1"/>
    </xf>
    <xf numFmtId="3" fontId="95" fillId="0" borderId="4" xfId="0" applyNumberFormat="1" applyFont="1" applyBorder="1" applyAlignment="1">
      <alignment horizontal="right" vertical="center" wrapText="1"/>
    </xf>
    <xf numFmtId="0" fontId="95" fillId="0" borderId="5" xfId="0" applyFont="1" applyBorder="1" applyAlignment="1">
      <alignment horizontal="right" vertical="center" wrapText="1"/>
    </xf>
    <xf numFmtId="3" fontId="93" fillId="0" borderId="9" xfId="0" applyNumberFormat="1" applyFont="1" applyBorder="1" applyAlignment="1">
      <alignment horizontal="right" vertical="center" wrapText="1"/>
    </xf>
    <xf numFmtId="10" fontId="99" fillId="0" borderId="10" xfId="0" applyNumberFormat="1" applyFont="1" applyBorder="1" applyAlignment="1">
      <alignment horizontal="right" vertical="center" wrapText="1"/>
    </xf>
    <xf numFmtId="10" fontId="99" fillId="0" borderId="9" xfId="0" applyNumberFormat="1" applyFont="1" applyBorder="1" applyAlignment="1">
      <alignment horizontal="right" vertical="center" wrapText="1"/>
    </xf>
    <xf numFmtId="10" fontId="99" fillId="0" borderId="11" xfId="0" applyNumberFormat="1" applyFont="1" applyBorder="1" applyAlignment="1">
      <alignment horizontal="right" vertical="center" wrapText="1"/>
    </xf>
    <xf numFmtId="0" fontId="92" fillId="2" borderId="0" xfId="0" applyFont="1" applyFill="1">
      <alignment vertical="center"/>
    </xf>
    <xf numFmtId="0" fontId="93" fillId="4" borderId="1" xfId="0" applyFont="1" applyFill="1" applyBorder="1" applyAlignment="1">
      <alignment vertical="center" wrapText="1"/>
    </xf>
    <xf numFmtId="0" fontId="100" fillId="4" borderId="2" xfId="0" applyFont="1" applyFill="1" applyBorder="1" applyAlignment="1">
      <alignment vertical="top" wrapText="1"/>
    </xf>
    <xf numFmtId="0" fontId="100" fillId="4" borderId="0" xfId="0" applyFont="1" applyFill="1" applyAlignment="1">
      <alignment vertical="top" wrapText="1"/>
    </xf>
    <xf numFmtId="0" fontId="95" fillId="0" borderId="1" xfId="0" applyFont="1" applyBorder="1" applyAlignment="1">
      <alignment vertical="center" wrapText="1"/>
    </xf>
    <xf numFmtId="3" fontId="95" fillId="0" borderId="0" xfId="0" applyNumberFormat="1" applyFont="1" applyAlignment="1">
      <alignment vertical="center" wrapText="1"/>
    </xf>
    <xf numFmtId="0" fontId="95" fillId="0" borderId="4" xfId="0" applyFont="1" applyBorder="1" applyAlignment="1">
      <alignment vertical="center" wrapText="1"/>
    </xf>
    <xf numFmtId="0" fontId="95" fillId="0" borderId="12" xfId="0" applyFont="1" applyBorder="1" applyAlignment="1">
      <alignment horizontal="right" vertical="center" wrapText="1"/>
    </xf>
    <xf numFmtId="3" fontId="95" fillId="0" borderId="12" xfId="0" applyNumberFormat="1" applyFont="1" applyBorder="1" applyAlignment="1">
      <alignment horizontal="right" vertical="center" wrapText="1"/>
    </xf>
    <xf numFmtId="3" fontId="95" fillId="0" borderId="12" xfId="0" applyNumberFormat="1" applyFont="1" applyBorder="1" applyAlignment="1">
      <alignment vertical="center" wrapText="1"/>
    </xf>
    <xf numFmtId="0" fontId="93" fillId="0" borderId="13" xfId="0" applyFont="1" applyBorder="1" applyAlignment="1">
      <alignment vertical="center" wrapText="1"/>
    </xf>
    <xf numFmtId="0" fontId="93" fillId="0" borderId="14" xfId="0" applyFont="1" applyBorder="1" applyAlignment="1">
      <alignment horizontal="right" vertical="center" wrapText="1"/>
    </xf>
    <xf numFmtId="3" fontId="93" fillId="0" borderId="14" xfId="0" applyNumberFormat="1" applyFont="1" applyBorder="1" applyAlignment="1">
      <alignment horizontal="right" vertical="center" wrapText="1"/>
    </xf>
    <xf numFmtId="3" fontId="93" fillId="0" borderId="14" xfId="0" applyNumberFormat="1" applyFont="1" applyBorder="1" applyAlignment="1">
      <alignment vertical="center" wrapText="1"/>
    </xf>
    <xf numFmtId="0" fontId="93" fillId="4" borderId="15" xfId="0" applyFont="1" applyFill="1" applyBorder="1" applyAlignment="1">
      <alignment vertical="center" wrapText="1"/>
    </xf>
    <xf numFmtId="0" fontId="100" fillId="4" borderId="16" xfId="0" applyFont="1" applyFill="1" applyBorder="1" applyAlignment="1">
      <alignment vertical="top" wrapText="1"/>
    </xf>
    <xf numFmtId="0" fontId="93" fillId="0" borderId="7" xfId="0" applyFont="1" applyBorder="1" applyAlignment="1">
      <alignment vertical="center" wrapText="1"/>
    </xf>
    <xf numFmtId="0" fontId="93" fillId="0" borderId="16" xfId="0" applyFont="1" applyBorder="1" applyAlignment="1">
      <alignment horizontal="right" vertical="center" wrapText="1"/>
    </xf>
    <xf numFmtId="3" fontId="93" fillId="0" borderId="16" xfId="0" applyNumberFormat="1" applyFont="1" applyBorder="1" applyAlignment="1">
      <alignment horizontal="right" vertical="center" wrapText="1"/>
    </xf>
    <xf numFmtId="3" fontId="93" fillId="0" borderId="16" xfId="0" applyNumberFormat="1" applyFont="1" applyBorder="1" applyAlignment="1">
      <alignment vertical="center" wrapText="1"/>
    </xf>
    <xf numFmtId="0" fontId="95" fillId="0" borderId="3" xfId="0" applyFont="1" applyBorder="1" applyAlignment="1">
      <alignment horizontal="right" vertical="center" wrapText="1"/>
    </xf>
    <xf numFmtId="3" fontId="95" fillId="0" borderId="3" xfId="0" applyNumberFormat="1" applyFont="1" applyBorder="1" applyAlignment="1">
      <alignment vertical="center" wrapText="1"/>
    </xf>
    <xf numFmtId="0" fontId="92" fillId="2" borderId="0" xfId="0" applyFont="1" applyFill="1" applyAlignment="1">
      <alignment vertical="center" wrapText="1"/>
    </xf>
    <xf numFmtId="0" fontId="100" fillId="3" borderId="18" xfId="0" applyFont="1" applyFill="1" applyBorder="1" applyAlignment="1">
      <alignment vertical="top" wrapText="1"/>
    </xf>
    <xf numFmtId="0" fontId="100" fillId="3" borderId="22" xfId="0" applyFont="1" applyFill="1" applyBorder="1" applyAlignment="1">
      <alignment vertical="top" wrapText="1"/>
    </xf>
    <xf numFmtId="0" fontId="100" fillId="3" borderId="0" xfId="0" applyFont="1" applyFill="1" applyAlignment="1">
      <alignment vertical="top" wrapText="1"/>
    </xf>
    <xf numFmtId="0" fontId="100" fillId="3" borderId="1" xfId="0" applyFont="1" applyFill="1" applyBorder="1" applyAlignment="1">
      <alignment vertical="top" wrapText="1"/>
    </xf>
    <xf numFmtId="0" fontId="100" fillId="3" borderId="17" xfId="0" applyFont="1" applyFill="1" applyBorder="1" applyAlignment="1">
      <alignment vertical="top" wrapText="1"/>
    </xf>
    <xf numFmtId="0" fontId="100" fillId="3" borderId="20" xfId="0" applyFont="1" applyFill="1" applyBorder="1" applyAlignment="1">
      <alignment vertical="top" wrapText="1"/>
    </xf>
    <xf numFmtId="0" fontId="100" fillId="3" borderId="19" xfId="0" applyFont="1" applyFill="1" applyBorder="1" applyAlignment="1">
      <alignment vertical="top" wrapText="1"/>
    </xf>
    <xf numFmtId="0" fontId="100" fillId="3" borderId="24" xfId="0" applyFont="1" applyFill="1" applyBorder="1" applyAlignment="1">
      <alignment vertical="top" wrapText="1"/>
    </xf>
    <xf numFmtId="0" fontId="100" fillId="3" borderId="26" xfId="0" applyFont="1" applyFill="1" applyBorder="1" applyAlignment="1">
      <alignment vertical="top" wrapText="1"/>
    </xf>
    <xf numFmtId="0" fontId="100" fillId="3" borderId="27" xfId="0" applyFont="1" applyFill="1" applyBorder="1" applyAlignment="1">
      <alignment vertical="top" wrapText="1"/>
    </xf>
    <xf numFmtId="0" fontId="91" fillId="2" borderId="3" xfId="0" applyFont="1" applyFill="1" applyBorder="1" applyAlignment="1">
      <alignment vertical="center" wrapText="1"/>
    </xf>
    <xf numFmtId="0" fontId="95" fillId="3" borderId="17" xfId="0" applyFont="1" applyFill="1" applyBorder="1" applyAlignment="1">
      <alignment vertical="center" wrapText="1"/>
    </xf>
    <xf numFmtId="0" fontId="95" fillId="3" borderId="20" xfId="0" applyFont="1" applyFill="1" applyBorder="1" applyAlignment="1">
      <alignment vertical="center" wrapText="1"/>
    </xf>
    <xf numFmtId="0" fontId="92" fillId="2" borderId="3" xfId="0" applyFont="1" applyFill="1" applyBorder="1" applyAlignment="1">
      <alignment vertical="center" wrapText="1"/>
    </xf>
    <xf numFmtId="0" fontId="103" fillId="30" borderId="97" xfId="0" applyFont="1" applyFill="1" applyBorder="1" applyAlignment="1">
      <alignment horizontal="center" vertical="center"/>
    </xf>
    <xf numFmtId="14" fontId="63" fillId="0" borderId="97" xfId="0" applyNumberFormat="1" applyFont="1" applyBorder="1" applyAlignment="1">
      <alignment horizontal="center" vertical="center"/>
    </xf>
    <xf numFmtId="3" fontId="63" fillId="0" borderId="97" xfId="0" applyNumberFormat="1" applyFont="1" applyBorder="1" applyAlignment="1">
      <alignment horizontal="right" vertical="center"/>
    </xf>
    <xf numFmtId="4" fontId="63" fillId="0" borderId="97" xfId="0" applyNumberFormat="1" applyFont="1" applyBorder="1" applyAlignment="1">
      <alignment horizontal="right" vertical="center"/>
    </xf>
    <xf numFmtId="14" fontId="63" fillId="10" borderId="97" xfId="0" applyNumberFormat="1" applyFont="1" applyFill="1" applyBorder="1" applyAlignment="1">
      <alignment horizontal="center" vertical="center"/>
    </xf>
    <xf numFmtId="3" fontId="63" fillId="10" borderId="97" xfId="0" applyNumberFormat="1" applyFont="1" applyFill="1" applyBorder="1" applyAlignment="1">
      <alignment horizontal="right" vertical="center"/>
    </xf>
    <xf numFmtId="4" fontId="63" fillId="10" borderId="97" xfId="0" applyNumberFormat="1" applyFont="1" applyFill="1" applyBorder="1" applyAlignment="1">
      <alignment horizontal="right" vertical="center"/>
    </xf>
    <xf numFmtId="0" fontId="10" fillId="0" borderId="263" xfId="0" applyFont="1" applyBorder="1">
      <alignment vertical="center"/>
    </xf>
    <xf numFmtId="0" fontId="10" fillId="0" borderId="0" xfId="0" applyFont="1" applyBorder="1">
      <alignment vertical="center"/>
    </xf>
    <xf numFmtId="177" fontId="7" fillId="0" borderId="29" xfId="1" applyNumberFormat="1" applyFont="1" applyBorder="1">
      <alignment vertical="center"/>
    </xf>
    <xf numFmtId="0" fontId="10" fillId="0" borderId="286" xfId="0" applyFont="1" applyBorder="1">
      <alignment vertical="center"/>
    </xf>
    <xf numFmtId="0" fontId="10" fillId="0" borderId="28" xfId="0" applyFont="1" applyBorder="1">
      <alignment vertical="center"/>
    </xf>
    <xf numFmtId="177" fontId="7" fillId="0" borderId="30" xfId="1" applyNumberFormat="1" applyFont="1" applyBorder="1">
      <alignment vertical="center"/>
    </xf>
    <xf numFmtId="0" fontId="11" fillId="29" borderId="281" xfId="0" applyFont="1" applyFill="1" applyBorder="1" applyAlignment="1">
      <alignment horizontal="center" vertical="center"/>
    </xf>
    <xf numFmtId="0" fontId="104" fillId="6" borderId="287" xfId="0" applyFont="1" applyFill="1" applyBorder="1">
      <alignment vertical="center"/>
    </xf>
    <xf numFmtId="177" fontId="11" fillId="29" borderId="34" xfId="1" applyNumberFormat="1" applyFont="1" applyFill="1" applyBorder="1">
      <alignment vertical="center"/>
    </xf>
    <xf numFmtId="0" fontId="5" fillId="9" borderId="0" xfId="0" applyFont="1" applyFill="1">
      <alignment vertical="center"/>
    </xf>
    <xf numFmtId="10" fontId="5" fillId="9" borderId="0" xfId="0" applyNumberFormat="1" applyFont="1" applyFill="1">
      <alignment vertical="center"/>
    </xf>
    <xf numFmtId="177" fontId="11" fillId="29" borderId="0" xfId="1" applyNumberFormat="1" applyFont="1" applyFill="1">
      <alignment vertical="center"/>
    </xf>
    <xf numFmtId="176" fontId="10" fillId="0" borderId="38" xfId="0" applyNumberFormat="1" applyFont="1" applyBorder="1">
      <alignment vertical="center"/>
    </xf>
    <xf numFmtId="176" fontId="10" fillId="0" borderId="289" xfId="0" applyNumberFormat="1" applyFont="1" applyBorder="1">
      <alignment vertical="center"/>
    </xf>
    <xf numFmtId="176" fontId="10" fillId="0" borderId="291" xfId="0" applyNumberFormat="1" applyFont="1" applyBorder="1">
      <alignment vertical="center"/>
    </xf>
    <xf numFmtId="176" fontId="10" fillId="0" borderId="288" xfId="0" applyNumberFormat="1" applyFont="1" applyBorder="1">
      <alignment vertical="center"/>
    </xf>
    <xf numFmtId="176" fontId="10" fillId="0" borderId="292" xfId="0" applyNumberFormat="1" applyFont="1" applyBorder="1">
      <alignment vertical="center"/>
    </xf>
    <xf numFmtId="176" fontId="10" fillId="0" borderId="294" xfId="0" applyNumberFormat="1" applyFont="1" applyBorder="1">
      <alignment vertical="center"/>
    </xf>
    <xf numFmtId="176" fontId="10" fillId="0" borderId="295" xfId="0" applyNumberFormat="1" applyFont="1" applyBorder="1">
      <alignment vertical="center"/>
    </xf>
    <xf numFmtId="176" fontId="5" fillId="7" borderId="288" xfId="0" applyNumberFormat="1" applyFont="1" applyFill="1" applyBorder="1">
      <alignment vertical="center"/>
    </xf>
    <xf numFmtId="176" fontId="5" fillId="7" borderId="293" xfId="0" applyNumberFormat="1" applyFont="1" applyFill="1" applyBorder="1">
      <alignment vertical="center"/>
    </xf>
    <xf numFmtId="176" fontId="5" fillId="7" borderId="290" xfId="0" applyNumberFormat="1" applyFont="1" applyFill="1" applyBorder="1">
      <alignment vertical="center"/>
    </xf>
    <xf numFmtId="0" fontId="16" fillId="13" borderId="47" xfId="0" applyFont="1" applyFill="1" applyBorder="1" applyAlignment="1">
      <alignment horizontal="center" vertical="center"/>
    </xf>
    <xf numFmtId="0" fontId="16" fillId="13" borderId="48" xfId="0" applyFont="1" applyFill="1" applyBorder="1" applyAlignment="1">
      <alignment horizontal="center" vertical="center"/>
    </xf>
    <xf numFmtId="0" fontId="16" fillId="13" borderId="49" xfId="0" applyFont="1" applyFill="1" applyBorder="1" applyAlignment="1">
      <alignment horizontal="center" vertical="center"/>
    </xf>
    <xf numFmtId="0" fontId="16" fillId="0" borderId="0" xfId="0" applyFont="1" applyAlignment="1">
      <alignment horizontal="center" vertical="center"/>
    </xf>
    <xf numFmtId="0" fontId="16" fillId="13" borderId="57" xfId="0" applyFont="1" applyFill="1" applyBorder="1" applyAlignment="1">
      <alignment horizontal="center" vertical="center"/>
    </xf>
    <xf numFmtId="0" fontId="16" fillId="13" borderId="60" xfId="0" applyFont="1" applyFill="1" applyBorder="1" applyAlignment="1">
      <alignment horizontal="center" vertical="center"/>
    </xf>
    <xf numFmtId="0" fontId="16" fillId="13" borderId="58" xfId="0" applyFont="1" applyFill="1" applyBorder="1" applyAlignment="1">
      <alignment horizontal="center" vertical="center"/>
    </xf>
    <xf numFmtId="0" fontId="16" fillId="13" borderId="56" xfId="0" applyFont="1" applyFill="1" applyBorder="1" applyAlignment="1">
      <alignment horizontal="center" vertical="center"/>
    </xf>
    <xf numFmtId="0" fontId="16" fillId="13" borderId="59" xfId="0" applyFont="1" applyFill="1" applyBorder="1" applyAlignment="1">
      <alignment horizontal="center" vertical="center"/>
    </xf>
    <xf numFmtId="0" fontId="16" fillId="13" borderId="61" xfId="0" applyFont="1" applyFill="1" applyBorder="1" applyAlignment="1">
      <alignment horizontal="center" vertical="center"/>
    </xf>
    <xf numFmtId="0" fontId="16" fillId="13" borderId="64" xfId="0" applyFont="1" applyFill="1" applyBorder="1" applyAlignment="1">
      <alignment horizontal="right" vertical="center"/>
    </xf>
    <xf numFmtId="0" fontId="16" fillId="13" borderId="65" xfId="0" applyFont="1" applyFill="1" applyBorder="1" applyAlignment="1">
      <alignment horizontal="right" vertical="center"/>
    </xf>
    <xf numFmtId="0" fontId="16" fillId="13" borderId="49" xfId="0" applyFont="1" applyFill="1" applyBorder="1" applyAlignment="1">
      <alignment horizontal="right" vertical="center"/>
    </xf>
    <xf numFmtId="0" fontId="16" fillId="13" borderId="62" xfId="0" applyFont="1" applyFill="1" applyBorder="1" applyAlignment="1">
      <alignment horizontal="center" vertical="center"/>
    </xf>
    <xf numFmtId="0" fontId="16" fillId="13" borderId="43" xfId="0" applyFont="1" applyFill="1" applyBorder="1" applyAlignment="1">
      <alignment horizontal="center" vertical="center"/>
    </xf>
    <xf numFmtId="0" fontId="16" fillId="13" borderId="14" xfId="0" applyFont="1" applyFill="1" applyBorder="1" applyAlignment="1">
      <alignment horizontal="center" vertical="center"/>
    </xf>
    <xf numFmtId="0" fontId="16" fillId="13" borderId="44" xfId="0" applyFont="1" applyFill="1" applyBorder="1" applyAlignment="1">
      <alignment horizontal="center" vertical="center"/>
    </xf>
    <xf numFmtId="0" fontId="16" fillId="13" borderId="66" xfId="0" applyFont="1" applyFill="1" applyBorder="1" applyAlignment="1">
      <alignment horizontal="center" vertical="center"/>
    </xf>
    <xf numFmtId="0" fontId="16" fillId="0" borderId="68" xfId="0" applyFont="1" applyBorder="1" applyAlignment="1">
      <alignment vertical="center"/>
    </xf>
    <xf numFmtId="0" fontId="16" fillId="0" borderId="14" xfId="0" applyFont="1" applyBorder="1" applyAlignment="1">
      <alignment vertical="center"/>
    </xf>
    <xf numFmtId="0" fontId="16" fillId="0" borderId="44" xfId="0" applyFont="1" applyBorder="1" applyAlignment="1">
      <alignment vertical="center"/>
    </xf>
    <xf numFmtId="0" fontId="16" fillId="0" borderId="62" xfId="0" applyFont="1" applyBorder="1" applyAlignment="1">
      <alignment horizontal="center" vertical="center"/>
    </xf>
    <xf numFmtId="0" fontId="16" fillId="0" borderId="60" xfId="0" applyFont="1" applyBorder="1" applyAlignment="1">
      <alignment horizontal="center" vertical="center"/>
    </xf>
    <xf numFmtId="0" fontId="16" fillId="0" borderId="63" xfId="0" applyFont="1" applyBorder="1" applyAlignment="1">
      <alignment horizontal="center" vertical="center"/>
    </xf>
    <xf numFmtId="0" fontId="16" fillId="0" borderId="69" xfId="0" applyFont="1" applyBorder="1" applyAlignment="1">
      <alignment vertical="center"/>
    </xf>
    <xf numFmtId="0" fontId="16" fillId="0" borderId="70" xfId="0" applyFont="1" applyBorder="1" applyAlignment="1">
      <alignment vertical="center"/>
    </xf>
    <xf numFmtId="0" fontId="16" fillId="0" borderId="71" xfId="0" applyFont="1" applyBorder="1" applyAlignment="1">
      <alignment vertical="center"/>
    </xf>
    <xf numFmtId="0" fontId="16" fillId="0" borderId="68" xfId="0" applyFont="1" applyBorder="1" applyAlignment="1">
      <alignment vertical="top"/>
    </xf>
    <xf numFmtId="0" fontId="16" fillId="0" borderId="14" xfId="0" applyFont="1" applyBorder="1" applyAlignment="1">
      <alignment vertical="top"/>
    </xf>
    <xf numFmtId="0" fontId="16" fillId="0" borderId="66" xfId="0" applyFont="1" applyBorder="1" applyAlignment="1">
      <alignment vertical="top"/>
    </xf>
    <xf numFmtId="0" fontId="16" fillId="13" borderId="73" xfId="0" applyFont="1" applyFill="1" applyBorder="1" applyAlignment="1">
      <alignment horizontal="center" vertical="center"/>
    </xf>
    <xf numFmtId="0" fontId="16" fillId="13" borderId="55" xfId="0" applyFont="1" applyFill="1" applyBorder="1" applyAlignment="1">
      <alignment horizontal="center" vertical="center"/>
    </xf>
    <xf numFmtId="0" fontId="16" fillId="13" borderId="72" xfId="0" applyFont="1" applyFill="1" applyBorder="1" applyAlignment="1">
      <alignment horizontal="center" vertical="center"/>
    </xf>
    <xf numFmtId="0" fontId="16" fillId="13" borderId="74" xfId="0" applyFont="1" applyFill="1" applyBorder="1" applyAlignment="1">
      <alignment horizontal="center" vertical="center"/>
    </xf>
    <xf numFmtId="0" fontId="16" fillId="13" borderId="75" xfId="0" applyFont="1" applyFill="1" applyBorder="1" applyAlignment="1">
      <alignment horizontal="center" vertical="center"/>
    </xf>
    <xf numFmtId="0" fontId="16" fillId="0" borderId="62" xfId="0" applyFont="1" applyBorder="1" applyAlignment="1">
      <alignment vertical="center"/>
    </xf>
    <xf numFmtId="0" fontId="16" fillId="0" borderId="73" xfId="0" applyFont="1" applyBorder="1" applyAlignment="1">
      <alignment vertical="center"/>
    </xf>
    <xf numFmtId="0" fontId="16" fillId="0" borderId="63" xfId="0" applyFont="1" applyBorder="1" applyAlignment="1">
      <alignment vertical="center"/>
    </xf>
    <xf numFmtId="0" fontId="16" fillId="0" borderId="55" xfId="0" applyFont="1" applyBorder="1" applyAlignment="1">
      <alignment horizontal="center" vertical="center"/>
    </xf>
    <xf numFmtId="0" fontId="16" fillId="0" borderId="56" xfId="0" applyFont="1" applyBorder="1" applyAlignment="1">
      <alignment horizontal="center" vertical="center"/>
    </xf>
    <xf numFmtId="0" fontId="16" fillId="0" borderId="55" xfId="0" applyFont="1" applyBorder="1" applyAlignment="1">
      <alignment vertical="center"/>
    </xf>
    <xf numFmtId="0" fontId="16" fillId="0" borderId="56" xfId="0" applyFont="1" applyBorder="1" applyAlignment="1">
      <alignment vertical="center"/>
    </xf>
    <xf numFmtId="0" fontId="16" fillId="0" borderId="66" xfId="0" applyFont="1" applyBorder="1" applyAlignment="1">
      <alignment vertical="center"/>
    </xf>
    <xf numFmtId="0" fontId="16" fillId="13" borderId="64" xfId="0" applyFont="1" applyFill="1" applyBorder="1" applyAlignment="1">
      <alignment horizontal="right"/>
    </xf>
    <xf numFmtId="0" fontId="16" fillId="13" borderId="65" xfId="0" applyFont="1" applyFill="1" applyBorder="1" applyAlignment="1">
      <alignment horizontal="right"/>
    </xf>
    <xf numFmtId="0" fontId="16" fillId="13" borderId="49" xfId="0" applyFont="1" applyFill="1" applyBorder="1" applyAlignment="1">
      <alignment horizontal="right"/>
    </xf>
    <xf numFmtId="0" fontId="16" fillId="0" borderId="43" xfId="0" applyFont="1" applyBorder="1" applyAlignment="1">
      <alignment horizontal="center" vertical="center"/>
    </xf>
    <xf numFmtId="0" fontId="16" fillId="0" borderId="14" xfId="0" applyFont="1" applyBorder="1" applyAlignment="1">
      <alignment horizontal="center" vertical="center"/>
    </xf>
    <xf numFmtId="0" fontId="16" fillId="0" borderId="66" xfId="0" applyFont="1" applyBorder="1" applyAlignment="1">
      <alignment horizontal="center" vertical="center"/>
    </xf>
    <xf numFmtId="0" fontId="16" fillId="0" borderId="60" xfId="0" applyFont="1" applyBorder="1" applyAlignment="1">
      <alignment vertical="center"/>
    </xf>
    <xf numFmtId="0" fontId="16" fillId="13" borderId="77" xfId="0" applyFont="1" applyFill="1" applyBorder="1" applyAlignment="1">
      <alignment horizontal="center" vertical="center"/>
    </xf>
    <xf numFmtId="0" fontId="16" fillId="13" borderId="78" xfId="0" applyFont="1" applyFill="1" applyBorder="1" applyAlignment="1">
      <alignment horizontal="center" vertical="center"/>
    </xf>
    <xf numFmtId="0" fontId="16" fillId="13" borderId="79" xfId="0" applyFont="1" applyFill="1" applyBorder="1" applyAlignment="1">
      <alignment horizontal="center" vertical="center"/>
    </xf>
    <xf numFmtId="0" fontId="16" fillId="13" borderId="80" xfId="0" applyFont="1" applyFill="1" applyBorder="1" applyAlignment="1">
      <alignment horizontal="center" vertical="center"/>
    </xf>
    <xf numFmtId="0" fontId="16" fillId="13" borderId="81" xfId="0" applyFont="1" applyFill="1" applyBorder="1" applyAlignment="1">
      <alignment horizontal="center" vertical="center"/>
    </xf>
    <xf numFmtId="0" fontId="16" fillId="13" borderId="82" xfId="0" applyFont="1" applyFill="1" applyBorder="1" applyAlignment="1">
      <alignment horizontal="center" vertical="center"/>
    </xf>
    <xf numFmtId="0" fontId="16" fillId="0" borderId="44" xfId="0" applyFont="1" applyBorder="1" applyAlignment="1">
      <alignment vertical="top"/>
    </xf>
    <xf numFmtId="0" fontId="16" fillId="0" borderId="69" xfId="0" applyFont="1" applyBorder="1" applyAlignment="1">
      <alignment horizontal="center" vertical="center"/>
    </xf>
    <xf numFmtId="0" fontId="16" fillId="0" borderId="71" xfId="0" applyFont="1" applyBorder="1" applyAlignment="1">
      <alignment horizontal="center" vertical="center"/>
    </xf>
    <xf numFmtId="0" fontId="16" fillId="0" borderId="73" xfId="0" applyFont="1" applyBorder="1" applyAlignment="1">
      <alignment horizontal="center" vertical="center"/>
    </xf>
    <xf numFmtId="0" fontId="16" fillId="14" borderId="57" xfId="0" applyFont="1" applyFill="1" applyBorder="1" applyAlignment="1">
      <alignment horizontal="center" vertical="center"/>
    </xf>
    <xf numFmtId="0" fontId="16" fillId="14" borderId="60" xfId="0" applyFont="1" applyFill="1" applyBorder="1" applyAlignment="1">
      <alignment horizontal="center" vertical="center"/>
    </xf>
    <xf numFmtId="0" fontId="16" fillId="14" borderId="58" xfId="0" applyFont="1" applyFill="1" applyBorder="1" applyAlignment="1">
      <alignment horizontal="center" vertical="center"/>
    </xf>
    <xf numFmtId="0" fontId="16" fillId="14" borderId="56" xfId="0" applyFont="1" applyFill="1" applyBorder="1" applyAlignment="1">
      <alignment horizontal="center" vertical="center"/>
    </xf>
    <xf numFmtId="0" fontId="16" fillId="14" borderId="47" xfId="0" applyFont="1" applyFill="1" applyBorder="1" applyAlignment="1">
      <alignment horizontal="center" vertical="center"/>
    </xf>
    <xf numFmtId="0" fontId="16" fillId="14" borderId="49" xfId="0" applyFont="1" applyFill="1" applyBorder="1" applyAlignment="1">
      <alignment horizontal="center" vertical="center"/>
    </xf>
    <xf numFmtId="0" fontId="16" fillId="0" borderId="72" xfId="0" applyFont="1" applyBorder="1" applyAlignment="1">
      <alignment horizontal="center" vertical="center"/>
    </xf>
    <xf numFmtId="0" fontId="16" fillId="14" borderId="64" xfId="0" applyFont="1" applyFill="1" applyBorder="1" applyAlignment="1">
      <alignment horizontal="right" vertical="center"/>
    </xf>
    <xf numFmtId="0" fontId="16" fillId="14" borderId="65" xfId="0" applyFont="1" applyFill="1" applyBorder="1" applyAlignment="1">
      <alignment horizontal="right" vertical="center"/>
    </xf>
    <xf numFmtId="0" fontId="16" fillId="14" borderId="49" xfId="0" applyFont="1" applyFill="1" applyBorder="1" applyAlignment="1">
      <alignment horizontal="right" vertical="center"/>
    </xf>
    <xf numFmtId="0" fontId="16" fillId="13" borderId="68" xfId="0" applyFont="1" applyFill="1" applyBorder="1" applyAlignment="1">
      <alignment horizontal="center" vertical="center"/>
    </xf>
    <xf numFmtId="0" fontId="16" fillId="0" borderId="72" xfId="0" applyFont="1" applyBorder="1" applyAlignment="1">
      <alignment vertical="center"/>
    </xf>
    <xf numFmtId="0" fontId="16" fillId="0" borderId="84" xfId="0" applyFont="1" applyBorder="1" applyAlignment="1">
      <alignment vertical="center"/>
    </xf>
    <xf numFmtId="0" fontId="16" fillId="0" borderId="78" xfId="0" applyFont="1" applyBorder="1" applyAlignment="1">
      <alignment vertical="center"/>
    </xf>
    <xf numFmtId="0" fontId="16" fillId="0" borderId="85" xfId="0" applyFont="1" applyBorder="1" applyAlignment="1">
      <alignment vertical="center"/>
    </xf>
    <xf numFmtId="0" fontId="16" fillId="0" borderId="86" xfId="0" applyFont="1" applyBorder="1" applyAlignment="1">
      <alignment vertical="center"/>
    </xf>
    <xf numFmtId="0" fontId="16" fillId="13" borderId="88" xfId="0" applyFont="1" applyFill="1" applyBorder="1" applyAlignment="1">
      <alignment horizontal="center" vertical="center"/>
    </xf>
    <xf numFmtId="0" fontId="16" fillId="13" borderId="89" xfId="0" applyFont="1" applyFill="1" applyBorder="1" applyAlignment="1">
      <alignment horizontal="center" vertical="center"/>
    </xf>
    <xf numFmtId="0" fontId="16" fillId="13" borderId="90" xfId="0" applyFont="1" applyFill="1" applyBorder="1" applyAlignment="1">
      <alignment horizontal="center" vertical="center"/>
    </xf>
    <xf numFmtId="0" fontId="16" fillId="13" borderId="91" xfId="0" applyFont="1" applyFill="1" applyBorder="1" applyAlignment="1">
      <alignment horizontal="center" vertical="center"/>
    </xf>
    <xf numFmtId="0" fontId="16" fillId="13" borderId="0" xfId="0" applyFont="1" applyFill="1" applyAlignment="1">
      <alignment horizontal="center" vertical="center"/>
    </xf>
    <xf numFmtId="0" fontId="16" fillId="13" borderId="87" xfId="0" applyFont="1" applyFill="1" applyBorder="1" applyAlignment="1">
      <alignment horizontal="center" vertical="center"/>
    </xf>
    <xf numFmtId="0" fontId="16" fillId="13" borderId="92" xfId="0" applyFont="1" applyFill="1" applyBorder="1" applyAlignment="1">
      <alignment horizontal="center" vertical="center"/>
    </xf>
    <xf numFmtId="0" fontId="16" fillId="13" borderId="12" xfId="0" applyFont="1" applyFill="1" applyBorder="1" applyAlignment="1">
      <alignment horizontal="center" vertical="center"/>
    </xf>
    <xf numFmtId="0" fontId="16" fillId="13" borderId="65" xfId="0" applyFont="1" applyFill="1" applyBorder="1" applyAlignment="1">
      <alignment horizontal="center" vertical="center"/>
    </xf>
    <xf numFmtId="0" fontId="16" fillId="0" borderId="83" xfId="0" applyFont="1" applyBorder="1" applyAlignment="1">
      <alignment horizontal="center" vertical="center"/>
    </xf>
    <xf numFmtId="0" fontId="16" fillId="14" borderId="62" xfId="0" applyFont="1" applyFill="1" applyBorder="1" applyAlignment="1">
      <alignment horizontal="center" vertical="center"/>
    </xf>
    <xf numFmtId="0" fontId="16" fillId="14" borderId="43" xfId="0" applyFont="1" applyFill="1" applyBorder="1" applyAlignment="1">
      <alignment horizontal="center" vertical="center"/>
    </xf>
    <xf numFmtId="0" fontId="16" fillId="14" borderId="44" xfId="0" applyFont="1" applyFill="1" applyBorder="1" applyAlignment="1">
      <alignment horizontal="center" vertical="center"/>
    </xf>
    <xf numFmtId="0" fontId="16" fillId="14" borderId="66" xfId="0" applyFont="1" applyFill="1" applyBorder="1" applyAlignment="1">
      <alignment horizontal="center" vertical="center"/>
    </xf>
    <xf numFmtId="0" fontId="5" fillId="8" borderId="94" xfId="0" applyFont="1" applyFill="1" applyBorder="1" applyAlignment="1">
      <alignment horizontal="center" vertical="center"/>
    </xf>
    <xf numFmtId="0" fontId="5" fillId="8" borderId="95" xfId="0" applyFont="1" applyFill="1" applyBorder="1" applyAlignment="1">
      <alignment horizontal="center" vertical="center"/>
    </xf>
    <xf numFmtId="0" fontId="5" fillId="8" borderId="96" xfId="0" applyFont="1" applyFill="1" applyBorder="1" applyAlignment="1">
      <alignment horizontal="center" vertical="center"/>
    </xf>
    <xf numFmtId="0" fontId="24" fillId="19" borderId="98" xfId="0" applyFont="1" applyFill="1" applyBorder="1" applyAlignment="1">
      <alignment horizontal="left" vertical="center" wrapText="1" indent="1" readingOrder="1"/>
    </xf>
    <xf numFmtId="0" fontId="24" fillId="19" borderId="110" xfId="0" applyFont="1" applyFill="1" applyBorder="1" applyAlignment="1">
      <alignment horizontal="left" vertical="center" wrapText="1" indent="1" readingOrder="1"/>
    </xf>
    <xf numFmtId="0" fontId="24" fillId="19" borderId="98" xfId="3" applyFont="1" applyFill="1" applyBorder="1" applyAlignment="1">
      <alignment horizontal="left" vertical="center" wrapText="1" indent="1" readingOrder="1"/>
    </xf>
    <xf numFmtId="0" fontId="24" fillId="19" borderId="110" xfId="3" applyFont="1" applyFill="1" applyBorder="1" applyAlignment="1">
      <alignment horizontal="left" vertical="center" wrapText="1" indent="1" readingOrder="1"/>
    </xf>
    <xf numFmtId="0" fontId="24" fillId="19" borderId="111" xfId="3" applyFont="1" applyFill="1" applyBorder="1" applyAlignment="1">
      <alignment horizontal="left" vertical="center" wrapText="1" indent="1" readingOrder="1"/>
    </xf>
    <xf numFmtId="0" fontId="24" fillId="19" borderId="111" xfId="0" applyFont="1" applyFill="1" applyBorder="1" applyAlignment="1">
      <alignment horizontal="left" vertical="center" wrapText="1" indent="1" readingOrder="1"/>
    </xf>
    <xf numFmtId="0" fontId="24" fillId="19" borderId="114" xfId="0" applyFont="1" applyFill="1" applyBorder="1" applyAlignment="1">
      <alignment horizontal="left" vertical="center" wrapText="1" indent="1" readingOrder="1"/>
    </xf>
    <xf numFmtId="0" fontId="24" fillId="19" borderId="0" xfId="0" applyFont="1" applyFill="1" applyAlignment="1">
      <alignment horizontal="left" vertical="center" wrapText="1" indent="1" readingOrder="1"/>
    </xf>
    <xf numFmtId="0" fontId="24" fillId="19" borderId="124" xfId="0" applyFont="1" applyFill="1" applyBorder="1" applyAlignment="1">
      <alignment horizontal="left" vertical="center" wrapText="1" indent="1" readingOrder="1"/>
    </xf>
    <xf numFmtId="0" fontId="24" fillId="20" borderId="94" xfId="0" applyFont="1" applyFill="1" applyBorder="1" applyAlignment="1">
      <alignment vertical="center" readingOrder="1"/>
    </xf>
    <xf numFmtId="0" fontId="24" fillId="20" borderId="96" xfId="0" applyFont="1" applyFill="1" applyBorder="1" applyAlignment="1">
      <alignment vertical="center" readingOrder="1"/>
    </xf>
    <xf numFmtId="0" fontId="13" fillId="18" borderId="98" xfId="0" applyFont="1" applyFill="1" applyBorder="1" applyAlignment="1">
      <alignment horizontal="center" vertical="center" wrapText="1" readingOrder="1"/>
    </xf>
    <xf numFmtId="0" fontId="13" fillId="18" borderId="110" xfId="0" applyFont="1" applyFill="1" applyBorder="1" applyAlignment="1">
      <alignment horizontal="center" vertical="center" wrapText="1" readingOrder="1"/>
    </xf>
    <xf numFmtId="0" fontId="13" fillId="18" borderId="111" xfId="0" applyFont="1" applyFill="1" applyBorder="1" applyAlignment="1">
      <alignment horizontal="center" vertical="center" wrapText="1" readingOrder="1"/>
    </xf>
    <xf numFmtId="0" fontId="5" fillId="0" borderId="96" xfId="0" applyFont="1" applyBorder="1" applyAlignment="1">
      <alignment horizontal="center" vertical="center"/>
    </xf>
    <xf numFmtId="0" fontId="5" fillId="0" borderId="97" xfId="0" applyFont="1" applyBorder="1" applyAlignment="1">
      <alignment horizontal="center" vertical="center"/>
    </xf>
    <xf numFmtId="206" fontId="5" fillId="9" borderId="112" xfId="8" applyNumberFormat="1" applyFont="1" applyFill="1" applyBorder="1" applyAlignment="1">
      <alignment horizontal="center" vertical="center"/>
    </xf>
    <xf numFmtId="206" fontId="59" fillId="9" borderId="97" xfId="3" applyNumberFormat="1" applyFont="1" applyFill="1" applyBorder="1" applyAlignment="1">
      <alignment horizontal="center" vertical="center"/>
    </xf>
    <xf numFmtId="206" fontId="5" fillId="9" borderId="98" xfId="8" applyNumberFormat="1" applyFont="1" applyFill="1" applyBorder="1" applyAlignment="1">
      <alignment horizontal="center" vertical="center"/>
    </xf>
    <xf numFmtId="206" fontId="5" fillId="9" borderId="110" xfId="8" applyNumberFormat="1" applyFont="1" applyFill="1" applyBorder="1" applyAlignment="1">
      <alignment horizontal="center" vertical="center"/>
    </xf>
    <xf numFmtId="206" fontId="5" fillId="9" borderId="111" xfId="8" applyNumberFormat="1" applyFont="1" applyFill="1" applyBorder="1" applyAlignment="1">
      <alignment horizontal="center" vertical="center"/>
    </xf>
    <xf numFmtId="206" fontId="62" fillId="9" borderId="97" xfId="3" applyNumberFormat="1" applyFont="1" applyFill="1" applyBorder="1" applyAlignment="1">
      <alignment horizontal="center" vertical="center" wrapText="1"/>
    </xf>
    <xf numFmtId="206" fontId="62" fillId="9" borderId="97" xfId="3" applyNumberFormat="1" applyFont="1" applyFill="1" applyBorder="1" applyAlignment="1">
      <alignment horizontal="center" vertical="center"/>
    </xf>
  </cellXfs>
  <cellStyles count="11">
    <cellStyle name="백분율" xfId="1" builtinId="5"/>
    <cellStyle name="백분율 2" xfId="5" xr:uid="{E71602E0-31D8-4BB3-9DA8-8FF24E19B0FB}"/>
    <cellStyle name="백분율 2 2" xfId="10" xr:uid="{8D91C152-C747-400C-BD44-416B6A73EA5A}"/>
    <cellStyle name="쉼표 [0]" xfId="2" builtinId="6"/>
    <cellStyle name="쉼표 [0] 2" xfId="4" xr:uid="{26F43841-0377-48A4-B72A-FAEB53D46B2A}"/>
    <cellStyle name="쉼표 [0] 5" xfId="9" xr:uid="{C6BA0EEE-94E9-4B9E-882F-C5041A89BCF8}"/>
    <cellStyle name="표준" xfId="0" builtinId="0"/>
    <cellStyle name="표준 2" xfId="3" xr:uid="{389DE61E-577F-472D-97A1-9113E9262D86}"/>
    <cellStyle name="표준 3" xfId="6" xr:uid="{5EDAB725-63BF-437C-84BF-9AE3654DF6E1}"/>
    <cellStyle name="표준 3 2" xfId="8" xr:uid="{27785149-B2C2-4840-BED0-9DF0366EA3EF}"/>
    <cellStyle name="표준 4" xfId="7" xr:uid="{08BBA4D6-C272-4DBE-B7ED-4C549698D12D}"/>
  </cellStyles>
  <dxfs count="2">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99"/>
      <color rgb="FF00338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847725</xdr:colOff>
      <xdr:row>237</xdr:row>
      <xdr:rowOff>161925</xdr:rowOff>
    </xdr:from>
    <xdr:to>
      <xdr:col>17</xdr:col>
      <xdr:colOff>504026</xdr:colOff>
      <xdr:row>246</xdr:row>
      <xdr:rowOff>76018</xdr:rowOff>
    </xdr:to>
    <xdr:pic>
      <xdr:nvPicPr>
        <xdr:cNvPr id="2" name="그림 1">
          <a:extLst>
            <a:ext uri="{FF2B5EF4-FFF2-40B4-BE49-F238E27FC236}">
              <a16:creationId xmlns:a16="http://schemas.microsoft.com/office/drawing/2014/main" id="{01292A6A-B55D-4428-88DB-4C4F45DF18D0}"/>
            </a:ext>
          </a:extLst>
        </xdr:cNvPr>
        <xdr:cNvPicPr>
          <a:picLocks noChangeAspect="1"/>
        </xdr:cNvPicPr>
      </xdr:nvPicPr>
      <xdr:blipFill>
        <a:blip xmlns:r="http://schemas.openxmlformats.org/officeDocument/2006/relationships" r:embed="rId1"/>
        <a:stretch>
          <a:fillRect/>
        </a:stretch>
      </xdr:blipFill>
      <xdr:spPr>
        <a:xfrm>
          <a:off x="8181975" y="40862250"/>
          <a:ext cx="6390476" cy="1457143"/>
        </a:xfrm>
        <a:prstGeom prst="rect">
          <a:avLst/>
        </a:prstGeom>
      </xdr:spPr>
    </xdr:pic>
    <xdr:clientData/>
  </xdr:twoCellAnchor>
  <xdr:twoCellAnchor editAs="oneCell">
    <xdr:from>
      <xdr:col>10</xdr:col>
      <xdr:colOff>904875</xdr:colOff>
      <xdr:row>225</xdr:row>
      <xdr:rowOff>123825</xdr:rowOff>
    </xdr:from>
    <xdr:to>
      <xdr:col>17</xdr:col>
      <xdr:colOff>456414</xdr:colOff>
      <xdr:row>235</xdr:row>
      <xdr:rowOff>161706</xdr:rowOff>
    </xdr:to>
    <xdr:pic>
      <xdr:nvPicPr>
        <xdr:cNvPr id="3" name="그림 2">
          <a:extLst>
            <a:ext uri="{FF2B5EF4-FFF2-40B4-BE49-F238E27FC236}">
              <a16:creationId xmlns:a16="http://schemas.microsoft.com/office/drawing/2014/main" id="{F93A8F56-C7B0-486C-A5E3-4F577C71C33B}"/>
            </a:ext>
          </a:extLst>
        </xdr:cNvPr>
        <xdr:cNvPicPr>
          <a:picLocks noChangeAspect="1"/>
        </xdr:cNvPicPr>
      </xdr:nvPicPr>
      <xdr:blipFill>
        <a:blip xmlns:r="http://schemas.openxmlformats.org/officeDocument/2006/relationships" r:embed="rId2"/>
        <a:stretch>
          <a:fillRect/>
        </a:stretch>
      </xdr:blipFill>
      <xdr:spPr>
        <a:xfrm>
          <a:off x="8239125" y="38766750"/>
          <a:ext cx="6285714" cy="175238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ersonal/hwiwoongkim_kr_kpmg_com/Documents/Valuation%20Specialist/&#9733;2021&#44048;&#49324;&#52280;&#50668;/&#49901;&#51068;&#48264;&#44032;_&#48148;&#47196;&#44256;&#51452;&#49885;&#44032;&#52824;&#54217;&#44032;/4.%20&#44160;&#53664;&#51312;&#49436;/(11&#48264;&#44032;)%20&#48148;&#47196;&#44256;%20&#44048;&#49324;&#52280;&#50668;_Model_v5.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Name val="Des"/>
      <sheetName val="가정"/>
      <sheetName val="WACC"/>
      <sheetName val="DCF"/>
      <sheetName val="Pro Forma"/>
      <sheetName val="영업수익"/>
      <sheetName val="영업비용"/>
      <sheetName val="Capex&amp;Dep"/>
      <sheetName val="WC"/>
      <sheetName val="NOA&amp;IBD"/>
      <sheetName val="&gt;&gt;PBC"/>
      <sheetName val="판매관리비(사업계획)"/>
      <sheetName val="시장전망자료"/>
      <sheetName val="#8. DCF"/>
      <sheetName val="#13 WC (수정)"/>
      <sheetName val="14.시장전망_3"/>
      <sheetName val="18.상품매출_2,3"/>
      <sheetName val="실적상세"/>
      <sheetName val="사업계획"/>
      <sheetName val="사업계획(상세)"/>
      <sheetName val="#9 매출"/>
      <sheetName val="#10 매출원가"/>
      <sheetName val="#11 판매비와관리비"/>
      <sheetName val="#11. 인원"/>
      <sheetName val="#12 감가상각추정"/>
      <sheetName val="#12 감가상각대장"/>
      <sheetName val="#13 WC"/>
      <sheetName val="원가_2018"/>
      <sheetName val="PL(18~20)"/>
    </sheetNames>
    <sheetDataSet>
      <sheetData sheetId="0"/>
      <sheetData sheetId="1">
        <row r="13">
          <cell r="C13" t="str">
            <v>DRAFT - For Discussion Purposes Only</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persons/person.xml><?xml version="1.0" encoding="utf-8"?>
<personList xmlns="http://schemas.microsoft.com/office/spreadsheetml/2018/threadedcomments" xmlns:x="http://schemas.openxmlformats.org/spreadsheetml/2006/main">
  <person displayName="강진영(Carol)/플랫폼사업 Unit/Dreamus" id="{8B2471A5-C8BD-4165-A96E-ECCE9BBB8EF8}" userId="S::jinyeong.kang@dreamus.io::456ec378-a694-40e9-b581-94d23865bcd8" providerId="AD"/>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Z3" dT="2022-06-09T08:21:31.96" personId="{8B2471A5-C8BD-4165-A96E-ECCE9BBB8EF8}" id="{949A2D8F-F11F-4327-A030-0E8722ADB416}">
    <text>[CAGR] 연평균 성장률
 - Compound Annual Growth Rate</text>
  </threadedComment>
  <threadedComment ref="Q32" dT="2022-06-09T08:23:31.19" personId="{8B2471A5-C8BD-4165-A96E-ECCE9BBB8EF8}" id="{42EAB490-7E76-42B8-9F70-AF6C8B2EF96D}">
    <text>[ARPPU] 유저당 평균매출액
 - Average Revenue Per Paying User</text>
  </threadedComment>
</ThreadedComment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84354-4E85-44E8-9168-C1489DB7150D}">
  <sheetPr>
    <tabColor theme="5" tint="-0.249977111117893"/>
  </sheetPr>
  <dimension ref="B3:B4"/>
  <sheetViews>
    <sheetView workbookViewId="0"/>
  </sheetViews>
  <sheetFormatPr defaultRowHeight="16.5" x14ac:dyDescent="0.3"/>
  <sheetData>
    <row r="3" spans="2:2" x14ac:dyDescent="0.3">
      <c r="B3" s="1397" t="s">
        <v>0</v>
      </c>
    </row>
    <row r="4" spans="2:2" x14ac:dyDescent="0.3">
      <c r="B4" s="2"/>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3E767-8B02-4D1B-9ED9-DB14321A4F58}">
  <sheetPr>
    <tabColor rgb="FF00338D"/>
  </sheetPr>
  <dimension ref="B1:C13"/>
  <sheetViews>
    <sheetView workbookViewId="0"/>
  </sheetViews>
  <sheetFormatPr defaultRowHeight="16.5" x14ac:dyDescent="0.3"/>
  <cols>
    <col min="1" max="1" width="2.625" customWidth="1"/>
    <col min="2" max="2" width="28.625" customWidth="1"/>
    <col min="3" max="3" width="90.75" customWidth="1"/>
  </cols>
  <sheetData>
    <row r="1" spans="2:3" ht="31.5" x14ac:dyDescent="0.3">
      <c r="B1" s="1378" t="str">
        <f>C4</f>
        <v>Dreamus Company 손상검토보고서</v>
      </c>
      <c r="C1" s="1379"/>
    </row>
    <row r="2" spans="2:3" ht="20.25" x14ac:dyDescent="0.3">
      <c r="B2" s="1380" t="s">
        <v>1</v>
      </c>
      <c r="C2" s="1381" t="str">
        <f>$C$12</f>
        <v>DRAFT - For Discussion Purposes Only</v>
      </c>
    </row>
    <row r="3" spans="2:3" x14ac:dyDescent="0.3">
      <c r="B3" s="1382"/>
      <c r="C3" s="1382"/>
    </row>
    <row r="4" spans="2:3" x14ac:dyDescent="0.3">
      <c r="B4" s="1383" t="s">
        <v>2</v>
      </c>
      <c r="C4" s="1384" t="s">
        <v>3</v>
      </c>
    </row>
    <row r="5" spans="2:3" x14ac:dyDescent="0.3">
      <c r="B5" s="1385" t="s">
        <v>4</v>
      </c>
      <c r="C5" s="1386" t="s">
        <v>5</v>
      </c>
    </row>
    <row r="6" spans="2:3" x14ac:dyDescent="0.3">
      <c r="B6" s="1385" t="s">
        <v>6</v>
      </c>
      <c r="C6" s="1386" t="s">
        <v>7</v>
      </c>
    </row>
    <row r="7" spans="2:3" x14ac:dyDescent="0.3">
      <c r="B7" s="1385" t="s">
        <v>8</v>
      </c>
      <c r="C7" s="1387">
        <v>44865</v>
      </c>
    </row>
    <row r="8" spans="2:3" x14ac:dyDescent="0.3">
      <c r="B8" s="1385" t="s">
        <v>9</v>
      </c>
      <c r="C8" s="1387">
        <f>C7</f>
        <v>44865</v>
      </c>
    </row>
    <row r="9" spans="2:3" x14ac:dyDescent="0.3">
      <c r="B9" s="1385" t="s">
        <v>10</v>
      </c>
      <c r="C9" s="1387">
        <f>IF(C7=DATE(YEAR(C7),12,31),DATE(YEAR(C7+1),12,31),DATE(YEAR(C7),12,31))</f>
        <v>44926</v>
      </c>
    </row>
    <row r="10" spans="2:3" x14ac:dyDescent="0.3">
      <c r="B10" s="1385" t="s">
        <v>11</v>
      </c>
      <c r="C10" s="1388">
        <f>(C9-C7)/366</f>
        <v>0.16666666666666666</v>
      </c>
    </row>
    <row r="11" spans="2:3" x14ac:dyDescent="0.3">
      <c r="B11" s="1385" t="s">
        <v>12</v>
      </c>
      <c r="C11" s="1386" t="s">
        <v>13</v>
      </c>
    </row>
    <row r="12" spans="2:3" x14ac:dyDescent="0.3">
      <c r="B12" s="1385" t="s">
        <v>14</v>
      </c>
      <c r="C12" s="1386" t="s">
        <v>15</v>
      </c>
    </row>
    <row r="13" spans="2:3" x14ac:dyDescent="0.3">
      <c r="B13" s="1389" t="s">
        <v>16</v>
      </c>
      <c r="C13" s="1390" t="s">
        <v>17</v>
      </c>
    </row>
  </sheetData>
  <phoneticPr fontId="2" type="noConversion"/>
  <dataValidations count="1">
    <dataValidation type="list" allowBlank="1" showInputMessage="1" showErrorMessage="1" sqref="C12" xr:uid="{1BD0F26C-21B0-4769-B40A-BE68759601CC}">
      <formula1>$G$3:$G$4</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0FB93-2D05-4198-8B97-947B92BFDD9B}">
  <sheetPr>
    <tabColor rgb="FF00338D"/>
  </sheetPr>
  <dimension ref="A1:P5"/>
  <sheetViews>
    <sheetView workbookViewId="0"/>
  </sheetViews>
  <sheetFormatPr defaultRowHeight="13.5" x14ac:dyDescent="0.3"/>
  <cols>
    <col min="1" max="1" width="2.625" style="903" customWidth="1"/>
    <col min="2" max="2" width="33.625" style="903" customWidth="1"/>
    <col min="3" max="16" width="10.625" style="903" customWidth="1"/>
    <col min="17" max="16384" width="9" style="903"/>
  </cols>
  <sheetData>
    <row r="1" spans="1:16" s="100" customFormat="1" ht="31.5" x14ac:dyDescent="0.3">
      <c r="A1" s="1361" t="str" cm="1">
        <f t="array" aca="1" ref="A1" ca="1">CELL("filename",A1)</f>
        <v>https://onedrive-global.kpmg.com/personal/hwiwoongkim_kr_kpmg_com/Documents/Valuation Specialist 2022/33-36. SK스퀘어/2.0. 검토조서/[SK스퀘어_드림어스손상검토_Specialist_v0.2.xlsx]DCF</v>
      </c>
      <c r="B1" s="1362" t="str">
        <f>Des!B1</f>
        <v>Dreamus Company 손상검토보고서</v>
      </c>
      <c r="C1" s="1362"/>
      <c r="D1" s="1362"/>
      <c r="E1" s="1362"/>
      <c r="F1" s="1363"/>
      <c r="G1" s="1363"/>
      <c r="H1" s="1363"/>
      <c r="I1" s="1363"/>
      <c r="J1" s="1363"/>
      <c r="K1" s="1363"/>
      <c r="L1" s="1363"/>
      <c r="M1" s="1363"/>
      <c r="N1" s="1363"/>
      <c r="O1" s="1364"/>
      <c r="P1" s="1364" t="str">
        <f>[1]Des!C13</f>
        <v>DRAFT - For Discussion Purposes Only</v>
      </c>
    </row>
    <row r="2" spans="1:16" s="100" customFormat="1" ht="19.5" x14ac:dyDescent="0.3">
      <c r="B2" s="1365" t="str">
        <f ca="1">MID(A1,FIND("]",A1)+1,100)</f>
        <v>DCF</v>
      </c>
      <c r="C2" s="1365"/>
      <c r="D2" s="1365"/>
      <c r="E2" s="1365"/>
      <c r="F2" s="1366"/>
      <c r="G2" s="1366"/>
      <c r="H2" s="1366"/>
      <c r="I2" s="1366"/>
      <c r="J2" s="1366"/>
      <c r="K2" s="1366"/>
      <c r="L2" s="1366"/>
      <c r="M2" s="1366"/>
      <c r="N2" s="1366"/>
      <c r="O2" s="1366"/>
      <c r="P2" s="1366"/>
    </row>
    <row r="3" spans="1:16" s="100" customFormat="1" ht="12" x14ac:dyDescent="0.3"/>
    <row r="4" spans="1:16" s="100" customFormat="1" ht="12" x14ac:dyDescent="0.3">
      <c r="B4" s="1367" t="str">
        <f ca="1">B2</f>
        <v>DCF</v>
      </c>
      <c r="C4" s="1391"/>
      <c r="D4" s="1391"/>
      <c r="E4" s="1391"/>
      <c r="F4" s="1368" t="s">
        <v>18</v>
      </c>
      <c r="G4" s="1368" t="s">
        <v>18</v>
      </c>
      <c r="H4" s="1368" t="s">
        <v>18</v>
      </c>
      <c r="I4" s="1369" t="s">
        <v>19</v>
      </c>
      <c r="J4" s="1370" t="s">
        <v>20</v>
      </c>
      <c r="K4" s="1368" t="s">
        <v>18</v>
      </c>
      <c r="L4" s="1368" t="s">
        <v>18</v>
      </c>
      <c r="M4" s="1368" t="s">
        <v>18</v>
      </c>
      <c r="N4" s="1368" t="s">
        <v>18</v>
      </c>
      <c r="O4" s="1368" t="s">
        <v>18</v>
      </c>
      <c r="P4" s="1371" t="s">
        <v>18</v>
      </c>
    </row>
    <row r="5" spans="1:16" s="100" customFormat="1" ht="12" x14ac:dyDescent="0.3">
      <c r="B5" s="1372" t="str">
        <f>Des!C13</f>
        <v>백만원</v>
      </c>
      <c r="C5" s="1392"/>
      <c r="D5" s="1392"/>
      <c r="E5" s="1392"/>
      <c r="F5" s="1373">
        <v>2019</v>
      </c>
      <c r="G5" s="1373">
        <v>2020</v>
      </c>
      <c r="H5" s="1373">
        <v>2021</v>
      </c>
      <c r="I5" s="1374">
        <v>2022</v>
      </c>
      <c r="J5" s="1375">
        <v>2022</v>
      </c>
      <c r="K5" s="1376">
        <v>2022</v>
      </c>
      <c r="L5" s="1376">
        <v>2023</v>
      </c>
      <c r="M5" s="1376">
        <v>2024</v>
      </c>
      <c r="N5" s="1376">
        <v>2025</v>
      </c>
      <c r="O5" s="1376">
        <v>2026</v>
      </c>
      <c r="P5" s="1377">
        <v>2027</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6968D-5B38-46C3-B1D9-5CC28823D13F}">
  <sheetPr>
    <tabColor rgb="FF00338D"/>
  </sheetPr>
  <dimension ref="A1:V5"/>
  <sheetViews>
    <sheetView tabSelected="1" workbookViewId="0"/>
  </sheetViews>
  <sheetFormatPr defaultRowHeight="13.5" x14ac:dyDescent="0.3"/>
  <cols>
    <col min="1" max="10" width="2.625" style="903" customWidth="1"/>
    <col min="11" max="22" width="10.625" style="903" customWidth="1"/>
    <col min="23" max="16384" width="9" style="903"/>
  </cols>
  <sheetData>
    <row r="1" spans="1:22" s="100" customFormat="1" ht="31.5" x14ac:dyDescent="0.3">
      <c r="A1" s="1361" t="str" cm="1">
        <f t="array" aca="1" ref="A1" ca="1">CELL("filename",A1)</f>
        <v>https://onedrive-global.kpmg.com/personal/hwiwoongkim_kr_kpmg_com/Documents/Valuation Specialist 2022/33-36. SK스퀘어/2.0. 검토조서/[SK스퀘어_드림어스손상검토_Specialist_v0.2.xlsx]Pro-Forma</v>
      </c>
      <c r="B1" s="1362" t="str">
        <f>Des!B1</f>
        <v>Dreamus Company 손상검토보고서</v>
      </c>
      <c r="C1" s="1362"/>
      <c r="D1" s="1362"/>
      <c r="E1" s="1362"/>
      <c r="F1" s="1362"/>
      <c r="G1" s="1362"/>
      <c r="H1" s="1362"/>
      <c r="I1" s="1362"/>
      <c r="J1" s="1362"/>
      <c r="K1" s="1362"/>
      <c r="L1" s="1362"/>
      <c r="M1" s="1362"/>
      <c r="N1" s="1363"/>
      <c r="O1" s="1363"/>
      <c r="P1" s="1363"/>
      <c r="Q1" s="1363"/>
      <c r="R1" s="1363"/>
      <c r="S1" s="1363"/>
      <c r="T1" s="1363"/>
      <c r="U1" s="1364"/>
      <c r="V1" s="1364" t="str">
        <f>[1]Des!C13</f>
        <v>DRAFT - For Discussion Purposes Only</v>
      </c>
    </row>
    <row r="2" spans="1:22" s="100" customFormat="1" ht="19.5" x14ac:dyDescent="0.3">
      <c r="B2" s="1365" t="str">
        <f ca="1">MID(A1,FIND("]",A1)+1,100)</f>
        <v>Pro-Forma</v>
      </c>
      <c r="C2" s="1365"/>
      <c r="D2" s="1365"/>
      <c r="E2" s="1365"/>
      <c r="F2" s="1365"/>
      <c r="G2" s="1365"/>
      <c r="H2" s="1365"/>
      <c r="I2" s="1365"/>
      <c r="J2" s="1365"/>
      <c r="K2" s="1365"/>
      <c r="L2" s="1365"/>
      <c r="M2" s="1365"/>
      <c r="N2" s="1366"/>
      <c r="O2" s="1366"/>
      <c r="P2" s="1366"/>
      <c r="Q2" s="1366"/>
      <c r="R2" s="1366"/>
      <c r="S2" s="1366"/>
      <c r="T2" s="1366"/>
      <c r="U2" s="1366"/>
      <c r="V2" s="1366"/>
    </row>
    <row r="3" spans="1:22" s="100" customFormat="1" ht="12" x14ac:dyDescent="0.3"/>
    <row r="4" spans="1:22" s="100" customFormat="1" ht="12" x14ac:dyDescent="0.3">
      <c r="B4" s="1367" t="str">
        <f ca="1">B2</f>
        <v>Pro-Forma</v>
      </c>
      <c r="C4" s="1391"/>
      <c r="D4" s="1391"/>
      <c r="E4" s="1391"/>
      <c r="F4" s="1391"/>
      <c r="G4" s="1391"/>
      <c r="H4" s="1391"/>
      <c r="I4" s="1391"/>
      <c r="J4" s="1391"/>
      <c r="K4" s="1391"/>
      <c r="L4" s="1391"/>
      <c r="M4" s="1391"/>
      <c r="N4" s="1368" t="s">
        <v>18</v>
      </c>
      <c r="O4" s="1368" t="s">
        <v>18</v>
      </c>
      <c r="P4" s="1368" t="s">
        <v>18</v>
      </c>
      <c r="Q4" s="1368" t="s">
        <v>18</v>
      </c>
      <c r="R4" s="1368" t="s">
        <v>18</v>
      </c>
      <c r="S4" s="1368" t="s">
        <v>18</v>
      </c>
      <c r="T4" s="1368" t="s">
        <v>18</v>
      </c>
      <c r="U4" s="1368" t="s">
        <v>18</v>
      </c>
      <c r="V4" s="1371" t="s">
        <v>18</v>
      </c>
    </row>
    <row r="5" spans="1:22" s="100" customFormat="1" ht="12" x14ac:dyDescent="0.3">
      <c r="B5" s="1372" t="str">
        <f>Des!C13</f>
        <v>백만원</v>
      </c>
      <c r="C5" s="1392"/>
      <c r="D5" s="1392"/>
      <c r="E5" s="1392"/>
      <c r="F5" s="1392"/>
      <c r="G5" s="1392"/>
      <c r="H5" s="1392"/>
      <c r="I5" s="1392"/>
      <c r="J5" s="1392"/>
      <c r="K5" s="1392"/>
      <c r="L5" s="1392"/>
      <c r="M5" s="1392"/>
      <c r="N5" s="1373">
        <v>2019</v>
      </c>
      <c r="O5" s="1373">
        <v>2020</v>
      </c>
      <c r="P5" s="1373">
        <v>2021</v>
      </c>
      <c r="Q5" s="1376">
        <v>2022</v>
      </c>
      <c r="R5" s="1376">
        <v>2023</v>
      </c>
      <c r="S5" s="1376">
        <v>2024</v>
      </c>
      <c r="T5" s="1376">
        <v>2025</v>
      </c>
      <c r="U5" s="1376">
        <v>2026</v>
      </c>
      <c r="V5" s="1377">
        <v>2027</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D3F42-73F5-4B1C-95E4-3B8EB708922D}">
  <sheetPr>
    <tabColor rgb="FF00338D"/>
  </sheetPr>
  <dimension ref="A1:AE208"/>
  <sheetViews>
    <sheetView showGridLines="0" workbookViewId="0">
      <selection activeCell="C8" sqref="C8"/>
    </sheetView>
  </sheetViews>
  <sheetFormatPr defaultRowHeight="13.5" x14ac:dyDescent="0.3"/>
  <cols>
    <col min="1" max="9" width="2.625" style="903" customWidth="1"/>
    <col min="10" max="10" width="2.625" style="21" customWidth="1"/>
    <col min="11" max="11" width="10.625" style="1469" customWidth="1"/>
    <col min="12" max="22" width="10.625" style="903" customWidth="1"/>
    <col min="23" max="16384" width="9" style="903"/>
  </cols>
  <sheetData>
    <row r="1" spans="1:30" s="100" customFormat="1" ht="31.5" x14ac:dyDescent="0.3">
      <c r="A1" s="1361" t="str" cm="1">
        <f t="array" aca="1" ref="A1" ca="1">CELL("filename",A1)</f>
        <v>https://onedrive-global.kpmg.com/personal/hwiwoongkim_kr_kpmg_com/Documents/Valuation Specialist 2022/33-36. SK스퀘어/2.0. 검토조서/[SK스퀘어_드림어스손상검토_Specialist_v0.2.xlsx]플랫폼사업</v>
      </c>
      <c r="B1" s="1362" t="str">
        <f>Des!B1</f>
        <v>Dreamus Company 손상검토보고서</v>
      </c>
      <c r="C1" s="1362"/>
      <c r="D1" s="1362"/>
      <c r="E1" s="1362"/>
      <c r="F1" s="1362"/>
      <c r="G1" s="1362"/>
      <c r="H1" s="1362"/>
      <c r="I1" s="1362"/>
      <c r="J1" s="1450"/>
      <c r="K1" s="1458"/>
      <c r="L1" s="1362"/>
      <c r="M1" s="1362"/>
      <c r="N1" s="1363"/>
      <c r="O1" s="1363"/>
      <c r="P1" s="1363"/>
      <c r="Q1" s="1363"/>
      <c r="R1" s="1363"/>
      <c r="S1" s="1363"/>
      <c r="T1" s="1363"/>
      <c r="U1" s="1364"/>
      <c r="V1" s="1364" t="str">
        <f>[1]Des!C13</f>
        <v>DRAFT - For Discussion Purposes Only</v>
      </c>
    </row>
    <row r="2" spans="1:30" s="100" customFormat="1" ht="19.5" x14ac:dyDescent="0.3">
      <c r="B2" s="1365" t="str">
        <f ca="1">MID(A1,FIND("]",A1)+1,100)</f>
        <v>플랫폼사업</v>
      </c>
      <c r="C2" s="1365"/>
      <c r="D2" s="1365"/>
      <c r="E2" s="1365"/>
      <c r="F2" s="1365"/>
      <c r="G2" s="1365"/>
      <c r="H2" s="1365"/>
      <c r="I2" s="1365"/>
      <c r="J2" s="1451"/>
      <c r="K2" s="1459"/>
      <c r="L2" s="1365"/>
      <c r="M2" s="1365"/>
      <c r="N2" s="1366"/>
      <c r="O2" s="1366"/>
      <c r="P2" s="1366"/>
      <c r="Q2" s="1366"/>
      <c r="R2" s="1366"/>
      <c r="S2" s="1366"/>
      <c r="T2" s="1366"/>
      <c r="U2" s="1366"/>
      <c r="V2" s="1366"/>
    </row>
    <row r="3" spans="1:30" s="100" customFormat="1" ht="12" x14ac:dyDescent="0.3">
      <c r="J3" s="1452"/>
      <c r="K3" s="1460"/>
    </row>
    <row r="4" spans="1:30" s="100" customFormat="1" ht="12" x14ac:dyDescent="0.3">
      <c r="B4" s="1367" t="str">
        <f ca="1">B2</f>
        <v>플랫폼사업</v>
      </c>
      <c r="C4" s="1391"/>
      <c r="D4" s="1391"/>
      <c r="E4" s="1391"/>
      <c r="F4" s="1391"/>
      <c r="G4" s="1391"/>
      <c r="H4" s="1391"/>
      <c r="I4" s="1391"/>
      <c r="J4" s="1453"/>
      <c r="K4" s="1461"/>
      <c r="L4" s="1391"/>
      <c r="M4" s="1391"/>
      <c r="N4" s="1368" t="s">
        <v>18</v>
      </c>
      <c r="O4" s="1368" t="s">
        <v>18</v>
      </c>
      <c r="P4" s="1402" t="s">
        <v>18</v>
      </c>
      <c r="Q4" s="1368" t="s">
        <v>18</v>
      </c>
      <c r="R4" s="1368" t="s">
        <v>18</v>
      </c>
      <c r="S4" s="1368" t="s">
        <v>18</v>
      </c>
      <c r="T4" s="1368" t="s">
        <v>18</v>
      </c>
      <c r="U4" s="1368" t="s">
        <v>18</v>
      </c>
      <c r="V4" s="1371" t="s">
        <v>18</v>
      </c>
      <c r="X4" s="1431" t="s">
        <v>18</v>
      </c>
      <c r="Y4" s="1432" t="s">
        <v>18</v>
      </c>
      <c r="Z4" s="1432" t="s">
        <v>18</v>
      </c>
      <c r="AA4" s="1432" t="s">
        <v>18</v>
      </c>
      <c r="AB4" s="1432" t="s">
        <v>18</v>
      </c>
      <c r="AC4" s="1432" t="s">
        <v>18</v>
      </c>
      <c r="AD4" s="1433" t="s">
        <v>18</v>
      </c>
    </row>
    <row r="5" spans="1:30" s="100" customFormat="1" ht="12" x14ac:dyDescent="0.3">
      <c r="B5" s="1372" t="str">
        <f>Des!C13</f>
        <v>백만원</v>
      </c>
      <c r="C5" s="1392"/>
      <c r="D5" s="1392"/>
      <c r="E5" s="1392"/>
      <c r="F5" s="1392"/>
      <c r="G5" s="1392"/>
      <c r="H5" s="1392"/>
      <c r="I5" s="1392"/>
      <c r="J5" s="1454"/>
      <c r="K5" s="1462" t="s">
        <v>21</v>
      </c>
      <c r="L5" s="1392"/>
      <c r="M5" s="1392"/>
      <c r="N5" s="1373">
        <v>2019</v>
      </c>
      <c r="O5" s="1373">
        <v>2020</v>
      </c>
      <c r="P5" s="1403">
        <v>2021</v>
      </c>
      <c r="Q5" s="1376">
        <v>2022</v>
      </c>
      <c r="R5" s="1376">
        <v>2023</v>
      </c>
      <c r="S5" s="1376">
        <v>2024</v>
      </c>
      <c r="T5" s="1376">
        <v>2025</v>
      </c>
      <c r="U5" s="1376">
        <v>2026</v>
      </c>
      <c r="V5" s="1377">
        <v>2027</v>
      </c>
      <c r="X5" s="1434">
        <v>2021</v>
      </c>
      <c r="Y5" s="1435">
        <v>2022</v>
      </c>
      <c r="Z5" s="1435">
        <v>2023</v>
      </c>
      <c r="AA5" s="1435">
        <v>2024</v>
      </c>
      <c r="AB5" s="1435">
        <v>2025</v>
      </c>
      <c r="AC5" s="1435">
        <v>2026</v>
      </c>
      <c r="AD5" s="1436">
        <v>2027</v>
      </c>
    </row>
    <row r="6" spans="1:30" x14ac:dyDescent="0.3">
      <c r="B6" s="1399" t="s">
        <v>22</v>
      </c>
      <c r="C6" s="1399"/>
      <c r="D6" s="1399"/>
      <c r="E6" s="1399"/>
      <c r="F6" s="1399"/>
      <c r="G6" s="1399"/>
      <c r="H6" s="1399"/>
      <c r="I6" s="1399"/>
      <c r="J6" s="1455"/>
      <c r="K6" s="1463"/>
      <c r="L6" s="1400"/>
      <c r="M6" s="1400"/>
      <c r="N6" s="1400"/>
      <c r="O6" s="1400"/>
      <c r="P6" s="1404"/>
      <c r="Q6" s="1400"/>
      <c r="R6" s="1400"/>
      <c r="S6" s="1400"/>
      <c r="T6" s="1400"/>
      <c r="U6" s="1400"/>
      <c r="V6" s="1400"/>
      <c r="X6" s="1437" t="s">
        <v>23</v>
      </c>
      <c r="Y6" s="1438"/>
      <c r="Z6" s="1438"/>
      <c r="AA6" s="1438"/>
      <c r="AB6" s="1438"/>
      <c r="AC6" s="1438"/>
      <c r="AD6" s="1438"/>
    </row>
    <row r="7" spans="1:30" s="15" customFormat="1" x14ac:dyDescent="0.3">
      <c r="B7" s="87" t="s">
        <v>24</v>
      </c>
      <c r="C7" s="87"/>
      <c r="D7" s="87"/>
      <c r="E7" s="87"/>
      <c r="F7" s="87"/>
      <c r="G7" s="87"/>
      <c r="H7" s="87"/>
      <c r="I7" s="87"/>
      <c r="J7" s="88"/>
      <c r="K7" s="1464" t="s">
        <v>25</v>
      </c>
      <c r="L7" s="87"/>
      <c r="M7" s="87"/>
      <c r="N7" s="87"/>
      <c r="O7" s="87"/>
      <c r="P7" s="1442">
        <f>P8+P13</f>
        <v>126627.35776327207</v>
      </c>
      <c r="Q7" s="87">
        <f t="shared" ref="Q7:V7" si="0">Q8+Q13</f>
        <v>115741.04339393074</v>
      </c>
      <c r="R7" s="87">
        <f t="shared" si="0"/>
        <v>125063.26310974533</v>
      </c>
      <c r="S7" s="87">
        <f t="shared" si="0"/>
        <v>162903.55670005322</v>
      </c>
      <c r="T7" s="87">
        <f t="shared" si="0"/>
        <v>188729.85466222305</v>
      </c>
      <c r="U7" s="87">
        <f t="shared" si="0"/>
        <v>218902.01287269796</v>
      </c>
      <c r="V7" s="87">
        <f t="shared" si="0"/>
        <v>255165.83218923956</v>
      </c>
      <c r="X7" s="1439">
        <f>P7/P$7</f>
        <v>1</v>
      </c>
      <c r="Y7" s="1439">
        <f t="shared" ref="Y7:AD16" si="1">Q7/Q$7</f>
        <v>1</v>
      </c>
      <c r="Z7" s="1439">
        <f t="shared" si="1"/>
        <v>1</v>
      </c>
      <c r="AA7" s="1439">
        <f t="shared" si="1"/>
        <v>1</v>
      </c>
      <c r="AB7" s="1439">
        <f t="shared" si="1"/>
        <v>1</v>
      </c>
      <c r="AC7" s="1439">
        <f t="shared" si="1"/>
        <v>1</v>
      </c>
      <c r="AD7" s="1439">
        <f t="shared" si="1"/>
        <v>1</v>
      </c>
    </row>
    <row r="8" spans="1:30" s="1401" customFormat="1" x14ac:dyDescent="0.3">
      <c r="C8" s="15" t="s">
        <v>26</v>
      </c>
      <c r="D8" s="15"/>
      <c r="E8" s="15"/>
      <c r="F8" s="15"/>
      <c r="G8" s="15"/>
      <c r="H8" s="15"/>
      <c r="I8" s="15"/>
      <c r="J8" s="18"/>
      <c r="K8" s="45"/>
      <c r="L8" s="15"/>
      <c r="M8" s="15"/>
      <c r="N8" s="15"/>
      <c r="O8" s="15"/>
      <c r="P8" s="1406">
        <f>P9+P10+P11</f>
        <v>93474.880530272072</v>
      </c>
      <c r="Q8" s="15">
        <f t="shared" ref="Q8:V8" si="2">Q9+Q10+Q11</f>
        <v>83365.683239599704</v>
      </c>
      <c r="R8" s="15">
        <f t="shared" si="2"/>
        <v>82403.386050000001</v>
      </c>
      <c r="S8" s="15">
        <f t="shared" si="2"/>
        <v>96754.813411600087</v>
      </c>
      <c r="T8" s="15">
        <f t="shared" si="2"/>
        <v>107479.83883705206</v>
      </c>
      <c r="U8" s="15">
        <f t="shared" si="2"/>
        <v>118893.82112760092</v>
      </c>
      <c r="V8" s="15">
        <f t="shared" si="2"/>
        <v>131549.92943265749</v>
      </c>
      <c r="X8" s="1428">
        <f t="shared" ref="X8:X16" si="3">P8/P$7</f>
        <v>0.73818866776816072</v>
      </c>
      <c r="Y8" s="1428">
        <f t="shared" si="1"/>
        <v>0.72027761971922277</v>
      </c>
      <c r="Z8" s="1428">
        <f t="shared" si="1"/>
        <v>0.6588936191253022</v>
      </c>
      <c r="AA8" s="1428">
        <f t="shared" si="1"/>
        <v>0.59393923233824941</v>
      </c>
      <c r="AB8" s="1428">
        <f t="shared" si="1"/>
        <v>0.5694903915939149</v>
      </c>
      <c r="AC8" s="1428">
        <f t="shared" si="1"/>
        <v>0.54313717616083956</v>
      </c>
      <c r="AD8" s="1428">
        <f t="shared" si="1"/>
        <v>0.51554680461722491</v>
      </c>
    </row>
    <row r="9" spans="1:30" s="1401" customFormat="1" x14ac:dyDescent="0.3">
      <c r="C9" s="1422"/>
      <c r="D9" s="1423" t="s">
        <v>27</v>
      </c>
      <c r="E9" s="1421"/>
      <c r="F9" s="1421"/>
      <c r="G9" s="1421"/>
      <c r="H9" s="1421"/>
      <c r="I9" s="1421"/>
      <c r="J9" s="1456"/>
      <c r="K9" s="1465"/>
      <c r="L9" s="1421"/>
      <c r="M9" s="1421"/>
      <c r="N9" s="1421"/>
      <c r="O9" s="1421"/>
      <c r="P9" s="1422">
        <f>플랫폼!E6*100</f>
        <v>87413.95682927208</v>
      </c>
      <c r="Q9" s="1421">
        <f>플랫폼!F6*100</f>
        <v>78732.167973000003</v>
      </c>
      <c r="R9" s="1421">
        <f>플랫폼!G6*100</f>
        <v>77700</v>
      </c>
      <c r="S9" s="1421">
        <f>플랫폼!H6*100</f>
        <v>91956.577342600081</v>
      </c>
      <c r="T9" s="1421">
        <f>플랫폼!I6*100</f>
        <v>102579.28209223205</v>
      </c>
      <c r="U9" s="1421">
        <f>플랫폼!J6*100</f>
        <v>113883.71144606132</v>
      </c>
      <c r="V9" s="1421">
        <f>플랫폼!K6*100</f>
        <v>126423.2338497342</v>
      </c>
      <c r="X9" s="44">
        <f t="shared" si="3"/>
        <v>0.6903244162504848</v>
      </c>
      <c r="Y9" s="44">
        <f t="shared" si="1"/>
        <v>0.68024415250025805</v>
      </c>
      <c r="Z9" s="44">
        <f t="shared" si="1"/>
        <v>0.62128556434527715</v>
      </c>
      <c r="AA9" s="44">
        <f t="shared" si="1"/>
        <v>0.5644847737236055</v>
      </c>
      <c r="AB9" s="44">
        <f t="shared" si="1"/>
        <v>0.54352440569523075</v>
      </c>
      <c r="AC9" s="44">
        <f t="shared" si="1"/>
        <v>0.52024972247418377</v>
      </c>
      <c r="AD9" s="44">
        <f t="shared" si="1"/>
        <v>0.4954551820871318</v>
      </c>
    </row>
    <row r="10" spans="1:30" s="1401" customFormat="1" x14ac:dyDescent="0.3">
      <c r="D10" s="1424" t="s">
        <v>28</v>
      </c>
      <c r="J10" s="18"/>
      <c r="K10" s="45"/>
      <c r="P10" s="1405">
        <f>플랫폼!E7*100</f>
        <v>5171.969642</v>
      </c>
      <c r="Q10" s="1401">
        <f>플랫폼!F7*100</f>
        <v>4099.6075248892457</v>
      </c>
      <c r="R10" s="1401">
        <f>플랫폼!G7*100</f>
        <v>4347.6048000000001</v>
      </c>
      <c r="S10" s="1401">
        <f>플랫폼!H7*100</f>
        <v>4478.0329440000005</v>
      </c>
      <c r="T10" s="1401">
        <f>플랫폼!I7*100</f>
        <v>4612.3739323200007</v>
      </c>
      <c r="U10" s="1401">
        <f>플랫폼!J7*100</f>
        <v>4750.7451502896001</v>
      </c>
      <c r="V10" s="1401">
        <f>플랫폼!K7*100</f>
        <v>4893.2675047982884</v>
      </c>
      <c r="X10" s="44">
        <f t="shared" si="3"/>
        <v>4.0844014542804556E-2</v>
      </c>
      <c r="Y10" s="44">
        <f t="shared" si="1"/>
        <v>3.5420516393100204E-2</v>
      </c>
      <c r="Z10" s="44">
        <f t="shared" si="1"/>
        <v>3.4763244552358248E-2</v>
      </c>
      <c r="AA10" s="44">
        <f t="shared" si="1"/>
        <v>2.7488859265640195E-2</v>
      </c>
      <c r="AB10" s="44">
        <f t="shared" si="1"/>
        <v>2.4439026568292232E-2</v>
      </c>
      <c r="AC10" s="44">
        <f t="shared" si="1"/>
        <v>2.1702610624473272E-2</v>
      </c>
      <c r="AD10" s="44">
        <f t="shared" si="1"/>
        <v>1.9176813223054395E-2</v>
      </c>
    </row>
    <row r="11" spans="1:30" s="1401" customFormat="1" x14ac:dyDescent="0.3">
      <c r="D11" s="1424" t="s">
        <v>29</v>
      </c>
      <c r="J11" s="18"/>
      <c r="K11" s="45"/>
      <c r="P11" s="1405">
        <f>플랫폼!E8*100</f>
        <v>888.95405899999992</v>
      </c>
      <c r="Q11" s="1401">
        <f>플랫폼!F8*100</f>
        <v>533.90774171045393</v>
      </c>
      <c r="R11" s="1401">
        <f>플랫폼!G8*100</f>
        <v>355.78125</v>
      </c>
      <c r="S11" s="1401">
        <f>플랫폼!H8*100</f>
        <v>320.203125</v>
      </c>
      <c r="T11" s="1401">
        <f>플랫폼!I8*100</f>
        <v>288.18281250000001</v>
      </c>
      <c r="U11" s="1401">
        <f>플랫폼!J8*100</f>
        <v>259.36453125000003</v>
      </c>
      <c r="V11" s="1401">
        <f>플랫폼!K8*100</f>
        <v>233.42807812499998</v>
      </c>
      <c r="X11" s="44">
        <f t="shared" si="3"/>
        <v>7.0202369748714657E-3</v>
      </c>
      <c r="Y11" s="44">
        <f t="shared" si="1"/>
        <v>4.6129508258645193E-3</v>
      </c>
      <c r="Z11" s="44">
        <f t="shared" si="1"/>
        <v>2.8448102276668998E-3</v>
      </c>
      <c r="AA11" s="44">
        <f t="shared" si="1"/>
        <v>1.9655993490036269E-3</v>
      </c>
      <c r="AB11" s="44">
        <f t="shared" si="1"/>
        <v>1.5269593303919599E-3</v>
      </c>
      <c r="AC11" s="44">
        <f t="shared" si="1"/>
        <v>1.184843062182498E-3</v>
      </c>
      <c r="AD11" s="44">
        <f t="shared" si="1"/>
        <v>9.1480930703873346E-4</v>
      </c>
    </row>
    <row r="12" spans="1:30" s="1401" customFormat="1" x14ac:dyDescent="0.3">
      <c r="D12" s="1424"/>
      <c r="J12" s="18"/>
      <c r="K12" s="45"/>
      <c r="P12" s="1405"/>
      <c r="X12" s="44"/>
      <c r="Y12" s="44"/>
      <c r="Z12" s="44"/>
      <c r="AA12" s="44"/>
      <c r="AB12" s="44"/>
      <c r="AC12" s="44"/>
      <c r="AD12" s="44"/>
    </row>
    <row r="13" spans="1:30" s="15" customFormat="1" x14ac:dyDescent="0.3">
      <c r="C13" s="15" t="s">
        <v>30</v>
      </c>
      <c r="J13" s="18"/>
      <c r="K13" s="45"/>
      <c r="P13" s="1406">
        <f>P14+P15+P16</f>
        <v>33152.477232999998</v>
      </c>
      <c r="Q13" s="15">
        <f t="shared" ref="Q13" si="4">Q14+Q15+Q16</f>
        <v>32375.360154331043</v>
      </c>
      <c r="R13" s="15">
        <f t="shared" ref="R13" si="5">R14+R15+R16</f>
        <v>42659.877059745326</v>
      </c>
      <c r="S13" s="15">
        <f t="shared" ref="S13" si="6">S14+S15+S16</f>
        <v>66148.743288453115</v>
      </c>
      <c r="T13" s="15">
        <f t="shared" ref="T13" si="7">T14+T15+T16</f>
        <v>81250.015825170995</v>
      </c>
      <c r="U13" s="15">
        <f t="shared" ref="U13" si="8">U14+U15+U16</f>
        <v>100008.19174509702</v>
      </c>
      <c r="V13" s="15">
        <f t="shared" ref="V13" si="9">V14+V15+V16</f>
        <v>123615.90275658207</v>
      </c>
      <c r="X13" s="1440">
        <f t="shared" si="3"/>
        <v>0.26181133223183928</v>
      </c>
      <c r="Y13" s="1440">
        <f t="shared" si="1"/>
        <v>0.27972238028077734</v>
      </c>
      <c r="Z13" s="1440">
        <f t="shared" si="1"/>
        <v>0.34110638087469775</v>
      </c>
      <c r="AA13" s="1487">
        <f t="shared" si="1"/>
        <v>0.40606076766175053</v>
      </c>
      <c r="AB13" s="1487">
        <f t="shared" si="1"/>
        <v>0.4305096084060851</v>
      </c>
      <c r="AC13" s="1487">
        <f t="shared" si="1"/>
        <v>0.45686282383916038</v>
      </c>
      <c r="AD13" s="1487">
        <f t="shared" si="1"/>
        <v>0.48445319538277509</v>
      </c>
    </row>
    <row r="14" spans="1:30" s="1401" customFormat="1" x14ac:dyDescent="0.3">
      <c r="C14" s="1422"/>
      <c r="D14" s="1423" t="s">
        <v>31</v>
      </c>
      <c r="E14" s="1421"/>
      <c r="F14" s="1421"/>
      <c r="G14" s="1421"/>
      <c r="H14" s="1421"/>
      <c r="I14" s="1421"/>
      <c r="J14" s="1456"/>
      <c r="K14" s="1465"/>
      <c r="L14" s="1421"/>
      <c r="M14" s="1421"/>
      <c r="N14" s="1421"/>
      <c r="O14" s="1421"/>
      <c r="P14" s="1422">
        <f>플랫폼!E11*100</f>
        <v>17622.877752</v>
      </c>
      <c r="Q14" s="1421">
        <f>플랫폼!F11*100</f>
        <v>16689.216065006949</v>
      </c>
      <c r="R14" s="1421">
        <f>플랫폼!G11*100</f>
        <v>16220.52638635997</v>
      </c>
      <c r="S14" s="1421">
        <f>플랫폼!H11*100</f>
        <v>19009.739703045463</v>
      </c>
      <c r="T14" s="1421">
        <f>플랫폼!I11*100</f>
        <v>21167.489022520906</v>
      </c>
      <c r="U14" s="1421">
        <f>플랫폼!J11*100</f>
        <v>23472.539847498323</v>
      </c>
      <c r="V14" s="1421">
        <f>플랫폼!K11*100</f>
        <v>26026.925947246003</v>
      </c>
      <c r="X14" s="44">
        <f t="shared" si="3"/>
        <v>0.13917117172219373</v>
      </c>
      <c r="Y14" s="44">
        <f t="shared" si="1"/>
        <v>0.14419444974419596</v>
      </c>
      <c r="Z14" s="44">
        <f t="shared" si="1"/>
        <v>0.12969857001193194</v>
      </c>
      <c r="AA14" s="44">
        <f t="shared" si="1"/>
        <v>0.1166932146119266</v>
      </c>
      <c r="AB14" s="44">
        <f t="shared" si="1"/>
        <v>0.11215760781676624</v>
      </c>
      <c r="AC14" s="44">
        <f t="shared" si="1"/>
        <v>0.10722852448665574</v>
      </c>
      <c r="AD14" s="44">
        <f t="shared" si="1"/>
        <v>0.10200004335981613</v>
      </c>
    </row>
    <row r="15" spans="1:30" s="1401" customFormat="1" x14ac:dyDescent="0.3">
      <c r="D15" s="1424" t="s">
        <v>32</v>
      </c>
      <c r="J15" s="18"/>
      <c r="K15" s="45"/>
      <c r="P15" s="1405">
        <f>플랫폼!E12*100</f>
        <v>11464.623453</v>
      </c>
      <c r="Q15" s="1401">
        <f>플랫폼!F12*100</f>
        <v>12635.384321691767</v>
      </c>
      <c r="R15" s="1401">
        <f>플랫폼!G12*100</f>
        <v>11285.838556685336</v>
      </c>
      <c r="S15" s="1401">
        <f>플랫폼!H12*100</f>
        <v>14658.168899610853</v>
      </c>
      <c r="T15" s="1401">
        <f>플랫폼!I12*100</f>
        <v>17857.44171111425</v>
      </c>
      <c r="U15" s="1401">
        <f>플랫폼!J12*100</f>
        <v>21643.041278602082</v>
      </c>
      <c r="V15" s="1401">
        <f>플랫폼!K12*100</f>
        <v>26228.583004640477</v>
      </c>
      <c r="X15" s="44">
        <f t="shared" si="3"/>
        <v>9.0538282212544785E-2</v>
      </c>
      <c r="Y15" s="44">
        <f t="shared" si="1"/>
        <v>0.10916943506968889</v>
      </c>
      <c r="Z15" s="44">
        <f t="shared" si="1"/>
        <v>9.02410370244522E-2</v>
      </c>
      <c r="AA15" s="44">
        <f t="shared" si="1"/>
        <v>8.9980656018457977E-2</v>
      </c>
      <c r="AB15" s="44">
        <f t="shared" si="1"/>
        <v>9.4619061425519499E-2</v>
      </c>
      <c r="AC15" s="44">
        <f t="shared" si="1"/>
        <v>9.887091029714995E-2</v>
      </c>
      <c r="AD15" s="44">
        <f t="shared" si="1"/>
        <v>0.10279034140114997</v>
      </c>
    </row>
    <row r="16" spans="1:30" s="1401" customFormat="1" x14ac:dyDescent="0.3">
      <c r="D16" s="1424" t="s">
        <v>33</v>
      </c>
      <c r="J16" s="18"/>
      <c r="K16" s="45"/>
      <c r="P16" s="1405">
        <f>플랫폼!E13*100</f>
        <v>4064.976028</v>
      </c>
      <c r="Q16" s="1401">
        <f>플랫폼!F13*100</f>
        <v>3050.7597676323257</v>
      </c>
      <c r="R16" s="1401">
        <f>플랫폼!G13*100</f>
        <v>15153.512116700018</v>
      </c>
      <c r="S16" s="1401">
        <f>플랫폼!H13*100</f>
        <v>32480.834685796806</v>
      </c>
      <c r="T16" s="1401">
        <f>플랫폼!I13*100</f>
        <v>42225.085091535839</v>
      </c>
      <c r="U16" s="1401">
        <f>플랫폼!J13*100</f>
        <v>54892.610618996609</v>
      </c>
      <c r="V16" s="1401">
        <f>플랫폼!K13*100</f>
        <v>71360.393804695588</v>
      </c>
      <c r="X16" s="44">
        <f t="shared" si="3"/>
        <v>3.2101878297100782E-2</v>
      </c>
      <c r="Y16" s="44">
        <f t="shared" si="1"/>
        <v>2.6358495466892451E-2</v>
      </c>
      <c r="Z16" s="44">
        <f t="shared" si="1"/>
        <v>0.12116677383831358</v>
      </c>
      <c r="AA16" s="44">
        <f t="shared" si="1"/>
        <v>0.19938689703136603</v>
      </c>
      <c r="AB16" s="44">
        <f t="shared" si="1"/>
        <v>0.22373293916379933</v>
      </c>
      <c r="AC16" s="44">
        <f t="shared" si="1"/>
        <v>0.25076338905535467</v>
      </c>
      <c r="AD16" s="44">
        <f t="shared" si="1"/>
        <v>0.27966281062180898</v>
      </c>
    </row>
    <row r="17" spans="3:30" s="1401" customFormat="1" x14ac:dyDescent="0.3">
      <c r="D17" s="1424"/>
      <c r="J17" s="18"/>
      <c r="K17" s="45"/>
      <c r="P17" s="1405"/>
    </row>
    <row r="18" spans="3:30" s="1401" customFormat="1" x14ac:dyDescent="0.3">
      <c r="C18" s="1470" t="s">
        <v>34</v>
      </c>
      <c r="D18" s="1470"/>
      <c r="E18" s="1470"/>
      <c r="F18" s="1470"/>
      <c r="G18" s="1470"/>
      <c r="H18" s="1470"/>
      <c r="I18" s="1470"/>
      <c r="J18" s="1470"/>
      <c r="K18" s="1470" t="s">
        <v>35</v>
      </c>
      <c r="L18" s="1470"/>
      <c r="M18" s="1470"/>
      <c r="N18" s="1470">
        <f>보고서!C31</f>
        <v>62742</v>
      </c>
      <c r="O18" s="1470">
        <f>보고서!D31</f>
        <v>103081</v>
      </c>
      <c r="P18" s="1471">
        <f>보고서!E31</f>
        <v>126627</v>
      </c>
      <c r="Q18" s="1470">
        <f>보고서!F31+보고서!G31</f>
        <v>115741</v>
      </c>
      <c r="R18" s="1470">
        <f>보고서!H31</f>
        <v>125063</v>
      </c>
      <c r="S18" s="1470">
        <f>보고서!I31</f>
        <v>162904</v>
      </c>
      <c r="T18" s="1470">
        <f>보고서!J31</f>
        <v>188730</v>
      </c>
      <c r="U18" s="1470">
        <f>보고서!K31</f>
        <v>218902</v>
      </c>
      <c r="V18" s="1470">
        <f>보고서!L31</f>
        <v>255166</v>
      </c>
    </row>
    <row r="19" spans="3:30" s="1401" customFormat="1" x14ac:dyDescent="0.3">
      <c r="C19" s="1470"/>
      <c r="D19" s="1470"/>
      <c r="E19" s="1470"/>
      <c r="F19" s="1470"/>
      <c r="G19" s="1470"/>
      <c r="H19" s="1470"/>
      <c r="I19" s="1470"/>
      <c r="J19" s="1470"/>
      <c r="K19" s="1470"/>
      <c r="L19" s="1470"/>
      <c r="M19" s="1470"/>
      <c r="N19" s="1470"/>
      <c r="O19" s="1470"/>
      <c r="P19" s="1471">
        <f>P7-P18</f>
        <v>0.35776327206986025</v>
      </c>
      <c r="Q19" s="1470">
        <f t="shared" ref="Q19:V19" si="10">Q7-Q18</f>
        <v>4.3393930740421638E-2</v>
      </c>
      <c r="R19" s="1470">
        <f t="shared" si="10"/>
        <v>0.2631097453268012</v>
      </c>
      <c r="S19" s="1470">
        <f t="shared" si="10"/>
        <v>-0.44329994678264484</v>
      </c>
      <c r="T19" s="1470">
        <f t="shared" si="10"/>
        <v>-0.14533777695032768</v>
      </c>
      <c r="U19" s="1470">
        <f t="shared" si="10"/>
        <v>1.2872697960119694E-2</v>
      </c>
      <c r="V19" s="1470">
        <f t="shared" si="10"/>
        <v>-0.16781076043844223</v>
      </c>
    </row>
    <row r="20" spans="3:30" s="1401" customFormat="1" x14ac:dyDescent="0.3">
      <c r="J20" s="18"/>
      <c r="K20" s="45"/>
      <c r="P20" s="1405"/>
    </row>
    <row r="21" spans="3:30" s="15" customFormat="1" x14ac:dyDescent="0.3">
      <c r="C21" s="41" t="s">
        <v>36</v>
      </c>
      <c r="D21" s="41"/>
      <c r="E21" s="41"/>
      <c r="F21" s="41"/>
      <c r="G21" s="41"/>
      <c r="H21" s="41"/>
      <c r="I21" s="41"/>
      <c r="J21" s="74"/>
      <c r="K21" s="1466"/>
      <c r="L21" s="41"/>
      <c r="M21" s="41"/>
      <c r="N21" s="41"/>
      <c r="O21" s="41"/>
      <c r="P21" s="1415"/>
      <c r="Q21" s="1441">
        <f>Q7/P7-1</f>
        <v>-8.5971266886047837E-2</v>
      </c>
      <c r="R21" s="1441">
        <f t="shared" ref="R21:V21" si="11">R7/Q7-1</f>
        <v>8.0543767728842086E-2</v>
      </c>
      <c r="S21" s="1441">
        <f t="shared" si="11"/>
        <v>0.30256921696583539</v>
      </c>
      <c r="T21" s="1441">
        <f t="shared" si="11"/>
        <v>0.15853734863335478</v>
      </c>
      <c r="U21" s="1441">
        <f t="shared" si="11"/>
        <v>0.15986955675070669</v>
      </c>
      <c r="V21" s="1441">
        <f t="shared" si="11"/>
        <v>0.16566233832500554</v>
      </c>
    </row>
    <row r="22" spans="3:30" s="1401" customFormat="1" x14ac:dyDescent="0.3">
      <c r="C22" s="15" t="s">
        <v>26</v>
      </c>
      <c r="D22" s="15"/>
      <c r="E22" s="15"/>
      <c r="F22" s="15"/>
      <c r="G22" s="15"/>
      <c r="H22" s="15"/>
      <c r="I22" s="15"/>
      <c r="J22" s="18"/>
      <c r="K22" s="45"/>
      <c r="L22" s="15"/>
      <c r="M22" s="15"/>
      <c r="N22" s="15"/>
      <c r="O22" s="15"/>
      <c r="P22" s="1405"/>
      <c r="Q22" s="44">
        <f>Q8/P8-1</f>
        <v>-0.10814881210143379</v>
      </c>
      <c r="R22" s="44">
        <f t="shared" ref="R22:V25" si="12">R8/Q8-1</f>
        <v>-1.1543085262481267E-2</v>
      </c>
      <c r="S22" s="44">
        <f t="shared" si="12"/>
        <v>0.17416065103067546</v>
      </c>
      <c r="T22" s="44">
        <f t="shared" si="12"/>
        <v>0.11084746119892919</v>
      </c>
      <c r="U22" s="44">
        <f t="shared" si="12"/>
        <v>0.10619649614336857</v>
      </c>
      <c r="V22" s="44">
        <f t="shared" si="12"/>
        <v>0.10644883127672045</v>
      </c>
    </row>
    <row r="23" spans="3:30" s="1401" customFormat="1" x14ac:dyDescent="0.3">
      <c r="D23" s="1423" t="s">
        <v>27</v>
      </c>
      <c r="E23" s="1421"/>
      <c r="F23" s="1421"/>
      <c r="G23" s="1421"/>
      <c r="H23" s="1421"/>
      <c r="I23" s="1421"/>
      <c r="J23" s="1456"/>
      <c r="K23" s="1465"/>
      <c r="L23" s="1421"/>
      <c r="M23" s="1421"/>
      <c r="N23" s="1421"/>
      <c r="O23" s="1421"/>
      <c r="P23" s="1422"/>
      <c r="Q23" s="1426">
        <f>Q9/P9-1</f>
        <v>-9.9318108585662701E-2</v>
      </c>
      <c r="R23" s="1426">
        <f t="shared" si="12"/>
        <v>-1.3109863472246408E-2</v>
      </c>
      <c r="S23" s="1426">
        <f t="shared" si="12"/>
        <v>0.18348233388159696</v>
      </c>
      <c r="T23" s="1426">
        <f t="shared" si="12"/>
        <v>0.11551870520425367</v>
      </c>
      <c r="U23" s="1426">
        <f t="shared" si="12"/>
        <v>0.1102018762781467</v>
      </c>
      <c r="V23" s="1426">
        <f t="shared" si="12"/>
        <v>0.11010812911214218</v>
      </c>
    </row>
    <row r="24" spans="3:30" s="1401" customFormat="1" x14ac:dyDescent="0.3">
      <c r="D24" s="1424" t="s">
        <v>28</v>
      </c>
      <c r="J24" s="18"/>
      <c r="K24" s="45"/>
      <c r="P24" s="1405"/>
      <c r="Q24" s="1427">
        <f>Q10/P10-1</f>
        <v>-0.2073411468625852</v>
      </c>
      <c r="R24" s="1427">
        <f t="shared" si="12"/>
        <v>6.0492930995255323E-2</v>
      </c>
      <c r="S24" s="1427">
        <f t="shared" si="12"/>
        <v>3.0000000000000027E-2</v>
      </c>
      <c r="T24" s="1427">
        <f t="shared" si="12"/>
        <v>3.0000000000000027E-2</v>
      </c>
      <c r="U24" s="1427">
        <f t="shared" si="12"/>
        <v>2.9999999999999805E-2</v>
      </c>
      <c r="V24" s="1427">
        <f t="shared" si="12"/>
        <v>3.0000000000000027E-2</v>
      </c>
    </row>
    <row r="25" spans="3:30" s="1401" customFormat="1" x14ac:dyDescent="0.3">
      <c r="D25" s="1424" t="s">
        <v>29</v>
      </c>
      <c r="J25" s="18"/>
      <c r="K25" s="45"/>
      <c r="P25" s="1405"/>
      <c r="Q25" s="1427">
        <f>Q11/P11-1</f>
        <v>-0.39939782455006034</v>
      </c>
      <c r="R25" s="1427">
        <f t="shared" si="12"/>
        <v>-0.33362784952283864</v>
      </c>
      <c r="S25" s="1427">
        <f t="shared" si="12"/>
        <v>-9.9999999999999978E-2</v>
      </c>
      <c r="T25" s="1427">
        <f t="shared" si="12"/>
        <v>-9.9999999999999978E-2</v>
      </c>
      <c r="U25" s="1427">
        <f t="shared" si="12"/>
        <v>-9.9999999999999978E-2</v>
      </c>
      <c r="V25" s="1427">
        <f t="shared" si="12"/>
        <v>-0.1000000000000002</v>
      </c>
    </row>
    <row r="26" spans="3:30" s="1401" customFormat="1" x14ac:dyDescent="0.3">
      <c r="D26" s="1424"/>
      <c r="J26" s="18"/>
      <c r="K26" s="45"/>
      <c r="P26" s="1405"/>
      <c r="Q26" s="1427"/>
      <c r="R26" s="1427"/>
      <c r="S26" s="1427"/>
      <c r="T26" s="1427"/>
      <c r="U26" s="1427"/>
      <c r="V26" s="1427"/>
    </row>
    <row r="27" spans="3:30" s="15" customFormat="1" x14ac:dyDescent="0.3">
      <c r="C27" s="15" t="s">
        <v>30</v>
      </c>
      <c r="J27" s="18"/>
      <c r="K27" s="45"/>
      <c r="P27" s="1406"/>
      <c r="Q27" s="1419">
        <f t="shared" ref="Q27:V27" si="13">Q13/P13-1</f>
        <v>-2.3440694135984819E-2</v>
      </c>
      <c r="R27" s="1486">
        <f t="shared" si="13"/>
        <v>0.31766494199257456</v>
      </c>
      <c r="S27" s="1486">
        <f t="shared" si="13"/>
        <v>0.55060792125142655</v>
      </c>
      <c r="T27" s="1486">
        <f t="shared" si="13"/>
        <v>0.2282926596332473</v>
      </c>
      <c r="U27" s="1486">
        <f t="shared" si="13"/>
        <v>0.23086981250919103</v>
      </c>
      <c r="V27" s="1486">
        <f t="shared" si="13"/>
        <v>0.2360577728638158</v>
      </c>
    </row>
    <row r="28" spans="3:30" s="1401" customFormat="1" x14ac:dyDescent="0.3">
      <c r="D28" s="1423" t="s">
        <v>31</v>
      </c>
      <c r="E28" s="1421"/>
      <c r="F28" s="1421"/>
      <c r="G28" s="1421"/>
      <c r="H28" s="1421"/>
      <c r="I28" s="1421"/>
      <c r="J28" s="1456"/>
      <c r="K28" s="1465"/>
      <c r="L28" s="1421"/>
      <c r="M28" s="1421"/>
      <c r="N28" s="1421"/>
      <c r="O28" s="1421"/>
      <c r="P28" s="1422"/>
      <c r="Q28" s="1426">
        <f t="shared" ref="Q28:V28" si="14">Q14/P14-1</f>
        <v>-5.2980092135468171E-2</v>
      </c>
      <c r="R28" s="1426">
        <f t="shared" si="14"/>
        <v>-2.8083384912830134E-2</v>
      </c>
      <c r="S28" s="1426">
        <f t="shared" si="14"/>
        <v>0.17195578307686588</v>
      </c>
      <c r="T28" s="1426">
        <f t="shared" si="14"/>
        <v>0.11350756786689509</v>
      </c>
      <c r="U28" s="1426">
        <f t="shared" si="14"/>
        <v>0.10889580821442668</v>
      </c>
      <c r="V28" s="1426">
        <f t="shared" si="14"/>
        <v>0.1088244440671351</v>
      </c>
    </row>
    <row r="29" spans="3:30" s="1401" customFormat="1" x14ac:dyDescent="0.3">
      <c r="D29" s="1424" t="s">
        <v>32</v>
      </c>
      <c r="J29" s="18"/>
      <c r="K29" s="45"/>
      <c r="P29" s="1405"/>
      <c r="Q29" s="1427">
        <f t="shared" ref="Q29:V29" si="15">Q15/P15-1</f>
        <v>0.10211943492879461</v>
      </c>
      <c r="R29" s="1427">
        <f t="shared" si="15"/>
        <v>-0.10680686322216582</v>
      </c>
      <c r="S29" s="1427">
        <f t="shared" si="15"/>
        <v>0.29881079070795913</v>
      </c>
      <c r="T29" s="1427">
        <f t="shared" si="15"/>
        <v>0.21825869475336246</v>
      </c>
      <c r="U29" s="1427">
        <f t="shared" si="15"/>
        <v>0.21199002795186073</v>
      </c>
      <c r="V29" s="1427">
        <f t="shared" si="15"/>
        <v>0.21187141247898467</v>
      </c>
    </row>
    <row r="30" spans="3:30" s="1401" customFormat="1" x14ac:dyDescent="0.3">
      <c r="D30" s="1424" t="s">
        <v>33</v>
      </c>
      <c r="J30" s="18"/>
      <c r="K30" s="45"/>
      <c r="P30" s="1405"/>
      <c r="Q30" s="1427">
        <f t="shared" ref="Q30:V30" si="16">Q16/P16-1</f>
        <v>-0.24950116639843423</v>
      </c>
      <c r="R30" s="1427">
        <f t="shared" si="16"/>
        <v>3.9671272964441107</v>
      </c>
      <c r="S30" s="1427">
        <f t="shared" si="16"/>
        <v>1.1434525828504873</v>
      </c>
      <c r="T30" s="1427">
        <f t="shared" si="16"/>
        <v>0.2999999999999996</v>
      </c>
      <c r="U30" s="1427">
        <f t="shared" si="16"/>
        <v>0.30000000000000049</v>
      </c>
      <c r="V30" s="1427">
        <f t="shared" si="16"/>
        <v>0.30000000000000004</v>
      </c>
    </row>
    <row r="31" spans="3:30" s="1401" customFormat="1" x14ac:dyDescent="0.3">
      <c r="D31" s="1424"/>
      <c r="J31" s="18"/>
      <c r="K31" s="45"/>
      <c r="P31" s="1405"/>
      <c r="X31" s="15" t="s">
        <v>37</v>
      </c>
    </row>
    <row r="32" spans="3:30" s="15" customFormat="1" x14ac:dyDescent="0.3">
      <c r="C32" s="1429" t="s">
        <v>38</v>
      </c>
      <c r="D32" s="1429"/>
      <c r="E32" s="1429"/>
      <c r="F32" s="1429"/>
      <c r="G32" s="1429"/>
      <c r="H32" s="1429"/>
      <c r="I32" s="1429"/>
      <c r="J32" s="1449"/>
      <c r="K32" s="1467" t="s">
        <v>39</v>
      </c>
      <c r="L32" s="1429"/>
      <c r="M32" s="1429"/>
      <c r="N32" s="1429"/>
      <c r="O32" s="1429"/>
      <c r="P32" s="1430">
        <f>P33+P34+P39</f>
        <v>1916223</v>
      </c>
      <c r="Q32" s="1429">
        <f t="shared" ref="Q32:V32" si="17">Q33+Q34+Q39</f>
        <v>2265271.1</v>
      </c>
      <c r="R32" s="1429">
        <f t="shared" si="17"/>
        <v>4054964.4721604115</v>
      </c>
      <c r="S32" s="1429">
        <f t="shared" si="17"/>
        <v>4901578.299319163</v>
      </c>
      <c r="T32" s="1429">
        <f t="shared" si="17"/>
        <v>5966017.7534453534</v>
      </c>
      <c r="U32" s="1429">
        <f t="shared" si="17"/>
        <v>7309242.4428107049</v>
      </c>
      <c r="V32" s="1429">
        <f t="shared" si="17"/>
        <v>9009897.4205042813</v>
      </c>
      <c r="X32" s="1441">
        <f>P32/P$32</f>
        <v>1</v>
      </c>
      <c r="Y32" s="1441">
        <f t="shared" ref="Y32:Y42" si="18">Q32/Q$32</f>
        <v>1</v>
      </c>
      <c r="Z32" s="1441">
        <f t="shared" ref="Z32:Z42" si="19">R32/R$32</f>
        <v>1</v>
      </c>
      <c r="AA32" s="1441">
        <f t="shared" ref="AA32:AA42" si="20">S32/S$32</f>
        <v>1</v>
      </c>
      <c r="AB32" s="1441">
        <f t="shared" ref="AB32:AB42" si="21">T32/T$32</f>
        <v>1</v>
      </c>
      <c r="AC32" s="1441">
        <f t="shared" ref="AC32:AD42" si="22">U32/U$32</f>
        <v>1</v>
      </c>
      <c r="AD32" s="1441">
        <f t="shared" si="22"/>
        <v>1</v>
      </c>
    </row>
    <row r="33" spans="3:30" s="15" customFormat="1" x14ac:dyDescent="0.3">
      <c r="C33" s="1443" t="s">
        <v>40</v>
      </c>
      <c r="D33" s="1443"/>
      <c r="E33" s="1443"/>
      <c r="F33" s="1443"/>
      <c r="G33" s="1443"/>
      <c r="H33" s="1443"/>
      <c r="I33" s="1443"/>
      <c r="J33" s="1457"/>
      <c r="K33" s="1468"/>
      <c r="L33" s="1443"/>
      <c r="M33" s="1443"/>
      <c r="N33" s="1443"/>
      <c r="O33" s="1443"/>
      <c r="P33" s="1444">
        <f>플랫폼!R5*10000</f>
        <v>0</v>
      </c>
      <c r="Q33" s="1443">
        <f>플랫폼!S5*10000</f>
        <v>210000</v>
      </c>
      <c r="R33" s="1443">
        <f>플랫폼!T5*10000</f>
        <v>259618.20162302363</v>
      </c>
      <c r="S33" s="1443">
        <f>플랫폼!U5*10000</f>
        <v>311541.84194762836</v>
      </c>
      <c r="T33" s="1443">
        <f>플랫폼!V5*10000</f>
        <v>373850.21033715399</v>
      </c>
      <c r="U33" s="1443">
        <f>플랫폼!W5*10000</f>
        <v>448620.25240458472</v>
      </c>
      <c r="V33" s="1443">
        <f>플랫폼!X5*10000</f>
        <v>538344.30288550165</v>
      </c>
      <c r="X33" s="1445">
        <f t="shared" ref="X33:X42" si="23">P33/P$32</f>
        <v>0</v>
      </c>
      <c r="Y33" s="1445">
        <f t="shared" si="18"/>
        <v>9.2704135942051263E-2</v>
      </c>
      <c r="Z33" s="1445">
        <f t="shared" si="19"/>
        <v>6.4024778368700172E-2</v>
      </c>
      <c r="AA33" s="1445">
        <f t="shared" si="20"/>
        <v>6.3559495110157072E-2</v>
      </c>
      <c r="AB33" s="1445">
        <f t="shared" si="21"/>
        <v>6.2663274865593033E-2</v>
      </c>
      <c r="AC33" s="1445">
        <f t="shared" si="22"/>
        <v>6.1377120257632575E-2</v>
      </c>
      <c r="AD33" s="1445">
        <f t="shared" si="22"/>
        <v>5.9750325421060194E-2</v>
      </c>
    </row>
    <row r="34" spans="3:30" s="1401" customFormat="1" x14ac:dyDescent="0.3">
      <c r="C34" s="15" t="s">
        <v>26</v>
      </c>
      <c r="D34" s="15"/>
      <c r="E34" s="15"/>
      <c r="F34" s="15"/>
      <c r="G34" s="15"/>
      <c r="H34" s="15"/>
      <c r="I34" s="15"/>
      <c r="J34" s="18"/>
      <c r="K34" s="45"/>
      <c r="L34" s="15"/>
      <c r="M34" s="15"/>
      <c r="N34" s="15"/>
      <c r="O34" s="15"/>
      <c r="P34" s="1406">
        <f>P35+P36+P37</f>
        <v>1454198</v>
      </c>
      <c r="Q34" s="15">
        <f t="shared" ref="Q34:V34" si="24">Q35+Q36+Q37</f>
        <v>1470972.6</v>
      </c>
      <c r="R34" s="15">
        <f t="shared" si="24"/>
        <v>1344656.7876430599</v>
      </c>
      <c r="S34" s="15">
        <f t="shared" si="24"/>
        <v>1460647.7688073663</v>
      </c>
      <c r="T34" s="15">
        <f t="shared" si="24"/>
        <v>1587841.5810801028</v>
      </c>
      <c r="U34" s="15">
        <f t="shared" si="24"/>
        <v>1727330.8221698732</v>
      </c>
      <c r="V34" s="15">
        <f t="shared" si="24"/>
        <v>1880318.0987332736</v>
      </c>
      <c r="X34" s="1419">
        <f t="shared" si="23"/>
        <v>0.75888766599712043</v>
      </c>
      <c r="Y34" s="1419">
        <f t="shared" si="18"/>
        <v>0.64935830417825047</v>
      </c>
      <c r="Z34" s="1419">
        <f t="shared" si="19"/>
        <v>0.33160753858014719</v>
      </c>
      <c r="AA34" s="1419">
        <f t="shared" si="20"/>
        <v>0.29799539650529555</v>
      </c>
      <c r="AB34" s="1419">
        <f t="shared" si="21"/>
        <v>0.26614764600107504</v>
      </c>
      <c r="AC34" s="1419">
        <f t="shared" si="22"/>
        <v>0.23632145679732622</v>
      </c>
      <c r="AD34" s="1419">
        <f t="shared" si="22"/>
        <v>0.20869472880502926</v>
      </c>
    </row>
    <row r="35" spans="3:30" s="1401" customFormat="1" x14ac:dyDescent="0.3">
      <c r="D35" s="1423" t="s">
        <v>27</v>
      </c>
      <c r="E35" s="1421"/>
      <c r="F35" s="1421"/>
      <c r="G35" s="1421"/>
      <c r="H35" s="1421"/>
      <c r="I35" s="1421"/>
      <c r="J35" s="1456"/>
      <c r="K35" s="1465"/>
      <c r="L35" s="1421"/>
      <c r="M35" s="1421"/>
      <c r="N35" s="1421"/>
      <c r="O35" s="1421"/>
      <c r="P35" s="1422">
        <f>플랫폼!R9*10000</f>
        <v>1209283</v>
      </c>
      <c r="Q35" s="1421">
        <f>플랫폼!S9*10000</f>
        <v>1167729.9200000002</v>
      </c>
      <c r="R35" s="1421">
        <f>플랫폼!T9*10000</f>
        <v>1092016.3876430599</v>
      </c>
      <c r="S35" s="1421">
        <f>플랫폼!U9*10000</f>
        <v>1201218.0264073662</v>
      </c>
      <c r="T35" s="1421">
        <f>플랫폼!V9*10000</f>
        <v>1321339.8290481027</v>
      </c>
      <c r="U35" s="1421">
        <f>플랫폼!W9*10000</f>
        <v>1453473.8119529132</v>
      </c>
      <c r="V35" s="1421">
        <f>플랫폼!X9*10000</f>
        <v>1598821.1931482048</v>
      </c>
      <c r="X35" s="1426">
        <f t="shared" si="23"/>
        <v>0.63107634132353074</v>
      </c>
      <c r="Y35" s="1426">
        <f t="shared" si="18"/>
        <v>0.51549234879657457</v>
      </c>
      <c r="Z35" s="1426">
        <f t="shared" si="19"/>
        <v>0.26930356483770951</v>
      </c>
      <c r="AA35" s="1426">
        <f t="shared" si="20"/>
        <v>0.24506759926169439</v>
      </c>
      <c r="AB35" s="1426">
        <f t="shared" si="21"/>
        <v>0.22147768975126395</v>
      </c>
      <c r="AC35" s="1426">
        <f t="shared" si="22"/>
        <v>0.19885423466593791</v>
      </c>
      <c r="AD35" s="1426">
        <f t="shared" si="22"/>
        <v>0.17745165327961296</v>
      </c>
    </row>
    <row r="36" spans="3:30" s="1401" customFormat="1" x14ac:dyDescent="0.3">
      <c r="D36" s="1424" t="s">
        <v>28</v>
      </c>
      <c r="J36" s="18"/>
      <c r="K36" s="45"/>
      <c r="P36" s="1405">
        <f>플랫폼!R10*10000</f>
        <v>234767</v>
      </c>
      <c r="Q36" s="1401">
        <f>플랫폼!S10*10000</f>
        <v>295740</v>
      </c>
      <c r="R36" s="1401">
        <f>플랫폼!T10*10000</f>
        <v>246564.48000000001</v>
      </c>
      <c r="S36" s="1401">
        <f>플랫폼!U10*10000</f>
        <v>253961.41440000001</v>
      </c>
      <c r="T36" s="1401">
        <f>플랫폼!V10*10000</f>
        <v>261580.25683200001</v>
      </c>
      <c r="U36" s="1401">
        <f>플랫폼!W10*10000</f>
        <v>269427.66453696002</v>
      </c>
      <c r="V36" s="1401">
        <f>플랫폼!X10*10000</f>
        <v>277510.49447306886</v>
      </c>
      <c r="X36" s="44">
        <f t="shared" si="23"/>
        <v>0.12251549010736225</v>
      </c>
      <c r="Y36" s="44">
        <f t="shared" si="18"/>
        <v>0.13055391030239161</v>
      </c>
      <c r="Z36" s="44">
        <f t="shared" si="19"/>
        <v>6.0805583302345166E-2</v>
      </c>
      <c r="AA36" s="44">
        <f t="shared" si="20"/>
        <v>5.1812171282722475E-2</v>
      </c>
      <c r="AB36" s="44">
        <f t="shared" si="21"/>
        <v>4.3845034936568598E-2</v>
      </c>
      <c r="AC36" s="44">
        <f t="shared" si="22"/>
        <v>3.6861229688990034E-2</v>
      </c>
      <c r="AD36" s="44">
        <f t="shared" si="22"/>
        <v>3.0800627523408217E-2</v>
      </c>
    </row>
    <row r="37" spans="3:30" s="1401" customFormat="1" x14ac:dyDescent="0.3">
      <c r="D37" s="1424" t="s">
        <v>29</v>
      </c>
      <c r="J37" s="18"/>
      <c r="K37" s="45"/>
      <c r="P37" s="1405">
        <f>플랫폼!R11*10000</f>
        <v>10148</v>
      </c>
      <c r="Q37" s="1401">
        <f>플랫폼!S11*10000</f>
        <v>7502.68</v>
      </c>
      <c r="R37" s="1401">
        <f>플랫폼!T11*10000</f>
        <v>6075.92</v>
      </c>
      <c r="S37" s="1401">
        <f>플랫폼!U11*10000</f>
        <v>5468.3280000000004</v>
      </c>
      <c r="T37" s="1401">
        <f>플랫폼!V11*10000</f>
        <v>4921.4952000000003</v>
      </c>
      <c r="U37" s="1401">
        <f>플랫폼!W11*10000</f>
        <v>4429.3456800000004</v>
      </c>
      <c r="V37" s="1401">
        <f>플랫폼!X11*10000</f>
        <v>3986.4111120000002</v>
      </c>
      <c r="X37" s="44">
        <f t="shared" si="23"/>
        <v>5.2958345662274175E-3</v>
      </c>
      <c r="Y37" s="44">
        <f t="shared" si="18"/>
        <v>3.3120450792843295E-3</v>
      </c>
      <c r="Z37" s="44">
        <f t="shared" si="19"/>
        <v>1.4983904400925269E-3</v>
      </c>
      <c r="AA37" s="44">
        <f t="shared" si="20"/>
        <v>1.1156259608786745E-3</v>
      </c>
      <c r="AB37" s="44">
        <f t="shared" si="21"/>
        <v>8.2492131324246479E-4</v>
      </c>
      <c r="AC37" s="44">
        <f t="shared" si="22"/>
        <v>6.0599244239827597E-4</v>
      </c>
      <c r="AD37" s="44">
        <f t="shared" si="22"/>
        <v>4.4244800200809412E-4</v>
      </c>
    </row>
    <row r="38" spans="3:30" s="1401" customFormat="1" x14ac:dyDescent="0.3">
      <c r="D38" s="1424"/>
      <c r="J38" s="18"/>
      <c r="K38" s="45"/>
      <c r="P38" s="1405"/>
      <c r="X38" s="44"/>
      <c r="Y38" s="44"/>
      <c r="Z38" s="44"/>
      <c r="AA38" s="44"/>
      <c r="AB38" s="44"/>
      <c r="AC38" s="44"/>
      <c r="AD38" s="44"/>
    </row>
    <row r="39" spans="3:30" s="1401" customFormat="1" x14ac:dyDescent="0.3">
      <c r="C39" s="15" t="s">
        <v>30</v>
      </c>
      <c r="D39" s="15"/>
      <c r="J39" s="18"/>
      <c r="K39" s="45"/>
      <c r="P39" s="1406">
        <f>P40+P41+P42</f>
        <v>462025</v>
      </c>
      <c r="Q39" s="15">
        <f t="shared" ref="Q39" si="25">Q40+Q41+Q42</f>
        <v>584298.5</v>
      </c>
      <c r="R39" s="15">
        <f t="shared" ref="R39" si="26">R40+R41+R42</f>
        <v>2450689.482894328</v>
      </c>
      <c r="S39" s="15">
        <f t="shared" ref="S39" si="27">S40+S41+S42</f>
        <v>3129388.6885641688</v>
      </c>
      <c r="T39" s="15">
        <f t="shared" ref="T39" si="28">T40+T41+T42</f>
        <v>4004325.962028096</v>
      </c>
      <c r="U39" s="15">
        <f t="shared" ref="U39" si="29">U40+U41+U42</f>
        <v>5133291.3682362465</v>
      </c>
      <c r="V39" s="15">
        <f t="shared" ref="V39" si="30">V40+V41+V42</f>
        <v>6591235.0188855063</v>
      </c>
      <c r="X39" s="1419">
        <f t="shared" si="23"/>
        <v>0.24111233400287962</v>
      </c>
      <c r="Y39" s="1419">
        <f t="shared" si="18"/>
        <v>0.2579375598796983</v>
      </c>
      <c r="Z39" s="1419">
        <f t="shared" si="19"/>
        <v>0.60436768305115263</v>
      </c>
      <c r="AA39" s="1419">
        <f t="shared" si="20"/>
        <v>0.63844510838454749</v>
      </c>
      <c r="AB39" s="1419">
        <f t="shared" si="21"/>
        <v>0.67118907913333181</v>
      </c>
      <c r="AC39" s="1419">
        <f t="shared" si="22"/>
        <v>0.70230142294504116</v>
      </c>
      <c r="AD39" s="1419">
        <f t="shared" si="22"/>
        <v>0.73155494577391056</v>
      </c>
    </row>
    <row r="40" spans="3:30" s="1401" customFormat="1" x14ac:dyDescent="0.3">
      <c r="D40" s="1423" t="s">
        <v>31</v>
      </c>
      <c r="E40" s="1421"/>
      <c r="F40" s="1421"/>
      <c r="G40" s="1421"/>
      <c r="H40" s="1421"/>
      <c r="I40" s="1421"/>
      <c r="J40" s="1456"/>
      <c r="K40" s="1465"/>
      <c r="L40" s="1421"/>
      <c r="M40" s="1421"/>
      <c r="N40" s="1421"/>
      <c r="O40" s="1421"/>
      <c r="P40" s="1422">
        <f>플랫폼!R13*10000</f>
        <v>200076</v>
      </c>
      <c r="Q40" s="1421">
        <f>플랫폼!S13*10000</f>
        <v>180430.02000000002</v>
      </c>
      <c r="R40" s="1421">
        <f>플랫폼!T13*10000</f>
        <v>196491.69664132965</v>
      </c>
      <c r="S40" s="1421">
        <f>플랫폼!U13*10000</f>
        <v>216140.86630546264</v>
      </c>
      <c r="T40" s="1421">
        <f>플랫폼!V13*10000</f>
        <v>237754.95293600895</v>
      </c>
      <c r="U40" s="1421">
        <f>플랫폼!W13*10000</f>
        <v>261530.44822960987</v>
      </c>
      <c r="V40" s="1421">
        <f>플랫폼!X13*10000</f>
        <v>287683.49305257085</v>
      </c>
      <c r="X40" s="1426">
        <f t="shared" si="23"/>
        <v>0.10441164728739818</v>
      </c>
      <c r="Y40" s="1426">
        <f t="shared" si="18"/>
        <v>7.9650519533843001E-2</v>
      </c>
      <c r="Z40" s="1426">
        <f t="shared" si="19"/>
        <v>4.845706984373218E-2</v>
      </c>
      <c r="AA40" s="1426">
        <f t="shared" si="20"/>
        <v>4.4096177416054934E-2</v>
      </c>
      <c r="AB40" s="1426">
        <f t="shared" si="21"/>
        <v>3.9851532925577762E-2</v>
      </c>
      <c r="AC40" s="1426">
        <f t="shared" si="22"/>
        <v>3.57807871712955E-2</v>
      </c>
      <c r="AD40" s="1426">
        <f t="shared" si="22"/>
        <v>3.1929719021869758E-2</v>
      </c>
    </row>
    <row r="41" spans="3:30" s="1401" customFormat="1" x14ac:dyDescent="0.3">
      <c r="D41" s="1424" t="s">
        <v>32</v>
      </c>
      <c r="J41" s="18"/>
      <c r="K41" s="45"/>
      <c r="P41" s="1405">
        <f>플랫폼!R14*10000</f>
        <v>213362.00000000003</v>
      </c>
      <c r="Q41" s="1401">
        <f>플랫폼!S14*10000</f>
        <v>176524.98</v>
      </c>
      <c r="R41" s="1401">
        <f>플랫폼!T14*10000</f>
        <v>172092.99870192129</v>
      </c>
      <c r="S41" s="1401">
        <f>플랫폼!U14*10000</f>
        <v>206511.59844230555</v>
      </c>
      <c r="T41" s="1401">
        <f>플랫폼!V14*10000</f>
        <v>247813.91813076666</v>
      </c>
      <c r="U41" s="1401">
        <f>플랫폼!W14*10000</f>
        <v>297376.70175691997</v>
      </c>
      <c r="V41" s="1401">
        <f>플랫폼!X14*10000</f>
        <v>356852.04210830398</v>
      </c>
      <c r="X41" s="44">
        <f t="shared" si="23"/>
        <v>0.11134507831291036</v>
      </c>
      <c r="Y41" s="44">
        <f t="shared" si="18"/>
        <v>7.7926646395656579E-2</v>
      </c>
      <c r="Z41" s="44">
        <f t="shared" si="19"/>
        <v>4.2440075587205639E-2</v>
      </c>
      <c r="AA41" s="44">
        <f t="shared" si="20"/>
        <v>4.2131653486182266E-2</v>
      </c>
      <c r="AB41" s="44">
        <f t="shared" si="21"/>
        <v>4.1537576382111002E-2</v>
      </c>
      <c r="AC41" s="44">
        <f t="shared" si="22"/>
        <v>4.0685023664718718E-2</v>
      </c>
      <c r="AD41" s="44">
        <f t="shared" si="22"/>
        <v>3.9606670914609711E-2</v>
      </c>
    </row>
    <row r="42" spans="3:30" s="1401" customFormat="1" x14ac:dyDescent="0.3">
      <c r="D42" s="1424" t="s">
        <v>33</v>
      </c>
      <c r="J42" s="18"/>
      <c r="K42" s="45"/>
      <c r="P42" s="1405">
        <f>플랫폼!R15*10000</f>
        <v>48587</v>
      </c>
      <c r="Q42" s="1401">
        <f>플랫폼!S15*10000</f>
        <v>227343.50000000003</v>
      </c>
      <c r="R42" s="1401">
        <f>플랫폼!T15*10000</f>
        <v>2082104.7875510768</v>
      </c>
      <c r="S42" s="1401">
        <f>플랫폼!U15*10000</f>
        <v>2706736.2238164004</v>
      </c>
      <c r="T42" s="1401">
        <f>플랫폼!V15*10000</f>
        <v>3518757.0909613203</v>
      </c>
      <c r="U42" s="1401">
        <f>플랫폼!W15*10000</f>
        <v>4574384.2182497168</v>
      </c>
      <c r="V42" s="1401">
        <f>플랫폼!X15*10000</f>
        <v>5946699.4837246314</v>
      </c>
      <c r="X42" s="44">
        <f t="shared" si="23"/>
        <v>2.53556084025711E-2</v>
      </c>
      <c r="Y42" s="44">
        <f t="shared" si="18"/>
        <v>0.10036039395019873</v>
      </c>
      <c r="Z42" s="44">
        <f t="shared" si="19"/>
        <v>0.51347053762021477</v>
      </c>
      <c r="AA42" s="44">
        <f t="shared" si="20"/>
        <v>0.5522172774823102</v>
      </c>
      <c r="AB42" s="44">
        <f t="shared" si="21"/>
        <v>0.58979996982564309</v>
      </c>
      <c r="AC42" s="44">
        <f t="shared" si="22"/>
        <v>0.62583561210902694</v>
      </c>
      <c r="AD42" s="44">
        <f t="shared" si="22"/>
        <v>0.66001855583743108</v>
      </c>
    </row>
    <row r="43" spans="3:30" s="1401" customFormat="1" x14ac:dyDescent="0.3">
      <c r="D43" s="1424"/>
      <c r="J43" s="18"/>
      <c r="K43" s="45"/>
      <c r="P43" s="1405"/>
    </row>
    <row r="44" spans="3:30" s="1401" customFormat="1" x14ac:dyDescent="0.3">
      <c r="C44" s="41" t="s">
        <v>41</v>
      </c>
      <c r="D44" s="1413"/>
      <c r="E44" s="1413"/>
      <c r="F44" s="1413"/>
      <c r="G44" s="1413"/>
      <c r="H44" s="1413"/>
      <c r="I44" s="1413"/>
      <c r="J44" s="74"/>
      <c r="K44" s="1466"/>
      <c r="L44" s="1413"/>
      <c r="M44" s="1413"/>
      <c r="N44" s="1413"/>
      <c r="O44" s="1413"/>
      <c r="P44" s="1414"/>
      <c r="Q44" s="1441">
        <f>IFERROR(Q32/P32-1,"")</f>
        <v>0.1821542169152548</v>
      </c>
      <c r="R44" s="1441">
        <f t="shared" ref="R44:V44" si="31">IFERROR(R32/Q32-1,"")</f>
        <v>0.79005703651117587</v>
      </c>
      <c r="S44" s="1441">
        <f t="shared" si="31"/>
        <v>0.20878452400045089</v>
      </c>
      <c r="T44" s="1441">
        <f t="shared" si="31"/>
        <v>0.21716259317412989</v>
      </c>
      <c r="U44" s="1441">
        <f t="shared" si="31"/>
        <v>0.22514594238169083</v>
      </c>
      <c r="V44" s="1441">
        <f t="shared" si="31"/>
        <v>0.23267185224733145</v>
      </c>
    </row>
    <row r="45" spans="3:30" s="1401" customFormat="1" x14ac:dyDescent="0.3">
      <c r="C45" s="1443" t="s">
        <v>40</v>
      </c>
      <c r="D45" s="1443"/>
      <c r="E45" s="1443"/>
      <c r="F45" s="1443"/>
      <c r="G45" s="1443"/>
      <c r="H45" s="1443"/>
      <c r="I45" s="1443"/>
      <c r="J45" s="1457"/>
      <c r="K45" s="1468"/>
      <c r="L45" s="1443"/>
      <c r="M45" s="1443"/>
      <c r="N45" s="1443"/>
      <c r="O45" s="1443"/>
      <c r="P45" s="1444"/>
      <c r="Q45" s="1445" t="str">
        <f t="shared" ref="Q45:V45" si="32">IFERROR(Q33/P33-1,"")</f>
        <v/>
      </c>
      <c r="R45" s="1445">
        <f t="shared" si="32"/>
        <v>0.23627715058582677</v>
      </c>
      <c r="S45" s="1445">
        <f t="shared" si="32"/>
        <v>0.19999999999999996</v>
      </c>
      <c r="T45" s="1445">
        <f t="shared" si="32"/>
        <v>0.19999999999999996</v>
      </c>
      <c r="U45" s="1445">
        <f t="shared" si="32"/>
        <v>0.19999999999999973</v>
      </c>
      <c r="V45" s="1445">
        <f t="shared" si="32"/>
        <v>0.19999999999999996</v>
      </c>
    </row>
    <row r="46" spans="3:30" s="1401" customFormat="1" x14ac:dyDescent="0.3">
      <c r="C46" s="15" t="s">
        <v>26</v>
      </c>
      <c r="D46" s="15"/>
      <c r="E46" s="15"/>
      <c r="F46" s="15"/>
      <c r="G46" s="15"/>
      <c r="H46" s="15"/>
      <c r="I46" s="15"/>
      <c r="J46" s="18"/>
      <c r="K46" s="45"/>
      <c r="L46" s="15"/>
      <c r="M46" s="15"/>
      <c r="N46" s="15"/>
      <c r="O46" s="15"/>
      <c r="P46" s="1406"/>
      <c r="Q46" s="1419">
        <f t="shared" ref="Q46:V46" si="33">IFERROR(Q34/P34-1,"")</f>
        <v>1.1535292993113844E-2</v>
      </c>
      <c r="R46" s="1419">
        <f t="shared" si="33"/>
        <v>-8.5872308129288255E-2</v>
      </c>
      <c r="S46" s="1419">
        <f t="shared" si="33"/>
        <v>8.6260659396675932E-2</v>
      </c>
      <c r="T46" s="1419">
        <f t="shared" si="33"/>
        <v>8.708041390197141E-2</v>
      </c>
      <c r="U46" s="1419">
        <f t="shared" si="33"/>
        <v>8.7848336226895585E-2</v>
      </c>
      <c r="V46" s="1419">
        <f t="shared" si="33"/>
        <v>8.8568602261851481E-2</v>
      </c>
    </row>
    <row r="47" spans="3:30" s="1401" customFormat="1" x14ac:dyDescent="0.3">
      <c r="D47" s="1423" t="s">
        <v>27</v>
      </c>
      <c r="E47" s="1421"/>
      <c r="F47" s="1421"/>
      <c r="G47" s="1421"/>
      <c r="H47" s="1421"/>
      <c r="I47" s="1421"/>
      <c r="J47" s="1456"/>
      <c r="K47" s="1465"/>
      <c r="L47" s="1421"/>
      <c r="M47" s="1421"/>
      <c r="N47" s="1421"/>
      <c r="O47" s="1421"/>
      <c r="P47" s="1422"/>
      <c r="Q47" s="1426">
        <f t="shared" ref="Q47:V47" si="34">IFERROR(Q35/P35-1,"")</f>
        <v>-3.4361749896426153E-2</v>
      </c>
      <c r="R47" s="1426">
        <f t="shared" si="34"/>
        <v>-6.483822248636073E-2</v>
      </c>
      <c r="S47" s="1426">
        <f t="shared" si="34"/>
        <v>0.10000000000000009</v>
      </c>
      <c r="T47" s="1426">
        <f t="shared" si="34"/>
        <v>9.9999999999999867E-2</v>
      </c>
      <c r="U47" s="1426">
        <f t="shared" si="34"/>
        <v>0.10000000000000009</v>
      </c>
      <c r="V47" s="1426">
        <f t="shared" si="34"/>
        <v>0.10000000000000031</v>
      </c>
    </row>
    <row r="48" spans="3:30" s="1401" customFormat="1" x14ac:dyDescent="0.3">
      <c r="D48" s="1424" t="s">
        <v>28</v>
      </c>
      <c r="J48" s="18"/>
      <c r="K48" s="45"/>
      <c r="P48" s="1405"/>
      <c r="Q48" s="44">
        <f t="shared" ref="Q48:V48" si="35">IFERROR(Q36/P36-1,"")</f>
        <v>0.25971708119113845</v>
      </c>
      <c r="R48" s="44">
        <f t="shared" si="35"/>
        <v>-0.16627956989247306</v>
      </c>
      <c r="S48" s="44">
        <f t="shared" si="35"/>
        <v>3.0000000000000027E-2</v>
      </c>
      <c r="T48" s="44">
        <f t="shared" si="35"/>
        <v>3.0000000000000027E-2</v>
      </c>
      <c r="U48" s="44">
        <f t="shared" si="35"/>
        <v>3.0000000000000027E-2</v>
      </c>
      <c r="V48" s="44">
        <f t="shared" si="35"/>
        <v>3.0000000000000249E-2</v>
      </c>
    </row>
    <row r="49" spans="3:22" s="1401" customFormat="1" x14ac:dyDescent="0.3">
      <c r="D49" s="1424" t="s">
        <v>29</v>
      </c>
      <c r="J49" s="18"/>
      <c r="K49" s="45"/>
      <c r="P49" s="1405"/>
      <c r="Q49" s="44">
        <f t="shared" ref="Q49:V49" si="36">IFERROR(Q37/P37-1,"")</f>
        <v>-0.26067402443831289</v>
      </c>
      <c r="R49" s="44">
        <f t="shared" si="36"/>
        <v>-0.1901667137609494</v>
      </c>
      <c r="S49" s="44">
        <f t="shared" si="36"/>
        <v>-9.9999999999999978E-2</v>
      </c>
      <c r="T49" s="44">
        <f t="shared" si="36"/>
        <v>-9.9999999999999978E-2</v>
      </c>
      <c r="U49" s="44">
        <f t="shared" si="36"/>
        <v>-9.9999999999999978E-2</v>
      </c>
      <c r="V49" s="44">
        <f t="shared" si="36"/>
        <v>-9.9999999999999978E-2</v>
      </c>
    </row>
    <row r="50" spans="3:22" s="1401" customFormat="1" x14ac:dyDescent="0.3">
      <c r="D50" s="1424"/>
      <c r="J50" s="18"/>
      <c r="K50" s="45"/>
      <c r="P50" s="1405"/>
      <c r="Q50" s="44"/>
      <c r="R50" s="44"/>
      <c r="S50" s="44"/>
      <c r="T50" s="44"/>
      <c r="U50" s="44"/>
      <c r="V50" s="44"/>
    </row>
    <row r="51" spans="3:22" s="1401" customFormat="1" x14ac:dyDescent="0.3">
      <c r="C51" s="15" t="s">
        <v>30</v>
      </c>
      <c r="D51" s="15"/>
      <c r="J51" s="18"/>
      <c r="K51" s="45"/>
      <c r="P51" s="1406"/>
      <c r="Q51" s="1419">
        <f t="shared" ref="Q51:V51" si="37">IFERROR(Q39/P39-1,"")</f>
        <v>0.26464693468968137</v>
      </c>
      <c r="R51" s="1419">
        <f t="shared" si="37"/>
        <v>3.194242297206527</v>
      </c>
      <c r="S51" s="1419">
        <f t="shared" si="37"/>
        <v>0.27694214644781501</v>
      </c>
      <c r="T51" s="1419">
        <f t="shared" si="37"/>
        <v>0.27958728062807925</v>
      </c>
      <c r="U51" s="1419">
        <f t="shared" si="37"/>
        <v>0.28193643996862749</v>
      </c>
      <c r="V51" s="1419">
        <f t="shared" si="37"/>
        <v>0.28401731872667813</v>
      </c>
    </row>
    <row r="52" spans="3:22" s="1401" customFormat="1" x14ac:dyDescent="0.3">
      <c r="D52" s="1423" t="s">
        <v>31</v>
      </c>
      <c r="E52" s="1421"/>
      <c r="F52" s="1421"/>
      <c r="G52" s="1421"/>
      <c r="H52" s="1421"/>
      <c r="I52" s="1421"/>
      <c r="J52" s="1456"/>
      <c r="K52" s="1465"/>
      <c r="L52" s="1421"/>
      <c r="M52" s="1421"/>
      <c r="N52" s="1421"/>
      <c r="O52" s="1421"/>
      <c r="P52" s="1422"/>
      <c r="Q52" s="1426">
        <f t="shared" ref="Q52:V52" si="38">IFERROR(Q40/P40-1,"")</f>
        <v>-9.8192586817009486E-2</v>
      </c>
      <c r="R52" s="1426">
        <f t="shared" si="38"/>
        <v>8.9018870813901252E-2</v>
      </c>
      <c r="S52" s="1426">
        <f t="shared" si="38"/>
        <v>0.10000000000000009</v>
      </c>
      <c r="T52" s="1426">
        <f t="shared" si="38"/>
        <v>0.10000000000000031</v>
      </c>
      <c r="U52" s="1426">
        <f t="shared" si="38"/>
        <v>0.10000000000000009</v>
      </c>
      <c r="V52" s="1426">
        <f t="shared" si="38"/>
        <v>9.9999999999999867E-2</v>
      </c>
    </row>
    <row r="53" spans="3:22" s="1401" customFormat="1" x14ac:dyDescent="0.3">
      <c r="D53" s="1424" t="s">
        <v>32</v>
      </c>
      <c r="J53" s="18"/>
      <c r="K53" s="45"/>
      <c r="P53" s="1405"/>
      <c r="Q53" s="44">
        <f t="shared" ref="Q53:V53" si="39">IFERROR(Q41/P41-1,"")</f>
        <v>-0.17265033136172336</v>
      </c>
      <c r="R53" s="44">
        <f t="shared" si="39"/>
        <v>-2.5106822264354456E-2</v>
      </c>
      <c r="S53" s="44">
        <f t="shared" si="39"/>
        <v>0.19999999999999996</v>
      </c>
      <c r="T53" s="44">
        <f t="shared" si="39"/>
        <v>0.19999999999999996</v>
      </c>
      <c r="U53" s="44">
        <f t="shared" si="39"/>
        <v>0.19999999999999996</v>
      </c>
      <c r="V53" s="44">
        <f t="shared" si="39"/>
        <v>0.20000000000000018</v>
      </c>
    </row>
    <row r="54" spans="3:22" s="1401" customFormat="1" x14ac:dyDescent="0.3">
      <c r="D54" s="1424" t="s">
        <v>33</v>
      </c>
      <c r="J54" s="18"/>
      <c r="K54" s="45"/>
      <c r="P54" s="1405"/>
      <c r="Q54" s="44">
        <f t="shared" ref="Q54:V54" si="40">IFERROR(Q42/P42-1,"")</f>
        <v>3.6791014057258122</v>
      </c>
      <c r="R54" s="44">
        <f t="shared" si="40"/>
        <v>8.1584091366195928</v>
      </c>
      <c r="S54" s="44">
        <f t="shared" si="40"/>
        <v>0.30000000000000027</v>
      </c>
      <c r="T54" s="44">
        <f t="shared" si="40"/>
        <v>0.29999999999999982</v>
      </c>
      <c r="U54" s="44">
        <f t="shared" si="40"/>
        <v>0.30000000000000004</v>
      </c>
      <c r="V54" s="44">
        <f t="shared" si="40"/>
        <v>0.29999999999999982</v>
      </c>
    </row>
    <row r="55" spans="3:22" s="1401" customFormat="1" x14ac:dyDescent="0.3">
      <c r="D55" s="1424"/>
      <c r="J55" s="18"/>
      <c r="K55" s="45"/>
      <c r="P55" s="1405"/>
      <c r="Q55" s="44"/>
      <c r="R55" s="44"/>
      <c r="S55" s="44"/>
      <c r="T55" s="44"/>
      <c r="U55" s="44"/>
      <c r="V55" s="44"/>
    </row>
    <row r="56" spans="3:22" s="1401" customFormat="1" x14ac:dyDescent="0.3">
      <c r="C56" s="1429" t="s">
        <v>42</v>
      </c>
      <c r="D56" s="1429"/>
      <c r="E56" s="1429"/>
      <c r="F56" s="1429"/>
      <c r="G56" s="1429"/>
      <c r="H56" s="1429"/>
      <c r="I56" s="1429"/>
      <c r="J56" s="1449"/>
      <c r="K56" s="1467" t="s">
        <v>39</v>
      </c>
      <c r="L56" s="1429"/>
      <c r="M56" s="1429"/>
      <c r="N56" s="1429"/>
      <c r="O56" s="1429"/>
      <c r="P56" s="1429">
        <f>IFERROR(P7/P32/12*10^6,"")</f>
        <v>5506.8120013203079</v>
      </c>
      <c r="Q56" s="1429">
        <f t="shared" ref="Q56:V56" si="41">IFERROR(Q7/Q32/12*10^6,"")</f>
        <v>4257.8069130419881</v>
      </c>
      <c r="R56" s="1429">
        <f t="shared" si="41"/>
        <v>2570.1676707727497</v>
      </c>
      <c r="S56" s="1429">
        <f t="shared" si="41"/>
        <v>2769.5765654823326</v>
      </c>
      <c r="T56" s="1429">
        <f t="shared" si="41"/>
        <v>2636.1785261929567</v>
      </c>
      <c r="U56" s="1429">
        <f t="shared" si="41"/>
        <v>2495.7216221498634</v>
      </c>
      <c r="V56" s="1429">
        <f t="shared" si="41"/>
        <v>2360.0512144247218</v>
      </c>
    </row>
    <row r="57" spans="3:22" s="1401" customFormat="1" x14ac:dyDescent="0.3">
      <c r="C57" s="15" t="s">
        <v>26</v>
      </c>
      <c r="D57" s="15"/>
      <c r="E57" s="15"/>
      <c r="F57" s="15"/>
      <c r="G57" s="15"/>
      <c r="H57" s="15"/>
      <c r="I57" s="15"/>
      <c r="J57" s="18"/>
      <c r="K57" s="45"/>
      <c r="L57" s="15"/>
      <c r="M57" s="15"/>
      <c r="N57" s="15"/>
      <c r="O57" s="15"/>
      <c r="P57" s="1406">
        <f>IFERROR(P8/P34/12*10^6,"")</f>
        <v>5356.6112575609868</v>
      </c>
      <c r="Q57" s="1446">
        <f t="shared" ref="Q57:V57" si="42">IFERROR(Q8/Q34/12*10^6,"")</f>
        <v>4722.8209893009853</v>
      </c>
      <c r="R57" s="1446">
        <f t="shared" si="42"/>
        <v>5106.8413149027565</v>
      </c>
      <c r="S57" s="1446">
        <f t="shared" si="42"/>
        <v>5520.085875472073</v>
      </c>
      <c r="T57" s="1446">
        <f t="shared" si="42"/>
        <v>5640.7725702260495</v>
      </c>
      <c r="U57" s="1446">
        <f t="shared" si="42"/>
        <v>5735.9124842419442</v>
      </c>
      <c r="V57" s="1446">
        <f t="shared" si="42"/>
        <v>5830.1274272546225</v>
      </c>
    </row>
    <row r="58" spans="3:22" s="1401" customFormat="1" x14ac:dyDescent="0.3">
      <c r="D58" s="1423" t="s">
        <v>27</v>
      </c>
      <c r="E58" s="1421"/>
      <c r="F58" s="1421"/>
      <c r="G58" s="1421"/>
      <c r="H58" s="1421"/>
      <c r="I58" s="1421"/>
      <c r="J58" s="1456"/>
      <c r="K58" s="1465"/>
      <c r="L58" s="1421"/>
      <c r="M58" s="1421"/>
      <c r="N58" s="1421"/>
      <c r="O58" s="1421"/>
      <c r="P58" s="1422">
        <f t="shared" ref="P58:V58" si="43">IFERROR(P9/P35/12*10^6,"")</f>
        <v>6023.8144441287441</v>
      </c>
      <c r="Q58" s="1447">
        <f t="shared" si="43"/>
        <v>5618.6057112846765</v>
      </c>
      <c r="R58" s="1447">
        <f t="shared" si="43"/>
        <v>5929.398197013541</v>
      </c>
      <c r="S58" s="1447">
        <f t="shared" si="43"/>
        <v>6379.3981970135601</v>
      </c>
      <c r="T58" s="1447">
        <f t="shared" si="43"/>
        <v>6469.3981970135628</v>
      </c>
      <c r="U58" s="1447">
        <f t="shared" si="43"/>
        <v>6529.3981970135592</v>
      </c>
      <c r="V58" s="1447">
        <f t="shared" si="43"/>
        <v>6589.398197013561</v>
      </c>
    </row>
    <row r="59" spans="3:22" s="1401" customFormat="1" x14ac:dyDescent="0.3">
      <c r="D59" s="1424" t="s">
        <v>28</v>
      </c>
      <c r="J59" s="18"/>
      <c r="K59" s="45"/>
      <c r="P59" s="1405">
        <f t="shared" ref="P59:V59" si="44">IFERROR(P10/P36/12*10^6,"")</f>
        <v>1835.8520156864752</v>
      </c>
      <c r="Q59" s="1448">
        <f t="shared" si="44"/>
        <v>1155.1834733463081</v>
      </c>
      <c r="R59" s="1448">
        <f t="shared" si="44"/>
        <v>1469.3941317094823</v>
      </c>
      <c r="S59" s="1448">
        <f t="shared" si="44"/>
        <v>1469.3941317094825</v>
      </c>
      <c r="T59" s="1448">
        <f t="shared" si="44"/>
        <v>1469.3941317094825</v>
      </c>
      <c r="U59" s="1448">
        <f t="shared" si="44"/>
        <v>1469.3941317094823</v>
      </c>
      <c r="V59" s="1448">
        <f t="shared" si="44"/>
        <v>1469.3941317094823</v>
      </c>
    </row>
    <row r="60" spans="3:22" s="1401" customFormat="1" x14ac:dyDescent="0.3">
      <c r="D60" s="1424" t="s">
        <v>29</v>
      </c>
      <c r="J60" s="18"/>
      <c r="K60" s="45"/>
      <c r="P60" s="1405">
        <f t="shared" ref="P60:V60" si="45">IFERROR(P11/P37/12*10^6,"")</f>
        <v>7299.9117970700299</v>
      </c>
      <c r="Q60" s="1448">
        <f t="shared" si="45"/>
        <v>5930.189186957793</v>
      </c>
      <c r="R60" s="1448">
        <f t="shared" si="45"/>
        <v>4879.6622569092415</v>
      </c>
      <c r="S60" s="1448">
        <f t="shared" si="45"/>
        <v>4879.6622569092415</v>
      </c>
      <c r="T60" s="1448">
        <f t="shared" si="45"/>
        <v>4879.6622569092415</v>
      </c>
      <c r="U60" s="1448">
        <f t="shared" si="45"/>
        <v>4879.6622569092424</v>
      </c>
      <c r="V60" s="1448">
        <f t="shared" si="45"/>
        <v>4879.6622569092415</v>
      </c>
    </row>
    <row r="61" spans="3:22" s="1401" customFormat="1" x14ac:dyDescent="0.3">
      <c r="D61" s="1424"/>
      <c r="J61" s="18"/>
      <c r="K61" s="45"/>
      <c r="P61" s="1405"/>
      <c r="Q61" s="44"/>
      <c r="R61" s="44"/>
      <c r="S61" s="44"/>
      <c r="T61" s="44"/>
      <c r="U61" s="44"/>
      <c r="V61" s="44"/>
    </row>
    <row r="62" spans="3:22" s="1401" customFormat="1" x14ac:dyDescent="0.3">
      <c r="C62" s="15" t="s">
        <v>30</v>
      </c>
      <c r="D62" s="15"/>
      <c r="J62" s="18"/>
      <c r="K62" s="45"/>
      <c r="P62" s="1406">
        <f>IFERROR(P13/P39/12*10^6,"")</f>
        <v>5979.5604914957694</v>
      </c>
      <c r="Q62" s="1446">
        <f t="shared" ref="Q62:V62" si="46">IFERROR(Q13/Q39/12*10^6,"")</f>
        <v>4617.4116132894187</v>
      </c>
      <c r="R62" s="1446">
        <f t="shared" si="46"/>
        <v>1450.6079941144735</v>
      </c>
      <c r="S62" s="1446">
        <f t="shared" si="46"/>
        <v>1761.4926819994882</v>
      </c>
      <c r="T62" s="1446">
        <f t="shared" si="46"/>
        <v>1690.8799923641373</v>
      </c>
      <c r="U62" s="1446">
        <f t="shared" si="46"/>
        <v>1623.5228785818131</v>
      </c>
      <c r="V62" s="1446">
        <f t="shared" si="46"/>
        <v>1562.8824037072486</v>
      </c>
    </row>
    <row r="63" spans="3:22" s="1401" customFormat="1" x14ac:dyDescent="0.3">
      <c r="D63" s="1423" t="s">
        <v>31</v>
      </c>
      <c r="E63" s="1421"/>
      <c r="F63" s="1421"/>
      <c r="G63" s="1421"/>
      <c r="H63" s="1421"/>
      <c r="I63" s="1421"/>
      <c r="J63" s="1456"/>
      <c r="K63" s="1465"/>
      <c r="L63" s="1421"/>
      <c r="M63" s="1421"/>
      <c r="N63" s="1421"/>
      <c r="O63" s="1421"/>
      <c r="P63" s="1422">
        <f t="shared" ref="P63:V63" si="47">IFERROR(P14/P40/12*10^6,"")</f>
        <v>7340.0765009296465</v>
      </c>
      <c r="Q63" s="1447">
        <f t="shared" si="47"/>
        <v>7708.0743294117328</v>
      </c>
      <c r="R63" s="1447">
        <f t="shared" si="47"/>
        <v>6879.2246965226132</v>
      </c>
      <c r="S63" s="1447">
        <f t="shared" si="47"/>
        <v>7329.2246965226104</v>
      </c>
      <c r="T63" s="1447">
        <f t="shared" si="47"/>
        <v>7419.2246965226113</v>
      </c>
      <c r="U63" s="1447">
        <f t="shared" si="47"/>
        <v>7479.2246965226132</v>
      </c>
      <c r="V63" s="1447">
        <f t="shared" si="47"/>
        <v>7539.2246965226122</v>
      </c>
    </row>
    <row r="64" spans="3:22" s="1401" customFormat="1" x14ac:dyDescent="0.3">
      <c r="D64" s="1424" t="s">
        <v>32</v>
      </c>
      <c r="J64" s="18"/>
      <c r="K64" s="45"/>
      <c r="P64" s="1405">
        <f t="shared" ref="P64:V64" si="48">IFERROR(P15/P41/12*10^6,"")</f>
        <v>4477.7668364094816</v>
      </c>
      <c r="Q64" s="1448">
        <f t="shared" si="48"/>
        <v>5964.870770552212</v>
      </c>
      <c r="R64" s="1448">
        <f t="shared" si="48"/>
        <v>5464.9901709217229</v>
      </c>
      <c r="S64" s="1448">
        <f t="shared" si="48"/>
        <v>5914.9901709217229</v>
      </c>
      <c r="T64" s="1448">
        <f t="shared" si="48"/>
        <v>6004.990170921722</v>
      </c>
      <c r="U64" s="1448">
        <f t="shared" si="48"/>
        <v>6064.9901709217229</v>
      </c>
      <c r="V64" s="1448">
        <f t="shared" si="48"/>
        <v>6124.990170921722</v>
      </c>
    </row>
    <row r="65" spans="2:22" s="1401" customFormat="1" x14ac:dyDescent="0.3">
      <c r="D65" s="1424" t="s">
        <v>33</v>
      </c>
      <c r="J65" s="18"/>
      <c r="K65" s="45"/>
      <c r="P65" s="1405">
        <f t="shared" ref="P65:V65" si="49">IFERROR(P16/P42/12*10^6,"")</f>
        <v>6971.988439980516</v>
      </c>
      <c r="Q65" s="1448">
        <f t="shared" si="49"/>
        <v>1118.263687486236</v>
      </c>
      <c r="R65" s="1448">
        <f t="shared" si="49"/>
        <v>606.49813781799878</v>
      </c>
      <c r="S65" s="1448">
        <f t="shared" si="49"/>
        <v>1000</v>
      </c>
      <c r="T65" s="1448">
        <f t="shared" si="49"/>
        <v>999.99999999999977</v>
      </c>
      <c r="U65" s="1448">
        <f t="shared" si="49"/>
        <v>1000.0000000000002</v>
      </c>
      <c r="V65" s="1448">
        <f t="shared" si="49"/>
        <v>1000.0000000000002</v>
      </c>
    </row>
    <row r="66" spans="2:22" s="1401" customFormat="1" x14ac:dyDescent="0.3">
      <c r="D66" s="1424"/>
      <c r="J66" s="18"/>
      <c r="K66" s="45"/>
      <c r="P66" s="1405"/>
      <c r="Q66" s="44"/>
      <c r="R66" s="44"/>
      <c r="S66" s="44"/>
      <c r="T66" s="44"/>
      <c r="U66" s="44"/>
      <c r="V66" s="44"/>
    </row>
    <row r="67" spans="2:22" s="1401" customFormat="1" x14ac:dyDescent="0.3">
      <c r="C67" s="41" t="s">
        <v>43</v>
      </c>
      <c r="D67" s="1413"/>
      <c r="E67" s="1413"/>
      <c r="F67" s="1413"/>
      <c r="G67" s="1413"/>
      <c r="H67" s="1413"/>
      <c r="I67" s="1413"/>
      <c r="J67" s="74"/>
      <c r="K67" s="1466"/>
      <c r="L67" s="1413"/>
      <c r="M67" s="1413"/>
      <c r="N67" s="1413"/>
      <c r="O67" s="1413"/>
      <c r="P67" s="1414"/>
      <c r="Q67" s="1441">
        <f>IFERROR(Q56/P56-1,"")</f>
        <v>-0.22681091854576829</v>
      </c>
      <c r="R67" s="1441">
        <f t="shared" ref="R67:V67" si="50">IFERROR(R56/Q56-1,"")</f>
        <v>-0.39636349809566762</v>
      </c>
      <c r="S67" s="1441">
        <f t="shared" si="50"/>
        <v>7.7585947787456311E-2</v>
      </c>
      <c r="T67" s="1441">
        <f t="shared" si="50"/>
        <v>-4.8165499720042582E-2</v>
      </c>
      <c r="U67" s="1441">
        <f t="shared" si="50"/>
        <v>-5.328049775366861E-2</v>
      </c>
      <c r="V67" s="1441">
        <f t="shared" si="50"/>
        <v>-5.4361194181694161E-2</v>
      </c>
    </row>
    <row r="68" spans="2:22" s="1401" customFormat="1" x14ac:dyDescent="0.3">
      <c r="C68" s="15" t="s">
        <v>26</v>
      </c>
      <c r="D68" s="15"/>
      <c r="E68" s="15"/>
      <c r="F68" s="15"/>
      <c r="G68" s="15"/>
      <c r="H68" s="15"/>
      <c r="I68" s="15"/>
      <c r="J68" s="18"/>
      <c r="K68" s="45"/>
      <c r="L68" s="15"/>
      <c r="M68" s="15"/>
      <c r="N68" s="15"/>
      <c r="O68" s="15"/>
      <c r="P68" s="1406" t="str">
        <f>IFERROR(P22/P45/12*10^6,"")</f>
        <v/>
      </c>
      <c r="Q68" s="1419">
        <f t="shared" ref="Q68:V68" si="51">IFERROR(Q57/P57-1,"")</f>
        <v>-0.11831925778922092</v>
      </c>
      <c r="R68" s="1419">
        <f t="shared" si="51"/>
        <v>8.1311641172029603E-2</v>
      </c>
      <c r="S68" s="1419">
        <f t="shared" si="51"/>
        <v>8.091979661936799E-2</v>
      </c>
      <c r="T68" s="1419">
        <f t="shared" si="51"/>
        <v>2.186319152936278E-2</v>
      </c>
      <c r="U68" s="1419">
        <f t="shared" si="51"/>
        <v>1.6866468702900095E-2</v>
      </c>
      <c r="V68" s="1419">
        <f t="shared" si="51"/>
        <v>1.6425449877680576E-2</v>
      </c>
    </row>
    <row r="69" spans="2:22" s="1401" customFormat="1" x14ac:dyDescent="0.3">
      <c r="D69" s="1423" t="s">
        <v>27</v>
      </c>
      <c r="E69" s="1421"/>
      <c r="F69" s="1421"/>
      <c r="G69" s="1421"/>
      <c r="H69" s="1421"/>
      <c r="I69" s="1421"/>
      <c r="J69" s="1456"/>
      <c r="K69" s="1465"/>
      <c r="L69" s="1421"/>
      <c r="M69" s="1421"/>
      <c r="N69" s="1421"/>
      <c r="O69" s="1421"/>
      <c r="P69" s="1422" t="str">
        <f t="shared" ref="P69" si="52">IFERROR(P23/P46/12*10^6,"")</f>
        <v/>
      </c>
      <c r="Q69" s="1426">
        <f t="shared" ref="Q69:V69" si="53">IFERROR(Q58/P58-1,"")</f>
        <v>-6.7267797938067919E-2</v>
      </c>
      <c r="R69" s="1426">
        <f t="shared" si="53"/>
        <v>5.5314877337744761E-2</v>
      </c>
      <c r="S69" s="1426">
        <f t="shared" si="53"/>
        <v>7.5893030801451378E-2</v>
      </c>
      <c r="T69" s="1426">
        <f t="shared" si="53"/>
        <v>1.4107913822049012E-2</v>
      </c>
      <c r="U69" s="1426">
        <f t="shared" si="53"/>
        <v>9.2744329801330849E-3</v>
      </c>
      <c r="V69" s="1426">
        <f t="shared" si="53"/>
        <v>9.1892082837656819E-3</v>
      </c>
    </row>
    <row r="70" spans="2:22" s="1401" customFormat="1" x14ac:dyDescent="0.3">
      <c r="D70" s="1424" t="s">
        <v>28</v>
      </c>
      <c r="J70" s="18"/>
      <c r="K70" s="45"/>
      <c r="P70" s="1405" t="str">
        <f t="shared" ref="P70" si="54">IFERROR(P24/P47/12*10^6,"")</f>
        <v/>
      </c>
      <c r="Q70" s="44">
        <f t="shared" ref="Q70:V70" si="55">IFERROR(Q59/P59-1,"")</f>
        <v>-0.37076438434262715</v>
      </c>
      <c r="R70" s="44">
        <f t="shared" si="55"/>
        <v>0.27200065237513837</v>
      </c>
      <c r="S70" s="44">
        <f t="shared" si="55"/>
        <v>2.2204460492503131E-16</v>
      </c>
      <c r="T70" s="44">
        <f t="shared" si="55"/>
        <v>0</v>
      </c>
      <c r="U70" s="44">
        <f t="shared" si="55"/>
        <v>-1.1102230246251565E-16</v>
      </c>
      <c r="V70" s="44">
        <f t="shared" si="55"/>
        <v>0</v>
      </c>
    </row>
    <row r="71" spans="2:22" s="1401" customFormat="1" x14ac:dyDescent="0.3">
      <c r="D71" s="1424" t="s">
        <v>29</v>
      </c>
      <c r="J71" s="18"/>
      <c r="K71" s="45"/>
      <c r="P71" s="1405" t="str">
        <f t="shared" ref="P71" si="56">IFERROR(P25/P48/12*10^6,"")</f>
        <v/>
      </c>
      <c r="Q71" s="44">
        <f t="shared" ref="Q71:V71" si="57">IFERROR(Q60/P60-1,"")</f>
        <v>-0.18763550138537333</v>
      </c>
      <c r="R71" s="44">
        <f t="shared" si="57"/>
        <v>-0.17714897399208862</v>
      </c>
      <c r="S71" s="44">
        <f t="shared" si="57"/>
        <v>0</v>
      </c>
      <c r="T71" s="44">
        <f t="shared" si="57"/>
        <v>0</v>
      </c>
      <c r="U71" s="44">
        <f t="shared" si="57"/>
        <v>2.2204460492503131E-16</v>
      </c>
      <c r="V71" s="44">
        <f t="shared" si="57"/>
        <v>-2.2204460492503131E-16</v>
      </c>
    </row>
    <row r="72" spans="2:22" s="1401" customFormat="1" x14ac:dyDescent="0.3">
      <c r="D72" s="1424"/>
      <c r="J72" s="18"/>
      <c r="K72" s="45"/>
      <c r="P72" s="1405"/>
      <c r="Q72" s="44"/>
      <c r="R72" s="44"/>
      <c r="S72" s="44"/>
      <c r="T72" s="44"/>
      <c r="U72" s="44"/>
      <c r="V72" s="44"/>
    </row>
    <row r="73" spans="2:22" s="1401" customFormat="1" x14ac:dyDescent="0.3">
      <c r="C73" s="15" t="s">
        <v>30</v>
      </c>
      <c r="D73" s="15"/>
      <c r="J73" s="18"/>
      <c r="K73" s="45"/>
      <c r="P73" s="1406" t="str">
        <f>IFERROR(P27/P50/12*10^6,"")</f>
        <v/>
      </c>
      <c r="Q73" s="1419">
        <f t="shared" ref="Q73:V73" si="58">IFERROR(Q62/P62-1,"")</f>
        <v>-0.22780083588812616</v>
      </c>
      <c r="R73" s="1419">
        <f t="shared" si="58"/>
        <v>-0.68583957515516614</v>
      </c>
      <c r="S73" s="1419">
        <f t="shared" si="58"/>
        <v>0.21431337008093276</v>
      </c>
      <c r="T73" s="1419">
        <f t="shared" si="58"/>
        <v>-4.0086848135637898E-2</v>
      </c>
      <c r="U73" s="1419">
        <f t="shared" si="58"/>
        <v>-3.9835537759334128E-2</v>
      </c>
      <c r="V73" s="1419">
        <f t="shared" si="58"/>
        <v>-3.7351167436294741E-2</v>
      </c>
    </row>
    <row r="74" spans="2:22" s="1401" customFormat="1" x14ac:dyDescent="0.3">
      <c r="D74" s="1423" t="s">
        <v>31</v>
      </c>
      <c r="E74" s="1421"/>
      <c r="F74" s="1421"/>
      <c r="G74" s="1421"/>
      <c r="H74" s="1421"/>
      <c r="I74" s="1421"/>
      <c r="J74" s="1456"/>
      <c r="K74" s="1465"/>
      <c r="L74" s="1421"/>
      <c r="M74" s="1421"/>
      <c r="N74" s="1421"/>
      <c r="O74" s="1421"/>
      <c r="P74" s="1422" t="str">
        <f t="shared" ref="P74" si="59">IFERROR(P28/P51/12*10^6,"")</f>
        <v/>
      </c>
      <c r="Q74" s="1426">
        <f t="shared" ref="Q74:V74" si="60">IFERROR(Q63/P63-1,"")</f>
        <v>5.0135421399964741E-2</v>
      </c>
      <c r="R74" s="1426">
        <f t="shared" si="60"/>
        <v>-0.10753005192574161</v>
      </c>
      <c r="S74" s="1426">
        <f t="shared" si="60"/>
        <v>6.5414348251696008E-2</v>
      </c>
      <c r="T74" s="1426">
        <f t="shared" si="60"/>
        <v>1.2279607151722605E-2</v>
      </c>
      <c r="U74" s="1426">
        <f t="shared" si="60"/>
        <v>8.0870983767513671E-3</v>
      </c>
      <c r="V74" s="1426">
        <f t="shared" si="60"/>
        <v>8.0222218792136424E-3</v>
      </c>
    </row>
    <row r="75" spans="2:22" s="1401" customFormat="1" x14ac:dyDescent="0.3">
      <c r="D75" s="1424" t="s">
        <v>32</v>
      </c>
      <c r="J75" s="18"/>
      <c r="K75" s="45"/>
      <c r="P75" s="1405" t="str">
        <f t="shared" ref="P75" si="61">IFERROR(P29/P52/12*10^6,"")</f>
        <v/>
      </c>
      <c r="Q75" s="44">
        <f t="shared" ref="Q75:V75" si="62">IFERROR(Q64/P64-1,"")</f>
        <v>0.33210838984532121</v>
      </c>
      <c r="R75" s="44">
        <f t="shared" si="62"/>
        <v>-8.3804095488260066E-2</v>
      </c>
      <c r="S75" s="44">
        <f t="shared" si="62"/>
        <v>8.2342325589966014E-2</v>
      </c>
      <c r="T75" s="44">
        <f t="shared" si="62"/>
        <v>1.5215578961135456E-2</v>
      </c>
      <c r="U75" s="44">
        <f t="shared" si="62"/>
        <v>9.9916899598839759E-3</v>
      </c>
      <c r="V75" s="44">
        <f t="shared" si="62"/>
        <v>9.892843732487222E-3</v>
      </c>
    </row>
    <row r="76" spans="2:22" s="1401" customFormat="1" x14ac:dyDescent="0.3">
      <c r="D76" s="1424" t="s">
        <v>33</v>
      </c>
      <c r="J76" s="18"/>
      <c r="K76" s="45"/>
      <c r="P76" s="1405" t="str">
        <f t="shared" ref="P76" si="63">IFERROR(P30/P53/12*10^6,"")</f>
        <v/>
      </c>
      <c r="Q76" s="44">
        <f t="shared" ref="Q76:V76" si="64">IFERROR(Q65/P65-1,"")</f>
        <v>-0.83960620458381585</v>
      </c>
      <c r="R76" s="44">
        <f t="shared" si="64"/>
        <v>-0.45764300083698839</v>
      </c>
      <c r="S76" s="44">
        <f t="shared" si="64"/>
        <v>0.64880967911575915</v>
      </c>
      <c r="T76" s="44">
        <f t="shared" si="64"/>
        <v>-2.2204460492503131E-16</v>
      </c>
      <c r="U76" s="44">
        <f t="shared" si="64"/>
        <v>4.4408920985006262E-16</v>
      </c>
      <c r="V76" s="44">
        <f t="shared" si="64"/>
        <v>0</v>
      </c>
    </row>
    <row r="77" spans="2:22" s="1401" customFormat="1" x14ac:dyDescent="0.3">
      <c r="D77" s="1424"/>
      <c r="J77" s="18"/>
      <c r="K77" s="45"/>
      <c r="P77" s="1405"/>
      <c r="Q77" s="44"/>
      <c r="R77" s="44"/>
      <c r="S77" s="44"/>
      <c r="T77" s="44"/>
      <c r="U77" s="44"/>
      <c r="V77" s="44"/>
    </row>
    <row r="78" spans="2:22" s="15" customFormat="1" x14ac:dyDescent="0.3">
      <c r="B78" s="87" t="s">
        <v>44</v>
      </c>
      <c r="C78" s="87"/>
      <c r="D78" s="87"/>
      <c r="E78" s="87"/>
      <c r="F78" s="87"/>
      <c r="G78" s="87"/>
      <c r="H78" s="87"/>
      <c r="I78" s="87"/>
      <c r="J78" s="87"/>
      <c r="K78" s="1472" t="s">
        <v>25</v>
      </c>
      <c r="L78" s="87"/>
      <c r="M78" s="87"/>
      <c r="N78" s="87"/>
      <c r="O78" s="87"/>
      <c r="P78" s="87">
        <f>P79+P84</f>
        <v>97411.593394000025</v>
      </c>
      <c r="Q78" s="87">
        <f t="shared" ref="Q78:V78" si="65">Q79+Q84</f>
        <v>90946.065644526068</v>
      </c>
      <c r="R78" s="87">
        <f t="shared" si="65"/>
        <v>94107.939121201431</v>
      </c>
      <c r="S78" s="87">
        <f t="shared" si="65"/>
        <v>122410.76709736401</v>
      </c>
      <c r="T78" s="87">
        <f t="shared" si="65"/>
        <v>141978.39582098194</v>
      </c>
      <c r="U78" s="87">
        <f t="shared" si="65"/>
        <v>164797.7269790635</v>
      </c>
      <c r="V78" s="87">
        <f t="shared" si="65"/>
        <v>192169.05028518359</v>
      </c>
    </row>
    <row r="79" spans="2:22" s="1401" customFormat="1" x14ac:dyDescent="0.3">
      <c r="C79" s="15" t="s">
        <v>26</v>
      </c>
      <c r="D79" s="15"/>
      <c r="E79" s="15"/>
      <c r="F79" s="15"/>
      <c r="G79" s="15"/>
      <c r="H79" s="15"/>
      <c r="I79" s="15"/>
      <c r="J79" s="18"/>
      <c r="K79" s="45"/>
      <c r="L79" s="15"/>
      <c r="M79" s="15"/>
      <c r="N79" s="15"/>
      <c r="O79" s="15"/>
      <c r="P79" s="1406">
        <f>P80+P81+P82</f>
        <v>70237.597817000016</v>
      </c>
      <c r="Q79" s="1473">
        <f t="shared" ref="Q79:V79" si="66">Q80+Q81+Q82</f>
        <v>66258.824632334072</v>
      </c>
      <c r="R79" s="1473">
        <f t="shared" si="66"/>
        <v>63451.813195684728</v>
      </c>
      <c r="S79" s="1473">
        <f t="shared" si="66"/>
        <v>74875.135402376589</v>
      </c>
      <c r="T79" s="1473">
        <f t="shared" si="66"/>
        <v>83590.728338999368</v>
      </c>
      <c r="U79" s="1473">
        <f t="shared" si="66"/>
        <v>92930.109652666637</v>
      </c>
      <c r="V79" s="1473">
        <f t="shared" si="66"/>
        <v>103336.52327168851</v>
      </c>
    </row>
    <row r="80" spans="2:22" s="1401" customFormat="1" x14ac:dyDescent="0.3">
      <c r="D80" s="1423" t="s">
        <v>27</v>
      </c>
      <c r="E80" s="1421"/>
      <c r="F80" s="1421"/>
      <c r="G80" s="1421"/>
      <c r="H80" s="1421"/>
      <c r="I80" s="1421"/>
      <c r="J80" s="1456"/>
      <c r="K80" s="1465"/>
      <c r="L80" s="1421"/>
      <c r="M80" s="1421"/>
      <c r="N80" s="1421"/>
      <c r="O80" s="1421"/>
      <c r="P80" s="1474">
        <f>플랫폼!E29*100</f>
        <v>66707.611304000005</v>
      </c>
      <c r="Q80" s="1475">
        <f>플랫폼!F29*100</f>
        <v>63771.179797969708</v>
      </c>
      <c r="R80" s="1475">
        <f>플랫폼!G29*100</f>
        <v>59830.137105205802</v>
      </c>
      <c r="S80" s="1475">
        <f>플랫폼!H29*100</f>
        <v>71161.949849213517</v>
      </c>
      <c r="T80" s="1475">
        <f>플랫폼!I29*100</f>
        <v>79779.398586382711</v>
      </c>
      <c r="U80" s="1475">
        <f>플랫폼!J29*100</f>
        <v>89014.094188938936</v>
      </c>
      <c r="V80" s="1475">
        <f>플랫폼!K29*100</f>
        <v>99309.34591251846</v>
      </c>
    </row>
    <row r="81" spans="3:31" s="1401" customFormat="1" x14ac:dyDescent="0.3">
      <c r="D81" s="1424" t="s">
        <v>28</v>
      </c>
      <c r="J81" s="18"/>
      <c r="K81" s="45"/>
      <c r="P81" s="1416">
        <f>플랫폼!E30*100</f>
        <v>2718.6635549999996</v>
      </c>
      <c r="Q81" s="1476">
        <f>플랫폼!F30*100</f>
        <v>1980.7279958581955</v>
      </c>
      <c r="R81" s="1476">
        <f>플랫폼!G30*100</f>
        <v>3347.71932127736</v>
      </c>
      <c r="S81" s="1476">
        <f>플랫폼!H30*100</f>
        <v>3465.3916554202588</v>
      </c>
      <c r="T81" s="1476">
        <f>플랫폼!I30*100</f>
        <v>3587.2001721082811</v>
      </c>
      <c r="U81" s="1476">
        <f>플랫폼!J30*100</f>
        <v>3713.290258157886</v>
      </c>
      <c r="V81" s="1476">
        <f>플랫폼!K30*100</f>
        <v>3843.8124107321355</v>
      </c>
    </row>
    <row r="82" spans="3:31" s="1401" customFormat="1" x14ac:dyDescent="0.3">
      <c r="D82" s="1424" t="s">
        <v>29</v>
      </c>
      <c r="J82" s="18"/>
      <c r="K82" s="45"/>
      <c r="P82" s="1416">
        <f>플랫폼!E31*100</f>
        <v>811.32295800000009</v>
      </c>
      <c r="Q82" s="1476">
        <f>플랫폼!F31*100</f>
        <v>506.91683850615982</v>
      </c>
      <c r="R82" s="1476">
        <f>플랫폼!G31*100</f>
        <v>273.95676920156376</v>
      </c>
      <c r="S82" s="1476">
        <f>플랫폼!H31*100</f>
        <v>247.79389774281438</v>
      </c>
      <c r="T82" s="1476">
        <f>플랫폼!I31*100</f>
        <v>224.12958050837562</v>
      </c>
      <c r="U82" s="1476">
        <f>플랫폼!J31*100</f>
        <v>202.7252055698257</v>
      </c>
      <c r="V82" s="1476">
        <f>플랫폼!K31*100</f>
        <v>183.36494843790732</v>
      </c>
    </row>
    <row r="83" spans="3:31" s="1401" customFormat="1" x14ac:dyDescent="0.3">
      <c r="D83" s="1424"/>
      <c r="J83" s="18"/>
      <c r="K83" s="45"/>
      <c r="P83" s="1416"/>
      <c r="Q83" s="1476"/>
      <c r="R83" s="1476"/>
      <c r="S83" s="1476"/>
      <c r="T83" s="1476"/>
      <c r="U83" s="1476"/>
      <c r="V83" s="1476"/>
    </row>
    <row r="84" spans="3:31" s="1401" customFormat="1" x14ac:dyDescent="0.3">
      <c r="C84" s="15" t="s">
        <v>30</v>
      </c>
      <c r="D84" s="15"/>
      <c r="J84" s="18"/>
      <c r="K84" s="45"/>
      <c r="P84" s="1406">
        <f>P85+P86+P87</f>
        <v>27173.995577000002</v>
      </c>
      <c r="Q84" s="1473">
        <f t="shared" ref="Q84:V84" si="67">Q85+Q86+Q87</f>
        <v>24687.241012192004</v>
      </c>
      <c r="R84" s="1473">
        <f t="shared" si="67"/>
        <v>30656.125925516699</v>
      </c>
      <c r="S84" s="1473">
        <f t="shared" si="67"/>
        <v>47535.631694987416</v>
      </c>
      <c r="T84" s="1473">
        <f t="shared" si="67"/>
        <v>58387.667481982586</v>
      </c>
      <c r="U84" s="1473">
        <f t="shared" si="67"/>
        <v>71867.617326396867</v>
      </c>
      <c r="V84" s="1473">
        <f t="shared" si="67"/>
        <v>88832.527013495099</v>
      </c>
    </row>
    <row r="85" spans="3:31" s="1401" customFormat="1" x14ac:dyDescent="0.3">
      <c r="D85" s="1423" t="s">
        <v>31</v>
      </c>
      <c r="E85" s="1421"/>
      <c r="F85" s="1421"/>
      <c r="G85" s="1421"/>
      <c r="H85" s="1421"/>
      <c r="I85" s="1421"/>
      <c r="J85" s="1456"/>
      <c r="K85" s="1465"/>
      <c r="L85" s="1421"/>
      <c r="M85" s="1421"/>
      <c r="N85" s="1421"/>
      <c r="O85" s="1421"/>
      <c r="P85" s="1474">
        <f>플랫폼!E34*100</f>
        <v>12796.745582</v>
      </c>
      <c r="Q85" s="1475">
        <f>플랫폼!F34*100</f>
        <v>11749.104701294122</v>
      </c>
      <c r="R85" s="1475">
        <f>플랫폼!G34*100</f>
        <v>11656.350973117083</v>
      </c>
      <c r="S85" s="1475">
        <f>플랫폼!H34*100</f>
        <v>13660.727932518219</v>
      </c>
      <c r="T85" s="1475">
        <f>플랫폼!I34*100</f>
        <v>15211.32393542972</v>
      </c>
      <c r="U85" s="1475">
        <f>플랫폼!J34*100</f>
        <v>16867.77334938979</v>
      </c>
      <c r="V85" s="1475">
        <f>플랫폼!K34*100</f>
        <v>18703.399406787572</v>
      </c>
    </row>
    <row r="86" spans="3:31" s="1401" customFormat="1" x14ac:dyDescent="0.3">
      <c r="D86" s="1424" t="s">
        <v>32</v>
      </c>
      <c r="J86" s="18"/>
      <c r="K86" s="45"/>
      <c r="P86" s="1416">
        <f>플랫폼!E35*100</f>
        <v>11236.734047</v>
      </c>
      <c r="Q86" s="1476">
        <f>플랫폼!F35*100</f>
        <v>10618.960566590424</v>
      </c>
      <c r="R86" s="1476">
        <f>플랫폼!G35*100</f>
        <v>8110.1988991728886</v>
      </c>
      <c r="S86" s="1476">
        <f>플랫폼!H35*100</f>
        <v>10533.61384503356</v>
      </c>
      <c r="T86" s="1476">
        <f>플랫폼!I35*100</f>
        <v>12832.666653886534</v>
      </c>
      <c r="U86" s="1476">
        <f>플랫폼!J35*100</f>
        <v>15553.064016540849</v>
      </c>
      <c r="V86" s="1476">
        <f>플랫폼!K35*100</f>
        <v>18848.31365810143</v>
      </c>
    </row>
    <row r="87" spans="3:31" s="1401" customFormat="1" x14ac:dyDescent="0.3">
      <c r="D87" s="1424" t="s">
        <v>33</v>
      </c>
      <c r="J87" s="18"/>
      <c r="K87" s="45"/>
      <c r="P87" s="1416">
        <f>플랫폼!E36*100</f>
        <v>3140.5159479999998</v>
      </c>
      <c r="Q87" s="1476">
        <f>플랫폼!F36*100</f>
        <v>2319.1757443074616</v>
      </c>
      <c r="R87" s="1476">
        <f>플랫폼!G36*100</f>
        <v>10889.576053226727</v>
      </c>
      <c r="S87" s="1476">
        <f>플랫폼!H36*100</f>
        <v>23341.289917435639</v>
      </c>
      <c r="T87" s="1476">
        <f>플랫폼!I36*100</f>
        <v>30343.676892666328</v>
      </c>
      <c r="U87" s="1476">
        <f>플랫폼!J36*100</f>
        <v>39446.779960466236</v>
      </c>
      <c r="V87" s="1476">
        <f>플랫폼!K36*100</f>
        <v>51280.813948606097</v>
      </c>
    </row>
    <row r="88" spans="3:31" s="1401" customFormat="1" x14ac:dyDescent="0.3">
      <c r="D88" s="1424"/>
      <c r="J88" s="18"/>
      <c r="K88" s="45"/>
      <c r="P88" s="1416"/>
      <c r="Q88" s="565"/>
      <c r="R88" s="565"/>
      <c r="S88" s="565"/>
      <c r="T88" s="565"/>
      <c r="U88" s="565"/>
      <c r="V88" s="565"/>
    </row>
    <row r="89" spans="3:31" s="1401" customFormat="1" x14ac:dyDescent="0.3">
      <c r="C89" s="25" t="s">
        <v>34</v>
      </c>
      <c r="D89" s="1412"/>
      <c r="E89" s="1412"/>
      <c r="F89" s="1412"/>
      <c r="G89" s="1412"/>
      <c r="H89" s="1412"/>
      <c r="I89" s="1412"/>
      <c r="J89" s="25"/>
      <c r="K89" s="1470" t="s">
        <v>35</v>
      </c>
      <c r="L89" s="1412"/>
      <c r="M89" s="1412"/>
      <c r="N89" s="1412"/>
      <c r="O89" s="1412">
        <f>보고서!D55</f>
        <v>82005</v>
      </c>
      <c r="P89" s="1479">
        <f>보고서!E55</f>
        <v>97412</v>
      </c>
      <c r="Q89" s="1480">
        <f>보고서!F55+보고서!G55</f>
        <v>90946</v>
      </c>
      <c r="R89" s="1480">
        <f>보고서!H55</f>
        <v>98734</v>
      </c>
      <c r="S89" s="1480">
        <f>보고서!I55</f>
        <v>129282</v>
      </c>
      <c r="T89" s="1480">
        <f>보고서!J55</f>
        <v>150202</v>
      </c>
      <c r="U89" s="1480">
        <f>보고서!K55</f>
        <v>174692</v>
      </c>
      <c r="V89" s="1480">
        <f>보고서!L55</f>
        <v>204174</v>
      </c>
    </row>
    <row r="90" spans="3:31" s="1401" customFormat="1" x14ac:dyDescent="0.3">
      <c r="C90" s="1412"/>
      <c r="D90" s="1412"/>
      <c r="E90" s="1412"/>
      <c r="F90" s="1412"/>
      <c r="G90" s="1412"/>
      <c r="H90" s="1412"/>
      <c r="I90" s="1412"/>
      <c r="J90" s="25"/>
      <c r="K90" s="1470"/>
      <c r="L90" s="1412"/>
      <c r="M90" s="1412"/>
      <c r="N90" s="1412"/>
      <c r="O90" s="1412"/>
      <c r="P90" s="1479">
        <f>P78-P89</f>
        <v>-0.40660599997499958</v>
      </c>
      <c r="Q90" s="1480">
        <f t="shared" ref="Q90:V90" si="68">Q78-Q89</f>
        <v>6.5644526068354025E-2</v>
      </c>
      <c r="R90" s="1480">
        <f t="shared" si="68"/>
        <v>-4626.0608787985693</v>
      </c>
      <c r="S90" s="1480">
        <f t="shared" si="68"/>
        <v>-6871.2329026359948</v>
      </c>
      <c r="T90" s="1480">
        <f t="shared" si="68"/>
        <v>-8223.6041790180607</v>
      </c>
      <c r="U90" s="1480">
        <f t="shared" si="68"/>
        <v>-9894.2730209364963</v>
      </c>
      <c r="V90" s="1480">
        <f t="shared" si="68"/>
        <v>-12004.949714816408</v>
      </c>
    </row>
    <row r="91" spans="3:31" s="1401" customFormat="1" x14ac:dyDescent="0.3">
      <c r="C91" s="1412"/>
      <c r="D91" s="1412"/>
      <c r="E91" s="1412"/>
      <c r="F91" s="1412"/>
      <c r="G91" s="1412"/>
      <c r="H91" s="1412"/>
      <c r="I91" s="1412"/>
      <c r="J91" s="25"/>
      <c r="K91" s="1470"/>
      <c r="L91" s="1412"/>
      <c r="M91" s="1412"/>
      <c r="N91" s="1412"/>
      <c r="O91" s="1482">
        <f>O89/O18</f>
        <v>0.7955394301568669</v>
      </c>
      <c r="P91" s="1481">
        <f t="shared" ref="P91:V91" si="69">P89/P18</f>
        <v>0.76928301231175023</v>
      </c>
      <c r="Q91" s="1482">
        <f t="shared" si="69"/>
        <v>0.78577167987143703</v>
      </c>
      <c r="R91" s="1482">
        <f t="shared" si="69"/>
        <v>0.78947410505105431</v>
      </c>
      <c r="S91" s="1482">
        <f t="shared" si="69"/>
        <v>0.79360850562294361</v>
      </c>
      <c r="T91" s="1482">
        <f t="shared" si="69"/>
        <v>0.79585651459757323</v>
      </c>
      <c r="U91" s="1482">
        <f t="shared" si="69"/>
        <v>0.79803747795817304</v>
      </c>
      <c r="V91" s="1482">
        <f t="shared" si="69"/>
        <v>0.80016146351786677</v>
      </c>
    </row>
    <row r="92" spans="3:31" s="1401" customFormat="1" x14ac:dyDescent="0.3">
      <c r="J92" s="18"/>
      <c r="K92" s="45"/>
      <c r="P92" s="1416"/>
      <c r="Q92" s="565"/>
      <c r="R92" s="565"/>
      <c r="S92" s="565"/>
      <c r="T92" s="565"/>
      <c r="U92" s="565"/>
      <c r="V92" s="565"/>
    </row>
    <row r="93" spans="3:31" s="1401" customFormat="1" x14ac:dyDescent="0.3">
      <c r="C93" s="41" t="s">
        <v>45</v>
      </c>
      <c r="D93" s="1413"/>
      <c r="E93" s="1413"/>
      <c r="F93" s="1413"/>
      <c r="G93" s="1413"/>
      <c r="H93" s="1413"/>
      <c r="I93" s="1413"/>
      <c r="J93" s="74"/>
      <c r="K93" s="1466"/>
      <c r="L93" s="1413"/>
      <c r="M93" s="1413"/>
      <c r="N93" s="1413"/>
      <c r="O93" s="1413"/>
      <c r="P93" s="1477">
        <f>P78/P7</f>
        <v>0.76927762779437858</v>
      </c>
      <c r="Q93" s="1441">
        <f t="shared" ref="Q93:V93" si="70">Q78/Q7</f>
        <v>0.78577195243511277</v>
      </c>
      <c r="R93" s="1441">
        <f t="shared" si="70"/>
        <v>0.75248267781578648</v>
      </c>
      <c r="S93" s="1441">
        <f t="shared" si="70"/>
        <v>0.75143090535925672</v>
      </c>
      <c r="T93" s="1441">
        <f t="shared" si="70"/>
        <v>0.75228371300918995</v>
      </c>
      <c r="U93" s="1441">
        <f t="shared" si="70"/>
        <v>0.75283787853929562</v>
      </c>
      <c r="V93" s="1441">
        <f t="shared" si="70"/>
        <v>0.75311435169997432</v>
      </c>
    </row>
    <row r="94" spans="3:31" s="1401" customFormat="1" x14ac:dyDescent="0.3">
      <c r="C94" s="15" t="s">
        <v>26</v>
      </c>
      <c r="D94" s="15"/>
      <c r="E94" s="15"/>
      <c r="F94" s="15"/>
      <c r="G94" s="15"/>
      <c r="H94" s="15"/>
      <c r="I94" s="15"/>
      <c r="J94" s="18"/>
      <c r="K94" s="45"/>
      <c r="L94" s="15"/>
      <c r="M94" s="15"/>
      <c r="N94" s="15"/>
      <c r="O94" s="15"/>
      <c r="P94" s="1418">
        <f t="shared" ref="P94:V94" si="71">P79/P8</f>
        <v>0.75140612556603803</v>
      </c>
      <c r="Q94" s="1419">
        <f t="shared" si="71"/>
        <v>0.79479735614834301</v>
      </c>
      <c r="R94" s="1419">
        <f t="shared" si="71"/>
        <v>0.77001463455863328</v>
      </c>
      <c r="S94" s="1419">
        <f t="shared" si="71"/>
        <v>0.77386470773142635</v>
      </c>
      <c r="T94" s="1419">
        <f t="shared" si="71"/>
        <v>0.77773403127008345</v>
      </c>
      <c r="U94" s="1419">
        <f t="shared" si="71"/>
        <v>0.78162270142643375</v>
      </c>
      <c r="V94" s="1419">
        <f t="shared" si="71"/>
        <v>0.7855308149335658</v>
      </c>
      <c r="Y94" s="44">
        <f>Q94/P94-1</f>
        <v>5.7746708611961628E-2</v>
      </c>
      <c r="Z94" s="44">
        <f t="shared" ref="Z94:AD94" si="72">R94/Q94-1</f>
        <v>-3.1181182722862744E-2</v>
      </c>
      <c r="AA94" s="1478">
        <f t="shared" si="72"/>
        <v>4.9999999999998934E-3</v>
      </c>
      <c r="AB94" s="1478">
        <f t="shared" si="72"/>
        <v>4.9999999999998934E-3</v>
      </c>
      <c r="AC94" s="1478">
        <f t="shared" si="72"/>
        <v>4.9999999999998934E-3</v>
      </c>
      <c r="AD94" s="1478">
        <f t="shared" si="72"/>
        <v>4.9999999999998934E-3</v>
      </c>
      <c r="AE94" s="45" t="s">
        <v>46</v>
      </c>
    </row>
    <row r="95" spans="3:31" s="1401" customFormat="1" x14ac:dyDescent="0.3">
      <c r="D95" s="1423" t="s">
        <v>27</v>
      </c>
      <c r="E95" s="1421"/>
      <c r="F95" s="1421"/>
      <c r="G95" s="1421"/>
      <c r="H95" s="1421"/>
      <c r="I95" s="1421"/>
      <c r="J95" s="1456"/>
      <c r="K95" s="1465"/>
      <c r="L95" s="1421"/>
      <c r="M95" s="1421"/>
      <c r="N95" s="1421"/>
      <c r="O95" s="1421"/>
      <c r="P95" s="1425">
        <f t="shared" ref="P95:V95" si="73">P80/P9</f>
        <v>0.763123118134172</v>
      </c>
      <c r="Q95" s="1426">
        <f t="shared" si="73"/>
        <v>0.80997616907791825</v>
      </c>
      <c r="R95" s="1426">
        <f t="shared" si="73"/>
        <v>0.77001463455863328</v>
      </c>
      <c r="S95" s="1426">
        <f t="shared" si="73"/>
        <v>0.77386470773142635</v>
      </c>
      <c r="T95" s="1426">
        <f t="shared" si="73"/>
        <v>0.77773403127008345</v>
      </c>
      <c r="U95" s="1426">
        <f t="shared" si="73"/>
        <v>0.78162270142643386</v>
      </c>
      <c r="V95" s="1426">
        <f t="shared" si="73"/>
        <v>0.7855308149335658</v>
      </c>
    </row>
    <row r="96" spans="3:31" s="1401" customFormat="1" x14ac:dyDescent="0.3">
      <c r="D96" s="1424" t="s">
        <v>28</v>
      </c>
      <c r="J96" s="18"/>
      <c r="K96" s="45"/>
      <c r="P96" s="1417">
        <f t="shared" ref="P96:V96" si="74">P81/P10</f>
        <v>0.5256534247460688</v>
      </c>
      <c r="Q96" s="44">
        <f t="shared" si="74"/>
        <v>0.48315063913629308</v>
      </c>
      <c r="R96" s="44">
        <f t="shared" si="74"/>
        <v>0.77001463455863328</v>
      </c>
      <c r="S96" s="44">
        <f t="shared" si="74"/>
        <v>0.77386470773142624</v>
      </c>
      <c r="T96" s="44">
        <f t="shared" si="74"/>
        <v>0.77773403127008345</v>
      </c>
      <c r="U96" s="44">
        <f t="shared" si="74"/>
        <v>0.78162270142643364</v>
      </c>
      <c r="V96" s="44">
        <f t="shared" si="74"/>
        <v>0.7855308149335658</v>
      </c>
    </row>
    <row r="97" spans="2:24" s="1401" customFormat="1" x14ac:dyDescent="0.3">
      <c r="D97" s="1424" t="s">
        <v>29</v>
      </c>
      <c r="J97" s="18"/>
      <c r="K97" s="45"/>
      <c r="P97" s="1417">
        <f t="shared" ref="P97:V97" si="75">P82/P11</f>
        <v>0.91267141399036034</v>
      </c>
      <c r="Q97" s="44">
        <f t="shared" si="75"/>
        <v>0.94944650340183367</v>
      </c>
      <c r="R97" s="44">
        <f t="shared" si="75"/>
        <v>0.77001463455863328</v>
      </c>
      <c r="S97" s="44">
        <f t="shared" si="75"/>
        <v>0.77386470773142635</v>
      </c>
      <c r="T97" s="44">
        <f t="shared" si="75"/>
        <v>0.77773403127008356</v>
      </c>
      <c r="U97" s="44">
        <f t="shared" si="75"/>
        <v>0.78162270142643375</v>
      </c>
      <c r="V97" s="44">
        <f t="shared" si="75"/>
        <v>0.78553081493356591</v>
      </c>
    </row>
    <row r="98" spans="2:24" s="1401" customFormat="1" x14ac:dyDescent="0.3">
      <c r="D98" s="1424"/>
      <c r="J98" s="18"/>
      <c r="K98" s="45"/>
      <c r="P98" s="1417"/>
      <c r="Q98" s="44"/>
      <c r="R98" s="44"/>
      <c r="S98" s="44"/>
      <c r="T98" s="44"/>
      <c r="U98" s="44"/>
      <c r="V98" s="44"/>
    </row>
    <row r="99" spans="2:24" s="1401" customFormat="1" x14ac:dyDescent="0.3">
      <c r="C99" s="15" t="s">
        <v>30</v>
      </c>
      <c r="D99" s="15"/>
      <c r="J99" s="18"/>
      <c r="K99" s="45"/>
      <c r="P99" s="1418">
        <f t="shared" ref="P99:V99" si="76">P84/P13</f>
        <v>0.81966712128380526</v>
      </c>
      <c r="Q99" s="1419">
        <f t="shared" si="76"/>
        <v>0.76253178017200973</v>
      </c>
      <c r="R99" s="1419">
        <f t="shared" si="76"/>
        <v>0.71861730596604101</v>
      </c>
      <c r="S99" s="1419">
        <f t="shared" si="76"/>
        <v>0.71861730596604101</v>
      </c>
      <c r="T99" s="1419">
        <f t="shared" si="76"/>
        <v>0.71861730596604112</v>
      </c>
      <c r="U99" s="1419">
        <f t="shared" si="76"/>
        <v>0.7186173059660409</v>
      </c>
      <c r="V99" s="1419">
        <f t="shared" si="76"/>
        <v>0.7186173059660409</v>
      </c>
      <c r="X99" s="1401" t="s">
        <v>47</v>
      </c>
    </row>
    <row r="100" spans="2:24" s="1401" customFormat="1" x14ac:dyDescent="0.3">
      <c r="D100" s="1423" t="s">
        <v>31</v>
      </c>
      <c r="E100" s="1421"/>
      <c r="F100" s="1421"/>
      <c r="G100" s="1421"/>
      <c r="H100" s="1421"/>
      <c r="I100" s="1421"/>
      <c r="J100" s="1456"/>
      <c r="K100" s="1465"/>
      <c r="L100" s="1421"/>
      <c r="M100" s="1421"/>
      <c r="N100" s="1421"/>
      <c r="O100" s="1421"/>
      <c r="P100" s="1425">
        <f t="shared" ref="P100:V100" si="77">P85/P14</f>
        <v>0.72614392280782358</v>
      </c>
      <c r="Q100" s="1426">
        <f t="shared" si="77"/>
        <v>0.70399380387488741</v>
      </c>
      <c r="R100" s="1426">
        <f t="shared" si="77"/>
        <v>0.71861730596604101</v>
      </c>
      <c r="S100" s="1426">
        <f t="shared" si="77"/>
        <v>0.71861730596604101</v>
      </c>
      <c r="T100" s="1426">
        <f t="shared" si="77"/>
        <v>0.71861730596604101</v>
      </c>
      <c r="U100" s="1426">
        <f t="shared" si="77"/>
        <v>0.7186173059660409</v>
      </c>
      <c r="V100" s="1426">
        <f t="shared" si="77"/>
        <v>0.71861730596604101</v>
      </c>
    </row>
    <row r="101" spans="2:24" s="1401" customFormat="1" x14ac:dyDescent="0.3">
      <c r="D101" s="1424" t="s">
        <v>32</v>
      </c>
      <c r="J101" s="18"/>
      <c r="K101" s="45"/>
      <c r="P101" s="1417">
        <f t="shared" ref="P101:V101" si="78">P86/P15</f>
        <v>0.98012238195748436</v>
      </c>
      <c r="Q101" s="44">
        <f t="shared" si="78"/>
        <v>0.84041452924865512</v>
      </c>
      <c r="R101" s="44">
        <f t="shared" si="78"/>
        <v>0.71861730596604101</v>
      </c>
      <c r="S101" s="44">
        <f t="shared" si="78"/>
        <v>0.71861730596604112</v>
      </c>
      <c r="T101" s="44">
        <f t="shared" si="78"/>
        <v>0.71861730596604112</v>
      </c>
      <c r="U101" s="44">
        <f t="shared" si="78"/>
        <v>0.71861730596604112</v>
      </c>
      <c r="V101" s="44">
        <f t="shared" si="78"/>
        <v>0.71861730596604101</v>
      </c>
    </row>
    <row r="102" spans="2:24" s="1401" customFormat="1" x14ac:dyDescent="0.3">
      <c r="D102" s="1424" t="s">
        <v>33</v>
      </c>
      <c r="J102" s="18"/>
      <c r="K102" s="45"/>
      <c r="P102" s="1417">
        <f t="shared" ref="P102:V102" si="79">P87/P16</f>
        <v>0.77257920498615051</v>
      </c>
      <c r="Q102" s="44">
        <f t="shared" si="79"/>
        <v>0.76019612193435948</v>
      </c>
      <c r="R102" s="44">
        <f t="shared" si="79"/>
        <v>0.71861730596604101</v>
      </c>
      <c r="S102" s="44">
        <f t="shared" si="79"/>
        <v>0.7186173059660409</v>
      </c>
      <c r="T102" s="44">
        <f t="shared" si="79"/>
        <v>0.71861730596604101</v>
      </c>
      <c r="U102" s="44">
        <f t="shared" si="79"/>
        <v>0.71861730596604101</v>
      </c>
      <c r="V102" s="44">
        <f t="shared" si="79"/>
        <v>0.7186173059660409</v>
      </c>
    </row>
    <row r="103" spans="2:24" s="1401" customFormat="1" x14ac:dyDescent="0.3">
      <c r="D103" s="1424"/>
      <c r="J103" s="18"/>
      <c r="K103" s="45"/>
      <c r="P103" s="1405"/>
      <c r="Q103" s="44"/>
      <c r="R103" s="44"/>
      <c r="S103" s="44"/>
      <c r="T103" s="44"/>
      <c r="U103" s="44"/>
      <c r="V103" s="44"/>
    </row>
    <row r="104" spans="2:24" s="1401" customFormat="1" x14ac:dyDescent="0.3">
      <c r="B104" s="15" t="s">
        <v>48</v>
      </c>
      <c r="C104" s="15"/>
      <c r="D104" s="15"/>
      <c r="E104" s="15"/>
      <c r="F104" s="15"/>
      <c r="G104" s="15"/>
      <c r="H104" s="15"/>
      <c r="I104" s="15"/>
      <c r="J104" s="15"/>
      <c r="K104" s="67"/>
      <c r="L104" s="15"/>
      <c r="M104" s="15"/>
      <c r="N104" s="15"/>
      <c r="O104" s="15"/>
      <c r="P104" s="15"/>
      <c r="Q104" s="15"/>
      <c r="R104" s="15"/>
      <c r="S104" s="15"/>
      <c r="T104" s="15"/>
      <c r="U104" s="15"/>
      <c r="V104" s="15"/>
    </row>
    <row r="105" spans="2:24" s="1401" customFormat="1" x14ac:dyDescent="0.3">
      <c r="J105" s="18"/>
      <c r="K105" s="45"/>
    </row>
    <row r="106" spans="2:24" s="1401" customFormat="1" x14ac:dyDescent="0.3">
      <c r="J106" s="18"/>
      <c r="K106" s="45"/>
    </row>
    <row r="107" spans="2:24" s="1401" customFormat="1" x14ac:dyDescent="0.3">
      <c r="J107" s="18"/>
      <c r="K107" s="45"/>
    </row>
    <row r="108" spans="2:24" s="1401" customFormat="1" x14ac:dyDescent="0.3">
      <c r="J108" s="18"/>
      <c r="K108" s="45"/>
    </row>
    <row r="109" spans="2:24" s="1401" customFormat="1" x14ac:dyDescent="0.3">
      <c r="J109" s="18"/>
      <c r="K109" s="45"/>
    </row>
    <row r="110" spans="2:24" s="1401" customFormat="1" x14ac:dyDescent="0.3">
      <c r="J110" s="18"/>
      <c r="K110" s="45"/>
    </row>
    <row r="111" spans="2:24" s="1401" customFormat="1" x14ac:dyDescent="0.3">
      <c r="J111" s="18"/>
      <c r="K111" s="45"/>
    </row>
    <row r="112" spans="2:24" s="1401" customFormat="1" x14ac:dyDescent="0.3">
      <c r="J112" s="18"/>
      <c r="K112" s="45"/>
    </row>
    <row r="113" spans="10:11" s="1401" customFormat="1" x14ac:dyDescent="0.3">
      <c r="J113" s="18"/>
      <c r="K113" s="45"/>
    </row>
    <row r="114" spans="10:11" s="1401" customFormat="1" x14ac:dyDescent="0.3">
      <c r="J114" s="18"/>
      <c r="K114" s="45"/>
    </row>
    <row r="115" spans="10:11" s="1401" customFormat="1" x14ac:dyDescent="0.3">
      <c r="J115" s="18"/>
      <c r="K115" s="45"/>
    </row>
    <row r="116" spans="10:11" s="1401" customFormat="1" x14ac:dyDescent="0.3">
      <c r="J116" s="18"/>
      <c r="K116" s="45"/>
    </row>
    <row r="117" spans="10:11" s="1401" customFormat="1" x14ac:dyDescent="0.3">
      <c r="J117" s="18"/>
      <c r="K117" s="45"/>
    </row>
    <row r="118" spans="10:11" s="1401" customFormat="1" x14ac:dyDescent="0.3">
      <c r="J118" s="18"/>
      <c r="K118" s="45"/>
    </row>
    <row r="119" spans="10:11" s="1401" customFormat="1" x14ac:dyDescent="0.3">
      <c r="J119" s="18"/>
      <c r="K119" s="45"/>
    </row>
    <row r="120" spans="10:11" s="1401" customFormat="1" x14ac:dyDescent="0.3">
      <c r="J120" s="18"/>
      <c r="K120" s="45"/>
    </row>
    <row r="121" spans="10:11" s="1401" customFormat="1" x14ac:dyDescent="0.3">
      <c r="J121" s="18"/>
      <c r="K121" s="45"/>
    </row>
    <row r="122" spans="10:11" s="1401" customFormat="1" x14ac:dyDescent="0.3">
      <c r="J122" s="18"/>
      <c r="K122" s="45"/>
    </row>
    <row r="123" spans="10:11" s="1401" customFormat="1" x14ac:dyDescent="0.3">
      <c r="J123" s="18"/>
      <c r="K123" s="45"/>
    </row>
    <row r="124" spans="10:11" s="1401" customFormat="1" x14ac:dyDescent="0.3">
      <c r="J124" s="18"/>
      <c r="K124" s="45"/>
    </row>
    <row r="125" spans="10:11" s="1401" customFormat="1" x14ac:dyDescent="0.3">
      <c r="J125" s="18"/>
      <c r="K125" s="45"/>
    </row>
    <row r="126" spans="10:11" s="1401" customFormat="1" x14ac:dyDescent="0.3">
      <c r="J126" s="18"/>
      <c r="K126" s="45"/>
    </row>
    <row r="127" spans="10:11" s="1401" customFormat="1" x14ac:dyDescent="0.3">
      <c r="J127" s="18"/>
      <c r="K127" s="45"/>
    </row>
    <row r="128" spans="10:11" s="1401" customFormat="1" x14ac:dyDescent="0.3">
      <c r="J128" s="18"/>
      <c r="K128" s="45"/>
    </row>
    <row r="129" spans="10:11" s="1401" customFormat="1" x14ac:dyDescent="0.3">
      <c r="J129" s="18"/>
      <c r="K129" s="45"/>
    </row>
    <row r="130" spans="10:11" s="1401" customFormat="1" x14ac:dyDescent="0.3">
      <c r="J130" s="18"/>
      <c r="K130" s="45"/>
    </row>
    <row r="131" spans="10:11" s="1401" customFormat="1" x14ac:dyDescent="0.3">
      <c r="J131" s="18"/>
      <c r="K131" s="45"/>
    </row>
    <row r="132" spans="10:11" s="1401" customFormat="1" x14ac:dyDescent="0.3">
      <c r="J132" s="18"/>
      <c r="K132" s="45"/>
    </row>
    <row r="133" spans="10:11" s="1401" customFormat="1" x14ac:dyDescent="0.3">
      <c r="J133" s="18"/>
      <c r="K133" s="45"/>
    </row>
    <row r="134" spans="10:11" s="1401" customFormat="1" x14ac:dyDescent="0.3">
      <c r="J134" s="18"/>
      <c r="K134" s="45"/>
    </row>
    <row r="135" spans="10:11" s="1401" customFormat="1" x14ac:dyDescent="0.3">
      <c r="J135" s="18"/>
      <c r="K135" s="45"/>
    </row>
    <row r="136" spans="10:11" s="1401" customFormat="1" x14ac:dyDescent="0.3">
      <c r="J136" s="18"/>
      <c r="K136" s="45"/>
    </row>
    <row r="137" spans="10:11" s="1401" customFormat="1" x14ac:dyDescent="0.3">
      <c r="J137" s="18"/>
      <c r="K137" s="45"/>
    </row>
    <row r="138" spans="10:11" s="1401" customFormat="1" x14ac:dyDescent="0.3">
      <c r="J138" s="18"/>
      <c r="K138" s="45"/>
    </row>
    <row r="139" spans="10:11" s="1401" customFormat="1" x14ac:dyDescent="0.3">
      <c r="J139" s="18"/>
      <c r="K139" s="45"/>
    </row>
    <row r="140" spans="10:11" s="1401" customFormat="1" x14ac:dyDescent="0.3">
      <c r="J140" s="18"/>
      <c r="K140" s="45"/>
    </row>
    <row r="141" spans="10:11" s="1401" customFormat="1" x14ac:dyDescent="0.3">
      <c r="J141" s="18"/>
      <c r="K141" s="45"/>
    </row>
    <row r="142" spans="10:11" s="1401" customFormat="1" x14ac:dyDescent="0.3">
      <c r="J142" s="18"/>
      <c r="K142" s="45"/>
    </row>
    <row r="143" spans="10:11" s="1401" customFormat="1" x14ac:dyDescent="0.3">
      <c r="J143" s="18"/>
      <c r="K143" s="45"/>
    </row>
    <row r="144" spans="10:11" s="1401" customFormat="1" x14ac:dyDescent="0.3">
      <c r="J144" s="18"/>
      <c r="K144" s="45"/>
    </row>
    <row r="145" spans="10:11" s="1401" customFormat="1" x14ac:dyDescent="0.3">
      <c r="J145" s="18"/>
      <c r="K145" s="45"/>
    </row>
    <row r="146" spans="10:11" s="1401" customFormat="1" x14ac:dyDescent="0.3">
      <c r="J146" s="18"/>
      <c r="K146" s="45"/>
    </row>
    <row r="147" spans="10:11" s="1401" customFormat="1" x14ac:dyDescent="0.3">
      <c r="J147" s="18"/>
      <c r="K147" s="45"/>
    </row>
    <row r="148" spans="10:11" s="1401" customFormat="1" x14ac:dyDescent="0.3">
      <c r="J148" s="18"/>
      <c r="K148" s="45"/>
    </row>
    <row r="149" spans="10:11" s="1401" customFormat="1" x14ac:dyDescent="0.3">
      <c r="J149" s="18"/>
      <c r="K149" s="45"/>
    </row>
    <row r="150" spans="10:11" s="1401" customFormat="1" x14ac:dyDescent="0.3">
      <c r="J150" s="18"/>
      <c r="K150" s="45"/>
    </row>
    <row r="151" spans="10:11" s="1401" customFormat="1" x14ac:dyDescent="0.3">
      <c r="J151" s="18"/>
      <c r="K151" s="45"/>
    </row>
    <row r="152" spans="10:11" s="1401" customFormat="1" x14ac:dyDescent="0.3">
      <c r="J152" s="18"/>
      <c r="K152" s="45"/>
    </row>
    <row r="153" spans="10:11" s="1401" customFormat="1" x14ac:dyDescent="0.3">
      <c r="J153" s="18"/>
      <c r="K153" s="45"/>
    </row>
    <row r="154" spans="10:11" s="1401" customFormat="1" x14ac:dyDescent="0.3">
      <c r="J154" s="18"/>
      <c r="K154" s="45"/>
    </row>
    <row r="155" spans="10:11" s="1401" customFormat="1" x14ac:dyDescent="0.3">
      <c r="J155" s="18"/>
      <c r="K155" s="45"/>
    </row>
    <row r="156" spans="10:11" s="1401" customFormat="1" x14ac:dyDescent="0.3">
      <c r="J156" s="18"/>
      <c r="K156" s="45"/>
    </row>
    <row r="157" spans="10:11" s="1401" customFormat="1" x14ac:dyDescent="0.3">
      <c r="J157" s="18"/>
      <c r="K157" s="45"/>
    </row>
    <row r="158" spans="10:11" s="1401" customFormat="1" x14ac:dyDescent="0.3">
      <c r="J158" s="18"/>
      <c r="K158" s="45"/>
    </row>
    <row r="159" spans="10:11" s="1401" customFormat="1" x14ac:dyDescent="0.3">
      <c r="J159" s="18"/>
      <c r="K159" s="45"/>
    </row>
    <row r="160" spans="10:11" s="1401" customFormat="1" x14ac:dyDescent="0.3">
      <c r="J160" s="18"/>
      <c r="K160" s="45"/>
    </row>
    <row r="161" spans="10:11" s="1401" customFormat="1" x14ac:dyDescent="0.3">
      <c r="J161" s="18"/>
      <c r="K161" s="45"/>
    </row>
    <row r="162" spans="10:11" s="1401" customFormat="1" x14ac:dyDescent="0.3">
      <c r="J162" s="18"/>
      <c r="K162" s="45"/>
    </row>
    <row r="163" spans="10:11" s="1401" customFormat="1" x14ac:dyDescent="0.3">
      <c r="J163" s="18"/>
      <c r="K163" s="45"/>
    </row>
    <row r="164" spans="10:11" s="1401" customFormat="1" x14ac:dyDescent="0.3">
      <c r="J164" s="18"/>
      <c r="K164" s="45"/>
    </row>
    <row r="165" spans="10:11" s="1401" customFormat="1" x14ac:dyDescent="0.3">
      <c r="J165" s="18"/>
      <c r="K165" s="45"/>
    </row>
    <row r="166" spans="10:11" s="1401" customFormat="1" x14ac:dyDescent="0.3">
      <c r="J166" s="18"/>
      <c r="K166" s="45"/>
    </row>
    <row r="167" spans="10:11" s="1401" customFormat="1" x14ac:dyDescent="0.3">
      <c r="J167" s="18"/>
      <c r="K167" s="45"/>
    </row>
    <row r="168" spans="10:11" s="1401" customFormat="1" x14ac:dyDescent="0.3">
      <c r="J168" s="18"/>
      <c r="K168" s="45"/>
    </row>
    <row r="169" spans="10:11" s="1401" customFormat="1" x14ac:dyDescent="0.3">
      <c r="J169" s="18"/>
      <c r="K169" s="45"/>
    </row>
    <row r="170" spans="10:11" s="1401" customFormat="1" x14ac:dyDescent="0.3">
      <c r="J170" s="18"/>
      <c r="K170" s="45"/>
    </row>
    <row r="171" spans="10:11" s="1401" customFormat="1" x14ac:dyDescent="0.3">
      <c r="J171" s="18"/>
      <c r="K171" s="45"/>
    </row>
    <row r="172" spans="10:11" s="1401" customFormat="1" x14ac:dyDescent="0.3">
      <c r="J172" s="18"/>
      <c r="K172" s="45"/>
    </row>
    <row r="173" spans="10:11" s="1401" customFormat="1" x14ac:dyDescent="0.3">
      <c r="J173" s="18"/>
      <c r="K173" s="45"/>
    </row>
    <row r="174" spans="10:11" s="1401" customFormat="1" x14ac:dyDescent="0.3">
      <c r="J174" s="18"/>
      <c r="K174" s="45"/>
    </row>
    <row r="175" spans="10:11" s="1401" customFormat="1" x14ac:dyDescent="0.3">
      <c r="J175" s="18"/>
      <c r="K175" s="45"/>
    </row>
    <row r="176" spans="10:11" s="1401" customFormat="1" x14ac:dyDescent="0.3">
      <c r="J176" s="18"/>
      <c r="K176" s="45"/>
    </row>
    <row r="177" spans="10:11" s="1401" customFormat="1" x14ac:dyDescent="0.3">
      <c r="J177" s="18"/>
      <c r="K177" s="45"/>
    </row>
    <row r="178" spans="10:11" s="1401" customFormat="1" x14ac:dyDescent="0.3">
      <c r="J178" s="18"/>
      <c r="K178" s="45"/>
    </row>
    <row r="179" spans="10:11" s="1401" customFormat="1" x14ac:dyDescent="0.3">
      <c r="J179" s="18"/>
      <c r="K179" s="45"/>
    </row>
    <row r="180" spans="10:11" s="1401" customFormat="1" x14ac:dyDescent="0.3">
      <c r="J180" s="18"/>
      <c r="K180" s="45"/>
    </row>
    <row r="181" spans="10:11" s="1401" customFormat="1" x14ac:dyDescent="0.3">
      <c r="J181" s="18"/>
      <c r="K181" s="45"/>
    </row>
    <row r="182" spans="10:11" s="1401" customFormat="1" x14ac:dyDescent="0.3">
      <c r="J182" s="18"/>
      <c r="K182" s="45"/>
    </row>
    <row r="183" spans="10:11" s="1401" customFormat="1" x14ac:dyDescent="0.3">
      <c r="J183" s="18"/>
      <c r="K183" s="45"/>
    </row>
    <row r="184" spans="10:11" s="1401" customFormat="1" x14ac:dyDescent="0.3">
      <c r="J184" s="18"/>
      <c r="K184" s="45"/>
    </row>
    <row r="185" spans="10:11" s="1401" customFormat="1" x14ac:dyDescent="0.3">
      <c r="J185" s="18"/>
      <c r="K185" s="45"/>
    </row>
    <row r="186" spans="10:11" s="1401" customFormat="1" x14ac:dyDescent="0.3">
      <c r="J186" s="18"/>
      <c r="K186" s="45"/>
    </row>
    <row r="187" spans="10:11" s="1401" customFormat="1" x14ac:dyDescent="0.3">
      <c r="J187" s="18"/>
      <c r="K187" s="45"/>
    </row>
    <row r="188" spans="10:11" s="1401" customFormat="1" x14ac:dyDescent="0.3">
      <c r="J188" s="18"/>
      <c r="K188" s="45"/>
    </row>
    <row r="189" spans="10:11" s="1401" customFormat="1" x14ac:dyDescent="0.3">
      <c r="J189" s="18"/>
      <c r="K189" s="45"/>
    </row>
    <row r="190" spans="10:11" s="1401" customFormat="1" x14ac:dyDescent="0.3">
      <c r="J190" s="18"/>
      <c r="K190" s="45"/>
    </row>
    <row r="191" spans="10:11" s="1401" customFormat="1" x14ac:dyDescent="0.3">
      <c r="J191" s="18"/>
      <c r="K191" s="45"/>
    </row>
    <row r="192" spans="10:11" s="1401" customFormat="1" x14ac:dyDescent="0.3">
      <c r="J192" s="18"/>
      <c r="K192" s="45"/>
    </row>
    <row r="193" spans="10:11" s="1401" customFormat="1" x14ac:dyDescent="0.3">
      <c r="J193" s="18"/>
      <c r="K193" s="45"/>
    </row>
    <row r="194" spans="10:11" s="1401" customFormat="1" x14ac:dyDescent="0.3">
      <c r="J194" s="18"/>
      <c r="K194" s="45"/>
    </row>
    <row r="195" spans="10:11" s="1401" customFormat="1" x14ac:dyDescent="0.3">
      <c r="J195" s="18"/>
      <c r="K195" s="45"/>
    </row>
    <row r="196" spans="10:11" s="1401" customFormat="1" x14ac:dyDescent="0.3">
      <c r="J196" s="18"/>
      <c r="K196" s="45"/>
    </row>
    <row r="197" spans="10:11" s="1401" customFormat="1" x14ac:dyDescent="0.3">
      <c r="J197" s="18"/>
      <c r="K197" s="45"/>
    </row>
    <row r="198" spans="10:11" s="1401" customFormat="1" x14ac:dyDescent="0.3">
      <c r="J198" s="18"/>
      <c r="K198" s="45"/>
    </row>
    <row r="199" spans="10:11" s="1401" customFormat="1" x14ac:dyDescent="0.3">
      <c r="J199" s="18"/>
      <c r="K199" s="45"/>
    </row>
    <row r="200" spans="10:11" s="1401" customFormat="1" x14ac:dyDescent="0.3">
      <c r="J200" s="18"/>
      <c r="K200" s="45"/>
    </row>
    <row r="201" spans="10:11" s="1401" customFormat="1" x14ac:dyDescent="0.3">
      <c r="J201" s="18"/>
      <c r="K201" s="45"/>
    </row>
    <row r="202" spans="10:11" s="1401" customFormat="1" x14ac:dyDescent="0.3">
      <c r="J202" s="18"/>
      <c r="K202" s="45"/>
    </row>
    <row r="203" spans="10:11" s="1401" customFormat="1" x14ac:dyDescent="0.3">
      <c r="J203" s="18"/>
      <c r="K203" s="45"/>
    </row>
    <row r="204" spans="10:11" s="1401" customFormat="1" x14ac:dyDescent="0.3">
      <c r="J204" s="18"/>
      <c r="K204" s="45"/>
    </row>
    <row r="205" spans="10:11" s="1401" customFormat="1" x14ac:dyDescent="0.3">
      <c r="J205" s="18"/>
      <c r="K205" s="45"/>
    </row>
    <row r="206" spans="10:11" s="1401" customFormat="1" x14ac:dyDescent="0.3">
      <c r="J206" s="18"/>
      <c r="K206" s="45"/>
    </row>
    <row r="207" spans="10:11" s="1401" customFormat="1" x14ac:dyDescent="0.3">
      <c r="J207" s="18"/>
      <c r="K207" s="45"/>
    </row>
    <row r="208" spans="10:11" s="1401" customFormat="1" x14ac:dyDescent="0.3">
      <c r="J208" s="18"/>
      <c r="K208" s="45"/>
    </row>
  </sheetData>
  <phoneticPr fontId="2"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75F6E-93D4-456C-AA9D-6FDCA32F9022}">
  <sheetPr>
    <tabColor rgb="FF00338D"/>
  </sheetPr>
  <dimension ref="A1:V5"/>
  <sheetViews>
    <sheetView workbookViewId="0">
      <selection activeCell="C4" sqref="C4"/>
    </sheetView>
  </sheetViews>
  <sheetFormatPr defaultRowHeight="13.5" x14ac:dyDescent="0.3"/>
  <cols>
    <col min="1" max="10" width="2.625" style="903" customWidth="1"/>
    <col min="11" max="22" width="10.625" style="903" customWidth="1"/>
    <col min="23" max="16384" width="9" style="903"/>
  </cols>
  <sheetData>
    <row r="1" spans="1:22" s="100" customFormat="1" ht="31.5" x14ac:dyDescent="0.3">
      <c r="A1" s="1361" t="str" cm="1">
        <f t="array" aca="1" ref="A1" ca="1">CELL("filename",A1)</f>
        <v>https://onedrive-global.kpmg.com/personal/hwiwoongkim_kr_kpmg_com/Documents/Valuation Specialist 2022/33-36. SK스퀘어/2.0. 검토조서/[SK스퀘어_드림어스손상검토_Specialist_v0.2.xlsx]콘텐츠사업</v>
      </c>
      <c r="B1" s="1362" t="str">
        <f>Des!B1</f>
        <v>Dreamus Company 손상검토보고서</v>
      </c>
      <c r="C1" s="1362"/>
      <c r="D1" s="1362"/>
      <c r="E1" s="1362"/>
      <c r="F1" s="1362"/>
      <c r="G1" s="1362"/>
      <c r="H1" s="1362"/>
      <c r="I1" s="1362"/>
      <c r="J1" s="1362"/>
      <c r="K1" s="1362"/>
      <c r="L1" s="1362"/>
      <c r="M1" s="1362"/>
      <c r="N1" s="1363"/>
      <c r="O1" s="1363"/>
      <c r="P1" s="1363"/>
      <c r="Q1" s="1363"/>
      <c r="R1" s="1363"/>
      <c r="S1" s="1363"/>
      <c r="T1" s="1363"/>
      <c r="U1" s="1364"/>
      <c r="V1" s="1364" t="str">
        <f>[1]Des!C13</f>
        <v>DRAFT - For Discussion Purposes Only</v>
      </c>
    </row>
    <row r="2" spans="1:22" s="100" customFormat="1" ht="19.5" x14ac:dyDescent="0.3">
      <c r="B2" s="1365" t="str">
        <f ca="1">MID(A1,FIND("]",A1)+1,100)</f>
        <v>콘텐츠사업</v>
      </c>
      <c r="C2" s="1365"/>
      <c r="D2" s="1365"/>
      <c r="E2" s="1365"/>
      <c r="F2" s="1365"/>
      <c r="G2" s="1365"/>
      <c r="H2" s="1365"/>
      <c r="I2" s="1365"/>
      <c r="J2" s="1365"/>
      <c r="K2" s="1365"/>
      <c r="L2" s="1365"/>
      <c r="M2" s="1365"/>
      <c r="N2" s="1366"/>
      <c r="O2" s="1366"/>
      <c r="P2" s="1366"/>
      <c r="Q2" s="1366"/>
      <c r="R2" s="1366"/>
      <c r="S2" s="1366"/>
      <c r="T2" s="1366"/>
      <c r="U2" s="1366"/>
      <c r="V2" s="1366"/>
    </row>
    <row r="3" spans="1:22" s="100" customFormat="1" ht="12" x14ac:dyDescent="0.3"/>
    <row r="4" spans="1:22" s="100" customFormat="1" ht="12" x14ac:dyDescent="0.3">
      <c r="B4" s="1367" t="str">
        <f ca="1">B2</f>
        <v>콘텐츠사업</v>
      </c>
      <c r="C4" s="1391"/>
      <c r="D4" s="1391"/>
      <c r="E4" s="1391"/>
      <c r="F4" s="1391"/>
      <c r="G4" s="1391"/>
      <c r="H4" s="1391"/>
      <c r="I4" s="1391"/>
      <c r="J4" s="1391"/>
      <c r="K4" s="1391"/>
      <c r="L4" s="1391"/>
      <c r="M4" s="1391"/>
      <c r="N4" s="1368" t="s">
        <v>18</v>
      </c>
      <c r="O4" s="1368" t="s">
        <v>18</v>
      </c>
      <c r="P4" s="1368" t="s">
        <v>18</v>
      </c>
      <c r="Q4" s="1368" t="s">
        <v>18</v>
      </c>
      <c r="R4" s="1368" t="s">
        <v>18</v>
      </c>
      <c r="S4" s="1368" t="s">
        <v>18</v>
      </c>
      <c r="T4" s="1368" t="s">
        <v>18</v>
      </c>
      <c r="U4" s="1368" t="s">
        <v>18</v>
      </c>
      <c r="V4" s="1371" t="s">
        <v>18</v>
      </c>
    </row>
    <row r="5" spans="1:22" s="100" customFormat="1" ht="12" x14ac:dyDescent="0.3">
      <c r="B5" s="1372" t="str">
        <f>Des!C13</f>
        <v>백만원</v>
      </c>
      <c r="C5" s="1392"/>
      <c r="D5" s="1392"/>
      <c r="E5" s="1392"/>
      <c r="F5" s="1392"/>
      <c r="G5" s="1392"/>
      <c r="H5" s="1392"/>
      <c r="I5" s="1392"/>
      <c r="J5" s="1392"/>
      <c r="K5" s="1392"/>
      <c r="L5" s="1392"/>
      <c r="M5" s="1392"/>
      <c r="N5" s="1373">
        <v>2019</v>
      </c>
      <c r="O5" s="1373">
        <v>2020</v>
      </c>
      <c r="P5" s="1373">
        <v>2021</v>
      </c>
      <c r="Q5" s="1376">
        <v>2022</v>
      </c>
      <c r="R5" s="1376">
        <v>2023</v>
      </c>
      <c r="S5" s="1376">
        <v>2024</v>
      </c>
      <c r="T5" s="1376">
        <v>2025</v>
      </c>
      <c r="U5" s="1376">
        <v>2026</v>
      </c>
      <c r="V5" s="1377">
        <v>2027</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E7753-9C35-4659-9FA4-1701B8D3AFA4}">
  <sheetPr>
    <tabColor rgb="FF00338D"/>
  </sheetPr>
  <dimension ref="A1:V5"/>
  <sheetViews>
    <sheetView workbookViewId="0">
      <selection activeCell="C4" sqref="C4"/>
    </sheetView>
  </sheetViews>
  <sheetFormatPr defaultRowHeight="13.5" x14ac:dyDescent="0.3"/>
  <cols>
    <col min="1" max="10" width="2.625" style="903" customWidth="1"/>
    <col min="11" max="22" width="10.625" style="903" customWidth="1"/>
    <col min="23" max="16384" width="9" style="903"/>
  </cols>
  <sheetData>
    <row r="1" spans="1:22" s="100" customFormat="1" ht="31.5" x14ac:dyDescent="0.3">
      <c r="A1" s="1361" t="str" cm="1">
        <f t="array" aca="1" ref="A1" ca="1">CELL("filename",A1)</f>
        <v>https://onedrive-global.kpmg.com/personal/hwiwoongkim_kr_kpmg_com/Documents/Valuation Specialist 2022/33-36. SK스퀘어/2.0. 검토조서/[SK스퀘어_드림어스손상검토_Specialist_v0.2.xlsx]엔터사업</v>
      </c>
      <c r="B1" s="1362" t="str">
        <f>Des!B1</f>
        <v>Dreamus Company 손상검토보고서</v>
      </c>
      <c r="C1" s="1362"/>
      <c r="D1" s="1362"/>
      <c r="E1" s="1362"/>
      <c r="F1" s="1362"/>
      <c r="G1" s="1362"/>
      <c r="H1" s="1362"/>
      <c r="I1" s="1362"/>
      <c r="J1" s="1362"/>
      <c r="K1" s="1362"/>
      <c r="L1" s="1362"/>
      <c r="M1" s="1362"/>
      <c r="N1" s="1363"/>
      <c r="O1" s="1363"/>
      <c r="P1" s="1363"/>
      <c r="Q1" s="1363"/>
      <c r="R1" s="1363"/>
      <c r="S1" s="1363"/>
      <c r="T1" s="1363"/>
      <c r="U1" s="1364"/>
      <c r="V1" s="1364" t="str">
        <f>[1]Des!C13</f>
        <v>DRAFT - For Discussion Purposes Only</v>
      </c>
    </row>
    <row r="2" spans="1:22" s="100" customFormat="1" ht="19.5" x14ac:dyDescent="0.3">
      <c r="B2" s="1365" t="str">
        <f ca="1">MID(A1,FIND("]",A1)+1,100)</f>
        <v>엔터사업</v>
      </c>
      <c r="C2" s="1365"/>
      <c r="D2" s="1365"/>
      <c r="E2" s="1365"/>
      <c r="F2" s="1365"/>
      <c r="G2" s="1365"/>
      <c r="H2" s="1365"/>
      <c r="I2" s="1365"/>
      <c r="J2" s="1365"/>
      <c r="K2" s="1365"/>
      <c r="L2" s="1365"/>
      <c r="M2" s="1365"/>
      <c r="N2" s="1366"/>
      <c r="O2" s="1366"/>
      <c r="P2" s="1366"/>
      <c r="Q2" s="1366"/>
      <c r="R2" s="1366"/>
      <c r="S2" s="1366"/>
      <c r="T2" s="1366"/>
      <c r="U2" s="1366"/>
      <c r="V2" s="1366"/>
    </row>
    <row r="3" spans="1:22" s="100" customFormat="1" ht="12" x14ac:dyDescent="0.3"/>
    <row r="4" spans="1:22" s="100" customFormat="1" ht="12" x14ac:dyDescent="0.3">
      <c r="B4" s="1367" t="str">
        <f ca="1">B2</f>
        <v>엔터사업</v>
      </c>
      <c r="C4" s="1391"/>
      <c r="D4" s="1391"/>
      <c r="E4" s="1391"/>
      <c r="F4" s="1391"/>
      <c r="G4" s="1391"/>
      <c r="H4" s="1391"/>
      <c r="I4" s="1391"/>
      <c r="J4" s="1391"/>
      <c r="K4" s="1391"/>
      <c r="L4" s="1391"/>
      <c r="M4" s="1391"/>
      <c r="N4" s="1368" t="s">
        <v>18</v>
      </c>
      <c r="O4" s="1368" t="s">
        <v>18</v>
      </c>
      <c r="P4" s="1368" t="s">
        <v>18</v>
      </c>
      <c r="Q4" s="1368" t="s">
        <v>18</v>
      </c>
      <c r="R4" s="1368" t="s">
        <v>18</v>
      </c>
      <c r="S4" s="1368" t="s">
        <v>18</v>
      </c>
      <c r="T4" s="1368" t="s">
        <v>18</v>
      </c>
      <c r="U4" s="1368" t="s">
        <v>18</v>
      </c>
      <c r="V4" s="1371" t="s">
        <v>18</v>
      </c>
    </row>
    <row r="5" spans="1:22" s="100" customFormat="1" ht="12" x14ac:dyDescent="0.3">
      <c r="B5" s="1372" t="str">
        <f>Des!C13</f>
        <v>백만원</v>
      </c>
      <c r="C5" s="1392"/>
      <c r="D5" s="1392"/>
      <c r="E5" s="1392"/>
      <c r="F5" s="1392"/>
      <c r="G5" s="1392"/>
      <c r="H5" s="1392"/>
      <c r="I5" s="1392"/>
      <c r="J5" s="1392"/>
      <c r="K5" s="1392"/>
      <c r="L5" s="1392"/>
      <c r="M5" s="1392"/>
      <c r="N5" s="1373">
        <v>2019</v>
      </c>
      <c r="O5" s="1373">
        <v>2020</v>
      </c>
      <c r="P5" s="1373">
        <v>2021</v>
      </c>
      <c r="Q5" s="1376">
        <v>2022</v>
      </c>
      <c r="R5" s="1376">
        <v>2023</v>
      </c>
      <c r="S5" s="1376">
        <v>2024</v>
      </c>
      <c r="T5" s="1376">
        <v>2025</v>
      </c>
      <c r="U5" s="1376">
        <v>2026</v>
      </c>
      <c r="V5" s="1377">
        <v>2027</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F56E9-0639-4C3F-8084-DE09E778BA89}">
  <sheetPr>
    <tabColor rgb="FF00338D"/>
  </sheetPr>
  <dimension ref="A1:V5"/>
  <sheetViews>
    <sheetView workbookViewId="0">
      <selection activeCell="C4" sqref="C4"/>
    </sheetView>
  </sheetViews>
  <sheetFormatPr defaultRowHeight="13.5" x14ac:dyDescent="0.3"/>
  <cols>
    <col min="1" max="10" width="2.625" style="903" customWidth="1"/>
    <col min="11" max="22" width="10.625" style="903" customWidth="1"/>
    <col min="23" max="16384" width="9" style="903"/>
  </cols>
  <sheetData>
    <row r="1" spans="1:22" s="100" customFormat="1" ht="31.5" x14ac:dyDescent="0.3">
      <c r="A1" s="1361" t="str" cm="1">
        <f t="array" aca="1" ref="A1" ca="1">CELL("filename",A1)</f>
        <v>https://onedrive-global.kpmg.com/personal/hwiwoongkim_kr_kpmg_com/Documents/Valuation Specialist 2022/33-36. SK스퀘어/2.0. 검토조서/[SK스퀘어_드림어스손상검토_Specialist_v0.2.xlsx]디바이스사업</v>
      </c>
      <c r="B1" s="1362" t="str">
        <f>Des!B1</f>
        <v>Dreamus Company 손상검토보고서</v>
      </c>
      <c r="C1" s="1362"/>
      <c r="D1" s="1362"/>
      <c r="E1" s="1362"/>
      <c r="F1" s="1362"/>
      <c r="G1" s="1362"/>
      <c r="H1" s="1362"/>
      <c r="I1" s="1362"/>
      <c r="J1" s="1362"/>
      <c r="K1" s="1362"/>
      <c r="L1" s="1362"/>
      <c r="M1" s="1362"/>
      <c r="N1" s="1363"/>
      <c r="O1" s="1363"/>
      <c r="P1" s="1363"/>
      <c r="Q1" s="1363"/>
      <c r="R1" s="1363"/>
      <c r="S1" s="1363"/>
      <c r="T1" s="1363"/>
      <c r="U1" s="1364"/>
      <c r="V1" s="1364" t="str">
        <f>[1]Des!C13</f>
        <v>DRAFT - For Discussion Purposes Only</v>
      </c>
    </row>
    <row r="2" spans="1:22" s="100" customFormat="1" ht="19.5" x14ac:dyDescent="0.3">
      <c r="B2" s="1365" t="str">
        <f ca="1">MID(A1,FIND("]",A1)+1,100)</f>
        <v>디바이스사업</v>
      </c>
      <c r="C2" s="1365"/>
      <c r="D2" s="1365"/>
      <c r="E2" s="1365"/>
      <c r="F2" s="1365"/>
      <c r="G2" s="1365"/>
      <c r="H2" s="1365"/>
      <c r="I2" s="1365"/>
      <c r="J2" s="1365"/>
      <c r="K2" s="1365"/>
      <c r="L2" s="1365"/>
      <c r="M2" s="1365"/>
      <c r="N2" s="1366"/>
      <c r="O2" s="1366"/>
      <c r="P2" s="1366"/>
      <c r="Q2" s="1366"/>
      <c r="R2" s="1366"/>
      <c r="S2" s="1366"/>
      <c r="T2" s="1366"/>
      <c r="U2" s="1366"/>
      <c r="V2" s="1366"/>
    </row>
    <row r="3" spans="1:22" s="100" customFormat="1" ht="12" x14ac:dyDescent="0.3"/>
    <row r="4" spans="1:22" s="100" customFormat="1" ht="12" x14ac:dyDescent="0.3">
      <c r="B4" s="1367" t="str">
        <f ca="1">B2</f>
        <v>디바이스사업</v>
      </c>
      <c r="C4" s="1391"/>
      <c r="D4" s="1391"/>
      <c r="E4" s="1391"/>
      <c r="F4" s="1391"/>
      <c r="G4" s="1391"/>
      <c r="H4" s="1391"/>
      <c r="I4" s="1391"/>
      <c r="J4" s="1391"/>
      <c r="K4" s="1391"/>
      <c r="L4" s="1391"/>
      <c r="M4" s="1391"/>
      <c r="N4" s="1368" t="s">
        <v>18</v>
      </c>
      <c r="O4" s="1368" t="s">
        <v>18</v>
      </c>
      <c r="P4" s="1368" t="s">
        <v>18</v>
      </c>
      <c r="Q4" s="1368" t="s">
        <v>18</v>
      </c>
      <c r="R4" s="1368" t="s">
        <v>18</v>
      </c>
      <c r="S4" s="1368" t="s">
        <v>18</v>
      </c>
      <c r="T4" s="1368" t="s">
        <v>18</v>
      </c>
      <c r="U4" s="1368" t="s">
        <v>18</v>
      </c>
      <c r="V4" s="1371" t="s">
        <v>18</v>
      </c>
    </row>
    <row r="5" spans="1:22" s="100" customFormat="1" ht="12" x14ac:dyDescent="0.3">
      <c r="B5" s="1372" t="str">
        <f>Des!C13</f>
        <v>백만원</v>
      </c>
      <c r="C5" s="1392"/>
      <c r="D5" s="1392"/>
      <c r="E5" s="1392"/>
      <c r="F5" s="1392"/>
      <c r="G5" s="1392"/>
      <c r="H5" s="1392"/>
      <c r="I5" s="1392"/>
      <c r="J5" s="1392"/>
      <c r="K5" s="1392"/>
      <c r="L5" s="1392"/>
      <c r="M5" s="1392"/>
      <c r="N5" s="1373">
        <v>2019</v>
      </c>
      <c r="O5" s="1373">
        <v>2020</v>
      </c>
      <c r="P5" s="1373">
        <v>2021</v>
      </c>
      <c r="Q5" s="1376">
        <v>2022</v>
      </c>
      <c r="R5" s="1376">
        <v>2023</v>
      </c>
      <c r="S5" s="1376">
        <v>2024</v>
      </c>
      <c r="T5" s="1376">
        <v>2025</v>
      </c>
      <c r="U5" s="1376">
        <v>2026</v>
      </c>
      <c r="V5" s="1377">
        <v>2027</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4DF06-631F-4E8D-B299-0C2986E7E431}">
  <sheetPr>
    <tabColor rgb="FF00338D"/>
  </sheetPr>
  <dimension ref="A1:V5"/>
  <sheetViews>
    <sheetView workbookViewId="0">
      <selection activeCell="C4" sqref="C4"/>
    </sheetView>
  </sheetViews>
  <sheetFormatPr defaultRowHeight="13.5" x14ac:dyDescent="0.3"/>
  <cols>
    <col min="1" max="10" width="2.625" style="903" customWidth="1"/>
    <col min="11" max="22" width="10.625" style="903" customWidth="1"/>
    <col min="23" max="16384" width="9" style="903"/>
  </cols>
  <sheetData>
    <row r="1" spans="1:22" s="100" customFormat="1" ht="31.5" x14ac:dyDescent="0.3">
      <c r="A1" s="1361" t="str" cm="1">
        <f t="array" aca="1" ref="A1" ca="1">CELL("filename",A1)</f>
        <v>https://onedrive-global.kpmg.com/personal/hwiwoongkim_kr_kpmg_com/Documents/Valuation Specialist 2022/33-36. SK스퀘어/2.0. 검토조서/[SK스퀘어_드림어스손상검토_Specialist_v0.2.xlsx]판관비</v>
      </c>
      <c r="B1" s="1362" t="str">
        <f>Des!B1</f>
        <v>Dreamus Company 손상검토보고서</v>
      </c>
      <c r="C1" s="1362"/>
      <c r="D1" s="1362"/>
      <c r="E1" s="1362"/>
      <c r="F1" s="1362"/>
      <c r="G1" s="1362"/>
      <c r="H1" s="1362"/>
      <c r="I1" s="1362"/>
      <c r="J1" s="1362"/>
      <c r="K1" s="1362"/>
      <c r="L1" s="1362"/>
      <c r="M1" s="1362"/>
      <c r="N1" s="1363"/>
      <c r="O1" s="1363"/>
      <c r="P1" s="1363"/>
      <c r="Q1" s="1363"/>
      <c r="R1" s="1363"/>
      <c r="S1" s="1363"/>
      <c r="T1" s="1363"/>
      <c r="U1" s="1364"/>
      <c r="V1" s="1364" t="str">
        <f>[1]Des!C13</f>
        <v>DRAFT - For Discussion Purposes Only</v>
      </c>
    </row>
    <row r="2" spans="1:22" s="100" customFormat="1" ht="19.5" x14ac:dyDescent="0.3">
      <c r="B2" s="1365" t="str">
        <f ca="1">MID(A1,FIND("]",A1)+1,100)</f>
        <v>판관비</v>
      </c>
      <c r="C2" s="1365"/>
      <c r="D2" s="1365"/>
      <c r="E2" s="1365"/>
      <c r="F2" s="1365"/>
      <c r="G2" s="1365"/>
      <c r="H2" s="1365"/>
      <c r="I2" s="1365"/>
      <c r="J2" s="1365"/>
      <c r="K2" s="1365"/>
      <c r="L2" s="1365"/>
      <c r="M2" s="1365"/>
      <c r="N2" s="1366"/>
      <c r="O2" s="1366"/>
      <c r="P2" s="1366"/>
      <c r="Q2" s="1366"/>
      <c r="R2" s="1366"/>
      <c r="S2" s="1366"/>
      <c r="T2" s="1366"/>
      <c r="U2" s="1366"/>
      <c r="V2" s="1366"/>
    </row>
    <row r="3" spans="1:22" s="100" customFormat="1" ht="12" x14ac:dyDescent="0.3"/>
    <row r="4" spans="1:22" s="100" customFormat="1" ht="12" x14ac:dyDescent="0.3">
      <c r="B4" s="1367" t="str">
        <f ca="1">B2</f>
        <v>판관비</v>
      </c>
      <c r="C4" s="1391"/>
      <c r="D4" s="1391"/>
      <c r="E4" s="1391"/>
      <c r="F4" s="1391"/>
      <c r="G4" s="1391"/>
      <c r="H4" s="1391"/>
      <c r="I4" s="1391"/>
      <c r="J4" s="1391"/>
      <c r="K4" s="1391"/>
      <c r="L4" s="1391"/>
      <c r="M4" s="1391"/>
      <c r="N4" s="1368" t="s">
        <v>18</v>
      </c>
      <c r="O4" s="1368" t="s">
        <v>18</v>
      </c>
      <c r="P4" s="1368" t="s">
        <v>18</v>
      </c>
      <c r="Q4" s="1368" t="s">
        <v>18</v>
      </c>
      <c r="R4" s="1368" t="s">
        <v>18</v>
      </c>
      <c r="S4" s="1368" t="s">
        <v>18</v>
      </c>
      <c r="T4" s="1368" t="s">
        <v>18</v>
      </c>
      <c r="U4" s="1368" t="s">
        <v>18</v>
      </c>
      <c r="V4" s="1371" t="s">
        <v>18</v>
      </c>
    </row>
    <row r="5" spans="1:22" s="100" customFormat="1" ht="12" x14ac:dyDescent="0.3">
      <c r="B5" s="1372" t="str">
        <f>Des!C13</f>
        <v>백만원</v>
      </c>
      <c r="C5" s="1392"/>
      <c r="D5" s="1392"/>
      <c r="E5" s="1392"/>
      <c r="F5" s="1392"/>
      <c r="G5" s="1392"/>
      <c r="H5" s="1392"/>
      <c r="I5" s="1392"/>
      <c r="J5" s="1392"/>
      <c r="K5" s="1392"/>
      <c r="L5" s="1392"/>
      <c r="M5" s="1392"/>
      <c r="N5" s="1373">
        <v>2019</v>
      </c>
      <c r="O5" s="1373">
        <v>2020</v>
      </c>
      <c r="P5" s="1373">
        <v>2021</v>
      </c>
      <c r="Q5" s="1376">
        <v>2022</v>
      </c>
      <c r="R5" s="1376">
        <v>2023</v>
      </c>
      <c r="S5" s="1376">
        <v>2024</v>
      </c>
      <c r="T5" s="1376">
        <v>2025</v>
      </c>
      <c r="U5" s="1376">
        <v>2026</v>
      </c>
      <c r="V5" s="1377">
        <v>2027</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B42F7-93E6-4FBB-B8A0-EE4737C4D82F}">
  <sheetPr>
    <tabColor rgb="FF00338D"/>
  </sheetPr>
  <dimension ref="A1:V11"/>
  <sheetViews>
    <sheetView workbookViewId="0">
      <selection activeCell="C4" sqref="C4"/>
    </sheetView>
  </sheetViews>
  <sheetFormatPr defaultRowHeight="13.5" x14ac:dyDescent="0.3"/>
  <cols>
    <col min="1" max="10" width="2.625" style="903" customWidth="1"/>
    <col min="11" max="22" width="10.625" style="903" customWidth="1"/>
    <col min="23" max="16384" width="9" style="903"/>
  </cols>
  <sheetData>
    <row r="1" spans="1:22" s="100" customFormat="1" ht="31.5" x14ac:dyDescent="0.3">
      <c r="A1" s="1361" t="str" cm="1">
        <f t="array" aca="1" ref="A1" ca="1">CELL("filename",A1)</f>
        <v>https://onedrive-global.kpmg.com/personal/hwiwoongkim_kr_kpmg_com/Documents/Valuation Specialist 2022/33-36. SK스퀘어/2.0. 검토조서/[SK스퀘어_드림어스손상검토_Specialist_v0.2.xlsx]CAPEX</v>
      </c>
      <c r="B1" s="1362" t="str">
        <f>Des!B1</f>
        <v>Dreamus Company 손상검토보고서</v>
      </c>
      <c r="C1" s="1362"/>
      <c r="D1" s="1362"/>
      <c r="E1" s="1362"/>
      <c r="F1" s="1362"/>
      <c r="G1" s="1362"/>
      <c r="H1" s="1362"/>
      <c r="I1" s="1362"/>
      <c r="J1" s="1362"/>
      <c r="K1" s="1362"/>
      <c r="L1" s="1362"/>
      <c r="M1" s="1362"/>
      <c r="N1" s="1363"/>
      <c r="O1" s="1363"/>
      <c r="P1" s="1363"/>
      <c r="Q1" s="1363"/>
      <c r="R1" s="1363"/>
      <c r="S1" s="1363"/>
      <c r="T1" s="1363"/>
      <c r="U1" s="1364"/>
      <c r="V1" s="1364" t="str">
        <f>[1]Des!C13</f>
        <v>DRAFT - For Discussion Purposes Only</v>
      </c>
    </row>
    <row r="2" spans="1:22" s="100" customFormat="1" ht="19.5" x14ac:dyDescent="0.3">
      <c r="B2" s="1365" t="str">
        <f ca="1">MID(A1,FIND("]",A1)+1,100)</f>
        <v>CAPEX</v>
      </c>
      <c r="C2" s="1365"/>
      <c r="D2" s="1365"/>
      <c r="E2" s="1365"/>
      <c r="F2" s="1365"/>
      <c r="G2" s="1365"/>
      <c r="H2" s="1365"/>
      <c r="I2" s="1365"/>
      <c r="J2" s="1365"/>
      <c r="K2" s="1365"/>
      <c r="L2" s="1365"/>
      <c r="M2" s="1365"/>
      <c r="N2" s="1366"/>
      <c r="O2" s="1366"/>
      <c r="P2" s="1366"/>
      <c r="Q2" s="1366"/>
      <c r="R2" s="1366"/>
      <c r="S2" s="1366"/>
      <c r="T2" s="1366"/>
      <c r="U2" s="1366"/>
      <c r="V2" s="1366"/>
    </row>
    <row r="3" spans="1:22" s="100" customFormat="1" ht="12" x14ac:dyDescent="0.3"/>
    <row r="4" spans="1:22" s="100" customFormat="1" ht="12" x14ac:dyDescent="0.3">
      <c r="B4" s="1367" t="str">
        <f ca="1">B2</f>
        <v>CAPEX</v>
      </c>
      <c r="C4" s="1391"/>
      <c r="D4" s="1391"/>
      <c r="E4" s="1391"/>
      <c r="F4" s="1391"/>
      <c r="G4" s="1391"/>
      <c r="H4" s="1391"/>
      <c r="I4" s="1391"/>
      <c r="J4" s="1391"/>
      <c r="K4" s="1391"/>
      <c r="L4" s="1391"/>
      <c r="M4" s="1391"/>
      <c r="N4" s="1368" t="s">
        <v>18</v>
      </c>
      <c r="O4" s="1368" t="s">
        <v>18</v>
      </c>
      <c r="P4" s="1368" t="s">
        <v>18</v>
      </c>
      <c r="Q4" s="1368" t="s">
        <v>18</v>
      </c>
      <c r="R4" s="1368" t="s">
        <v>18</v>
      </c>
      <c r="S4" s="1368" t="s">
        <v>18</v>
      </c>
      <c r="T4" s="1368" t="s">
        <v>18</v>
      </c>
      <c r="U4" s="1368" t="s">
        <v>18</v>
      </c>
      <c r="V4" s="1371" t="s">
        <v>18</v>
      </c>
    </row>
    <row r="5" spans="1:22" s="100" customFormat="1" ht="12" x14ac:dyDescent="0.3">
      <c r="B5" s="1372" t="str">
        <f>Des!C13</f>
        <v>백만원</v>
      </c>
      <c r="C5" s="1392"/>
      <c r="D5" s="1392"/>
      <c r="E5" s="1392"/>
      <c r="F5" s="1392"/>
      <c r="G5" s="1392"/>
      <c r="H5" s="1392"/>
      <c r="I5" s="1392"/>
      <c r="J5" s="1392"/>
      <c r="K5" s="1392"/>
      <c r="L5" s="1392"/>
      <c r="M5" s="1392"/>
      <c r="N5" s="1373">
        <v>2019</v>
      </c>
      <c r="O5" s="1373">
        <v>2020</v>
      </c>
      <c r="P5" s="1373">
        <v>2021</v>
      </c>
      <c r="Q5" s="1376">
        <v>2022</v>
      </c>
      <c r="R5" s="1376">
        <v>2023</v>
      </c>
      <c r="S5" s="1376">
        <v>2024</v>
      </c>
      <c r="T5" s="1376">
        <v>2025</v>
      </c>
      <c r="U5" s="1376">
        <v>2026</v>
      </c>
      <c r="V5" s="1377">
        <v>2027</v>
      </c>
    </row>
    <row r="9" spans="1:22" x14ac:dyDescent="0.3">
      <c r="B9" s="903" t="s">
        <v>49</v>
      </c>
    </row>
    <row r="11" spans="1:22" x14ac:dyDescent="0.3">
      <c r="B11" s="1398" t="s">
        <v>50</v>
      </c>
      <c r="C11" s="1398"/>
      <c r="D11" s="1398"/>
      <c r="E11" s="1398"/>
      <c r="F11" s="1398"/>
      <c r="G11" s="1398"/>
      <c r="H11" s="1398"/>
      <c r="I11" s="1398"/>
      <c r="J11" s="1398"/>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37820-F67D-4B4E-BCC9-AA288FFC26B1}">
  <sheetPr>
    <tabColor rgb="FF00338D"/>
  </sheetPr>
  <dimension ref="A1:V5"/>
  <sheetViews>
    <sheetView workbookViewId="0">
      <selection activeCell="C4" sqref="C4"/>
    </sheetView>
  </sheetViews>
  <sheetFormatPr defaultRowHeight="13.5" x14ac:dyDescent="0.3"/>
  <cols>
    <col min="1" max="10" width="2.625" style="903" customWidth="1"/>
    <col min="11" max="22" width="10.625" style="903" customWidth="1"/>
    <col min="23" max="16384" width="9" style="903"/>
  </cols>
  <sheetData>
    <row r="1" spans="1:22" s="100" customFormat="1" ht="31.5" x14ac:dyDescent="0.3">
      <c r="A1" s="1361" t="str" cm="1">
        <f t="array" aca="1" ref="A1" ca="1">CELL("filename",A1)</f>
        <v>https://onedrive-global.kpmg.com/personal/hwiwoongkim_kr_kpmg_com/Documents/Valuation Specialist 2022/33-36. SK스퀘어/2.0. 검토조서/[SK스퀘어_드림어스손상검토_Specialist_v0.2.xlsx]NWC</v>
      </c>
      <c r="B1" s="1362" t="str">
        <f>Des!B1</f>
        <v>Dreamus Company 손상검토보고서</v>
      </c>
      <c r="C1" s="1362"/>
      <c r="D1" s="1362"/>
      <c r="E1" s="1362"/>
      <c r="F1" s="1362"/>
      <c r="G1" s="1362"/>
      <c r="H1" s="1362"/>
      <c r="I1" s="1362"/>
      <c r="J1" s="1362"/>
      <c r="K1" s="1362"/>
      <c r="L1" s="1362"/>
      <c r="M1" s="1362"/>
      <c r="N1" s="1363"/>
      <c r="O1" s="1363"/>
      <c r="P1" s="1363"/>
      <c r="Q1" s="1363"/>
      <c r="R1" s="1363"/>
      <c r="S1" s="1363"/>
      <c r="T1" s="1363"/>
      <c r="U1" s="1364"/>
      <c r="V1" s="1364" t="str">
        <f>[1]Des!C13</f>
        <v>DRAFT - For Discussion Purposes Only</v>
      </c>
    </row>
    <row r="2" spans="1:22" s="100" customFormat="1" ht="19.5" x14ac:dyDescent="0.3">
      <c r="B2" s="1365" t="str">
        <f ca="1">MID(A1,FIND("]",A1)+1,100)</f>
        <v>NWC</v>
      </c>
      <c r="C2" s="1365"/>
      <c r="D2" s="1365"/>
      <c r="E2" s="1365"/>
      <c r="F2" s="1365"/>
      <c r="G2" s="1365"/>
      <c r="H2" s="1365"/>
      <c r="I2" s="1365"/>
      <c r="J2" s="1365"/>
      <c r="K2" s="1365"/>
      <c r="L2" s="1365"/>
      <c r="M2" s="1365"/>
      <c r="N2" s="1366"/>
      <c r="O2" s="1366"/>
      <c r="P2" s="1366"/>
      <c r="Q2" s="1366"/>
      <c r="R2" s="1366"/>
      <c r="S2" s="1366"/>
      <c r="T2" s="1366"/>
      <c r="U2" s="1366"/>
      <c r="V2" s="1366"/>
    </row>
    <row r="3" spans="1:22" s="100" customFormat="1" ht="12" x14ac:dyDescent="0.3"/>
    <row r="4" spans="1:22" s="100" customFormat="1" ht="12" x14ac:dyDescent="0.3">
      <c r="B4" s="1367" t="str">
        <f ca="1">B2</f>
        <v>NWC</v>
      </c>
      <c r="C4" s="1391"/>
      <c r="D4" s="1391"/>
      <c r="E4" s="1391"/>
      <c r="F4" s="1391"/>
      <c r="G4" s="1391"/>
      <c r="H4" s="1391"/>
      <c r="I4" s="1391"/>
      <c r="J4" s="1391"/>
      <c r="K4" s="1391"/>
      <c r="L4" s="1391"/>
      <c r="M4" s="1391"/>
      <c r="N4" s="1368" t="s">
        <v>18</v>
      </c>
      <c r="O4" s="1368" t="s">
        <v>18</v>
      </c>
      <c r="P4" s="1368" t="s">
        <v>18</v>
      </c>
      <c r="Q4" s="1368" t="s">
        <v>18</v>
      </c>
      <c r="R4" s="1368" t="s">
        <v>18</v>
      </c>
      <c r="S4" s="1368" t="s">
        <v>18</v>
      </c>
      <c r="T4" s="1368" t="s">
        <v>18</v>
      </c>
      <c r="U4" s="1368" t="s">
        <v>18</v>
      </c>
      <c r="V4" s="1371" t="s">
        <v>18</v>
      </c>
    </row>
    <row r="5" spans="1:22" s="100" customFormat="1" ht="12" x14ac:dyDescent="0.3">
      <c r="B5" s="1372" t="str">
        <f>Des!C13</f>
        <v>백만원</v>
      </c>
      <c r="C5" s="1392"/>
      <c r="D5" s="1392"/>
      <c r="E5" s="1392"/>
      <c r="F5" s="1392"/>
      <c r="G5" s="1392"/>
      <c r="H5" s="1392"/>
      <c r="I5" s="1392"/>
      <c r="J5" s="1392"/>
      <c r="K5" s="1392"/>
      <c r="L5" s="1392"/>
      <c r="M5" s="1392"/>
      <c r="N5" s="1373">
        <v>2019</v>
      </c>
      <c r="O5" s="1373">
        <v>2020</v>
      </c>
      <c r="P5" s="1373">
        <v>2021</v>
      </c>
      <c r="Q5" s="1376">
        <v>2022</v>
      </c>
      <c r="R5" s="1376">
        <v>2023</v>
      </c>
      <c r="S5" s="1376">
        <v>2024</v>
      </c>
      <c r="T5" s="1376">
        <v>2025</v>
      </c>
      <c r="U5" s="1376">
        <v>2026</v>
      </c>
      <c r="V5" s="1377">
        <v>2027</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6277E-3C01-47EB-9575-B16B143F571F}">
  <sheetPr>
    <tabColor theme="5" tint="-0.249977111117893"/>
  </sheetPr>
  <dimension ref="D1:AM336"/>
  <sheetViews>
    <sheetView showGridLines="0" workbookViewId="0">
      <pane xSplit="7" ySplit="7" topLeftCell="H223" activePane="bottomRight" state="frozen"/>
      <selection pane="topRight" activeCell="H1" sqref="H1"/>
      <selection pane="bottomLeft" activeCell="A8" sqref="A8"/>
      <selection pane="bottomRight" activeCell="E247" sqref="E247"/>
    </sheetView>
  </sheetViews>
  <sheetFormatPr defaultColWidth="12.625" defaultRowHeight="13.5" x14ac:dyDescent="0.3"/>
  <cols>
    <col min="1" max="3" width="2.625" style="21" customWidth="1"/>
    <col min="4" max="16384" width="12.625" style="21"/>
  </cols>
  <sheetData>
    <row r="1" spans="4:39" x14ac:dyDescent="0.3">
      <c r="R1" s="44"/>
      <c r="S1" s="44"/>
    </row>
    <row r="2" spans="4:39" x14ac:dyDescent="0.3">
      <c r="D2" s="1512"/>
      <c r="E2" s="1512"/>
      <c r="F2" s="1512"/>
      <c r="G2" s="1512"/>
      <c r="H2" s="1512"/>
      <c r="R2" s="255" t="s">
        <v>51</v>
      </c>
      <c r="S2" s="255"/>
      <c r="U2" s="44">
        <f>(U3/T3)^(1/4)-1</f>
        <v>0.23696313533610658</v>
      </c>
    </row>
    <row r="3" spans="4:39" x14ac:dyDescent="0.3">
      <c r="R3" s="44">
        <f>(R8/N8)^(1/4)-1</f>
        <v>0.23692508677478497</v>
      </c>
      <c r="S3" s="44"/>
      <c r="T3" s="18">
        <f>N9+N14</f>
        <v>223027</v>
      </c>
      <c r="U3" s="18">
        <f>R9+R14</f>
        <v>522137</v>
      </c>
    </row>
    <row r="4" spans="4:39" x14ac:dyDescent="0.3">
      <c r="M4" s="18"/>
    </row>
    <row r="5" spans="4:39" x14ac:dyDescent="0.3">
      <c r="H5" s="6" t="s">
        <v>52</v>
      </c>
      <c r="I5" s="6" t="s">
        <v>52</v>
      </c>
      <c r="J5" s="6" t="s">
        <v>52</v>
      </c>
      <c r="K5" s="6" t="s">
        <v>52</v>
      </c>
      <c r="L5" s="7" t="s">
        <v>53</v>
      </c>
      <c r="M5" s="7" t="s">
        <v>53</v>
      </c>
      <c r="N5" s="7" t="s">
        <v>53</v>
      </c>
      <c r="O5" s="7" t="s">
        <v>53</v>
      </c>
      <c r="P5" s="7" t="s">
        <v>53</v>
      </c>
      <c r="Q5" s="7" t="s">
        <v>53</v>
      </c>
      <c r="R5" s="7" t="s">
        <v>53</v>
      </c>
      <c r="S5" s="7" t="s">
        <v>53</v>
      </c>
      <c r="AA5" s="21">
        <v>100</v>
      </c>
    </row>
    <row r="6" spans="4:39" ht="15.75" x14ac:dyDescent="0.3">
      <c r="D6" s="4" t="s">
        <v>54</v>
      </c>
      <c r="E6" s="72"/>
      <c r="F6" s="4"/>
      <c r="G6" s="4"/>
      <c r="H6" s="5">
        <v>2019</v>
      </c>
      <c r="I6" s="5">
        <f>H6+1</f>
        <v>2020</v>
      </c>
      <c r="J6" s="5">
        <f t="shared" ref="J6:K6" si="0">I6+1</f>
        <v>2021</v>
      </c>
      <c r="K6" s="8">
        <f t="shared" si="0"/>
        <v>2022</v>
      </c>
      <c r="L6" s="9">
        <f>K6</f>
        <v>2022</v>
      </c>
      <c r="M6" s="10">
        <v>2022</v>
      </c>
      <c r="N6" s="3">
        <f>L6+1</f>
        <v>2023</v>
      </c>
      <c r="O6" s="3">
        <f t="shared" ref="O6:R6" si="1">N6+1</f>
        <v>2024</v>
      </c>
      <c r="P6" s="3">
        <f t="shared" si="1"/>
        <v>2025</v>
      </c>
      <c r="Q6" s="3">
        <f t="shared" si="1"/>
        <v>2026</v>
      </c>
      <c r="R6" s="3">
        <f t="shared" si="1"/>
        <v>2027</v>
      </c>
      <c r="S6" s="3" t="s">
        <v>55</v>
      </c>
      <c r="AA6" s="1360" t="s">
        <v>25</v>
      </c>
      <c r="AB6" s="1358"/>
      <c r="AC6" s="1358"/>
      <c r="AD6" s="1358"/>
      <c r="AE6" s="1358"/>
      <c r="AF6" s="1358"/>
      <c r="AG6" s="1360" t="s">
        <v>56</v>
      </c>
      <c r="AH6" s="1358"/>
      <c r="AI6" s="1358"/>
      <c r="AJ6" s="1358"/>
      <c r="AK6" s="1358"/>
      <c r="AL6" s="1358"/>
    </row>
    <row r="7" spans="4:39" x14ac:dyDescent="0.3">
      <c r="D7" s="11" t="s">
        <v>57</v>
      </c>
      <c r="E7" s="75" t="s">
        <v>58</v>
      </c>
      <c r="F7" s="11"/>
      <c r="G7" s="11"/>
      <c r="H7" s="12" t="s">
        <v>59</v>
      </c>
      <c r="I7" s="12" t="s">
        <v>59</v>
      </c>
      <c r="J7" s="12" t="s">
        <v>59</v>
      </c>
      <c r="K7" s="13" t="s">
        <v>19</v>
      </c>
      <c r="L7" s="14" t="s">
        <v>20</v>
      </c>
      <c r="M7" s="13" t="s">
        <v>59</v>
      </c>
      <c r="N7" s="12" t="s">
        <v>59</v>
      </c>
      <c r="O7" s="12" t="s">
        <v>59</v>
      </c>
      <c r="P7" s="12" t="s">
        <v>59</v>
      </c>
      <c r="Q7" s="12" t="s">
        <v>59</v>
      </c>
      <c r="R7" s="12" t="s">
        <v>59</v>
      </c>
      <c r="S7" s="972"/>
      <c r="AA7" s="1359">
        <v>2022</v>
      </c>
      <c r="AB7" s="1359">
        <f>AA7+1</f>
        <v>2023</v>
      </c>
      <c r="AC7" s="1359">
        <f t="shared" ref="AC7:AF7" si="2">AB7+1</f>
        <v>2024</v>
      </c>
      <c r="AD7" s="1359">
        <f t="shared" si="2"/>
        <v>2025</v>
      </c>
      <c r="AE7" s="1359">
        <f t="shared" si="2"/>
        <v>2026</v>
      </c>
      <c r="AF7" s="1359">
        <f t="shared" si="2"/>
        <v>2027</v>
      </c>
      <c r="AG7" s="1359">
        <v>2022</v>
      </c>
      <c r="AH7" s="1359">
        <f>AG7+1</f>
        <v>2023</v>
      </c>
      <c r="AI7" s="1359">
        <f t="shared" ref="AI7:AL7" si="3">AH7+1</f>
        <v>2024</v>
      </c>
      <c r="AJ7" s="1359">
        <f t="shared" si="3"/>
        <v>2025</v>
      </c>
      <c r="AK7" s="1359">
        <f t="shared" si="3"/>
        <v>2026</v>
      </c>
      <c r="AL7" s="1359">
        <f t="shared" si="3"/>
        <v>2027</v>
      </c>
    </row>
    <row r="8" spans="4:39" s="15" customFormat="1" x14ac:dyDescent="0.3">
      <c r="D8" s="34" t="s">
        <v>24</v>
      </c>
      <c r="E8" s="71"/>
      <c r="F8" s="34"/>
      <c r="G8" s="34"/>
      <c r="H8" s="34">
        <f>H9+H14+H19+H22</f>
        <v>196962</v>
      </c>
      <c r="I8" s="34">
        <f t="shared" ref="I8:R8" si="4">I9+I14+I19+I22</f>
        <v>226332</v>
      </c>
      <c r="J8" s="34">
        <f t="shared" si="4"/>
        <v>244189</v>
      </c>
      <c r="K8" s="35">
        <f t="shared" si="4"/>
        <v>222555</v>
      </c>
      <c r="L8" s="36">
        <f t="shared" si="4"/>
        <v>48658</v>
      </c>
      <c r="M8" s="35">
        <f>K8+L8</f>
        <v>271213</v>
      </c>
      <c r="N8" s="34">
        <f t="shared" si="4"/>
        <v>290154</v>
      </c>
      <c r="O8" s="34">
        <f t="shared" si="4"/>
        <v>371439</v>
      </c>
      <c r="P8" s="34">
        <f t="shared" si="4"/>
        <v>468038</v>
      </c>
      <c r="Q8" s="34">
        <f t="shared" si="4"/>
        <v>579777</v>
      </c>
      <c r="R8" s="34">
        <f t="shared" si="4"/>
        <v>679207</v>
      </c>
      <c r="S8" s="28">
        <f>R8*(1+$F$213)</f>
        <v>685999.07</v>
      </c>
      <c r="T8" s="15" t="s">
        <v>60</v>
      </c>
      <c r="W8" s="69" t="s">
        <v>61</v>
      </c>
      <c r="X8" s="69" t="s">
        <v>62</v>
      </c>
    </row>
    <row r="9" spans="4:39" s="15" customFormat="1" x14ac:dyDescent="0.3">
      <c r="D9" s="37" t="s">
        <v>63</v>
      </c>
      <c r="E9" s="73"/>
      <c r="F9" s="38"/>
      <c r="G9" s="38"/>
      <c r="H9" s="38">
        <f>H10+H11+H12+H13</f>
        <v>63805</v>
      </c>
      <c r="I9" s="38">
        <f t="shared" ref="I9:R9" si="5">I10+I11+I12+I13</f>
        <v>103764</v>
      </c>
      <c r="J9" s="38">
        <f t="shared" si="5"/>
        <v>129895</v>
      </c>
      <c r="K9" s="39">
        <f t="shared" si="5"/>
        <v>98887</v>
      </c>
      <c r="L9" s="40">
        <f t="shared" si="5"/>
        <v>19247</v>
      </c>
      <c r="M9" s="39">
        <f t="shared" ref="M9:M26" si="6">K9+L9</f>
        <v>118134</v>
      </c>
      <c r="N9" s="38">
        <f t="shared" si="5"/>
        <v>130692</v>
      </c>
      <c r="O9" s="38">
        <f t="shared" si="5"/>
        <v>171459</v>
      </c>
      <c r="P9" s="38">
        <f t="shared" si="5"/>
        <v>205805</v>
      </c>
      <c r="Q9" s="38">
        <f t="shared" si="5"/>
        <v>255252</v>
      </c>
      <c r="R9" s="38">
        <f t="shared" si="5"/>
        <v>299255</v>
      </c>
      <c r="W9" s="18">
        <f t="shared" ref="W9:W26" si="7">K9/10</f>
        <v>9888.7000000000007</v>
      </c>
      <c r="X9" s="18">
        <f t="shared" ref="X9:X26" si="8">L9/2</f>
        <v>9623.5</v>
      </c>
      <c r="Y9" s="18">
        <f>W9-X9</f>
        <v>265.20000000000073</v>
      </c>
      <c r="AA9" s="15">
        <f>SUM(AA10:AA13)</f>
        <v>118134.03448693076</v>
      </c>
      <c r="AB9" s="15">
        <f t="shared" ref="AB9:AF9" si="9">SUM(AB10:AB13)</f>
        <v>129419.85550532662</v>
      </c>
      <c r="AC9" s="15">
        <f t="shared" si="9"/>
        <v>170116.41893927479</v>
      </c>
      <c r="AD9" s="15">
        <f t="shared" si="9"/>
        <v>204369.29096797266</v>
      </c>
      <c r="AE9" s="15">
        <f t="shared" si="9"/>
        <v>253676.70415975974</v>
      </c>
      <c r="AF9" s="15">
        <f t="shared" si="9"/>
        <v>297470.48160580237</v>
      </c>
      <c r="AG9" s="18">
        <f>M9-AA9</f>
        <v>-3.4486930759157985E-2</v>
      </c>
      <c r="AH9" s="18">
        <f t="shared" ref="AH9" si="10">N9-AB9</f>
        <v>1272.1444946733827</v>
      </c>
      <c r="AI9" s="18">
        <f t="shared" ref="AI9" si="11">O9-AC9</f>
        <v>1342.581060725206</v>
      </c>
      <c r="AJ9" s="18">
        <f t="shared" ref="AJ9" si="12">P9-AD9</f>
        <v>1435.7090320273419</v>
      </c>
      <c r="AK9" s="18">
        <f t="shared" ref="AK9" si="13">Q9-AE9</f>
        <v>1575.2958402402583</v>
      </c>
      <c r="AL9" s="18">
        <f t="shared" ref="AL9" si="14">R9-AF9</f>
        <v>1784.5183941976284</v>
      </c>
    </row>
    <row r="10" spans="4:39" s="18" customFormat="1" x14ac:dyDescent="0.3">
      <c r="D10" s="22" t="s">
        <v>64</v>
      </c>
      <c r="E10" s="18" t="s">
        <v>65</v>
      </c>
      <c r="H10" s="18">
        <f>보고서!C31</f>
        <v>62742</v>
      </c>
      <c r="I10" s="18">
        <f>보고서!D31</f>
        <v>103081</v>
      </c>
      <c r="J10" s="18">
        <f>보고서!E31</f>
        <v>126627</v>
      </c>
      <c r="K10" s="19">
        <f>보고서!F31</f>
        <v>97089</v>
      </c>
      <c r="L10" s="20">
        <f>보고서!G31</f>
        <v>18652</v>
      </c>
      <c r="M10" s="19">
        <f t="shared" si="6"/>
        <v>115741</v>
      </c>
      <c r="N10" s="18">
        <f>보고서!H31</f>
        <v>125063</v>
      </c>
      <c r="O10" s="18">
        <f>보고서!I31</f>
        <v>162904</v>
      </c>
      <c r="P10" s="18">
        <f>보고서!J31</f>
        <v>188730</v>
      </c>
      <c r="Q10" s="18">
        <f>보고서!K31</f>
        <v>218902</v>
      </c>
      <c r="R10" s="18">
        <f>보고서!L31</f>
        <v>255166</v>
      </c>
      <c r="T10" s="18" t="s">
        <v>66</v>
      </c>
      <c r="W10" s="18">
        <f t="shared" si="7"/>
        <v>9708.9</v>
      </c>
      <c r="X10" s="18">
        <f t="shared" si="8"/>
        <v>9326</v>
      </c>
      <c r="Y10" s="18">
        <f t="shared" ref="Y10:Y26" si="15">W10-X10</f>
        <v>382.89999999999964</v>
      </c>
      <c r="AA10" s="18">
        <f>(플랫폼!F5+플랫폼!F10)*100</f>
        <v>115741.04339393075</v>
      </c>
      <c r="AB10" s="18">
        <f>(플랫폼!G5+플랫폼!G10)*100</f>
        <v>125063.26310974533</v>
      </c>
      <c r="AC10" s="18">
        <f>(플랫폼!H5+플랫폼!H10)*100</f>
        <v>162903.55670005319</v>
      </c>
      <c r="AD10" s="18">
        <f>(플랫폼!I5+플랫폼!I10)*100</f>
        <v>188729.85466222305</v>
      </c>
      <c r="AE10" s="18">
        <f>(플랫폼!J5+플랫폼!J10)*100</f>
        <v>218902.01287269793</v>
      </c>
      <c r="AF10" s="18">
        <f>(플랫폼!K5+플랫폼!K10)*100</f>
        <v>255165.83218923956</v>
      </c>
      <c r="AG10" s="18">
        <f>M10-AA10</f>
        <v>-4.3393930754973553E-2</v>
      </c>
      <c r="AH10" s="18">
        <f>N10-AB10</f>
        <v>-0.2631097453268012</v>
      </c>
      <c r="AI10" s="18">
        <f>O10-AC10</f>
        <v>0.44329994681174867</v>
      </c>
      <c r="AJ10" s="18">
        <f>P10-AD10</f>
        <v>0.14533777695032768</v>
      </c>
      <c r="AK10" s="18">
        <f>Q10-AE10</f>
        <v>-1.2872697931015864E-2</v>
      </c>
      <c r="AL10" s="18">
        <f>R10-AF10</f>
        <v>0.16781076043844223</v>
      </c>
    </row>
    <row r="11" spans="4:39" s="18" customFormat="1" x14ac:dyDescent="0.3">
      <c r="D11" s="22" t="s">
        <v>67</v>
      </c>
      <c r="E11" s="18" t="s">
        <v>68</v>
      </c>
      <c r="F11" s="18" t="s">
        <v>69</v>
      </c>
      <c r="H11" s="18">
        <f>보고서!C32</f>
        <v>0</v>
      </c>
      <c r="I11" s="18">
        <f>보고서!D32</f>
        <v>0</v>
      </c>
      <c r="J11" s="18">
        <f>보고서!E32</f>
        <v>0</v>
      </c>
      <c r="K11" s="19">
        <f>보고서!F32</f>
        <v>0</v>
      </c>
      <c r="L11" s="20">
        <f>보고서!G32</f>
        <v>0</v>
      </c>
      <c r="M11" s="19">
        <f t="shared" si="6"/>
        <v>0</v>
      </c>
      <c r="N11" s="66">
        <f>보고서!H32</f>
        <v>2105</v>
      </c>
      <c r="O11" s="66">
        <f>보고서!I32</f>
        <v>4497</v>
      </c>
      <c r="P11" s="66">
        <f>보고서!J32</f>
        <v>11528</v>
      </c>
      <c r="Q11" s="66">
        <f>보고서!K32</f>
        <v>29549</v>
      </c>
      <c r="R11" s="66">
        <f>보고서!L32</f>
        <v>35459</v>
      </c>
      <c r="S11" s="66"/>
      <c r="T11" s="67" t="s">
        <v>70</v>
      </c>
      <c r="W11" s="18">
        <f t="shared" si="7"/>
        <v>0</v>
      </c>
      <c r="X11" s="18">
        <f t="shared" si="8"/>
        <v>0</v>
      </c>
      <c r="Y11" s="18">
        <f t="shared" si="15"/>
        <v>0</v>
      </c>
      <c r="AA11" s="18">
        <f>(플랫폼!F19)*100</f>
        <v>0</v>
      </c>
      <c r="AB11" s="18">
        <f>(플랫폼!G19)*100</f>
        <v>2105.3123955812898</v>
      </c>
      <c r="AC11" s="18">
        <f>(플랫폼!H19)*100</f>
        <v>4497.1442392215895</v>
      </c>
      <c r="AD11" s="18">
        <f>(플랫폼!I19)*100</f>
        <v>11527.584989749634</v>
      </c>
      <c r="AE11" s="18">
        <f>(플랫폼!J19)*100</f>
        <v>29548.799999997813</v>
      </c>
      <c r="AF11" s="18">
        <f>(플랫폼!K19)*100</f>
        <v>35458.559999997371</v>
      </c>
      <c r="AG11" s="18">
        <f t="shared" ref="AG11:AG26" si="16">M11-AA11</f>
        <v>0</v>
      </c>
      <c r="AH11" s="18">
        <f t="shared" ref="AH11:AH26" si="17">N11-AB11</f>
        <v>-0.31239558128982026</v>
      </c>
      <c r="AI11" s="18">
        <f t="shared" ref="AI11:AI26" si="18">O11-AC11</f>
        <v>-0.14423922158948699</v>
      </c>
      <c r="AJ11" s="18">
        <f t="shared" ref="AJ11:AJ26" si="19">P11-AD11</f>
        <v>0.415010250366322</v>
      </c>
      <c r="AK11" s="18">
        <f t="shared" ref="AK11:AK26" si="20">Q11-AE11</f>
        <v>0.20000000218715286</v>
      </c>
      <c r="AL11" s="18">
        <f t="shared" ref="AL11:AL26" si="21">R11-AF11</f>
        <v>0.44000000262894901</v>
      </c>
    </row>
    <row r="12" spans="4:39" s="18" customFormat="1" x14ac:dyDescent="0.3">
      <c r="D12" s="22" t="s">
        <v>71</v>
      </c>
      <c r="E12" s="18" t="s">
        <v>68</v>
      </c>
      <c r="F12" s="18" t="s">
        <v>72</v>
      </c>
      <c r="H12" s="18">
        <f>보고서!C33</f>
        <v>1063</v>
      </c>
      <c r="I12" s="18">
        <f>보고서!D33</f>
        <v>683</v>
      </c>
      <c r="J12" s="18">
        <f>보고서!E33</f>
        <v>2986</v>
      </c>
      <c r="K12" s="19">
        <f>보고서!F33</f>
        <v>1667</v>
      </c>
      <c r="L12" s="20">
        <f>보고서!G33</f>
        <v>323</v>
      </c>
      <c r="M12" s="19">
        <f t="shared" si="6"/>
        <v>1990</v>
      </c>
      <c r="N12" s="18">
        <f>보고서!H33</f>
        <v>1901</v>
      </c>
      <c r="O12" s="18">
        <f>보고서!I33</f>
        <v>2004</v>
      </c>
      <c r="P12" s="18">
        <f>보고서!J33</f>
        <v>2112</v>
      </c>
      <c r="Q12" s="18">
        <f>보고서!K33</f>
        <v>2226</v>
      </c>
      <c r="R12" s="18">
        <f>보고서!L33</f>
        <v>2346</v>
      </c>
      <c r="W12" s="18">
        <f t="shared" si="7"/>
        <v>166.7</v>
      </c>
      <c r="X12" s="18">
        <f t="shared" si="8"/>
        <v>161.5</v>
      </c>
      <c r="Y12" s="18">
        <f t="shared" si="15"/>
        <v>5.1999999999999886</v>
      </c>
      <c r="AA12" s="18">
        <f>(플랫폼!F15)*100</f>
        <v>1990.3813320000002</v>
      </c>
      <c r="AB12" s="18">
        <f>(플랫폼!G15)*100</f>
        <v>1901.0000000000002</v>
      </c>
      <c r="AC12" s="18">
        <f>(플랫폼!H15)*100</f>
        <v>2003.6540000000002</v>
      </c>
      <c r="AD12" s="18">
        <f>(플랫폼!I15)*100</f>
        <v>2111.8513160000002</v>
      </c>
      <c r="AE12" s="18">
        <f>(플랫폼!J15)*100</f>
        <v>2225.8912870640002</v>
      </c>
      <c r="AF12" s="18">
        <f>(플랫폼!K15)*100</f>
        <v>2346.0894165654563</v>
      </c>
      <c r="AG12" s="18">
        <f t="shared" si="16"/>
        <v>-0.38133200000015677</v>
      </c>
      <c r="AH12" s="18">
        <f t="shared" si="17"/>
        <v>0</v>
      </c>
      <c r="AI12" s="18">
        <f t="shared" si="18"/>
        <v>0.34599999999977626</v>
      </c>
      <c r="AJ12" s="18">
        <f t="shared" si="19"/>
        <v>0.14868399999977555</v>
      </c>
      <c r="AK12" s="18">
        <f t="shared" si="20"/>
        <v>0.1087129359998471</v>
      </c>
      <c r="AL12" s="18">
        <f t="shared" si="21"/>
        <v>-8.9416565456303942E-2</v>
      </c>
    </row>
    <row r="13" spans="4:39" s="66" customFormat="1" x14ac:dyDescent="0.3">
      <c r="D13" s="1393" t="s">
        <v>73</v>
      </c>
      <c r="E13" s="66" t="s">
        <v>68</v>
      </c>
      <c r="F13" s="66" t="s">
        <v>74</v>
      </c>
      <c r="H13" s="66">
        <f>보고서!C34</f>
        <v>0</v>
      </c>
      <c r="I13" s="66">
        <f>보고서!D34</f>
        <v>0</v>
      </c>
      <c r="J13" s="66">
        <f>보고서!E34</f>
        <v>282</v>
      </c>
      <c r="K13" s="1394">
        <f>보고서!F34</f>
        <v>131</v>
      </c>
      <c r="L13" s="70">
        <f>보고서!G34</f>
        <v>272</v>
      </c>
      <c r="M13" s="1394">
        <f t="shared" si="6"/>
        <v>403</v>
      </c>
      <c r="N13" s="66">
        <f>보고서!H34</f>
        <v>1623</v>
      </c>
      <c r="O13" s="66">
        <f>보고서!I34</f>
        <v>2054</v>
      </c>
      <c r="P13" s="66">
        <f>보고서!J34</f>
        <v>3435</v>
      </c>
      <c r="Q13" s="66">
        <f>보고서!K34</f>
        <v>4575</v>
      </c>
      <c r="R13" s="66">
        <f>보고서!L34</f>
        <v>6284</v>
      </c>
      <c r="W13" s="66">
        <f t="shared" si="7"/>
        <v>13.1</v>
      </c>
      <c r="X13" s="66">
        <f t="shared" si="8"/>
        <v>136</v>
      </c>
      <c r="Y13" s="66">
        <f t="shared" si="15"/>
        <v>-122.9</v>
      </c>
      <c r="AA13" s="66">
        <f>(돌핀!F4)*100</f>
        <v>402.60976100000005</v>
      </c>
      <c r="AB13" s="66">
        <f>(돌핀!G4)*100</f>
        <v>350.27999999999986</v>
      </c>
      <c r="AC13" s="66">
        <f>(돌핀!H4)*100</f>
        <v>712.06400000000019</v>
      </c>
      <c r="AD13" s="66">
        <f>(돌핀!I4)*100</f>
        <v>1999.9999999999995</v>
      </c>
      <c r="AE13" s="66">
        <f>(돌핀!J4)*100</f>
        <v>3000</v>
      </c>
      <c r="AF13" s="66">
        <f>(돌핀!K4)*100</f>
        <v>4500</v>
      </c>
      <c r="AG13" s="66">
        <f t="shared" si="16"/>
        <v>0.39023899999995137</v>
      </c>
      <c r="AH13" s="66">
        <f t="shared" si="17"/>
        <v>1272.7200000000003</v>
      </c>
      <c r="AI13" s="66">
        <f t="shared" si="18"/>
        <v>1341.9359999999997</v>
      </c>
      <c r="AJ13" s="66">
        <f t="shared" si="19"/>
        <v>1435.0000000000005</v>
      </c>
      <c r="AK13" s="66">
        <f t="shared" si="20"/>
        <v>1575</v>
      </c>
      <c r="AL13" s="66">
        <f t="shared" si="21"/>
        <v>1784</v>
      </c>
      <c r="AM13" s="1395" t="s">
        <v>75</v>
      </c>
    </row>
    <row r="14" spans="4:39" s="15" customFormat="1" x14ac:dyDescent="0.3">
      <c r="D14" s="37" t="s">
        <v>76</v>
      </c>
      <c r="E14" s="73"/>
      <c r="F14" s="38"/>
      <c r="G14" s="38"/>
      <c r="H14" s="38">
        <f>H15+H16+H17+H18</f>
        <v>79447</v>
      </c>
      <c r="I14" s="38">
        <f t="shared" ref="I14:R14" si="22">I15+I16+I17+I18</f>
        <v>76282</v>
      </c>
      <c r="J14" s="38">
        <f t="shared" si="22"/>
        <v>60754</v>
      </c>
      <c r="K14" s="39">
        <f t="shared" si="22"/>
        <v>84904</v>
      </c>
      <c r="L14" s="40">
        <f t="shared" si="22"/>
        <v>19975</v>
      </c>
      <c r="M14" s="39">
        <f t="shared" si="6"/>
        <v>104879</v>
      </c>
      <c r="N14" s="38">
        <f t="shared" si="22"/>
        <v>92335</v>
      </c>
      <c r="O14" s="38">
        <f t="shared" si="22"/>
        <v>106207</v>
      </c>
      <c r="P14" s="38">
        <f t="shared" si="22"/>
        <v>151146</v>
      </c>
      <c r="Q14" s="38">
        <f t="shared" si="22"/>
        <v>187622</v>
      </c>
      <c r="R14" s="38">
        <f t="shared" si="22"/>
        <v>222882</v>
      </c>
      <c r="W14" s="18">
        <f t="shared" si="7"/>
        <v>8490.4</v>
      </c>
      <c r="X14" s="18">
        <f t="shared" si="8"/>
        <v>9987.5</v>
      </c>
      <c r="Y14" s="18">
        <f t="shared" si="15"/>
        <v>-1497.1000000000004</v>
      </c>
      <c r="AA14" s="15">
        <f>SUM(AA15:AA18)</f>
        <v>104877.34569316445</v>
      </c>
      <c r="AB14" s="15">
        <f t="shared" ref="AB14" si="23">SUM(AB15:AB18)</f>
        <v>92335.607103489878</v>
      </c>
      <c r="AC14" s="15">
        <f t="shared" ref="AC14" si="24">SUM(AC15:AC18)</f>
        <v>111835.4573692321</v>
      </c>
      <c r="AD14" s="15">
        <f t="shared" ref="AD14" si="25">SUM(AD15:AD18)</f>
        <v>162403.08724657557</v>
      </c>
      <c r="AE14" s="15">
        <f t="shared" ref="AE14" si="26">SUM(AE15:AE18)</f>
        <v>204508.03778677245</v>
      </c>
      <c r="AF14" s="15">
        <f t="shared" ref="AF14" si="27">SUM(AF15:AF18)</f>
        <v>245398.23154558876</v>
      </c>
      <c r="AG14" s="18">
        <f t="shared" si="16"/>
        <v>1.6543068355531432</v>
      </c>
      <c r="AH14" s="18">
        <f t="shared" si="17"/>
        <v>-0.60710348987777252</v>
      </c>
      <c r="AI14" s="18">
        <f t="shared" si="18"/>
        <v>-5628.4573692320992</v>
      </c>
      <c r="AJ14" s="18">
        <f t="shared" si="19"/>
        <v>-11257.087246575567</v>
      </c>
      <c r="AK14" s="18">
        <f t="shared" si="20"/>
        <v>-16886.037786772446</v>
      </c>
      <c r="AL14" s="18">
        <f t="shared" si="21"/>
        <v>-22516.231545588758</v>
      </c>
    </row>
    <row r="15" spans="4:39" s="18" customFormat="1" x14ac:dyDescent="0.3">
      <c r="D15" s="22" t="s">
        <v>77</v>
      </c>
      <c r="E15" s="18" t="s">
        <v>68</v>
      </c>
      <c r="F15" s="18" t="s">
        <v>78</v>
      </c>
      <c r="H15" s="18">
        <f>보고서!C36</f>
        <v>6902</v>
      </c>
      <c r="I15" s="18">
        <f>보고서!D36</f>
        <v>10568</v>
      </c>
      <c r="J15" s="18">
        <f>보고서!E36</f>
        <v>12630</v>
      </c>
      <c r="K15" s="19">
        <f>보고서!F36</f>
        <v>10946</v>
      </c>
      <c r="L15" s="20">
        <f>보고서!G36</f>
        <v>1364</v>
      </c>
      <c r="M15" s="19">
        <f t="shared" si="6"/>
        <v>12310</v>
      </c>
      <c r="N15" s="18">
        <f>보고서!H36</f>
        <v>7013</v>
      </c>
      <c r="O15" s="18">
        <f>보고서!I36</f>
        <v>6068</v>
      </c>
      <c r="P15" s="18">
        <f>보고서!J36</f>
        <v>8332</v>
      </c>
      <c r="Q15" s="18">
        <f>보고서!K36</f>
        <v>9371</v>
      </c>
      <c r="R15" s="18">
        <f>보고서!L36</f>
        <v>10637</v>
      </c>
      <c r="W15" s="18">
        <f t="shared" si="7"/>
        <v>1094.5999999999999</v>
      </c>
      <c r="X15" s="18">
        <f t="shared" si="8"/>
        <v>682</v>
      </c>
      <c r="Y15" s="18">
        <f t="shared" si="15"/>
        <v>412.59999999999991</v>
      </c>
      <c r="AA15" s="18">
        <f>(콘텐츠!F5)*100</f>
        <v>12309.561636000002</v>
      </c>
      <c r="AB15" s="18">
        <f>(콘텐츠!G5)*100</f>
        <v>7013.4635464149114</v>
      </c>
      <c r="AC15" s="18">
        <f>(콘텐츠!H5)*100</f>
        <v>9067.5006366812158</v>
      </c>
      <c r="AD15" s="18">
        <f>(콘텐츠!I5)*100</f>
        <v>14331.575354015882</v>
      </c>
      <c r="AE15" s="18">
        <f>(콘텐츠!J5)*100</f>
        <v>18370.697276035451</v>
      </c>
      <c r="AF15" s="18">
        <f>(콘텐츠!K5)*100</f>
        <v>22637.157842896057</v>
      </c>
      <c r="AG15" s="18">
        <f t="shared" si="16"/>
        <v>0.43836399999781861</v>
      </c>
      <c r="AH15" s="18">
        <f t="shared" si="17"/>
        <v>-0.46354641491143411</v>
      </c>
      <c r="AI15" s="18">
        <f t="shared" si="18"/>
        <v>-2999.5006366812158</v>
      </c>
      <c r="AJ15" s="18">
        <f t="shared" si="19"/>
        <v>-5999.5753540158821</v>
      </c>
      <c r="AK15" s="18">
        <f t="shared" si="20"/>
        <v>-8999.6972760354511</v>
      </c>
      <c r="AL15" s="18">
        <f t="shared" si="21"/>
        <v>-12000.157842896057</v>
      </c>
      <c r="AM15" s="18" t="s">
        <v>79</v>
      </c>
    </row>
    <row r="16" spans="4:39" s="18" customFormat="1" x14ac:dyDescent="0.3">
      <c r="D16" s="22" t="s">
        <v>80</v>
      </c>
      <c r="E16" s="18" t="s">
        <v>68</v>
      </c>
      <c r="F16" s="18" t="s">
        <v>81</v>
      </c>
      <c r="H16" s="18">
        <f>보고서!C37</f>
        <v>40883</v>
      </c>
      <c r="I16" s="18">
        <f>보고서!D37</f>
        <v>54840</v>
      </c>
      <c r="J16" s="18">
        <f>보고서!E37</f>
        <v>40379</v>
      </c>
      <c r="K16" s="19">
        <f>보고서!F37</f>
        <v>41012</v>
      </c>
      <c r="L16" s="70">
        <f>보고서!G37</f>
        <v>12819</v>
      </c>
      <c r="M16" s="19">
        <f t="shared" si="6"/>
        <v>53831</v>
      </c>
      <c r="N16" s="18">
        <f>보고서!H37</f>
        <v>57179</v>
      </c>
      <c r="O16" s="18">
        <f>보고서!I37</f>
        <v>72719</v>
      </c>
      <c r="P16" s="18">
        <f>보고서!J37</f>
        <v>105960</v>
      </c>
      <c r="Q16" s="18">
        <f>보고서!K37</f>
        <v>134877</v>
      </c>
      <c r="R16" s="18">
        <f>보고서!L37</f>
        <v>163905</v>
      </c>
      <c r="T16" s="45" t="s">
        <v>82</v>
      </c>
      <c r="W16" s="18">
        <f t="shared" si="7"/>
        <v>4101.2</v>
      </c>
      <c r="X16" s="66">
        <f t="shared" si="8"/>
        <v>6409.5</v>
      </c>
      <c r="Y16" s="18">
        <f t="shared" si="15"/>
        <v>-2308.3000000000002</v>
      </c>
      <c r="AA16" s="18">
        <f>(콘텐츠!F12)*100</f>
        <v>53830.432905660447</v>
      </c>
      <c r="AB16" s="18">
        <f>(콘텐츠!G12)*100</f>
        <v>57179.443763274961</v>
      </c>
      <c r="AC16" s="18">
        <f>(콘텐츠!H12)*100</f>
        <v>75348.138976955641</v>
      </c>
      <c r="AD16" s="18">
        <f>(콘텐츠!I12)*100</f>
        <v>111217.9491864466</v>
      </c>
      <c r="AE16" s="18">
        <f>(콘텐츠!J12)*100</f>
        <v>142763.81110640158</v>
      </c>
      <c r="AF16" s="18">
        <f>(콘텐츠!K12)*100</f>
        <v>174420.84783260481</v>
      </c>
      <c r="AG16" s="18">
        <f t="shared" si="16"/>
        <v>0.56709433955256827</v>
      </c>
      <c r="AH16" s="18">
        <f t="shared" si="17"/>
        <v>-0.44376327496138401</v>
      </c>
      <c r="AI16" s="18">
        <f t="shared" si="18"/>
        <v>-2629.1389769556408</v>
      </c>
      <c r="AJ16" s="18">
        <f t="shared" si="19"/>
        <v>-5257.9491864465963</v>
      </c>
      <c r="AK16" s="18">
        <f t="shared" si="20"/>
        <v>-7886.8111064015829</v>
      </c>
      <c r="AL16" s="18">
        <f t="shared" si="21"/>
        <v>-10515.847832604806</v>
      </c>
      <c r="AM16" s="18" t="s">
        <v>79</v>
      </c>
    </row>
    <row r="17" spans="4:39" s="18" customFormat="1" x14ac:dyDescent="0.3">
      <c r="D17" s="22" t="s">
        <v>83</v>
      </c>
      <c r="E17" s="18" t="s">
        <v>68</v>
      </c>
      <c r="F17" s="18" t="s">
        <v>84</v>
      </c>
      <c r="H17" s="18">
        <f>보고서!C38</f>
        <v>15584</v>
      </c>
      <c r="I17" s="18">
        <f>보고서!D38</f>
        <v>6212</v>
      </c>
      <c r="J17" s="18">
        <f>보고서!E38</f>
        <v>3528</v>
      </c>
      <c r="K17" s="19">
        <f>보고서!F38</f>
        <v>19974</v>
      </c>
      <c r="L17" s="20">
        <f>보고서!G38</f>
        <v>3359</v>
      </c>
      <c r="M17" s="19">
        <f t="shared" si="6"/>
        <v>23333</v>
      </c>
      <c r="N17" s="18">
        <f>보고서!H38</f>
        <v>9433</v>
      </c>
      <c r="O17" s="18">
        <f>보고서!I38</f>
        <v>4080</v>
      </c>
      <c r="P17" s="18">
        <f>보고서!J38</f>
        <v>9928</v>
      </c>
      <c r="Q17" s="18">
        <f>보고서!K38</f>
        <v>13600</v>
      </c>
      <c r="R17" s="18">
        <f>보고서!L38</f>
        <v>14960</v>
      </c>
      <c r="W17" s="18">
        <f t="shared" si="7"/>
        <v>1997.4</v>
      </c>
      <c r="X17" s="18">
        <f t="shared" si="8"/>
        <v>1679.5</v>
      </c>
      <c r="Y17" s="18">
        <f t="shared" si="15"/>
        <v>317.90000000000009</v>
      </c>
      <c r="AA17" s="18">
        <f>(콘텐츠!F20)*100</f>
        <v>23332.344159</v>
      </c>
      <c r="AB17" s="18">
        <f>(콘텐츠!G20)*100</f>
        <v>9433</v>
      </c>
      <c r="AC17" s="18">
        <f>(콘텐츠!H20)*100</f>
        <v>4079.9999999999995</v>
      </c>
      <c r="AD17" s="18">
        <f>(콘텐츠!I20)*100</f>
        <v>9928</v>
      </c>
      <c r="AE17" s="18">
        <f>(콘텐츠!J20)*100</f>
        <v>13600</v>
      </c>
      <c r="AF17" s="18">
        <f>(콘텐츠!K20)*100</f>
        <v>14960</v>
      </c>
      <c r="AG17" s="18">
        <f t="shared" si="16"/>
        <v>0.65584099999978207</v>
      </c>
      <c r="AH17" s="18">
        <f t="shared" si="17"/>
        <v>0</v>
      </c>
      <c r="AI17" s="18">
        <f t="shared" si="18"/>
        <v>0</v>
      </c>
      <c r="AJ17" s="18">
        <f t="shared" si="19"/>
        <v>0</v>
      </c>
      <c r="AK17" s="18">
        <f t="shared" si="20"/>
        <v>0</v>
      </c>
      <c r="AL17" s="18">
        <f t="shared" si="21"/>
        <v>0</v>
      </c>
    </row>
    <row r="18" spans="4:39" s="18" customFormat="1" x14ac:dyDescent="0.3">
      <c r="D18" s="22" t="s">
        <v>85</v>
      </c>
      <c r="E18" s="18" t="s">
        <v>68</v>
      </c>
      <c r="F18" s="18" t="s">
        <v>86</v>
      </c>
      <c r="H18" s="18">
        <f>보고서!C39</f>
        <v>16078</v>
      </c>
      <c r="I18" s="18">
        <f>보고서!D39</f>
        <v>4662</v>
      </c>
      <c r="J18" s="18">
        <f>보고서!E39</f>
        <v>4217</v>
      </c>
      <c r="K18" s="19">
        <f>보고서!F39</f>
        <v>12972</v>
      </c>
      <c r="L18" s="20">
        <f>보고서!G39</f>
        <v>2433</v>
      </c>
      <c r="M18" s="19">
        <f t="shared" si="6"/>
        <v>15405</v>
      </c>
      <c r="N18" s="18">
        <f>보고서!H39</f>
        <v>18710</v>
      </c>
      <c r="O18" s="18">
        <f>보고서!I39</f>
        <v>23340</v>
      </c>
      <c r="P18" s="18">
        <f>보고서!J39</f>
        <v>26926</v>
      </c>
      <c r="Q18" s="18">
        <f>보고서!K39</f>
        <v>29774</v>
      </c>
      <c r="R18" s="18">
        <f>보고서!L39</f>
        <v>33380</v>
      </c>
      <c r="T18" s="18" t="s">
        <v>87</v>
      </c>
      <c r="W18" s="18">
        <f t="shared" si="7"/>
        <v>1297.2</v>
      </c>
      <c r="X18" s="18">
        <f t="shared" si="8"/>
        <v>1216.5</v>
      </c>
      <c r="Y18" s="18">
        <f t="shared" si="15"/>
        <v>80.700000000000045</v>
      </c>
      <c r="AA18" s="18">
        <f>LDC!F4*100</f>
        <v>15405.006992503999</v>
      </c>
      <c r="AB18" s="18">
        <f>LDC!G4*100</f>
        <v>18709.699793799999</v>
      </c>
      <c r="AC18" s="18">
        <f>LDC!H4*100</f>
        <v>23339.817755595239</v>
      </c>
      <c r="AD18" s="18">
        <f>LDC!I4*100</f>
        <v>26925.562706113094</v>
      </c>
      <c r="AE18" s="18">
        <f>LDC!J4*100</f>
        <v>29773.529404335419</v>
      </c>
      <c r="AF18" s="18">
        <f>LDC!K4*100</f>
        <v>33380.225870087903</v>
      </c>
      <c r="AG18" s="18">
        <f t="shared" ref="AG18" si="28">M18-AA18</f>
        <v>-6.9925039988447679E-3</v>
      </c>
      <c r="AH18" s="18">
        <f t="shared" ref="AH18" si="29">N18-AB18</f>
        <v>0.30020620000141207</v>
      </c>
      <c r="AI18" s="18">
        <f t="shared" ref="AI18" si="30">O18-AC18</f>
        <v>0.18224440476114978</v>
      </c>
      <c r="AJ18" s="18">
        <f t="shared" ref="AJ18" si="31">P18-AD18</f>
        <v>0.43729388690553606</v>
      </c>
      <c r="AK18" s="18">
        <f t="shared" ref="AK18" si="32">Q18-AE18</f>
        <v>0.47059566458119662</v>
      </c>
      <c r="AL18" s="18">
        <f t="shared" ref="AL18" si="33">R18-AF18</f>
        <v>-0.22587008790287655</v>
      </c>
    </row>
    <row r="19" spans="4:39" s="15" customFormat="1" x14ac:dyDescent="0.3">
      <c r="D19" s="37" t="s">
        <v>88</v>
      </c>
      <c r="E19" s="73"/>
      <c r="F19" s="38"/>
      <c r="G19" s="38"/>
      <c r="H19" s="38">
        <f>H20+H21</f>
        <v>7341</v>
      </c>
      <c r="I19" s="38">
        <f t="shared" ref="I19:R19" si="34">I20+I21</f>
        <v>4168</v>
      </c>
      <c r="J19" s="38">
        <f t="shared" si="34"/>
        <v>8804</v>
      </c>
      <c r="K19" s="39">
        <f t="shared" si="34"/>
        <v>5078</v>
      </c>
      <c r="L19" s="40">
        <f t="shared" si="34"/>
        <v>2178</v>
      </c>
      <c r="M19" s="39">
        <f t="shared" si="6"/>
        <v>7256</v>
      </c>
      <c r="N19" s="38">
        <f t="shared" si="34"/>
        <v>14467</v>
      </c>
      <c r="O19" s="38">
        <f t="shared" si="34"/>
        <v>27415</v>
      </c>
      <c r="P19" s="38">
        <f t="shared" si="34"/>
        <v>29833</v>
      </c>
      <c r="Q19" s="38">
        <f t="shared" si="34"/>
        <v>36799</v>
      </c>
      <c r="R19" s="38">
        <f t="shared" si="34"/>
        <v>44670</v>
      </c>
      <c r="W19" s="18">
        <f t="shared" si="7"/>
        <v>507.8</v>
      </c>
      <c r="X19" s="66">
        <f t="shared" si="8"/>
        <v>1089</v>
      </c>
      <c r="Y19" s="18">
        <f t="shared" si="15"/>
        <v>-581.20000000000005</v>
      </c>
      <c r="AA19" s="15">
        <f>SUM(AA20:AA21)</f>
        <v>6944.1814649999997</v>
      </c>
      <c r="AB19" s="15">
        <f t="shared" ref="AB19:AF19" si="35">SUM(AB20:AB21)</f>
        <v>13097.95</v>
      </c>
      <c r="AC19" s="15">
        <f t="shared" si="35"/>
        <v>26414.752972400001</v>
      </c>
      <c r="AD19" s="15">
        <f t="shared" si="35"/>
        <v>28833.228269640003</v>
      </c>
      <c r="AE19" s="15">
        <f t="shared" si="35"/>
        <v>35798.551096604002</v>
      </c>
      <c r="AF19" s="15">
        <f t="shared" si="35"/>
        <v>43670.406206264408</v>
      </c>
      <c r="AG19" s="18">
        <f t="shared" si="16"/>
        <v>311.81853500000034</v>
      </c>
      <c r="AH19" s="18">
        <f t="shared" si="17"/>
        <v>1369.0499999999993</v>
      </c>
      <c r="AI19" s="18">
        <f t="shared" si="18"/>
        <v>1000.2470275999985</v>
      </c>
      <c r="AJ19" s="18">
        <f t="shared" si="19"/>
        <v>999.77173035999658</v>
      </c>
      <c r="AK19" s="18">
        <f t="shared" si="20"/>
        <v>1000.4489033959981</v>
      </c>
      <c r="AL19" s="18">
        <f t="shared" si="21"/>
        <v>999.59379373559204</v>
      </c>
    </row>
    <row r="20" spans="4:39" s="66" customFormat="1" x14ac:dyDescent="0.3">
      <c r="D20" s="1393" t="s">
        <v>89</v>
      </c>
      <c r="E20" s="66" t="s">
        <v>68</v>
      </c>
      <c r="F20" s="66" t="s">
        <v>90</v>
      </c>
      <c r="H20" s="66">
        <f>보고서!C41</f>
        <v>7341</v>
      </c>
      <c r="I20" s="66">
        <f>보고서!D41</f>
        <v>4168</v>
      </c>
      <c r="J20" s="66">
        <f>보고서!E41</f>
        <v>8804</v>
      </c>
      <c r="K20" s="1394">
        <f>보고서!F41</f>
        <v>5078</v>
      </c>
      <c r="L20" s="70">
        <f>보고서!G41</f>
        <v>2178</v>
      </c>
      <c r="M20" s="1394">
        <f t="shared" si="6"/>
        <v>7256</v>
      </c>
      <c r="N20" s="66">
        <f>보고서!H41</f>
        <v>8732</v>
      </c>
      <c r="O20" s="66">
        <f>보고서!I41</f>
        <v>14365</v>
      </c>
      <c r="P20" s="66">
        <f>보고서!J41</f>
        <v>18333</v>
      </c>
      <c r="Q20" s="66">
        <f>보고서!K41</f>
        <v>22399</v>
      </c>
      <c r="R20" s="66">
        <f>보고서!L41</f>
        <v>26570</v>
      </c>
      <c r="T20" s="1396" t="s">
        <v>82</v>
      </c>
      <c r="W20" s="66">
        <f t="shared" si="7"/>
        <v>507.8</v>
      </c>
      <c r="X20" s="66">
        <f t="shared" si="8"/>
        <v>1089</v>
      </c>
      <c r="Y20" s="66">
        <f t="shared" si="15"/>
        <v>-581.20000000000005</v>
      </c>
      <c r="AA20" s="66">
        <f>(엔터!F5+엔터!E6)*100</f>
        <v>6864.9013919999998</v>
      </c>
      <c r="AB20" s="66">
        <f>(엔터!G5+엔터!F6)*100</f>
        <v>7362.9500000000007</v>
      </c>
      <c r="AC20" s="66">
        <f>(엔터!H5+엔터!G6)*100</f>
        <v>13364.752972400001</v>
      </c>
      <c r="AD20" s="66">
        <f>(엔터!I5+엔터!H6)*100</f>
        <v>17333.228269640003</v>
      </c>
      <c r="AE20" s="66">
        <f>(엔터!J5+엔터!I6)*100</f>
        <v>21398.551096604002</v>
      </c>
      <c r="AF20" s="66">
        <f>(엔터!K5+엔터!J6)*100</f>
        <v>25570.406206264404</v>
      </c>
      <c r="AG20" s="66">
        <f t="shared" si="16"/>
        <v>391.09860800000024</v>
      </c>
      <c r="AH20" s="66">
        <f t="shared" si="17"/>
        <v>1369.0499999999993</v>
      </c>
      <c r="AI20" s="66">
        <f t="shared" si="18"/>
        <v>1000.2470275999985</v>
      </c>
      <c r="AJ20" s="66">
        <f t="shared" si="19"/>
        <v>999.77173035999658</v>
      </c>
      <c r="AK20" s="66">
        <f t="shared" si="20"/>
        <v>1000.4489033959981</v>
      </c>
      <c r="AL20" s="66">
        <f t="shared" si="21"/>
        <v>999.59379373559568</v>
      </c>
      <c r="AM20" s="66" t="s">
        <v>91</v>
      </c>
    </row>
    <row r="21" spans="4:39" s="18" customFormat="1" x14ac:dyDescent="0.3">
      <c r="D21" s="22" t="s">
        <v>92</v>
      </c>
      <c r="E21" s="18" t="s">
        <v>68</v>
      </c>
      <c r="F21" s="18" t="s">
        <v>93</v>
      </c>
      <c r="H21" s="18">
        <f>보고서!C42</f>
        <v>0</v>
      </c>
      <c r="I21" s="18">
        <f>보고서!D42</f>
        <v>0</v>
      </c>
      <c r="J21" s="18">
        <f>보고서!E42</f>
        <v>0</v>
      </c>
      <c r="K21" s="19">
        <f>보고서!F42</f>
        <v>0</v>
      </c>
      <c r="L21" s="20">
        <f>보고서!G42</f>
        <v>0</v>
      </c>
      <c r="M21" s="19">
        <f t="shared" si="6"/>
        <v>0</v>
      </c>
      <c r="N21" s="66">
        <f>보고서!H42</f>
        <v>5735</v>
      </c>
      <c r="O21" s="66">
        <f>보고서!I42</f>
        <v>13050</v>
      </c>
      <c r="P21" s="66">
        <f>보고서!J42</f>
        <v>11500</v>
      </c>
      <c r="Q21" s="66">
        <f>보고서!K42</f>
        <v>14400</v>
      </c>
      <c r="R21" s="66">
        <f>보고서!L42</f>
        <v>18100</v>
      </c>
      <c r="S21" s="66"/>
      <c r="T21" s="67" t="s">
        <v>70</v>
      </c>
      <c r="W21" s="18">
        <f t="shared" si="7"/>
        <v>0</v>
      </c>
      <c r="X21" s="18">
        <f t="shared" si="8"/>
        <v>0</v>
      </c>
      <c r="Y21" s="18">
        <f t="shared" si="15"/>
        <v>0</v>
      </c>
      <c r="AA21" s="18">
        <f>(엔터!F7+엔터!F12+엔터!F17+엔터!F22+엔터!F27+엔터!F32)*100</f>
        <v>79.280073000000002</v>
      </c>
      <c r="AB21" s="18">
        <f>(엔터!G7+엔터!G12+엔터!G17+엔터!G22+엔터!G27+엔터!G32)*100</f>
        <v>5734.9999999999991</v>
      </c>
      <c r="AC21" s="18">
        <f>(엔터!H7+엔터!H12+엔터!H17+엔터!H22+엔터!H27+엔터!H32)*100</f>
        <v>13050</v>
      </c>
      <c r="AD21" s="18">
        <f>(엔터!I7+엔터!I12+엔터!I17+엔터!I22+엔터!I27+엔터!I32)*100</f>
        <v>11500</v>
      </c>
      <c r="AE21" s="18">
        <f>(엔터!J7+엔터!J12+엔터!J17+엔터!J22+엔터!J27+엔터!J32)*100</f>
        <v>14400</v>
      </c>
      <c r="AF21" s="18">
        <f>(엔터!K7+엔터!K12+엔터!K17+엔터!K22+엔터!K27+엔터!K32)*100</f>
        <v>18100</v>
      </c>
      <c r="AG21" s="18">
        <f t="shared" si="16"/>
        <v>-79.280073000000002</v>
      </c>
      <c r="AH21" s="18">
        <f t="shared" si="17"/>
        <v>0</v>
      </c>
      <c r="AI21" s="18">
        <f t="shared" si="18"/>
        <v>0</v>
      </c>
      <c r="AJ21" s="18">
        <f t="shared" si="19"/>
        <v>0</v>
      </c>
      <c r="AK21" s="18">
        <f t="shared" si="20"/>
        <v>0</v>
      </c>
      <c r="AL21" s="18">
        <f t="shared" si="21"/>
        <v>0</v>
      </c>
    </row>
    <row r="22" spans="4:39" s="15" customFormat="1" x14ac:dyDescent="0.3">
      <c r="D22" s="37" t="s">
        <v>94</v>
      </c>
      <c r="E22" s="73"/>
      <c r="F22" s="38"/>
      <c r="G22" s="38"/>
      <c r="H22" s="38">
        <f>H23+H24+H25+H26</f>
        <v>46369</v>
      </c>
      <c r="I22" s="38">
        <f t="shared" ref="I22:R22" si="36">I23+I24+I25+I26</f>
        <v>42118</v>
      </c>
      <c r="J22" s="38">
        <f t="shared" si="36"/>
        <v>44736</v>
      </c>
      <c r="K22" s="39">
        <f t="shared" si="36"/>
        <v>33686</v>
      </c>
      <c r="L22" s="40">
        <f t="shared" si="36"/>
        <v>7258</v>
      </c>
      <c r="M22" s="39">
        <f t="shared" si="6"/>
        <v>40944</v>
      </c>
      <c r="N22" s="38">
        <f t="shared" si="36"/>
        <v>52660</v>
      </c>
      <c r="O22" s="38">
        <f t="shared" si="36"/>
        <v>66358</v>
      </c>
      <c r="P22" s="38">
        <f t="shared" si="36"/>
        <v>81254</v>
      </c>
      <c r="Q22" s="38">
        <f t="shared" si="36"/>
        <v>100104</v>
      </c>
      <c r="R22" s="38">
        <f t="shared" si="36"/>
        <v>112400</v>
      </c>
      <c r="T22" s="18" t="s">
        <v>95</v>
      </c>
      <c r="W22" s="18">
        <f t="shared" si="7"/>
        <v>3368.6</v>
      </c>
      <c r="X22" s="18">
        <f t="shared" si="8"/>
        <v>3629</v>
      </c>
      <c r="Y22" s="18">
        <f t="shared" si="15"/>
        <v>-260.40000000000009</v>
      </c>
      <c r="AA22" s="15">
        <f t="shared" ref="AA22:AE22" si="37">SUM(AA23:AA26)</f>
        <v>40942.723750999998</v>
      </c>
      <c r="AB22" s="15">
        <f t="shared" si="37"/>
        <v>52659.992439999995</v>
      </c>
      <c r="AC22" s="15">
        <f t="shared" si="37"/>
        <v>66358.376693348531</v>
      </c>
      <c r="AD22" s="15">
        <f t="shared" si="37"/>
        <v>81253.668990277816</v>
      </c>
      <c r="AE22" s="15">
        <f t="shared" si="37"/>
        <v>100104.24517927777</v>
      </c>
      <c r="AF22" s="15">
        <f>SUM(AF23:AF26)</f>
        <v>112400.18065013902</v>
      </c>
      <c r="AG22" s="18">
        <f t="shared" si="16"/>
        <v>1.2762490000022808</v>
      </c>
      <c r="AH22" s="18">
        <f t="shared" si="17"/>
        <v>7.5600000054691918E-3</v>
      </c>
      <c r="AI22" s="18">
        <f t="shared" si="18"/>
        <v>-0.37669334853126202</v>
      </c>
      <c r="AJ22" s="18">
        <f t="shared" si="19"/>
        <v>0.33100972218380775</v>
      </c>
      <c r="AK22" s="18">
        <f t="shared" si="20"/>
        <v>-0.24517927777196746</v>
      </c>
      <c r="AL22" s="18">
        <f t="shared" si="21"/>
        <v>-0.18065013902378269</v>
      </c>
    </row>
    <row r="23" spans="4:39" s="18" customFormat="1" x14ac:dyDescent="0.3">
      <c r="D23" s="22" t="s">
        <v>96</v>
      </c>
      <c r="E23" s="18" t="s">
        <v>68</v>
      </c>
      <c r="F23" s="18" t="s">
        <v>97</v>
      </c>
      <c r="H23" s="18">
        <f>보고서!C44</f>
        <v>20516</v>
      </c>
      <c r="I23" s="18">
        <f>보고서!D44</f>
        <v>17520</v>
      </c>
      <c r="J23" s="18">
        <f>보고서!E44</f>
        <v>18194</v>
      </c>
      <c r="K23" s="19">
        <f>보고서!F44</f>
        <v>18552</v>
      </c>
      <c r="L23" s="20">
        <f>보고서!G44</f>
        <v>3586</v>
      </c>
      <c r="M23" s="19">
        <f t="shared" si="6"/>
        <v>22138</v>
      </c>
      <c r="N23" s="18">
        <f>보고서!H44</f>
        <v>31196</v>
      </c>
      <c r="O23" s="18">
        <f>보고서!I44</f>
        <v>44652</v>
      </c>
      <c r="P23" s="18">
        <f>보고서!J44</f>
        <v>58107</v>
      </c>
      <c r="Q23" s="18">
        <f>보고서!K44</f>
        <v>73859</v>
      </c>
      <c r="R23" s="18">
        <f>보고서!L44</f>
        <v>84524</v>
      </c>
      <c r="U23" s="44">
        <f>(R23/N23)^(1/4)-1</f>
        <v>0.28298117009323454</v>
      </c>
      <c r="W23" s="18">
        <f t="shared" si="7"/>
        <v>1855.2</v>
      </c>
      <c r="X23" s="18">
        <f t="shared" si="8"/>
        <v>1793</v>
      </c>
      <c r="Y23" s="18">
        <f t="shared" si="15"/>
        <v>62.200000000000045</v>
      </c>
      <c r="AA23" s="18">
        <f>(IRIVER!F5)*100</f>
        <v>22137.407915999996</v>
      </c>
      <c r="AB23" s="18">
        <f>(IRIVER!G5)*100</f>
        <v>31195.934999999998</v>
      </c>
      <c r="AC23" s="18">
        <f>(IRIVER!H5)*100</f>
        <v>44651.615794499994</v>
      </c>
      <c r="AD23" s="18">
        <f>(IRIVER!I5)*100</f>
        <v>58107.296588999998</v>
      </c>
      <c r="AE23" s="18">
        <f>(IRIVER!J5)*100</f>
        <v>73858.658177999983</v>
      </c>
      <c r="AF23" s="18">
        <f>(IRIVER!K5)*100</f>
        <v>84524.338972500002</v>
      </c>
      <c r="AG23" s="18">
        <f t="shared" si="16"/>
        <v>0.59208400000352412</v>
      </c>
      <c r="AH23" s="18">
        <f t="shared" si="17"/>
        <v>6.5000000002328306E-2</v>
      </c>
      <c r="AI23" s="18">
        <f t="shared" si="18"/>
        <v>0.38420550000591902</v>
      </c>
      <c r="AJ23" s="18">
        <f t="shared" si="19"/>
        <v>-0.29658899999776622</v>
      </c>
      <c r="AK23" s="18">
        <f t="shared" si="20"/>
        <v>0.34182200001669116</v>
      </c>
      <c r="AL23" s="18">
        <f t="shared" si="21"/>
        <v>-0.338972500001546</v>
      </c>
    </row>
    <row r="24" spans="4:39" s="18" customFormat="1" x14ac:dyDescent="0.3">
      <c r="D24" s="22" t="s">
        <v>98</v>
      </c>
      <c r="E24" s="18" t="s">
        <v>68</v>
      </c>
      <c r="F24" s="18" t="s">
        <v>99</v>
      </c>
      <c r="H24" s="18">
        <f>보고서!C45</f>
        <v>20030</v>
      </c>
      <c r="I24" s="18">
        <f>보고서!D45</f>
        <v>21356</v>
      </c>
      <c r="J24" s="18">
        <f>보고서!E45</f>
        <v>17415</v>
      </c>
      <c r="K24" s="19">
        <f>보고서!F45</f>
        <v>10656</v>
      </c>
      <c r="L24" s="20">
        <f>보고서!G45</f>
        <v>2125</v>
      </c>
      <c r="M24" s="19">
        <f t="shared" si="6"/>
        <v>12781</v>
      </c>
      <c r="N24" s="18">
        <f>보고서!H45</f>
        <v>13281</v>
      </c>
      <c r="O24" s="18">
        <f>보고서!I45</f>
        <v>13364</v>
      </c>
      <c r="P24" s="18">
        <f>보고서!J45</f>
        <v>15428</v>
      </c>
      <c r="Q24" s="18">
        <f>보고서!K45</f>
        <v>17404</v>
      </c>
      <c r="R24" s="18">
        <f>보고서!L45</f>
        <v>18698</v>
      </c>
      <c r="W24" s="18">
        <f t="shared" si="7"/>
        <v>1065.5999999999999</v>
      </c>
      <c r="X24" s="18">
        <f t="shared" si="8"/>
        <v>1062.5</v>
      </c>
      <c r="Y24" s="18">
        <f t="shared" si="15"/>
        <v>3.0999999999999091</v>
      </c>
      <c r="AA24" s="18">
        <f>(IRIVER!F6)*100</f>
        <v>12780.878484999999</v>
      </c>
      <c r="AB24" s="18">
        <f>(IRIVER!G6)*100</f>
        <v>13280.59744</v>
      </c>
      <c r="AC24" s="18">
        <f>(IRIVER!H6)*100</f>
        <v>13364.300898848529</v>
      </c>
      <c r="AD24" s="18">
        <f>(IRIVER!I6)*100</f>
        <v>15427.612401277824</v>
      </c>
      <c r="AE24" s="18">
        <f>(IRIVER!J6)*100</f>
        <v>17404.167001277783</v>
      </c>
      <c r="AF24" s="18">
        <f>(IRIVER!K6)*100</f>
        <v>18697.623677639011</v>
      </c>
      <c r="AG24" s="18">
        <f t="shared" si="16"/>
        <v>0.12151500000072701</v>
      </c>
      <c r="AH24" s="18">
        <f t="shared" si="17"/>
        <v>0.40256000000044878</v>
      </c>
      <c r="AI24" s="18">
        <f t="shared" si="18"/>
        <v>-0.30089884852895921</v>
      </c>
      <c r="AJ24" s="18">
        <f t="shared" si="19"/>
        <v>0.38759872217633529</v>
      </c>
      <c r="AK24" s="18">
        <f t="shared" si="20"/>
        <v>-0.1670012777831289</v>
      </c>
      <c r="AL24" s="18">
        <f t="shared" si="21"/>
        <v>0.37632236098943395</v>
      </c>
    </row>
    <row r="25" spans="4:39" s="18" customFormat="1" x14ac:dyDescent="0.3">
      <c r="D25" s="22" t="s">
        <v>100</v>
      </c>
      <c r="E25" s="18" t="s">
        <v>68</v>
      </c>
      <c r="F25" s="18" t="s">
        <v>101</v>
      </c>
      <c r="H25" s="18">
        <f>보고서!C46</f>
        <v>4438</v>
      </c>
      <c r="I25" s="18">
        <f>보고서!D46</f>
        <v>3066</v>
      </c>
      <c r="J25" s="18">
        <f>보고서!E46</f>
        <v>8916</v>
      </c>
      <c r="K25" s="19">
        <f>보고서!F46</f>
        <v>4382</v>
      </c>
      <c r="L25" s="20">
        <f>보고서!G46</f>
        <v>1547</v>
      </c>
      <c r="M25" s="19">
        <f t="shared" si="6"/>
        <v>5929</v>
      </c>
      <c r="N25" s="18">
        <f>보고서!H46</f>
        <v>8183</v>
      </c>
      <c r="O25" s="18">
        <f>보고서!I46</f>
        <v>8342</v>
      </c>
      <c r="P25" s="18">
        <f>보고서!J46</f>
        <v>7719</v>
      </c>
      <c r="Q25" s="18">
        <f>보고서!K46</f>
        <v>8841</v>
      </c>
      <c r="R25" s="18">
        <f>보고서!L46</f>
        <v>9178</v>
      </c>
      <c r="T25" s="18" t="s">
        <v>102</v>
      </c>
      <c r="W25" s="18">
        <f t="shared" si="7"/>
        <v>438.2</v>
      </c>
      <c r="X25" s="18">
        <f t="shared" si="8"/>
        <v>773.5</v>
      </c>
      <c r="Y25" s="18">
        <f t="shared" si="15"/>
        <v>-335.3</v>
      </c>
      <c r="AA25" s="18">
        <f>(IRIVER!F7)*100</f>
        <v>5928.6567020000002</v>
      </c>
      <c r="AB25" s="18">
        <f>(IRIVER!G7)*100</f>
        <v>8183.4599999999991</v>
      </c>
      <c r="AC25" s="18">
        <f>(IRIVER!H7)*100</f>
        <v>8342.4600000000009</v>
      </c>
      <c r="AD25" s="18">
        <f>(IRIVER!I7)*100</f>
        <v>7718.76</v>
      </c>
      <c r="AE25" s="18">
        <f>(IRIVER!J7)*100</f>
        <v>8841.4200000000019</v>
      </c>
      <c r="AF25" s="18">
        <f>(IRIVER!K7)*100</f>
        <v>9178.2180000000008</v>
      </c>
      <c r="AG25" s="18">
        <f t="shared" si="16"/>
        <v>0.34329799999977695</v>
      </c>
      <c r="AH25" s="18">
        <f t="shared" si="17"/>
        <v>-0.45999999999912689</v>
      </c>
      <c r="AI25" s="18">
        <f t="shared" si="18"/>
        <v>-0.46000000000094587</v>
      </c>
      <c r="AJ25" s="18">
        <f t="shared" si="19"/>
        <v>0.23999999999978172</v>
      </c>
      <c r="AK25" s="18">
        <f t="shared" si="20"/>
        <v>-0.42000000000189175</v>
      </c>
      <c r="AL25" s="18">
        <f t="shared" si="21"/>
        <v>-0.2180000000007567</v>
      </c>
    </row>
    <row r="26" spans="4:39" s="18" customFormat="1" x14ac:dyDescent="0.3">
      <c r="D26" s="22" t="s">
        <v>103</v>
      </c>
      <c r="H26" s="18">
        <f>보고서!C47</f>
        <v>1385</v>
      </c>
      <c r="I26" s="18">
        <f>보고서!D47</f>
        <v>176</v>
      </c>
      <c r="J26" s="18">
        <f>보고서!E47</f>
        <v>211</v>
      </c>
      <c r="K26" s="19">
        <f>보고서!F47</f>
        <v>96</v>
      </c>
      <c r="L26" s="20">
        <f>보고서!G47</f>
        <v>0</v>
      </c>
      <c r="M26" s="19">
        <f t="shared" si="6"/>
        <v>96</v>
      </c>
      <c r="N26" s="18">
        <f>보고서!H47</f>
        <v>0</v>
      </c>
      <c r="O26" s="18">
        <f>보고서!I47</f>
        <v>0</v>
      </c>
      <c r="P26" s="18">
        <f>보고서!J47</f>
        <v>0</v>
      </c>
      <c r="Q26" s="18">
        <f>보고서!K47</f>
        <v>0</v>
      </c>
      <c r="R26" s="18">
        <f>보고서!L47</f>
        <v>0</v>
      </c>
      <c r="W26" s="18">
        <f t="shared" si="7"/>
        <v>9.6</v>
      </c>
      <c r="X26" s="18">
        <f t="shared" si="8"/>
        <v>0</v>
      </c>
      <c r="Y26" s="18">
        <f t="shared" si="15"/>
        <v>9.6</v>
      </c>
      <c r="AA26" s="18">
        <f>(IRIVER!F8)*100</f>
        <v>95.780647999999999</v>
      </c>
      <c r="AB26" s="18">
        <f>(IRIVER!G8)*100</f>
        <v>0</v>
      </c>
      <c r="AC26" s="18">
        <f>(IRIVER!H8)*100</f>
        <v>0</v>
      </c>
      <c r="AD26" s="18">
        <f>(IRIVER!I8)*100</f>
        <v>0</v>
      </c>
      <c r="AE26" s="18">
        <f>(IRIVER!J8)*100</f>
        <v>0</v>
      </c>
      <c r="AF26" s="18">
        <f>(IRIVER!K8)*100</f>
        <v>0</v>
      </c>
      <c r="AG26" s="18">
        <f t="shared" si="16"/>
        <v>0.21935200000000066</v>
      </c>
      <c r="AH26" s="18">
        <f t="shared" si="17"/>
        <v>0</v>
      </c>
      <c r="AI26" s="18">
        <f t="shared" si="18"/>
        <v>0</v>
      </c>
      <c r="AJ26" s="18">
        <f t="shared" si="19"/>
        <v>0</v>
      </c>
      <c r="AK26" s="18">
        <f t="shared" si="20"/>
        <v>0</v>
      </c>
      <c r="AL26" s="18">
        <f t="shared" si="21"/>
        <v>0</v>
      </c>
    </row>
    <row r="27" spans="4:39" s="18" customFormat="1" x14ac:dyDescent="0.3">
      <c r="K27" s="19"/>
      <c r="L27" s="20"/>
      <c r="M27" s="19"/>
    </row>
    <row r="28" spans="4:39" x14ac:dyDescent="0.3">
      <c r="D28" s="76" t="s">
        <v>104</v>
      </c>
      <c r="E28" s="77"/>
      <c r="F28" s="76"/>
      <c r="G28" s="76"/>
      <c r="H28" s="78">
        <f>H8/H$8</f>
        <v>1</v>
      </c>
      <c r="I28" s="78">
        <f t="shared" ref="I28:R28" si="38">I8/I$8</f>
        <v>1</v>
      </c>
      <c r="J28" s="78">
        <f t="shared" si="38"/>
        <v>1</v>
      </c>
      <c r="K28" s="79">
        <f t="shared" si="38"/>
        <v>1</v>
      </c>
      <c r="L28" s="80">
        <f t="shared" si="38"/>
        <v>1</v>
      </c>
      <c r="M28" s="79">
        <f t="shared" si="38"/>
        <v>1</v>
      </c>
      <c r="N28" s="78">
        <f t="shared" si="38"/>
        <v>1</v>
      </c>
      <c r="O28" s="78">
        <f t="shared" si="38"/>
        <v>1</v>
      </c>
      <c r="P28" s="78">
        <f t="shared" si="38"/>
        <v>1</v>
      </c>
      <c r="Q28" s="78">
        <f t="shared" si="38"/>
        <v>1</v>
      </c>
      <c r="R28" s="78">
        <f t="shared" si="38"/>
        <v>1</v>
      </c>
      <c r="S28" s="1499"/>
    </row>
    <row r="29" spans="4:39" x14ac:dyDescent="0.3">
      <c r="D29" s="37" t="s">
        <v>63</v>
      </c>
      <c r="E29" s="73"/>
      <c r="F29" s="38"/>
      <c r="G29" s="38"/>
      <c r="H29" s="56">
        <f t="shared" ref="H29:R29" si="39">H9/H$8</f>
        <v>0.32394573572567298</v>
      </c>
      <c r="I29" s="56">
        <f t="shared" si="39"/>
        <v>0.45845925454641856</v>
      </c>
      <c r="J29" s="56">
        <f t="shared" si="39"/>
        <v>0.53194451838534906</v>
      </c>
      <c r="K29" s="57">
        <f t="shared" si="39"/>
        <v>0.44432612163285479</v>
      </c>
      <c r="L29" s="58">
        <f t="shared" si="39"/>
        <v>0.39555674298162685</v>
      </c>
      <c r="M29" s="57">
        <f t="shared" si="39"/>
        <v>0.43557646572988756</v>
      </c>
      <c r="N29" s="56">
        <f t="shared" si="39"/>
        <v>0.45042287888500587</v>
      </c>
      <c r="O29" s="56">
        <f t="shared" si="39"/>
        <v>0.46160742409924643</v>
      </c>
      <c r="P29" s="56">
        <f t="shared" si="39"/>
        <v>0.43971856985971225</v>
      </c>
      <c r="Q29" s="56">
        <f t="shared" si="39"/>
        <v>0.44025892713922765</v>
      </c>
      <c r="R29" s="56">
        <f t="shared" si="39"/>
        <v>0.4405946935175874</v>
      </c>
      <c r="S29" s="1500"/>
    </row>
    <row r="30" spans="4:39" x14ac:dyDescent="0.3">
      <c r="D30" s="22" t="s">
        <v>64</v>
      </c>
      <c r="E30" s="18"/>
      <c r="F30" s="18"/>
      <c r="G30" s="18"/>
      <c r="H30" s="59">
        <f t="shared" ref="H30:R30" si="40">H10/H$8</f>
        <v>0.31854875559752643</v>
      </c>
      <c r="I30" s="59">
        <f t="shared" si="40"/>
        <v>0.45544156372055211</v>
      </c>
      <c r="J30" s="59">
        <f t="shared" si="40"/>
        <v>0.51856144216160438</v>
      </c>
      <c r="K30" s="60">
        <f t="shared" si="40"/>
        <v>0.43624721978836695</v>
      </c>
      <c r="L30" s="61">
        <f t="shared" si="40"/>
        <v>0.38332853795881461</v>
      </c>
      <c r="M30" s="60">
        <f t="shared" si="40"/>
        <v>0.42675314236411971</v>
      </c>
      <c r="N30" s="59">
        <f t="shared" si="40"/>
        <v>0.43102283614907944</v>
      </c>
      <c r="O30" s="59">
        <f t="shared" si="40"/>
        <v>0.43857537846052785</v>
      </c>
      <c r="P30" s="59">
        <f t="shared" si="40"/>
        <v>0.40323648934488227</v>
      </c>
      <c r="Q30" s="59">
        <f t="shared" si="40"/>
        <v>0.37756240761534177</v>
      </c>
      <c r="R30" s="59">
        <f t="shared" si="40"/>
        <v>0.37568222942343055</v>
      </c>
      <c r="S30" s="59"/>
    </row>
    <row r="31" spans="4:39" x14ac:dyDescent="0.3">
      <c r="D31" s="22" t="s">
        <v>67</v>
      </c>
      <c r="E31" s="18"/>
      <c r="F31" s="18"/>
      <c r="G31" s="18"/>
      <c r="H31" s="59">
        <f t="shared" ref="H31:R31" si="41">H11/H$8</f>
        <v>0</v>
      </c>
      <c r="I31" s="59">
        <f t="shared" si="41"/>
        <v>0</v>
      </c>
      <c r="J31" s="59">
        <f t="shared" si="41"/>
        <v>0</v>
      </c>
      <c r="K31" s="60">
        <f t="shared" si="41"/>
        <v>0</v>
      </c>
      <c r="L31" s="61">
        <f t="shared" si="41"/>
        <v>0</v>
      </c>
      <c r="M31" s="60">
        <f t="shared" si="41"/>
        <v>0</v>
      </c>
      <c r="N31" s="59">
        <f t="shared" si="41"/>
        <v>7.2547681575990683E-3</v>
      </c>
      <c r="O31" s="59">
        <f t="shared" si="41"/>
        <v>1.2106967765905034E-2</v>
      </c>
      <c r="P31" s="59">
        <f t="shared" si="41"/>
        <v>2.4630478721813186E-2</v>
      </c>
      <c r="Q31" s="59">
        <f t="shared" si="41"/>
        <v>5.0966147329059276E-2</v>
      </c>
      <c r="R31" s="59">
        <f t="shared" si="41"/>
        <v>5.2206470192445016E-2</v>
      </c>
      <c r="S31" s="59"/>
    </row>
    <row r="32" spans="4:39" x14ac:dyDescent="0.3">
      <c r="D32" s="22" t="s">
        <v>71</v>
      </c>
      <c r="E32" s="18"/>
      <c r="F32" s="18"/>
      <c r="G32" s="18"/>
      <c r="H32" s="59">
        <f t="shared" ref="H32:R32" si="42">H12/H$8</f>
        <v>5.3969801281465463E-3</v>
      </c>
      <c r="I32" s="59">
        <f t="shared" si="42"/>
        <v>3.0176908258664264E-3</v>
      </c>
      <c r="J32" s="59">
        <f t="shared" si="42"/>
        <v>1.222823304899074E-2</v>
      </c>
      <c r="K32" s="60">
        <f t="shared" si="42"/>
        <v>7.4902833007571166E-3</v>
      </c>
      <c r="L32" s="61">
        <f t="shared" si="42"/>
        <v>6.6381684409552383E-3</v>
      </c>
      <c r="M32" s="60">
        <f t="shared" si="42"/>
        <v>7.3374063927614088E-3</v>
      </c>
      <c r="N32" s="59">
        <f t="shared" si="42"/>
        <v>6.5516932387628636E-3</v>
      </c>
      <c r="O32" s="59">
        <f t="shared" si="42"/>
        <v>5.3952331338389349E-3</v>
      </c>
      <c r="P32" s="59">
        <f t="shared" si="42"/>
        <v>4.5124541169734083E-3</v>
      </c>
      <c r="Q32" s="59">
        <f t="shared" si="42"/>
        <v>3.8394072203623117E-3</v>
      </c>
      <c r="R32" s="59">
        <f t="shared" si="42"/>
        <v>3.454028006189571E-3</v>
      </c>
      <c r="S32" s="59"/>
    </row>
    <row r="33" spans="4:19" x14ac:dyDescent="0.3">
      <c r="D33" s="22" t="s">
        <v>73</v>
      </c>
      <c r="E33" s="18"/>
      <c r="F33" s="18"/>
      <c r="G33" s="18"/>
      <c r="H33" s="59">
        <f t="shared" ref="H33:R33" si="43">H13/H$8</f>
        <v>0</v>
      </c>
      <c r="I33" s="59">
        <f t="shared" si="43"/>
        <v>0</v>
      </c>
      <c r="J33" s="59">
        <f t="shared" si="43"/>
        <v>1.1548431747539815E-3</v>
      </c>
      <c r="K33" s="60">
        <f t="shared" si="43"/>
        <v>5.8861854373076317E-4</v>
      </c>
      <c r="L33" s="61">
        <f t="shared" si="43"/>
        <v>5.5900365818570431E-3</v>
      </c>
      <c r="M33" s="60">
        <f t="shared" si="43"/>
        <v>1.4859169730064561E-3</v>
      </c>
      <c r="N33" s="59">
        <f t="shared" si="43"/>
        <v>5.593581339564507E-3</v>
      </c>
      <c r="O33" s="59">
        <f t="shared" si="43"/>
        <v>5.5298447389746366E-3</v>
      </c>
      <c r="P33" s="59">
        <f t="shared" si="43"/>
        <v>7.3391476760433982E-3</v>
      </c>
      <c r="Q33" s="59">
        <f t="shared" si="43"/>
        <v>7.8909649744643203E-3</v>
      </c>
      <c r="R33" s="59">
        <f t="shared" si="43"/>
        <v>9.2519658955222787E-3</v>
      </c>
      <c r="S33" s="59"/>
    </row>
    <row r="34" spans="4:19" x14ac:dyDescent="0.3">
      <c r="D34" s="37" t="s">
        <v>76</v>
      </c>
      <c r="E34" s="73"/>
      <c r="F34" s="38"/>
      <c r="G34" s="38"/>
      <c r="H34" s="56">
        <f t="shared" ref="H34:R34" si="44">H14/H$8</f>
        <v>0.40336206984088302</v>
      </c>
      <c r="I34" s="56">
        <f t="shared" si="44"/>
        <v>0.33703585882685611</v>
      </c>
      <c r="J34" s="56">
        <f t="shared" si="44"/>
        <v>0.24879908595391276</v>
      </c>
      <c r="K34" s="57">
        <f t="shared" si="44"/>
        <v>0.38149670867875357</v>
      </c>
      <c r="L34" s="58">
        <f t="shared" si="44"/>
        <v>0.41051831148012657</v>
      </c>
      <c r="M34" s="57">
        <f t="shared" si="44"/>
        <v>0.38670343973187127</v>
      </c>
      <c r="N34" s="56">
        <f t="shared" si="44"/>
        <v>0.31822756191539664</v>
      </c>
      <c r="O34" s="56">
        <f t="shared" si="44"/>
        <v>0.28593389493294996</v>
      </c>
      <c r="P34" s="56">
        <f t="shared" si="44"/>
        <v>0.32293531721783275</v>
      </c>
      <c r="Q34" s="56">
        <f t="shared" si="44"/>
        <v>0.32361062960414089</v>
      </c>
      <c r="R34" s="56">
        <f t="shared" si="44"/>
        <v>0.32815032825044499</v>
      </c>
      <c r="S34" s="1500"/>
    </row>
    <row r="35" spans="4:19" x14ac:dyDescent="0.3">
      <c r="D35" s="22" t="s">
        <v>77</v>
      </c>
      <c r="E35" s="18"/>
      <c r="F35" s="18"/>
      <c r="G35" s="18"/>
      <c r="H35" s="59">
        <f t="shared" ref="H35:R35" si="45">H15/H$8</f>
        <v>3.5042292421888485E-2</v>
      </c>
      <c r="I35" s="59">
        <f t="shared" si="45"/>
        <v>4.669246946962869E-2</v>
      </c>
      <c r="J35" s="59">
        <f t="shared" si="45"/>
        <v>5.172223155015173E-2</v>
      </c>
      <c r="K35" s="60">
        <f t="shared" si="45"/>
        <v>4.9183347936465144E-2</v>
      </c>
      <c r="L35" s="61">
        <f t="shared" si="45"/>
        <v>2.8032389329606642E-2</v>
      </c>
      <c r="M35" s="60">
        <f t="shared" si="45"/>
        <v>4.5388679746177357E-2</v>
      </c>
      <c r="N35" s="59">
        <f t="shared" si="45"/>
        <v>2.4169923557834806E-2</v>
      </c>
      <c r="O35" s="59">
        <f t="shared" si="45"/>
        <v>1.633646439926879E-2</v>
      </c>
      <c r="P35" s="59">
        <f t="shared" si="45"/>
        <v>1.7801973344044715E-2</v>
      </c>
      <c r="Q35" s="59">
        <f t="shared" si="45"/>
        <v>1.6163110989225168E-2</v>
      </c>
      <c r="R35" s="59">
        <f t="shared" si="45"/>
        <v>1.566091044409142E-2</v>
      </c>
      <c r="S35" s="59"/>
    </row>
    <row r="36" spans="4:19" x14ac:dyDescent="0.3">
      <c r="D36" s="22" t="s">
        <v>80</v>
      </c>
      <c r="E36" s="18"/>
      <c r="F36" s="18"/>
      <c r="G36" s="18"/>
      <c r="H36" s="59">
        <f t="shared" ref="H36:R36" si="46">H16/H$8</f>
        <v>0.20756795727094565</v>
      </c>
      <c r="I36" s="59">
        <f t="shared" si="46"/>
        <v>0.24229892370499972</v>
      </c>
      <c r="J36" s="59">
        <f t="shared" si="46"/>
        <v>0.16535961898365611</v>
      </c>
      <c r="K36" s="60">
        <f t="shared" si="46"/>
        <v>0.18427804362966457</v>
      </c>
      <c r="L36" s="61">
        <f t="shared" si="46"/>
        <v>0.26345102552509353</v>
      </c>
      <c r="M36" s="60">
        <f t="shared" si="46"/>
        <v>0.19848237363253238</v>
      </c>
      <c r="N36" s="59">
        <f t="shared" si="46"/>
        <v>0.1970643175692908</v>
      </c>
      <c r="O36" s="59">
        <f t="shared" si="46"/>
        <v>0.19577642627726222</v>
      </c>
      <c r="P36" s="59">
        <f t="shared" si="46"/>
        <v>0.22639187416406359</v>
      </c>
      <c r="Q36" s="59">
        <f t="shared" si="46"/>
        <v>0.23263599625373205</v>
      </c>
      <c r="R36" s="59">
        <f t="shared" si="46"/>
        <v>0.24131818429433147</v>
      </c>
      <c r="S36" s="59"/>
    </row>
    <row r="37" spans="4:19" x14ac:dyDescent="0.3">
      <c r="D37" s="22" t="s">
        <v>83</v>
      </c>
      <c r="E37" s="18"/>
      <c r="F37" s="18"/>
      <c r="G37" s="18"/>
      <c r="H37" s="59">
        <f t="shared" ref="H37:R37" si="47">H17/H$8</f>
        <v>7.9121861069647956E-2</v>
      </c>
      <c r="I37" s="59">
        <f t="shared" si="47"/>
        <v>2.7446406164395667E-2</v>
      </c>
      <c r="J37" s="59">
        <f t="shared" si="47"/>
        <v>1.4447825250113641E-2</v>
      </c>
      <c r="K37" s="60">
        <f t="shared" si="47"/>
        <v>8.9748601469299721E-2</v>
      </c>
      <c r="L37" s="61">
        <f t="shared" si="47"/>
        <v>6.9032841464918407E-2</v>
      </c>
      <c r="M37" s="60">
        <f t="shared" si="47"/>
        <v>8.6032011739850228E-2</v>
      </c>
      <c r="N37" s="59">
        <f t="shared" si="47"/>
        <v>3.2510322104813305E-2</v>
      </c>
      <c r="O37" s="59">
        <f t="shared" si="47"/>
        <v>1.098430697907328E-2</v>
      </c>
      <c r="P37" s="59">
        <f t="shared" si="47"/>
        <v>2.121195287562121E-2</v>
      </c>
      <c r="Q37" s="59">
        <f t="shared" si="47"/>
        <v>2.3457294787478634E-2</v>
      </c>
      <c r="R37" s="59">
        <f t="shared" si="47"/>
        <v>2.2025685836571177E-2</v>
      </c>
      <c r="S37" s="59"/>
    </row>
    <row r="38" spans="4:19" x14ac:dyDescent="0.3">
      <c r="D38" s="22" t="s">
        <v>85</v>
      </c>
      <c r="E38" s="18"/>
      <c r="F38" s="18"/>
      <c r="G38" s="18"/>
      <c r="H38" s="59">
        <f t="shared" ref="H38:R38" si="48">H18/H$8</f>
        <v>8.1629959078400913E-2</v>
      </c>
      <c r="I38" s="59">
        <f t="shared" si="48"/>
        <v>2.0598059487832034E-2</v>
      </c>
      <c r="J38" s="59">
        <f t="shared" si="48"/>
        <v>1.7269410169991277E-2</v>
      </c>
      <c r="K38" s="60">
        <f t="shared" si="48"/>
        <v>5.8286715643324119E-2</v>
      </c>
      <c r="L38" s="61">
        <f t="shared" si="48"/>
        <v>5.0002055160508034E-2</v>
      </c>
      <c r="M38" s="60">
        <f t="shared" si="48"/>
        <v>5.6800374613311312E-2</v>
      </c>
      <c r="N38" s="59">
        <f t="shared" si="48"/>
        <v>6.4482998683457748E-2</v>
      </c>
      <c r="O38" s="59">
        <f t="shared" si="48"/>
        <v>6.2836697277345671E-2</v>
      </c>
      <c r="P38" s="59">
        <f t="shared" si="48"/>
        <v>5.7529516834103213E-2</v>
      </c>
      <c r="Q38" s="59">
        <f t="shared" si="48"/>
        <v>5.1354227573705065E-2</v>
      </c>
      <c r="R38" s="59">
        <f t="shared" si="48"/>
        <v>4.9145547675450929E-2</v>
      </c>
      <c r="S38" s="59"/>
    </row>
    <row r="39" spans="4:19" x14ac:dyDescent="0.3">
      <c r="D39" s="37" t="s">
        <v>88</v>
      </c>
      <c r="E39" s="73"/>
      <c r="F39" s="38"/>
      <c r="G39" s="38"/>
      <c r="H39" s="56">
        <f t="shared" ref="H39:R39" si="49">H19/H$8</f>
        <v>3.7271148749504983E-2</v>
      </c>
      <c r="I39" s="56">
        <f t="shared" si="49"/>
        <v>1.8415425127688529E-2</v>
      </c>
      <c r="J39" s="56">
        <f t="shared" si="49"/>
        <v>3.6054040108276786E-2</v>
      </c>
      <c r="K39" s="57">
        <f t="shared" si="49"/>
        <v>2.2816831794387905E-2</v>
      </c>
      <c r="L39" s="58">
        <f t="shared" si="49"/>
        <v>4.476139586501706E-2</v>
      </c>
      <c r="M39" s="57">
        <f t="shared" si="49"/>
        <v>2.6753879791897882E-2</v>
      </c>
      <c r="N39" s="56">
        <f t="shared" si="49"/>
        <v>4.9859729660800815E-2</v>
      </c>
      <c r="O39" s="56">
        <f t="shared" si="49"/>
        <v>7.3807543095905384E-2</v>
      </c>
      <c r="P39" s="56">
        <f t="shared" si="49"/>
        <v>6.3740550980903254E-2</v>
      </c>
      <c r="Q39" s="56">
        <f t="shared" si="49"/>
        <v>6.347095521209016E-2</v>
      </c>
      <c r="R39" s="56">
        <f t="shared" si="49"/>
        <v>6.5767873417087869E-2</v>
      </c>
      <c r="S39" s="1500"/>
    </row>
    <row r="40" spans="4:19" x14ac:dyDescent="0.3">
      <c r="D40" s="22" t="s">
        <v>89</v>
      </c>
      <c r="E40" s="18"/>
      <c r="F40" s="18"/>
      <c r="G40" s="18"/>
      <c r="H40" s="59">
        <f t="shared" ref="H40:R40" si="50">H20/H$8</f>
        <v>3.7271148749504983E-2</v>
      </c>
      <c r="I40" s="59">
        <f t="shared" si="50"/>
        <v>1.8415425127688529E-2</v>
      </c>
      <c r="J40" s="59">
        <f t="shared" si="50"/>
        <v>3.6054040108276786E-2</v>
      </c>
      <c r="K40" s="60">
        <f t="shared" si="50"/>
        <v>2.2816831794387905E-2</v>
      </c>
      <c r="L40" s="61">
        <f t="shared" si="50"/>
        <v>4.476139586501706E-2</v>
      </c>
      <c r="M40" s="60">
        <f t="shared" si="50"/>
        <v>2.6753879791897882E-2</v>
      </c>
      <c r="N40" s="59">
        <f t="shared" si="50"/>
        <v>3.0094363682733997E-2</v>
      </c>
      <c r="O40" s="59">
        <f t="shared" si="50"/>
        <v>3.8673914155487175E-2</v>
      </c>
      <c r="P40" s="59">
        <f t="shared" si="50"/>
        <v>3.9169896461398436E-2</v>
      </c>
      <c r="Q40" s="59">
        <f t="shared" si="50"/>
        <v>3.8633819554759849E-2</v>
      </c>
      <c r="R40" s="59">
        <f t="shared" si="50"/>
        <v>3.9119149243161511E-2</v>
      </c>
      <c r="S40" s="59"/>
    </row>
    <row r="41" spans="4:19" x14ac:dyDescent="0.3">
      <c r="D41" s="22" t="s">
        <v>92</v>
      </c>
      <c r="E41" s="18"/>
      <c r="F41" s="18"/>
      <c r="G41" s="18"/>
      <c r="H41" s="59">
        <f t="shared" ref="H41:R41" si="51">H21/H$8</f>
        <v>0</v>
      </c>
      <c r="I41" s="59">
        <f t="shared" si="51"/>
        <v>0</v>
      </c>
      <c r="J41" s="59">
        <f t="shared" si="51"/>
        <v>0</v>
      </c>
      <c r="K41" s="60">
        <f t="shared" si="51"/>
        <v>0</v>
      </c>
      <c r="L41" s="61">
        <f t="shared" si="51"/>
        <v>0</v>
      </c>
      <c r="M41" s="60">
        <f t="shared" si="51"/>
        <v>0</v>
      </c>
      <c r="N41" s="59">
        <f t="shared" si="51"/>
        <v>1.9765365978066819E-2</v>
      </c>
      <c r="O41" s="59">
        <f t="shared" si="51"/>
        <v>3.5133628940418209E-2</v>
      </c>
      <c r="P41" s="59">
        <f t="shared" si="51"/>
        <v>2.4570654519504825E-2</v>
      </c>
      <c r="Q41" s="59">
        <f t="shared" si="51"/>
        <v>2.4837135657330318E-2</v>
      </c>
      <c r="R41" s="59">
        <f t="shared" si="51"/>
        <v>2.6648724173926358E-2</v>
      </c>
      <c r="S41" s="59"/>
    </row>
    <row r="42" spans="4:19" x14ac:dyDescent="0.3">
      <c r="D42" s="37" t="s">
        <v>94</v>
      </c>
      <c r="E42" s="73"/>
      <c r="F42" s="38"/>
      <c r="G42" s="38"/>
      <c r="H42" s="56">
        <f t="shared" ref="H42:R42" si="52">H22/H$8</f>
        <v>0.23542104568393904</v>
      </c>
      <c r="I42" s="56">
        <f t="shared" si="52"/>
        <v>0.18608946149903682</v>
      </c>
      <c r="J42" s="56">
        <f t="shared" si="52"/>
        <v>0.18320235555246142</v>
      </c>
      <c r="K42" s="57">
        <f t="shared" si="52"/>
        <v>0.15136033789400372</v>
      </c>
      <c r="L42" s="58">
        <f t="shared" si="52"/>
        <v>0.14916354967322948</v>
      </c>
      <c r="M42" s="57">
        <f t="shared" si="52"/>
        <v>0.15096621474634328</v>
      </c>
      <c r="N42" s="56">
        <f t="shared" si="52"/>
        <v>0.18148982953879664</v>
      </c>
      <c r="O42" s="56">
        <f t="shared" si="52"/>
        <v>0.17865113787189821</v>
      </c>
      <c r="P42" s="56">
        <f t="shared" si="52"/>
        <v>0.17360556194155174</v>
      </c>
      <c r="Q42" s="56">
        <f t="shared" si="52"/>
        <v>0.17265948804454126</v>
      </c>
      <c r="R42" s="56">
        <f t="shared" si="52"/>
        <v>0.16548710481487972</v>
      </c>
      <c r="S42" s="1500"/>
    </row>
    <row r="43" spans="4:19" x14ac:dyDescent="0.3">
      <c r="D43" s="22" t="s">
        <v>96</v>
      </c>
      <c r="E43" s="18"/>
      <c r="F43" s="18"/>
      <c r="G43" s="18"/>
      <c r="H43" s="59">
        <f t="shared" ref="H43:R43" si="53">H23/H$8</f>
        <v>0.10416222418537587</v>
      </c>
      <c r="I43" s="59">
        <f t="shared" si="53"/>
        <v>7.7408408886061181E-2</v>
      </c>
      <c r="J43" s="59">
        <f t="shared" si="53"/>
        <v>7.4507860714446594E-2</v>
      </c>
      <c r="K43" s="60">
        <f t="shared" si="53"/>
        <v>8.3359169643458922E-2</v>
      </c>
      <c r="L43" s="61">
        <f t="shared" si="53"/>
        <v>7.36980558181594E-2</v>
      </c>
      <c r="M43" s="60">
        <f t="shared" si="53"/>
        <v>8.1625880765302541E-2</v>
      </c>
      <c r="N43" s="59">
        <f t="shared" si="53"/>
        <v>0.10751531945105013</v>
      </c>
      <c r="O43" s="59">
        <f t="shared" si="53"/>
        <v>0.12021354785038728</v>
      </c>
      <c r="P43" s="59">
        <f t="shared" si="53"/>
        <v>0.12415017584042322</v>
      </c>
      <c r="Q43" s="59">
        <f t="shared" si="53"/>
        <v>0.12739208350796943</v>
      </c>
      <c r="R43" s="59">
        <f t="shared" si="53"/>
        <v>0.12444512497662716</v>
      </c>
      <c r="S43" s="59"/>
    </row>
    <row r="44" spans="4:19" x14ac:dyDescent="0.3">
      <c r="D44" s="22" t="s">
        <v>98</v>
      </c>
      <c r="E44" s="18"/>
      <c r="F44" s="18"/>
      <c r="G44" s="18"/>
      <c r="H44" s="59">
        <f t="shared" ref="H44:R44" si="54">H24/H$8</f>
        <v>0.10169474314842457</v>
      </c>
      <c r="I44" s="59">
        <f t="shared" si="54"/>
        <v>9.4356962338511569E-2</v>
      </c>
      <c r="J44" s="59">
        <f t="shared" si="54"/>
        <v>7.1317708823902801E-2</v>
      </c>
      <c r="K44" s="60">
        <f t="shared" si="54"/>
        <v>4.7880299251870324E-2</v>
      </c>
      <c r="L44" s="61">
        <f t="shared" si="54"/>
        <v>4.3672160795758148E-2</v>
      </c>
      <c r="M44" s="60">
        <f t="shared" si="54"/>
        <v>4.7125322163760586E-2</v>
      </c>
      <c r="N44" s="59">
        <f t="shared" si="54"/>
        <v>4.577224508364524E-2</v>
      </c>
      <c r="O44" s="59">
        <f t="shared" si="54"/>
        <v>3.5978989820670416E-2</v>
      </c>
      <c r="P44" s="59">
        <f t="shared" si="54"/>
        <v>3.296313547190613E-2</v>
      </c>
      <c r="Q44" s="59">
        <f t="shared" si="54"/>
        <v>3.0018438123623394E-2</v>
      </c>
      <c r="R44" s="59">
        <f t="shared" si="54"/>
        <v>2.7529162685308015E-2</v>
      </c>
      <c r="S44" s="59"/>
    </row>
    <row r="45" spans="4:19" x14ac:dyDescent="0.3">
      <c r="D45" s="22" t="s">
        <v>100</v>
      </c>
      <c r="E45" s="18"/>
      <c r="F45" s="18"/>
      <c r="G45" s="18"/>
      <c r="H45" s="59">
        <f t="shared" ref="H45:R45" si="55">H25/H$8</f>
        <v>2.2532265106974949E-2</v>
      </c>
      <c r="I45" s="59">
        <f t="shared" si="55"/>
        <v>1.3546471555060707E-2</v>
      </c>
      <c r="J45" s="59">
        <f t="shared" si="55"/>
        <v>3.6512701227328012E-2</v>
      </c>
      <c r="K45" s="60">
        <f t="shared" si="55"/>
        <v>1.9689514951360339E-2</v>
      </c>
      <c r="L45" s="61">
        <f t="shared" si="55"/>
        <v>3.179333305931193E-2</v>
      </c>
      <c r="M45" s="60">
        <f t="shared" si="55"/>
        <v>2.1861046483759996E-2</v>
      </c>
      <c r="N45" s="59">
        <f t="shared" si="55"/>
        <v>2.8202265004101272E-2</v>
      </c>
      <c r="O45" s="59">
        <f t="shared" si="55"/>
        <v>2.2458600200840517E-2</v>
      </c>
      <c r="P45" s="59">
        <f t="shared" si="55"/>
        <v>1.6492250629222414E-2</v>
      </c>
      <c r="Q45" s="59">
        <f t="shared" si="55"/>
        <v>1.5248966412948426E-2</v>
      </c>
      <c r="R45" s="59">
        <f t="shared" si="55"/>
        <v>1.3512817152944537E-2</v>
      </c>
      <c r="S45" s="59"/>
    </row>
    <row r="46" spans="4:19" x14ac:dyDescent="0.3">
      <c r="D46" s="22" t="s">
        <v>103</v>
      </c>
      <c r="E46" s="18"/>
      <c r="F46" s="18"/>
      <c r="G46" s="18"/>
      <c r="H46" s="59">
        <f t="shared" ref="H46:R46" si="56">H26/H$8</f>
        <v>7.0318132431636564E-3</v>
      </c>
      <c r="I46" s="59">
        <f t="shared" si="56"/>
        <v>7.7761871940335437E-4</v>
      </c>
      <c r="J46" s="59">
        <f t="shared" si="56"/>
        <v>8.6408478678400751E-4</v>
      </c>
      <c r="K46" s="60">
        <f t="shared" si="56"/>
        <v>4.3135404731414707E-4</v>
      </c>
      <c r="L46" s="61">
        <f t="shared" si="56"/>
        <v>0</v>
      </c>
      <c r="M46" s="60">
        <f t="shared" si="56"/>
        <v>3.5396533352014838E-4</v>
      </c>
      <c r="N46" s="59">
        <f t="shared" si="56"/>
        <v>0</v>
      </c>
      <c r="O46" s="59">
        <f t="shared" si="56"/>
        <v>0</v>
      </c>
      <c r="P46" s="59">
        <f t="shared" si="56"/>
        <v>0</v>
      </c>
      <c r="Q46" s="59">
        <f t="shared" si="56"/>
        <v>0</v>
      </c>
      <c r="R46" s="59">
        <f t="shared" si="56"/>
        <v>0</v>
      </c>
      <c r="S46" s="59"/>
    </row>
    <row r="48" spans="4:19" x14ac:dyDescent="0.3">
      <c r="D48" s="92" t="s">
        <v>105</v>
      </c>
      <c r="E48" s="93"/>
      <c r="F48" s="92"/>
      <c r="G48" s="92"/>
      <c r="H48" s="94"/>
      <c r="I48" s="94">
        <f>IFERROR(I8/H8-1,"")</f>
        <v>0.14911505772687117</v>
      </c>
      <c r="J48" s="94">
        <f t="shared" ref="J48" si="57">IFERROR(J8/I8-1,"")</f>
        <v>7.889737200219149E-2</v>
      </c>
      <c r="K48" s="95" t="s">
        <v>106</v>
      </c>
      <c r="L48" s="96" t="s">
        <v>106</v>
      </c>
      <c r="M48" s="97">
        <f>IFERROR(M8/J8-1,"")</f>
        <v>0.11066837572536037</v>
      </c>
      <c r="N48" s="94">
        <f t="shared" ref="N48:R48" si="58">IFERROR(N8/M8-1,"")</f>
        <v>6.9838097731303339E-2</v>
      </c>
      <c r="O48" s="94">
        <f t="shared" si="58"/>
        <v>0.28014433714510223</v>
      </c>
      <c r="P48" s="94">
        <f t="shared" si="58"/>
        <v>0.26006692889007343</v>
      </c>
      <c r="Q48" s="94">
        <f t="shared" si="58"/>
        <v>0.23873916220477831</v>
      </c>
      <c r="R48" s="94">
        <f t="shared" si="58"/>
        <v>0.17149697211169124</v>
      </c>
      <c r="S48" s="1501"/>
    </row>
    <row r="49" spans="4:19" x14ac:dyDescent="0.3">
      <c r="D49" s="37" t="s">
        <v>63</v>
      </c>
      <c r="E49" s="73"/>
      <c r="F49" s="38"/>
      <c r="G49" s="38"/>
      <c r="H49" s="56"/>
      <c r="I49" s="56">
        <f t="shared" ref="I49:J66" si="59">IFERROR(I9/H9-1,"")</f>
        <v>0.62626753389232825</v>
      </c>
      <c r="J49" s="56">
        <f t="shared" si="59"/>
        <v>0.25183107821595163</v>
      </c>
      <c r="K49" s="62" t="s">
        <v>106</v>
      </c>
      <c r="L49" s="63" t="s">
        <v>106</v>
      </c>
      <c r="M49" s="57">
        <f t="shared" ref="M49:M66" si="60">IFERROR(M9/J9-1,"")</f>
        <v>-9.0542361137842087E-2</v>
      </c>
      <c r="N49" s="56">
        <f t="shared" ref="N49" si="61">IFERROR(N9/M9-1,"")</f>
        <v>0.10630301183401891</v>
      </c>
      <c r="O49" s="68">
        <f t="shared" ref="O49:R49" si="62">IFERROR(O9/N9-1,"")</f>
        <v>0.31193187035166647</v>
      </c>
      <c r="P49" s="56">
        <f t="shared" si="62"/>
        <v>0.20031611055704279</v>
      </c>
      <c r="Q49" s="56">
        <f t="shared" si="62"/>
        <v>0.24026141250212585</v>
      </c>
      <c r="R49" s="56">
        <f t="shared" si="62"/>
        <v>0.17239042201432309</v>
      </c>
      <c r="S49" s="1500"/>
    </row>
    <row r="50" spans="4:19" x14ac:dyDescent="0.3">
      <c r="D50" s="22" t="s">
        <v>64</v>
      </c>
      <c r="E50" s="18"/>
      <c r="F50" s="18"/>
      <c r="G50" s="18"/>
      <c r="H50" s="59"/>
      <c r="I50" s="59">
        <f t="shared" si="59"/>
        <v>0.64293455739377126</v>
      </c>
      <c r="J50" s="59">
        <f t="shared" si="59"/>
        <v>0.22842230866988089</v>
      </c>
      <c r="K50" s="64" t="s">
        <v>106</v>
      </c>
      <c r="L50" s="65" t="s">
        <v>106</v>
      </c>
      <c r="M50" s="60">
        <f t="shared" si="60"/>
        <v>-8.5969027142710486E-2</v>
      </c>
      <c r="N50" s="59">
        <f t="shared" ref="N50" si="63">IFERROR(N10/M10-1,"")</f>
        <v>8.0541899586144883E-2</v>
      </c>
      <c r="O50" s="59">
        <f t="shared" ref="O50:R50" si="64">IFERROR(O10/N10-1,"")</f>
        <v>0.30257550194701865</v>
      </c>
      <c r="P50" s="59">
        <f t="shared" si="64"/>
        <v>0.15853508815007622</v>
      </c>
      <c r="Q50" s="59">
        <f t="shared" si="64"/>
        <v>0.15986859534785136</v>
      </c>
      <c r="R50" s="59">
        <f t="shared" si="64"/>
        <v>0.16566317347488835</v>
      </c>
      <c r="S50" s="59"/>
    </row>
    <row r="51" spans="4:19" x14ac:dyDescent="0.3">
      <c r="D51" s="22" t="s">
        <v>67</v>
      </c>
      <c r="E51" s="18"/>
      <c r="F51" s="18"/>
      <c r="G51" s="18"/>
      <c r="H51" s="59"/>
      <c r="I51" s="59" t="str">
        <f t="shared" si="59"/>
        <v/>
      </c>
      <c r="J51" s="59" t="str">
        <f t="shared" si="59"/>
        <v/>
      </c>
      <c r="K51" s="64" t="s">
        <v>106</v>
      </c>
      <c r="L51" s="65" t="s">
        <v>106</v>
      </c>
      <c r="M51" s="60" t="str">
        <f t="shared" si="60"/>
        <v/>
      </c>
      <c r="N51" s="59" t="str">
        <f t="shared" ref="N51" si="65">IFERROR(N11/M11-1,"")</f>
        <v/>
      </c>
      <c r="O51" s="59">
        <f t="shared" ref="O51:R51" si="66">IFERROR(O11/N11-1,"")</f>
        <v>1.1363420427553446</v>
      </c>
      <c r="P51" s="59">
        <f t="shared" si="66"/>
        <v>1.5634867689570826</v>
      </c>
      <c r="Q51" s="59">
        <f t="shared" si="66"/>
        <v>1.5632373351839002</v>
      </c>
      <c r="R51" s="59">
        <f t="shared" si="66"/>
        <v>0.20000676841855891</v>
      </c>
      <c r="S51" s="59"/>
    </row>
    <row r="52" spans="4:19" x14ac:dyDescent="0.3">
      <c r="D52" s="22" t="s">
        <v>71</v>
      </c>
      <c r="E52" s="18"/>
      <c r="F52" s="18"/>
      <c r="G52" s="18"/>
      <c r="H52" s="59"/>
      <c r="I52" s="59">
        <f t="shared" si="59"/>
        <v>-0.35747883349012233</v>
      </c>
      <c r="J52" s="59">
        <f t="shared" si="59"/>
        <v>3.3718887262079065</v>
      </c>
      <c r="K52" s="64" t="s">
        <v>106</v>
      </c>
      <c r="L52" s="65" t="s">
        <v>106</v>
      </c>
      <c r="M52" s="60">
        <f t="shared" si="60"/>
        <v>-0.33355659745478905</v>
      </c>
      <c r="N52" s="59">
        <f t="shared" ref="N52" si="67">IFERROR(N12/M12-1,"")</f>
        <v>-4.4723618090452222E-2</v>
      </c>
      <c r="O52" s="59">
        <f t="shared" ref="O52:R52" si="68">IFERROR(O12/N12-1,"")</f>
        <v>5.4182009468700665E-2</v>
      </c>
      <c r="P52" s="59">
        <f t="shared" si="68"/>
        <v>5.3892215568862367E-2</v>
      </c>
      <c r="Q52" s="59">
        <f t="shared" si="68"/>
        <v>5.3977272727272707E-2</v>
      </c>
      <c r="R52" s="59">
        <f t="shared" si="68"/>
        <v>5.3908355795148299E-2</v>
      </c>
      <c r="S52" s="59"/>
    </row>
    <row r="53" spans="4:19" x14ac:dyDescent="0.3">
      <c r="D53" s="22" t="s">
        <v>73</v>
      </c>
      <c r="E53" s="18"/>
      <c r="F53" s="18"/>
      <c r="G53" s="18"/>
      <c r="H53" s="59"/>
      <c r="I53" s="59" t="str">
        <f t="shared" si="59"/>
        <v/>
      </c>
      <c r="J53" s="59" t="str">
        <f t="shared" si="59"/>
        <v/>
      </c>
      <c r="K53" s="64" t="s">
        <v>106</v>
      </c>
      <c r="L53" s="65" t="s">
        <v>106</v>
      </c>
      <c r="M53" s="60">
        <f t="shared" si="60"/>
        <v>0.42907801418439706</v>
      </c>
      <c r="N53" s="59">
        <f t="shared" ref="N53" si="69">IFERROR(N13/M13-1,"")</f>
        <v>3.0272952853598012</v>
      </c>
      <c r="O53" s="59">
        <f t="shared" ref="O53:R53" si="70">IFERROR(O13/N13-1,"")</f>
        <v>0.26555760936537287</v>
      </c>
      <c r="P53" s="59">
        <f t="shared" si="70"/>
        <v>0.67234664070107097</v>
      </c>
      <c r="Q53" s="59">
        <f t="shared" si="70"/>
        <v>0.33187772925764203</v>
      </c>
      <c r="R53" s="59">
        <f t="shared" si="70"/>
        <v>0.373551912568306</v>
      </c>
      <c r="S53" s="59"/>
    </row>
    <row r="54" spans="4:19" x14ac:dyDescent="0.3">
      <c r="D54" s="37" t="s">
        <v>76</v>
      </c>
      <c r="E54" s="73"/>
      <c r="F54" s="38"/>
      <c r="G54" s="38"/>
      <c r="H54" s="56"/>
      <c r="I54" s="56">
        <f t="shared" si="59"/>
        <v>-3.9837879340944293E-2</v>
      </c>
      <c r="J54" s="56">
        <f t="shared" si="59"/>
        <v>-0.20356047298183055</v>
      </c>
      <c r="K54" s="62" t="s">
        <v>106</v>
      </c>
      <c r="L54" s="63" t="s">
        <v>106</v>
      </c>
      <c r="M54" s="57">
        <f t="shared" si="60"/>
        <v>0.72628962702044308</v>
      </c>
      <c r="N54" s="56">
        <f t="shared" ref="N54" si="71">IFERROR(N14/M14-1,"")</f>
        <v>-0.11960449661037953</v>
      </c>
      <c r="O54" s="56">
        <f t="shared" ref="O54:R54" si="72">IFERROR(O14/N14-1,"")</f>
        <v>0.15023555531488597</v>
      </c>
      <c r="P54" s="68">
        <f t="shared" si="72"/>
        <v>0.4231265359157117</v>
      </c>
      <c r="Q54" s="56">
        <f t="shared" si="72"/>
        <v>0.24132957537744959</v>
      </c>
      <c r="R54" s="56">
        <f t="shared" si="72"/>
        <v>0.18793105286160472</v>
      </c>
      <c r="S54" s="1500"/>
    </row>
    <row r="55" spans="4:19" x14ac:dyDescent="0.3">
      <c r="D55" s="22" t="s">
        <v>77</v>
      </c>
      <c r="E55" s="18"/>
      <c r="F55" s="18"/>
      <c r="G55" s="18"/>
      <c r="H55" s="59"/>
      <c r="I55" s="59">
        <f t="shared" si="59"/>
        <v>0.53115039119095919</v>
      </c>
      <c r="J55" s="59">
        <f t="shared" si="59"/>
        <v>0.19511733535200615</v>
      </c>
      <c r="K55" s="64" t="s">
        <v>106</v>
      </c>
      <c r="L55" s="65" t="s">
        <v>106</v>
      </c>
      <c r="M55" s="60">
        <f t="shared" si="60"/>
        <v>-2.5336500395882866E-2</v>
      </c>
      <c r="N55" s="59">
        <f t="shared" ref="N55" si="73">IFERROR(N15/M15-1,"")</f>
        <v>-0.4303005686433794</v>
      </c>
      <c r="O55" s="59">
        <f t="shared" ref="O55:R55" si="74">IFERROR(O15/N15-1,"")</f>
        <v>-0.13474975046342508</v>
      </c>
      <c r="P55" s="59">
        <f t="shared" si="74"/>
        <v>0.37310481212920243</v>
      </c>
      <c r="Q55" s="59">
        <f t="shared" si="74"/>
        <v>0.12469995199231887</v>
      </c>
      <c r="R55" s="59">
        <f t="shared" si="74"/>
        <v>0.13509764166044169</v>
      </c>
      <c r="S55" s="59"/>
    </row>
    <row r="56" spans="4:19" x14ac:dyDescent="0.3">
      <c r="D56" s="22" t="s">
        <v>80</v>
      </c>
      <c r="E56" s="18"/>
      <c r="F56" s="18"/>
      <c r="G56" s="18"/>
      <c r="H56" s="59"/>
      <c r="I56" s="59">
        <f t="shared" si="59"/>
        <v>0.34138884132769132</v>
      </c>
      <c r="J56" s="59">
        <f t="shared" si="59"/>
        <v>-0.26369438366156095</v>
      </c>
      <c r="K56" s="64" t="s">
        <v>106</v>
      </c>
      <c r="L56" s="65" t="s">
        <v>106</v>
      </c>
      <c r="M56" s="60">
        <f t="shared" si="60"/>
        <v>0.33314346566284447</v>
      </c>
      <c r="N56" s="59">
        <f t="shared" ref="N56" si="75">IFERROR(N16/M16-1,"")</f>
        <v>6.2194646207575532E-2</v>
      </c>
      <c r="O56" s="59">
        <f t="shared" ref="O56:R56" si="76">IFERROR(O16/N16-1,"")</f>
        <v>0.27177810035152761</v>
      </c>
      <c r="P56" s="59">
        <f t="shared" si="76"/>
        <v>0.45711574691621171</v>
      </c>
      <c r="Q56" s="59">
        <f t="shared" si="76"/>
        <v>0.27290486976217432</v>
      </c>
      <c r="R56" s="59">
        <f t="shared" si="76"/>
        <v>0.21521831001579206</v>
      </c>
      <c r="S56" s="59"/>
    </row>
    <row r="57" spans="4:19" x14ac:dyDescent="0.3">
      <c r="D57" s="22" t="s">
        <v>83</v>
      </c>
      <c r="E57" s="18"/>
      <c r="F57" s="18"/>
      <c r="G57" s="18"/>
      <c r="H57" s="59"/>
      <c r="I57" s="59">
        <f t="shared" si="59"/>
        <v>-0.60138603696098558</v>
      </c>
      <c r="J57" s="59">
        <f t="shared" si="59"/>
        <v>-0.43206696716033488</v>
      </c>
      <c r="K57" s="64" t="s">
        <v>106</v>
      </c>
      <c r="L57" s="65" t="s">
        <v>106</v>
      </c>
      <c r="M57" s="60">
        <f t="shared" si="60"/>
        <v>5.6136621315192743</v>
      </c>
      <c r="N57" s="59">
        <f t="shared" ref="N57" si="77">IFERROR(N17/M17-1,"")</f>
        <v>-0.59572279603994338</v>
      </c>
      <c r="O57" s="59">
        <f t="shared" ref="O57:R57" si="78">IFERROR(O17/N17-1,"")</f>
        <v>-0.56747588254001902</v>
      </c>
      <c r="P57" s="59">
        <f t="shared" si="78"/>
        <v>1.4333333333333331</v>
      </c>
      <c r="Q57" s="59">
        <f t="shared" si="78"/>
        <v>0.36986301369863006</v>
      </c>
      <c r="R57" s="59">
        <f t="shared" si="78"/>
        <v>0.10000000000000009</v>
      </c>
      <c r="S57" s="59"/>
    </row>
    <row r="58" spans="4:19" x14ac:dyDescent="0.3">
      <c r="D58" s="22" t="s">
        <v>85</v>
      </c>
      <c r="E58" s="18"/>
      <c r="F58" s="18"/>
      <c r="G58" s="18"/>
      <c r="H58" s="59"/>
      <c r="I58" s="59">
        <f t="shared" si="59"/>
        <v>-0.71003856201020032</v>
      </c>
      <c r="J58" s="59">
        <f t="shared" si="59"/>
        <v>-9.5452595452595435E-2</v>
      </c>
      <c r="K58" s="64" t="s">
        <v>106</v>
      </c>
      <c r="L58" s="65" t="s">
        <v>106</v>
      </c>
      <c r="M58" s="60">
        <f t="shared" si="60"/>
        <v>2.6530709034858906</v>
      </c>
      <c r="N58" s="59">
        <f t="shared" ref="N58" si="79">IFERROR(N18/M18-1,"")</f>
        <v>0.21454073352807534</v>
      </c>
      <c r="O58" s="59">
        <f t="shared" ref="O58:R58" si="80">IFERROR(O18/N18-1,"")</f>
        <v>0.24746125066809199</v>
      </c>
      <c r="P58" s="59">
        <f t="shared" si="80"/>
        <v>0.15364181662382181</v>
      </c>
      <c r="Q58" s="59">
        <f t="shared" si="80"/>
        <v>0.10577137339374576</v>
      </c>
      <c r="R58" s="59">
        <f t="shared" si="80"/>
        <v>0.12111237992879698</v>
      </c>
      <c r="S58" s="59"/>
    </row>
    <row r="59" spans="4:19" x14ac:dyDescent="0.3">
      <c r="D59" s="37" t="s">
        <v>88</v>
      </c>
      <c r="E59" s="73"/>
      <c r="F59" s="38"/>
      <c r="G59" s="38"/>
      <c r="H59" s="56"/>
      <c r="I59" s="56">
        <f t="shared" si="59"/>
        <v>-0.43222994142487403</v>
      </c>
      <c r="J59" s="56">
        <f t="shared" si="59"/>
        <v>1.1122840690978886</v>
      </c>
      <c r="K59" s="62" t="s">
        <v>106</v>
      </c>
      <c r="L59" s="63" t="s">
        <v>106</v>
      </c>
      <c r="M59" s="57">
        <f t="shared" si="60"/>
        <v>-0.17582916855974562</v>
      </c>
      <c r="N59" s="56">
        <f t="shared" ref="N59" si="81">IFERROR(N19/M19-1,"")</f>
        <v>0.99379823594266803</v>
      </c>
      <c r="O59" s="68">
        <f t="shared" ref="O59:R59" si="82">IFERROR(O19/N19-1,"")</f>
        <v>0.89500241929909441</v>
      </c>
      <c r="P59" s="56">
        <f t="shared" si="82"/>
        <v>8.8199890570855422E-2</v>
      </c>
      <c r="Q59" s="56">
        <f t="shared" si="82"/>
        <v>0.23349981564039823</v>
      </c>
      <c r="R59" s="56">
        <f t="shared" si="82"/>
        <v>0.2138916818391805</v>
      </c>
      <c r="S59" s="1500"/>
    </row>
    <row r="60" spans="4:19" x14ac:dyDescent="0.3">
      <c r="D60" s="22" t="s">
        <v>89</v>
      </c>
      <c r="E60" s="18"/>
      <c r="F60" s="18"/>
      <c r="G60" s="18"/>
      <c r="H60" s="59"/>
      <c r="I60" s="59">
        <f t="shared" si="59"/>
        <v>-0.43222994142487403</v>
      </c>
      <c r="J60" s="59">
        <f t="shared" si="59"/>
        <v>1.1122840690978886</v>
      </c>
      <c r="K60" s="64" t="s">
        <v>106</v>
      </c>
      <c r="L60" s="65" t="s">
        <v>106</v>
      </c>
      <c r="M60" s="60">
        <f t="shared" si="60"/>
        <v>-0.17582916855974562</v>
      </c>
      <c r="N60" s="59">
        <f t="shared" ref="N60" si="83">IFERROR(N20/M20-1,"")</f>
        <v>0.2034178610804851</v>
      </c>
      <c r="O60" s="59">
        <f t="shared" ref="O60:R60" si="84">IFERROR(O20/N20-1,"")</f>
        <v>0.64509848831882732</v>
      </c>
      <c r="P60" s="59">
        <f t="shared" si="84"/>
        <v>0.27622694048033414</v>
      </c>
      <c r="Q60" s="59">
        <f t="shared" si="84"/>
        <v>0.22178585065182999</v>
      </c>
      <c r="R60" s="59">
        <f t="shared" si="84"/>
        <v>0.18621367025313629</v>
      </c>
      <c r="S60" s="59"/>
    </row>
    <row r="61" spans="4:19" x14ac:dyDescent="0.3">
      <c r="D61" s="22" t="s">
        <v>92</v>
      </c>
      <c r="E61" s="18"/>
      <c r="F61" s="18"/>
      <c r="G61" s="18"/>
      <c r="H61" s="59"/>
      <c r="I61" s="59" t="str">
        <f t="shared" si="59"/>
        <v/>
      </c>
      <c r="J61" s="59" t="str">
        <f t="shared" si="59"/>
        <v/>
      </c>
      <c r="K61" s="64" t="s">
        <v>106</v>
      </c>
      <c r="L61" s="65" t="s">
        <v>106</v>
      </c>
      <c r="M61" s="60" t="str">
        <f t="shared" si="60"/>
        <v/>
      </c>
      <c r="N61" s="59" t="str">
        <f t="shared" ref="N61" si="85">IFERROR(N21/M21-1,"")</f>
        <v/>
      </c>
      <c r="O61" s="59">
        <f t="shared" ref="O61:R61" si="86">IFERROR(O21/N21-1,"")</f>
        <v>1.2755013077593724</v>
      </c>
      <c r="P61" s="59">
        <f t="shared" si="86"/>
        <v>-0.11877394636015326</v>
      </c>
      <c r="Q61" s="59">
        <f t="shared" si="86"/>
        <v>0.25217391304347836</v>
      </c>
      <c r="R61" s="59">
        <f t="shared" si="86"/>
        <v>0.25694444444444442</v>
      </c>
      <c r="S61" s="59"/>
    </row>
    <row r="62" spans="4:19" x14ac:dyDescent="0.3">
      <c r="D62" s="37" t="s">
        <v>94</v>
      </c>
      <c r="E62" s="73"/>
      <c r="F62" s="38"/>
      <c r="G62" s="38"/>
      <c r="H62" s="56"/>
      <c r="I62" s="56">
        <f t="shared" si="59"/>
        <v>-9.1677629450710563E-2</v>
      </c>
      <c r="J62" s="56">
        <f t="shared" si="59"/>
        <v>6.2158696994159213E-2</v>
      </c>
      <c r="K62" s="62" t="s">
        <v>106</v>
      </c>
      <c r="L62" s="63" t="s">
        <v>106</v>
      </c>
      <c r="M62" s="57">
        <f t="shared" si="60"/>
        <v>-8.4763948497854069E-2</v>
      </c>
      <c r="N62" s="56">
        <f t="shared" ref="N62" si="87">IFERROR(N22/M22-1,"")</f>
        <v>0.28614693239546707</v>
      </c>
      <c r="O62" s="56">
        <f t="shared" ref="O62:R62" si="88">IFERROR(O22/N22-1,"")</f>
        <v>0.26012153437143937</v>
      </c>
      <c r="P62" s="56">
        <f t="shared" si="88"/>
        <v>0.2244793393411495</v>
      </c>
      <c r="Q62" s="56">
        <f t="shared" si="88"/>
        <v>0.23198857902380188</v>
      </c>
      <c r="R62" s="56">
        <f t="shared" si="88"/>
        <v>0.12283225445536639</v>
      </c>
      <c r="S62" s="1500"/>
    </row>
    <row r="63" spans="4:19" x14ac:dyDescent="0.3">
      <c r="D63" s="22" t="s">
        <v>96</v>
      </c>
      <c r="E63" s="18"/>
      <c r="F63" s="18"/>
      <c r="G63" s="18"/>
      <c r="H63" s="59"/>
      <c r="I63" s="59">
        <f t="shared" si="59"/>
        <v>-0.14603236498342753</v>
      </c>
      <c r="J63" s="59">
        <f t="shared" si="59"/>
        <v>3.8470319634703154E-2</v>
      </c>
      <c r="K63" s="64" t="s">
        <v>106</v>
      </c>
      <c r="L63" s="65" t="s">
        <v>106</v>
      </c>
      <c r="M63" s="60">
        <f t="shared" si="60"/>
        <v>0.21677476091019021</v>
      </c>
      <c r="N63" s="59">
        <f t="shared" ref="N63" si="89">IFERROR(N23/M23-1,"")</f>
        <v>0.40916071912548557</v>
      </c>
      <c r="O63" s="59">
        <f t="shared" ref="O63:R63" si="90">IFERROR(O23/N23-1,"")</f>
        <v>0.43133735094242853</v>
      </c>
      <c r="P63" s="59">
        <f t="shared" si="90"/>
        <v>0.30133028755710822</v>
      </c>
      <c r="Q63" s="59">
        <f t="shared" si="90"/>
        <v>0.27108609978143772</v>
      </c>
      <c r="R63" s="59">
        <f t="shared" si="90"/>
        <v>0.14439675598099089</v>
      </c>
      <c r="S63" s="59"/>
    </row>
    <row r="64" spans="4:19" x14ac:dyDescent="0.3">
      <c r="D64" s="22" t="s">
        <v>98</v>
      </c>
      <c r="E64" s="18"/>
      <c r="F64" s="18"/>
      <c r="G64" s="18"/>
      <c r="H64" s="59"/>
      <c r="I64" s="59">
        <f t="shared" si="59"/>
        <v>6.6200698951572656E-2</v>
      </c>
      <c r="J64" s="59">
        <f t="shared" si="59"/>
        <v>-0.18453830305300623</v>
      </c>
      <c r="K64" s="64" t="s">
        <v>106</v>
      </c>
      <c r="L64" s="65" t="s">
        <v>106</v>
      </c>
      <c r="M64" s="60">
        <f t="shared" si="60"/>
        <v>-0.26609244903818552</v>
      </c>
      <c r="N64" s="59">
        <f t="shared" ref="N64" si="91">IFERROR(N24/M24-1,"")</f>
        <v>3.912056959549326E-2</v>
      </c>
      <c r="O64" s="59">
        <f t="shared" ref="O64:R64" si="92">IFERROR(O24/N24-1,"")</f>
        <v>6.2495294029063508E-3</v>
      </c>
      <c r="P64" s="59">
        <f t="shared" si="92"/>
        <v>0.15444477701287029</v>
      </c>
      <c r="Q64" s="59">
        <f t="shared" si="92"/>
        <v>0.12807881773399021</v>
      </c>
      <c r="R64" s="59">
        <f t="shared" si="92"/>
        <v>7.4350723971500887E-2</v>
      </c>
      <c r="S64" s="59"/>
    </row>
    <row r="65" spans="4:38" x14ac:dyDescent="0.3">
      <c r="D65" s="22" t="s">
        <v>100</v>
      </c>
      <c r="E65" s="18"/>
      <c r="F65" s="18"/>
      <c r="G65" s="18"/>
      <c r="H65" s="59"/>
      <c r="I65" s="59">
        <f t="shared" si="59"/>
        <v>-0.30914826498422709</v>
      </c>
      <c r="J65" s="59">
        <f t="shared" si="59"/>
        <v>1.9080234833659491</v>
      </c>
      <c r="K65" s="64" t="s">
        <v>106</v>
      </c>
      <c r="L65" s="65" t="s">
        <v>106</v>
      </c>
      <c r="M65" s="60">
        <f t="shared" si="60"/>
        <v>-0.3350157021085689</v>
      </c>
      <c r="N65" s="59">
        <f t="shared" ref="N65" si="93">IFERROR(N25/M25-1,"")</f>
        <v>0.38016528925619841</v>
      </c>
      <c r="O65" s="59">
        <f t="shared" ref="O65:R65" si="94">IFERROR(O25/N25-1,"")</f>
        <v>1.9430526701698536E-2</v>
      </c>
      <c r="P65" s="59">
        <f t="shared" si="94"/>
        <v>-7.468233037640859E-2</v>
      </c>
      <c r="Q65" s="59">
        <f t="shared" si="94"/>
        <v>0.14535561601243674</v>
      </c>
      <c r="R65" s="59">
        <f t="shared" si="94"/>
        <v>3.8117859970591583E-2</v>
      </c>
      <c r="S65" s="59"/>
    </row>
    <row r="66" spans="4:38" x14ac:dyDescent="0.3">
      <c r="D66" s="22" t="s">
        <v>103</v>
      </c>
      <c r="E66" s="18"/>
      <c r="F66" s="18"/>
      <c r="G66" s="18"/>
      <c r="H66" s="59"/>
      <c r="I66" s="59">
        <f t="shared" si="59"/>
        <v>-0.87292418772563174</v>
      </c>
      <c r="J66" s="59">
        <f t="shared" si="59"/>
        <v>0.19886363636363646</v>
      </c>
      <c r="K66" s="64" t="s">
        <v>106</v>
      </c>
      <c r="L66" s="65" t="s">
        <v>106</v>
      </c>
      <c r="M66" s="60">
        <f t="shared" si="60"/>
        <v>-0.54502369668246442</v>
      </c>
      <c r="N66" s="59">
        <f t="shared" ref="N66" si="95">IFERROR(N26/M26-1,"")</f>
        <v>-1</v>
      </c>
      <c r="O66" s="59" t="str">
        <f t="shared" ref="O66:R66" si="96">IFERROR(O26/N26-1,"")</f>
        <v/>
      </c>
      <c r="P66" s="59" t="str">
        <f t="shared" si="96"/>
        <v/>
      </c>
      <c r="Q66" s="59" t="str">
        <f t="shared" si="96"/>
        <v/>
      </c>
      <c r="R66" s="59" t="str">
        <f t="shared" si="96"/>
        <v/>
      </c>
      <c r="S66" s="59"/>
    </row>
    <row r="68" spans="4:38" s="15" customFormat="1" x14ac:dyDescent="0.3">
      <c r="D68" s="34" t="s">
        <v>44</v>
      </c>
      <c r="E68" s="71"/>
      <c r="F68" s="34"/>
      <c r="G68" s="34"/>
      <c r="H68" s="34">
        <f>H69+H74+H79+H82</f>
        <v>166304</v>
      </c>
      <c r="I68" s="34">
        <f t="shared" ref="I68:R68" si="97">I69+I74+I79+I82</f>
        <v>181207</v>
      </c>
      <c r="J68" s="34">
        <f t="shared" si="97"/>
        <v>184688</v>
      </c>
      <c r="K68" s="35">
        <f t="shared" si="97"/>
        <v>172448</v>
      </c>
      <c r="L68" s="36">
        <f t="shared" si="97"/>
        <v>40899</v>
      </c>
      <c r="M68" s="35">
        <f t="shared" ref="M68:M86" si="98">K68+L68</f>
        <v>213347</v>
      </c>
      <c r="N68" s="34">
        <f t="shared" si="97"/>
        <v>227344</v>
      </c>
      <c r="O68" s="34">
        <f t="shared" si="97"/>
        <v>295505</v>
      </c>
      <c r="P68" s="34">
        <f t="shared" si="97"/>
        <v>372696</v>
      </c>
      <c r="Q68" s="34">
        <f t="shared" si="97"/>
        <v>460367</v>
      </c>
      <c r="R68" s="34">
        <f t="shared" si="97"/>
        <v>540769</v>
      </c>
      <c r="S68" s="28">
        <f>R68*(1+$F$213)</f>
        <v>546176.69000000006</v>
      </c>
    </row>
    <row r="69" spans="4:38" s="15" customFormat="1" x14ac:dyDescent="0.3">
      <c r="D69" s="37" t="s">
        <v>63</v>
      </c>
      <c r="E69" s="73"/>
      <c r="F69" s="38"/>
      <c r="G69" s="38"/>
      <c r="H69" s="38">
        <f>보고서!C54</f>
        <v>48755</v>
      </c>
      <c r="I69" s="38">
        <f t="shared" ref="I69" si="99">I70+I71+I72+I73</f>
        <v>83217</v>
      </c>
      <c r="J69" s="38">
        <f t="shared" ref="J69" si="100">J70+J71+J72+J73</f>
        <v>98001</v>
      </c>
      <c r="K69" s="39">
        <f t="shared" ref="K69" si="101">K70+K71+K72+K73</f>
        <v>77166</v>
      </c>
      <c r="L69" s="40">
        <f t="shared" ref="L69" si="102">L70+L71+L72+L73</f>
        <v>15525</v>
      </c>
      <c r="M69" s="39">
        <f t="shared" si="98"/>
        <v>92691</v>
      </c>
      <c r="N69" s="38">
        <f t="shared" ref="N69" si="103">N70+N71+N72+N73</f>
        <v>101720</v>
      </c>
      <c r="O69" s="38">
        <f t="shared" ref="O69" si="104">O70+O71+O72+O73</f>
        <v>133875</v>
      </c>
      <c r="P69" s="38">
        <f t="shared" ref="P69" si="105">P70+P71+P72+P73</f>
        <v>159784</v>
      </c>
      <c r="Q69" s="38">
        <f t="shared" ref="Q69" si="106">Q70+Q71+Q72+Q73</f>
        <v>195716</v>
      </c>
      <c r="R69" s="38">
        <f t="shared" ref="R69" si="107">R70+R71+R72+R73</f>
        <v>229726</v>
      </c>
    </row>
    <row r="70" spans="4:38" s="18" customFormat="1" x14ac:dyDescent="0.3">
      <c r="D70" s="22" t="s">
        <v>64</v>
      </c>
      <c r="E70" s="18" t="s">
        <v>107</v>
      </c>
      <c r="H70" s="24">
        <f>보고서!C55</f>
        <v>0</v>
      </c>
      <c r="I70" s="18">
        <f>보고서!D55</f>
        <v>82005</v>
      </c>
      <c r="J70" s="18">
        <f>보고서!E55</f>
        <v>97412</v>
      </c>
      <c r="K70" s="19">
        <f>보고서!F55</f>
        <v>75780</v>
      </c>
      <c r="L70" s="20">
        <f>보고서!G55</f>
        <v>15166</v>
      </c>
      <c r="M70" s="19">
        <f t="shared" si="98"/>
        <v>90946</v>
      </c>
      <c r="N70" s="18">
        <f>보고서!H55</f>
        <v>98734</v>
      </c>
      <c r="O70" s="18">
        <f>보고서!I55</f>
        <v>129282</v>
      </c>
      <c r="P70" s="18">
        <f>보고서!J55</f>
        <v>150202</v>
      </c>
      <c r="Q70" s="18">
        <f>보고서!K55</f>
        <v>174692</v>
      </c>
      <c r="R70" s="18">
        <f>보고서!L55</f>
        <v>204174</v>
      </c>
      <c r="AA70" s="18">
        <f>(플랫폼!F28+플랫폼!F33)*100</f>
        <v>90946.065644526068</v>
      </c>
      <c r="AB70" s="18">
        <f>(플랫폼!G28+플랫폼!G33)*100</f>
        <v>94107.939121201416</v>
      </c>
      <c r="AC70" s="18">
        <f>(플랫폼!H28+플랫폼!H33)*100</f>
        <v>122410.76709736401</v>
      </c>
      <c r="AD70" s="18">
        <f>(플랫폼!I28+플랫폼!I33)*100</f>
        <v>141978.39582098194</v>
      </c>
      <c r="AE70" s="18">
        <f>(플랫폼!J28+플랫폼!J33)*100</f>
        <v>164797.7269790635</v>
      </c>
      <c r="AF70" s="18">
        <f>(플랫폼!K28+플랫폼!K33)*100</f>
        <v>192169.05028518359</v>
      </c>
      <c r="AG70" s="18">
        <f>M70-AA70</f>
        <v>-6.5644526068354025E-2</v>
      </c>
      <c r="AH70" s="18">
        <f t="shared" ref="AH70:AH73" si="108">N70-AB70</f>
        <v>4626.0608787985839</v>
      </c>
      <c r="AI70" s="18">
        <f t="shared" ref="AI70:AI73" si="109">O70-AC70</f>
        <v>6871.2329026359948</v>
      </c>
      <c r="AJ70" s="18">
        <f t="shared" ref="AJ70:AJ73" si="110">P70-AD70</f>
        <v>8223.6041790180607</v>
      </c>
      <c r="AK70" s="18">
        <f t="shared" ref="AK70:AK73" si="111">Q70-AE70</f>
        <v>9894.2730209364963</v>
      </c>
      <c r="AL70" s="18">
        <f t="shared" ref="AL70:AL73" si="112">R70-AF70</f>
        <v>12004.949714816408</v>
      </c>
    </row>
    <row r="71" spans="4:38" s="18" customFormat="1" x14ac:dyDescent="0.3">
      <c r="D71" s="22" t="s">
        <v>67</v>
      </c>
      <c r="E71" s="18" t="s">
        <v>108</v>
      </c>
      <c r="H71" s="24">
        <f>보고서!C56</f>
        <v>0</v>
      </c>
      <c r="I71" s="18">
        <f>보고서!D56</f>
        <v>0</v>
      </c>
      <c r="J71" s="18">
        <f>보고서!E56</f>
        <v>0</v>
      </c>
      <c r="K71" s="19">
        <f>보고서!F56</f>
        <v>0</v>
      </c>
      <c r="L71" s="20">
        <f>보고서!G56</f>
        <v>0</v>
      </c>
      <c r="M71" s="19">
        <f t="shared" si="98"/>
        <v>0</v>
      </c>
      <c r="N71" s="18">
        <f>보고서!H56</f>
        <v>1263</v>
      </c>
      <c r="O71" s="18">
        <f>보고서!I56</f>
        <v>2698</v>
      </c>
      <c r="P71" s="18">
        <f>보고서!J56</f>
        <v>6917</v>
      </c>
      <c r="Q71" s="18">
        <f>보고서!K56</f>
        <v>17729</v>
      </c>
      <c r="R71" s="18">
        <f>보고서!L56</f>
        <v>21275</v>
      </c>
      <c r="AA71" s="18">
        <f>(플랫폼!F42)*100</f>
        <v>0</v>
      </c>
      <c r="AB71" s="18">
        <f>(플랫폼!G42)*100</f>
        <v>1263.1874373487738</v>
      </c>
      <c r="AC71" s="18">
        <f>(플랫폼!H42)*100</f>
        <v>2698.2865435329531</v>
      </c>
      <c r="AD71" s="18">
        <f>(플랫폼!I42)*100</f>
        <v>6916.5509938497789</v>
      </c>
      <c r="AE71" s="18">
        <f>(플랫폼!J42)*100</f>
        <v>17729.279999998686</v>
      </c>
      <c r="AF71" s="18">
        <f>(플랫폼!K42)*100</f>
        <v>21275.135999998423</v>
      </c>
      <c r="AG71" s="18">
        <f t="shared" ref="AG71:AG73" si="113">M71-AA71</f>
        <v>0</v>
      </c>
      <c r="AH71" s="18">
        <f t="shared" si="108"/>
        <v>-0.18743734877375573</v>
      </c>
      <c r="AI71" s="18">
        <f t="shared" si="109"/>
        <v>-0.2865435329531465</v>
      </c>
      <c r="AJ71" s="18">
        <f t="shared" si="110"/>
        <v>0.44900615022106649</v>
      </c>
      <c r="AK71" s="18">
        <f t="shared" si="111"/>
        <v>-0.2799999986855255</v>
      </c>
      <c r="AL71" s="18">
        <f t="shared" si="112"/>
        <v>-0.13599999842335819</v>
      </c>
    </row>
    <row r="72" spans="4:38" s="18" customFormat="1" x14ac:dyDescent="0.3">
      <c r="D72" s="22" t="s">
        <v>71</v>
      </c>
      <c r="E72" s="18" t="s">
        <v>109</v>
      </c>
      <c r="H72" s="24">
        <f>보고서!C57</f>
        <v>0</v>
      </c>
      <c r="I72" s="18">
        <f>보고서!D57</f>
        <v>1212</v>
      </c>
      <c r="J72" s="18">
        <f>보고서!E57</f>
        <v>0</v>
      </c>
      <c r="K72" s="19">
        <f>보고서!F57</f>
        <v>1</v>
      </c>
      <c r="L72" s="20">
        <f>보고서!G57</f>
        <v>0</v>
      </c>
      <c r="M72" s="19">
        <f t="shared" si="98"/>
        <v>1</v>
      </c>
      <c r="N72" s="18">
        <f>보고서!H57</f>
        <v>0</v>
      </c>
      <c r="O72" s="18">
        <f>보고서!I57</f>
        <v>0</v>
      </c>
      <c r="P72" s="18">
        <f>보고서!J57</f>
        <v>0</v>
      </c>
      <c r="Q72" s="18">
        <f>보고서!K57</f>
        <v>0</v>
      </c>
      <c r="R72" s="18">
        <f>보고서!L57</f>
        <v>0</v>
      </c>
      <c r="AA72" s="18">
        <f>(플랫폼!F38)*100</f>
        <v>1.2</v>
      </c>
      <c r="AB72" s="18">
        <f>(플랫폼!G38)*100</f>
        <v>0</v>
      </c>
      <c r="AC72" s="18">
        <f>(플랫폼!H38)*100</f>
        <v>0</v>
      </c>
      <c r="AD72" s="18">
        <f>(플랫폼!I38)*100</f>
        <v>0</v>
      </c>
      <c r="AE72" s="18">
        <f>(플랫폼!J38)*100</f>
        <v>0</v>
      </c>
      <c r="AF72" s="18">
        <f>(플랫폼!K38)*100</f>
        <v>0</v>
      </c>
      <c r="AG72" s="18">
        <f t="shared" si="113"/>
        <v>-0.19999999999999996</v>
      </c>
      <c r="AH72" s="18">
        <f t="shared" si="108"/>
        <v>0</v>
      </c>
      <c r="AI72" s="18">
        <f t="shared" si="109"/>
        <v>0</v>
      </c>
      <c r="AJ72" s="18">
        <f t="shared" si="110"/>
        <v>0</v>
      </c>
      <c r="AK72" s="18">
        <f t="shared" si="111"/>
        <v>0</v>
      </c>
      <c r="AL72" s="18">
        <f t="shared" si="112"/>
        <v>0</v>
      </c>
    </row>
    <row r="73" spans="4:38" s="18" customFormat="1" x14ac:dyDescent="0.3">
      <c r="D73" s="22" t="s">
        <v>73</v>
      </c>
      <c r="E73" s="18" t="s">
        <v>109</v>
      </c>
      <c r="H73" s="24">
        <f>보고서!C58</f>
        <v>0</v>
      </c>
      <c r="I73" s="18">
        <f>보고서!D58</f>
        <v>0</v>
      </c>
      <c r="J73" s="18">
        <f>보고서!E58</f>
        <v>589</v>
      </c>
      <c r="K73" s="19">
        <f>보고서!F58</f>
        <v>1385</v>
      </c>
      <c r="L73" s="20">
        <f>보고서!G58</f>
        <v>359</v>
      </c>
      <c r="M73" s="19">
        <f t="shared" si="98"/>
        <v>1744</v>
      </c>
      <c r="N73" s="18">
        <f>보고서!H58</f>
        <v>1723</v>
      </c>
      <c r="O73" s="18">
        <f>보고서!I58</f>
        <v>1895</v>
      </c>
      <c r="P73" s="18">
        <f>보고서!J58</f>
        <v>2665</v>
      </c>
      <c r="Q73" s="18">
        <f>보고서!K58</f>
        <v>3295</v>
      </c>
      <c r="R73" s="18">
        <f>보고서!L58</f>
        <v>4277</v>
      </c>
      <c r="T73" s="18" t="s">
        <v>110</v>
      </c>
      <c r="AA73" s="18">
        <f>(돌핀!F9)*100</f>
        <v>1744.615147</v>
      </c>
      <c r="AB73" s="18">
        <f>(돌핀!G9)*100</f>
        <v>1723.3359839999998</v>
      </c>
      <c r="AC73" s="18">
        <f>(돌핀!H9)*100</f>
        <v>1894.5367999999999</v>
      </c>
      <c r="AD73" s="18">
        <f>(돌핀!I9)*100</f>
        <v>2664.7011999999995</v>
      </c>
      <c r="AE73" s="18">
        <f>(돌핀!J9)*100</f>
        <v>3294.6713200000004</v>
      </c>
      <c r="AF73" s="18">
        <f>(돌핀!K9)*100</f>
        <v>4277.0069800000001</v>
      </c>
      <c r="AG73" s="18">
        <f t="shared" si="113"/>
        <v>-0.61514699999997902</v>
      </c>
      <c r="AH73" s="18">
        <f t="shared" si="108"/>
        <v>-0.33598399999982576</v>
      </c>
      <c r="AI73" s="18">
        <f t="shared" si="109"/>
        <v>0.46320000000014261</v>
      </c>
      <c r="AJ73" s="18">
        <f t="shared" si="110"/>
        <v>0.29880000000048312</v>
      </c>
      <c r="AK73" s="18">
        <f t="shared" si="111"/>
        <v>0.32867999999962194</v>
      </c>
      <c r="AL73" s="18">
        <f t="shared" si="112"/>
        <v>-6.9800000001123408E-3</v>
      </c>
    </row>
    <row r="74" spans="4:38" s="15" customFormat="1" x14ac:dyDescent="0.3">
      <c r="D74" s="37" t="s">
        <v>76</v>
      </c>
      <c r="E74" s="73"/>
      <c r="F74" s="38"/>
      <c r="G74" s="38"/>
      <c r="H74" s="38">
        <f>H75+H76+H77+H78</f>
        <v>69999</v>
      </c>
      <c r="I74" s="38">
        <f t="shared" ref="I74:R74" si="114">I75+I76+I77+I78</f>
        <v>63348</v>
      </c>
      <c r="J74" s="38">
        <f t="shared" si="114"/>
        <v>46158</v>
      </c>
      <c r="K74" s="39">
        <f t="shared" si="114"/>
        <v>66340</v>
      </c>
      <c r="L74" s="40">
        <f t="shared" si="114"/>
        <v>17438</v>
      </c>
      <c r="M74" s="39">
        <f t="shared" si="98"/>
        <v>83778</v>
      </c>
      <c r="N74" s="38">
        <f t="shared" si="114"/>
        <v>73437</v>
      </c>
      <c r="O74" s="38">
        <f t="shared" si="114"/>
        <v>88923</v>
      </c>
      <c r="P74" s="38">
        <f t="shared" si="114"/>
        <v>127405</v>
      </c>
      <c r="Q74" s="38">
        <f t="shared" si="114"/>
        <v>159858</v>
      </c>
      <c r="R74" s="38">
        <f t="shared" si="114"/>
        <v>191275</v>
      </c>
    </row>
    <row r="75" spans="4:38" s="18" customFormat="1" x14ac:dyDescent="0.3">
      <c r="D75" s="22" t="s">
        <v>77</v>
      </c>
      <c r="E75" s="18" t="s">
        <v>109</v>
      </c>
      <c r="H75" s="18">
        <f>보고서!C60</f>
        <v>3343</v>
      </c>
      <c r="I75" s="18">
        <f>보고서!D60</f>
        <v>3476</v>
      </c>
      <c r="J75" s="18">
        <f>보고서!E60</f>
        <v>3586</v>
      </c>
      <c r="K75" s="19">
        <f>보고서!F60</f>
        <v>3152</v>
      </c>
      <c r="L75" s="20">
        <f>보고서!G60</f>
        <v>576</v>
      </c>
      <c r="M75" s="19">
        <f t="shared" si="98"/>
        <v>3728</v>
      </c>
      <c r="N75" s="18">
        <f>보고서!H60</f>
        <v>2654</v>
      </c>
      <c r="O75" s="18">
        <f>보고서!I60</f>
        <v>1934</v>
      </c>
      <c r="P75" s="18">
        <f>보고서!J60</f>
        <v>2501</v>
      </c>
      <c r="Q75" s="18">
        <f>보고서!K60</f>
        <v>2907</v>
      </c>
      <c r="R75" s="18">
        <f>보고서!L60</f>
        <v>3393</v>
      </c>
      <c r="AA75" s="18">
        <f>(콘텐츠!F29)*100</f>
        <v>3727.7631980000001</v>
      </c>
      <c r="AB75" s="18">
        <f>(콘텐츠!G29)*100</f>
        <v>2654.4829409726176</v>
      </c>
      <c r="AC75" s="18">
        <f>(콘텐츠!H29)*100</f>
        <v>3283.6336906090137</v>
      </c>
      <c r="AD75" s="18">
        <f>(콘텐츠!I29)*100</f>
        <v>5200.5812410927529</v>
      </c>
      <c r="AE75" s="18">
        <f>(콘텐츠!J29)*100</f>
        <v>6957.4958963408862</v>
      </c>
      <c r="AF75" s="18">
        <f>(콘텐츠!K29)*100</f>
        <v>8793.21281916507</v>
      </c>
      <c r="AG75" s="18">
        <f t="shared" ref="AG75:AG78" si="115">M75-AA75</f>
        <v>0.23680199999989782</v>
      </c>
      <c r="AH75" s="18">
        <f t="shared" ref="AH75:AH78" si="116">N75-AB75</f>
        <v>-0.48294097261759816</v>
      </c>
      <c r="AI75" s="18">
        <f t="shared" ref="AI75:AI78" si="117">O75-AC75</f>
        <v>-1349.6336906090137</v>
      </c>
      <c r="AJ75" s="18">
        <f t="shared" ref="AJ75:AJ78" si="118">P75-AD75</f>
        <v>-2699.5812410927529</v>
      </c>
      <c r="AK75" s="18">
        <f t="shared" ref="AK75:AK78" si="119">Q75-AE75</f>
        <v>-4050.4958963408862</v>
      </c>
      <c r="AL75" s="18">
        <f t="shared" ref="AL75:AL78" si="120">R75-AF75</f>
        <v>-5400.21281916507</v>
      </c>
    </row>
    <row r="76" spans="4:38" s="18" customFormat="1" x14ac:dyDescent="0.3">
      <c r="D76" s="22" t="s">
        <v>80</v>
      </c>
      <c r="E76" s="18" t="s">
        <v>109</v>
      </c>
      <c r="H76" s="18">
        <f>보고서!C61</f>
        <v>37480</v>
      </c>
      <c r="I76" s="18">
        <f>보고서!D61</f>
        <v>49825</v>
      </c>
      <c r="J76" s="18">
        <f>보고서!E61</f>
        <v>36516</v>
      </c>
      <c r="K76" s="19">
        <f>보고서!F61</f>
        <v>36361</v>
      </c>
      <c r="L76" s="20">
        <f>보고서!G61</f>
        <v>11589</v>
      </c>
      <c r="M76" s="19">
        <f t="shared" si="98"/>
        <v>47950</v>
      </c>
      <c r="N76" s="18">
        <f>보고서!H61</f>
        <v>47681</v>
      </c>
      <c r="O76" s="18">
        <f>보고서!I61</f>
        <v>64332</v>
      </c>
      <c r="P76" s="18">
        <f>보고서!J61</f>
        <v>94582</v>
      </c>
      <c r="Q76" s="18">
        <f>보고서!K61</f>
        <v>121321</v>
      </c>
      <c r="R76" s="18">
        <f>보고서!L61</f>
        <v>148161</v>
      </c>
      <c r="T76" s="18" t="s">
        <v>111</v>
      </c>
      <c r="AA76" s="18">
        <f>(콘텐츠!F36)*100</f>
        <v>47949.457603900009</v>
      </c>
      <c r="AB76" s="18">
        <f>(콘텐츠!G36)*100</f>
        <v>47681.252594648729</v>
      </c>
      <c r="AC76" s="18">
        <f>(콘텐츠!H36)*100</f>
        <v>64471.153339757278</v>
      </c>
      <c r="AD76" s="18">
        <f>(콘텐츠!I36)*100</f>
        <v>94860.184635101352</v>
      </c>
      <c r="AE76" s="18">
        <f>(콘텐츠!J36)*100</f>
        <v>121737.39275618755</v>
      </c>
      <c r="AF76" s="18">
        <f>(콘텐츠!K36)*100</f>
        <v>148716.01916059296</v>
      </c>
      <c r="AG76" s="18">
        <f t="shared" si="115"/>
        <v>0.54239609999058302</v>
      </c>
      <c r="AH76" s="18">
        <f t="shared" si="116"/>
        <v>-0.25259464872942772</v>
      </c>
      <c r="AI76" s="18">
        <f t="shared" si="117"/>
        <v>-139.15333975727845</v>
      </c>
      <c r="AJ76" s="18">
        <f t="shared" si="118"/>
        <v>-278.18463510135189</v>
      </c>
      <c r="AK76" s="18">
        <f t="shared" si="119"/>
        <v>-416.39275618754618</v>
      </c>
      <c r="AL76" s="18">
        <f t="shared" si="120"/>
        <v>-555.01916059295763</v>
      </c>
    </row>
    <row r="77" spans="4:38" s="18" customFormat="1" x14ac:dyDescent="0.3">
      <c r="D77" s="22" t="s">
        <v>83</v>
      </c>
      <c r="E77" s="18" t="s">
        <v>109</v>
      </c>
      <c r="H77" s="18">
        <f>보고서!C62</f>
        <v>15512</v>
      </c>
      <c r="I77" s="18">
        <f>보고서!D62</f>
        <v>5926</v>
      </c>
      <c r="J77" s="18">
        <f>보고서!E62</f>
        <v>2931</v>
      </c>
      <c r="K77" s="19">
        <f>보고서!F62</f>
        <v>16590</v>
      </c>
      <c r="L77" s="20">
        <f>보고서!G62</f>
        <v>2944</v>
      </c>
      <c r="M77" s="19">
        <f t="shared" si="98"/>
        <v>19534</v>
      </c>
      <c r="N77" s="18">
        <f>보고서!H62</f>
        <v>7575</v>
      </c>
      <c r="O77" s="18">
        <f>보고서!I62</f>
        <v>3266</v>
      </c>
      <c r="P77" s="18">
        <f>보고서!J62</f>
        <v>7946</v>
      </c>
      <c r="Q77" s="18">
        <f>보고서!K62</f>
        <v>10885</v>
      </c>
      <c r="R77" s="18">
        <f>보고서!L62</f>
        <v>11974</v>
      </c>
      <c r="T77" s="18" t="s">
        <v>112</v>
      </c>
      <c r="AA77" s="18">
        <f>(콘텐츠!F44)*100</f>
        <v>19534.455925999995</v>
      </c>
      <c r="AB77" s="18">
        <f>(콘텐츠!G44)*100</f>
        <v>7595</v>
      </c>
      <c r="AC77" s="18">
        <f>(콘텐츠!H44)*100</f>
        <v>3265.5539345166644</v>
      </c>
      <c r="AD77" s="18">
        <f>(콘텐츠!I44)*100</f>
        <v>7946.1812406572162</v>
      </c>
      <c r="AE77" s="18">
        <f>(콘텐츠!J44)*100</f>
        <v>10885.179781722214</v>
      </c>
      <c r="AF77" s="18">
        <f>(콘텐츠!K44)*100</f>
        <v>11973.697759894436</v>
      </c>
      <c r="AG77" s="18">
        <f t="shared" si="115"/>
        <v>-0.4559259999950882</v>
      </c>
      <c r="AH77" s="18">
        <f t="shared" si="116"/>
        <v>-20</v>
      </c>
      <c r="AI77" s="18">
        <f t="shared" si="117"/>
        <v>0.44606548333558749</v>
      </c>
      <c r="AJ77" s="18">
        <f t="shared" si="118"/>
        <v>-0.18124065721622173</v>
      </c>
      <c r="AK77" s="18">
        <f t="shared" si="119"/>
        <v>-0.17978172221410205</v>
      </c>
      <c r="AL77" s="18">
        <f t="shared" si="120"/>
        <v>0.30224010556412395</v>
      </c>
    </row>
    <row r="78" spans="4:38" s="18" customFormat="1" x14ac:dyDescent="0.3">
      <c r="D78" s="22" t="s">
        <v>85</v>
      </c>
      <c r="E78" s="18" t="s">
        <v>109</v>
      </c>
      <c r="H78" s="18">
        <f>보고서!C63</f>
        <v>13664</v>
      </c>
      <c r="I78" s="18">
        <f>보고서!D63</f>
        <v>4121</v>
      </c>
      <c r="J78" s="18">
        <f>보고서!E63</f>
        <v>3125</v>
      </c>
      <c r="K78" s="19">
        <f>보고서!F63</f>
        <v>10237</v>
      </c>
      <c r="L78" s="20">
        <f>보고서!G63</f>
        <v>2329</v>
      </c>
      <c r="M78" s="19">
        <f t="shared" si="98"/>
        <v>12566</v>
      </c>
      <c r="N78" s="18">
        <f>보고서!H63</f>
        <v>15527</v>
      </c>
      <c r="O78" s="18">
        <f>보고서!I63</f>
        <v>19391</v>
      </c>
      <c r="P78" s="18">
        <f>보고서!J63</f>
        <v>22376</v>
      </c>
      <c r="Q78" s="18">
        <f>보고서!K63</f>
        <v>24745</v>
      </c>
      <c r="R78" s="18">
        <f>보고서!L63</f>
        <v>27747</v>
      </c>
      <c r="T78" s="18" t="s">
        <v>113</v>
      </c>
      <c r="AA78" s="18">
        <f>(LDC!F9)*100</f>
        <v>12565.992098142025</v>
      </c>
      <c r="AB78" s="18">
        <f>(LDC!G9)*100</f>
        <v>15527.275813150001</v>
      </c>
      <c r="AC78" s="18">
        <f>(LDC!H9)*100</f>
        <v>19390.977069569759</v>
      </c>
      <c r="AD78" s="18">
        <f>(LDC!I9)*100</f>
        <v>22375.55018880378</v>
      </c>
      <c r="AE78" s="18">
        <f>(LDC!J9)*100</f>
        <v>24745.359764918489</v>
      </c>
      <c r="AF78" s="18">
        <f>(LDC!K9)*100</f>
        <v>27747.115409064634</v>
      </c>
      <c r="AG78" s="18">
        <f t="shared" si="115"/>
        <v>7.9018579745024908E-3</v>
      </c>
      <c r="AH78" s="18">
        <f t="shared" si="116"/>
        <v>-0.27581315000134055</v>
      </c>
      <c r="AI78" s="18">
        <f t="shared" si="117"/>
        <v>2.293043024110375E-2</v>
      </c>
      <c r="AJ78" s="18">
        <f t="shared" si="118"/>
        <v>0.4498111962202529</v>
      </c>
      <c r="AK78" s="18">
        <f t="shared" si="119"/>
        <v>-0.35976491848850856</v>
      </c>
      <c r="AL78" s="18">
        <f t="shared" si="120"/>
        <v>-0.11540906463415013</v>
      </c>
    </row>
    <row r="79" spans="4:38" s="15" customFormat="1" x14ac:dyDescent="0.3">
      <c r="D79" s="37" t="s">
        <v>88</v>
      </c>
      <c r="E79" s="73"/>
      <c r="F79" s="38"/>
      <c r="G79" s="38"/>
      <c r="H79" s="38">
        <f>H80+H81</f>
        <v>6535</v>
      </c>
      <c r="I79" s="38">
        <f t="shared" ref="I79:R79" si="121">I80+I81</f>
        <v>3906</v>
      </c>
      <c r="J79" s="38">
        <f t="shared" si="121"/>
        <v>7702</v>
      </c>
      <c r="K79" s="39">
        <f t="shared" si="121"/>
        <v>5145</v>
      </c>
      <c r="L79" s="40">
        <f t="shared" si="121"/>
        <v>2532</v>
      </c>
      <c r="M79" s="39">
        <f t="shared" si="98"/>
        <v>7677</v>
      </c>
      <c r="N79" s="38">
        <f t="shared" si="121"/>
        <v>14321</v>
      </c>
      <c r="O79" s="38">
        <f t="shared" si="121"/>
        <v>24725</v>
      </c>
      <c r="P79" s="38">
        <f t="shared" si="121"/>
        <v>26594</v>
      </c>
      <c r="Q79" s="38">
        <f t="shared" si="121"/>
        <v>32444</v>
      </c>
      <c r="R79" s="38">
        <f t="shared" si="121"/>
        <v>38461</v>
      </c>
    </row>
    <row r="80" spans="4:38" s="18" customFormat="1" x14ac:dyDescent="0.3">
      <c r="D80" s="22" t="s">
        <v>89</v>
      </c>
      <c r="E80" s="18" t="s">
        <v>109</v>
      </c>
      <c r="H80" s="18">
        <f>보고서!C65</f>
        <v>6535</v>
      </c>
      <c r="I80" s="18">
        <f>보고서!D65</f>
        <v>3906</v>
      </c>
      <c r="J80" s="18">
        <f>보고서!E65</f>
        <v>7702</v>
      </c>
      <c r="K80" s="19">
        <f>보고서!F65</f>
        <v>5145</v>
      </c>
      <c r="L80" s="20">
        <f>보고서!G65</f>
        <v>2532</v>
      </c>
      <c r="M80" s="19">
        <f t="shared" si="98"/>
        <v>7677</v>
      </c>
      <c r="N80" s="18">
        <f>보고서!H65</f>
        <v>7122</v>
      </c>
      <c r="O80" s="18">
        <f>보고서!I65</f>
        <v>12306</v>
      </c>
      <c r="P80" s="18">
        <f>보고서!J65</f>
        <v>15701</v>
      </c>
      <c r="Q80" s="18">
        <f>보고서!K65</f>
        <v>19142</v>
      </c>
      <c r="R80" s="18">
        <f>보고서!L65</f>
        <v>22636</v>
      </c>
      <c r="AA80" s="18">
        <f>(엔터!F38+엔터!F39)*100</f>
        <v>7353.1321210000006</v>
      </c>
      <c r="AB80" s="18">
        <f>(엔터!G38+엔터!G39)*100</f>
        <v>7122.1200000000008</v>
      </c>
      <c r="AC80" s="18">
        <f>(엔터!H38+엔터!H39)*100</f>
        <v>12305.659538788925</v>
      </c>
      <c r="AD80" s="18">
        <f>(엔터!I38+엔터!I39)*100</f>
        <v>15700.994723437048</v>
      </c>
      <c r="AE80" s="18">
        <f>(엔터!J38+엔터!J39)*100</f>
        <v>19141.555734242291</v>
      </c>
      <c r="AF80" s="18">
        <f>(엔터!K38+엔터!K39)*100</f>
        <v>22635.865153820367</v>
      </c>
      <c r="AG80" s="18">
        <f t="shared" ref="AG80:AG81" si="122">M80-AA80</f>
        <v>323.86787899999945</v>
      </c>
      <c r="AH80" s="18">
        <f t="shared" ref="AH80:AH81" si="123">N80-AB80</f>
        <v>-0.12000000000080036</v>
      </c>
      <c r="AI80" s="18">
        <f t="shared" ref="AI80:AI81" si="124">O80-AC80</f>
        <v>0.3404612110753078</v>
      </c>
      <c r="AJ80" s="18">
        <f t="shared" ref="AJ80:AJ81" si="125">P80-AD80</f>
        <v>5.2765629516215995E-3</v>
      </c>
      <c r="AK80" s="18">
        <f t="shared" ref="AK80:AK81" si="126">Q80-AE80</f>
        <v>0.44426575770921772</v>
      </c>
      <c r="AL80" s="18">
        <f t="shared" ref="AL80:AL81" si="127">R80-AF80</f>
        <v>0.13484617963331402</v>
      </c>
    </row>
    <row r="81" spans="4:38" s="18" customFormat="1" x14ac:dyDescent="0.3">
      <c r="D81" s="22" t="s">
        <v>92</v>
      </c>
      <c r="E81" s="18" t="s">
        <v>109</v>
      </c>
      <c r="H81" s="18">
        <f>보고서!C66</f>
        <v>0</v>
      </c>
      <c r="I81" s="18">
        <f>보고서!D66</f>
        <v>0</v>
      </c>
      <c r="J81" s="18">
        <f>보고서!E66</f>
        <v>0</v>
      </c>
      <c r="K81" s="19">
        <f>보고서!F66</f>
        <v>0</v>
      </c>
      <c r="L81" s="20">
        <f>보고서!G66</f>
        <v>0</v>
      </c>
      <c r="M81" s="19">
        <f t="shared" si="98"/>
        <v>0</v>
      </c>
      <c r="N81" s="18">
        <f>보고서!H66</f>
        <v>7199</v>
      </c>
      <c r="O81" s="18">
        <f>보고서!I66</f>
        <v>12419</v>
      </c>
      <c r="P81" s="18">
        <f>보고서!J66</f>
        <v>10893</v>
      </c>
      <c r="Q81" s="18">
        <f>보고서!K66</f>
        <v>13302</v>
      </c>
      <c r="R81" s="18">
        <f>보고서!L66</f>
        <v>15825</v>
      </c>
      <c r="AA81" s="18">
        <f>(엔터!F40+엔터!F45+엔터!F50+엔터!F55+엔터!F60+엔터!F65)*100</f>
        <v>323.70809600000001</v>
      </c>
      <c r="AB81" s="18">
        <f>(엔터!G40+엔터!G45+엔터!G50+엔터!G55+엔터!G60+엔터!G65)*100</f>
        <v>7198.9319405000006</v>
      </c>
      <c r="AC81" s="18">
        <f>(엔터!H40+엔터!H45+엔터!H50+엔터!H55+엔터!H60+엔터!H65)*100</f>
        <v>12418.862499999999</v>
      </c>
      <c r="AD81" s="18">
        <f>(엔터!I40+엔터!I45+엔터!I50+엔터!I55+엔터!I60+엔터!I65)*100</f>
        <v>10892.75</v>
      </c>
      <c r="AE81" s="18">
        <f>(엔터!J40+엔터!J45+엔터!J50+엔터!J55+엔터!J60+엔터!J65)*100</f>
        <v>13301.799999999997</v>
      </c>
      <c r="AF81" s="18">
        <f>(엔터!K40+엔터!K45+엔터!K50+엔터!K55+엔터!K60+엔터!K65)*100</f>
        <v>15824.55</v>
      </c>
      <c r="AG81" s="18">
        <f t="shared" si="122"/>
        <v>-323.70809600000001</v>
      </c>
      <c r="AH81" s="18">
        <f t="shared" si="123"/>
        <v>6.8059499999435502E-2</v>
      </c>
      <c r="AI81" s="18">
        <f t="shared" si="124"/>
        <v>0.1375000000007276</v>
      </c>
      <c r="AJ81" s="18">
        <f t="shared" si="125"/>
        <v>0.25</v>
      </c>
      <c r="AK81" s="18">
        <f t="shared" si="126"/>
        <v>0.20000000000254659</v>
      </c>
      <c r="AL81" s="18">
        <f t="shared" si="127"/>
        <v>0.4500000000007276</v>
      </c>
    </row>
    <row r="82" spans="4:38" s="15" customFormat="1" x14ac:dyDescent="0.3">
      <c r="D82" s="37" t="s">
        <v>94</v>
      </c>
      <c r="E82" s="73"/>
      <c r="F82" s="38"/>
      <c r="G82" s="38"/>
      <c r="H82" s="38">
        <f>H83+H84+H85+H86</f>
        <v>41015</v>
      </c>
      <c r="I82" s="38">
        <f t="shared" ref="I82:R82" si="128">I83+I84+I85+I86</f>
        <v>30736</v>
      </c>
      <c r="J82" s="38">
        <f t="shared" si="128"/>
        <v>32827</v>
      </c>
      <c r="K82" s="39">
        <f t="shared" si="128"/>
        <v>23797</v>
      </c>
      <c r="L82" s="40">
        <f t="shared" si="128"/>
        <v>5404</v>
      </c>
      <c r="M82" s="39">
        <f t="shared" si="98"/>
        <v>29201</v>
      </c>
      <c r="N82" s="38">
        <f t="shared" si="128"/>
        <v>37866</v>
      </c>
      <c r="O82" s="38">
        <f t="shared" si="128"/>
        <v>47982</v>
      </c>
      <c r="P82" s="38">
        <f t="shared" si="128"/>
        <v>58913</v>
      </c>
      <c r="Q82" s="38">
        <f t="shared" si="128"/>
        <v>72349</v>
      </c>
      <c r="R82" s="38">
        <f t="shared" si="128"/>
        <v>81307</v>
      </c>
    </row>
    <row r="83" spans="4:38" s="18" customFormat="1" x14ac:dyDescent="0.3">
      <c r="D83" s="22" t="s">
        <v>96</v>
      </c>
      <c r="E83" s="18" t="s">
        <v>109</v>
      </c>
      <c r="H83" s="18">
        <f>보고서!C68</f>
        <v>16811</v>
      </c>
      <c r="I83" s="18">
        <f>보고서!D68</f>
        <v>10359</v>
      </c>
      <c r="J83" s="18">
        <f>보고서!E68</f>
        <v>11792</v>
      </c>
      <c r="K83" s="19">
        <f>보고서!F68</f>
        <v>11859</v>
      </c>
      <c r="L83" s="20">
        <f>보고서!G68</f>
        <v>2736</v>
      </c>
      <c r="M83" s="19">
        <f t="shared" si="98"/>
        <v>14595</v>
      </c>
      <c r="N83" s="18">
        <f>보고서!H68</f>
        <v>21299</v>
      </c>
      <c r="O83" s="18">
        <f>보고서!I68</f>
        <v>31223</v>
      </c>
      <c r="P83" s="18">
        <f>보고서!J68</f>
        <v>41148</v>
      </c>
      <c r="Q83" s="18">
        <f>보고서!K68</f>
        <v>52197</v>
      </c>
      <c r="R83" s="18">
        <f>보고서!L68</f>
        <v>59922</v>
      </c>
      <c r="T83" s="18" t="s">
        <v>114</v>
      </c>
      <c r="AA83" s="18">
        <f>(IRIVER!F10)*100</f>
        <v>14595.094573999995</v>
      </c>
      <c r="AB83" s="18">
        <f>(IRIVER!G10)*100</f>
        <v>21298.772995566669</v>
      </c>
      <c r="AC83" s="18">
        <f>(IRIVER!H10)*100</f>
        <v>31223.405534991572</v>
      </c>
      <c r="AD83" s="18">
        <f>(IRIVER!I10)*100</f>
        <v>41148.038074416472</v>
      </c>
      <c r="AE83" s="18">
        <f>(IRIVER!J10)*100</f>
        <v>52197.303153266264</v>
      </c>
      <c r="AF83" s="18">
        <f>(IRIVER!K10)*100</f>
        <v>59921.935692691179</v>
      </c>
      <c r="AG83" s="18">
        <f t="shared" ref="AG83:AG86" si="129">M83-AA83</f>
        <v>-9.4573999995191116E-2</v>
      </c>
      <c r="AH83" s="18">
        <f t="shared" ref="AH83:AH86" si="130">N83-AB83</f>
        <v>0.22700443333087605</v>
      </c>
      <c r="AI83" s="18">
        <f t="shared" ref="AI83:AI86" si="131">O83-AC83</f>
        <v>-0.40553499157249462</v>
      </c>
      <c r="AJ83" s="18">
        <f t="shared" ref="AJ83:AJ86" si="132">P83-AD83</f>
        <v>-3.8074416472227313E-2</v>
      </c>
      <c r="AK83" s="18">
        <f t="shared" ref="AK83:AK86" si="133">Q83-AE83</f>
        <v>-0.30315326626441674</v>
      </c>
      <c r="AL83" s="18">
        <f t="shared" ref="AL83:AL86" si="134">R83-AF83</f>
        <v>6.4307308821298648E-2</v>
      </c>
    </row>
    <row r="84" spans="4:38" s="18" customFormat="1" x14ac:dyDescent="0.3">
      <c r="D84" s="22" t="s">
        <v>98</v>
      </c>
      <c r="E84" s="18" t="s">
        <v>109</v>
      </c>
      <c r="H84" s="18">
        <f>보고서!C69</f>
        <v>21212</v>
      </c>
      <c r="I84" s="18">
        <f>보고서!D69</f>
        <v>16700</v>
      </c>
      <c r="J84" s="18">
        <f>보고서!E69</f>
        <v>14136</v>
      </c>
      <c r="K84" s="19">
        <f>보고서!F69</f>
        <v>8461</v>
      </c>
      <c r="L84" s="20">
        <f>보고서!G69</f>
        <v>1458</v>
      </c>
      <c r="M84" s="19">
        <f t="shared" si="98"/>
        <v>9919</v>
      </c>
      <c r="N84" s="18">
        <f>보고서!H69</f>
        <v>9795</v>
      </c>
      <c r="O84" s="18">
        <f>보고서!I69</f>
        <v>9856</v>
      </c>
      <c r="P84" s="18">
        <f>보고서!J69</f>
        <v>11378</v>
      </c>
      <c r="Q84" s="18">
        <f>보고서!K69</f>
        <v>12836</v>
      </c>
      <c r="R84" s="18">
        <f>보고서!L69</f>
        <v>13790</v>
      </c>
      <c r="T84" s="18" t="s">
        <v>114</v>
      </c>
      <c r="AA84" s="18">
        <f>(IRIVER!F11)*100</f>
        <v>9919.0773110000009</v>
      </c>
      <c r="AB84" s="18">
        <f>(IRIVER!G11)*100</f>
        <v>9794.6942299999992</v>
      </c>
      <c r="AC84" s="18">
        <f>(IRIVER!H11)*100</f>
        <v>9856.4271293758502</v>
      </c>
      <c r="AD84" s="18">
        <f>(IRIVER!I11)*100</f>
        <v>11378.158765233406</v>
      </c>
      <c r="AE84" s="18">
        <f>(IRIVER!J11)*100</f>
        <v>12835.905528763011</v>
      </c>
      <c r="AF84" s="18">
        <f>(IRIVER!K11)*100</f>
        <v>13789.854528568721</v>
      </c>
      <c r="AG84" s="18">
        <f t="shared" si="129"/>
        <v>-7.7311000000918284E-2</v>
      </c>
      <c r="AH84" s="18">
        <f t="shared" si="130"/>
        <v>0.30577000000084809</v>
      </c>
      <c r="AI84" s="18">
        <f t="shared" si="131"/>
        <v>-0.42712937585019972</v>
      </c>
      <c r="AJ84" s="18">
        <f t="shared" si="132"/>
        <v>-0.15876523340557469</v>
      </c>
      <c r="AK84" s="18">
        <f t="shared" si="133"/>
        <v>9.447123698919313E-2</v>
      </c>
      <c r="AL84" s="18">
        <f t="shared" si="134"/>
        <v>0.14547143127856543</v>
      </c>
    </row>
    <row r="85" spans="4:38" s="18" customFormat="1" x14ac:dyDescent="0.3">
      <c r="D85" s="22" t="s">
        <v>100</v>
      </c>
      <c r="E85" s="18" t="s">
        <v>109</v>
      </c>
      <c r="H85" s="18">
        <f>보고서!C70</f>
        <v>2909</v>
      </c>
      <c r="I85" s="18">
        <f>보고서!D70</f>
        <v>2677</v>
      </c>
      <c r="J85" s="18">
        <f>보고서!E70</f>
        <v>6733</v>
      </c>
      <c r="K85" s="19">
        <f>보고서!F70</f>
        <v>3398</v>
      </c>
      <c r="L85" s="20">
        <f>보고서!G70</f>
        <v>1210</v>
      </c>
      <c r="M85" s="19">
        <f t="shared" si="98"/>
        <v>4608</v>
      </c>
      <c r="N85" s="18">
        <f>보고서!H70</f>
        <v>6772</v>
      </c>
      <c r="O85" s="18">
        <f>보고서!I70</f>
        <v>6903</v>
      </c>
      <c r="P85" s="18">
        <f>보고서!J70</f>
        <v>6387</v>
      </c>
      <c r="Q85" s="18">
        <f>보고서!K70</f>
        <v>7316</v>
      </c>
      <c r="R85" s="18">
        <f>보고서!L70</f>
        <v>7595</v>
      </c>
      <c r="T85" s="18" t="s">
        <v>114</v>
      </c>
      <c r="AA85" s="18">
        <f>(IRIVER!F12)*100</f>
        <v>4608.2646080000004</v>
      </c>
      <c r="AB85" s="18">
        <f>(IRIVER!G12)*100</f>
        <v>6771.7073999999993</v>
      </c>
      <c r="AC85" s="18">
        <f>(IRIVER!H12)*100</f>
        <v>6903.2778453373039</v>
      </c>
      <c r="AD85" s="18">
        <f>(IRIVER!I12)*100</f>
        <v>6387.1741550424886</v>
      </c>
      <c r="AE85" s="18">
        <f>(IRIVER!J12)*100</f>
        <v>7316.1607975731558</v>
      </c>
      <c r="AF85" s="18">
        <f>(IRIVER!K12)*100</f>
        <v>7594.8567903323546</v>
      </c>
      <c r="AG85" s="18">
        <f t="shared" si="129"/>
        <v>-0.26460800000040763</v>
      </c>
      <c r="AH85" s="18">
        <f t="shared" si="130"/>
        <v>0.29260000000067521</v>
      </c>
      <c r="AI85" s="18">
        <f t="shared" si="131"/>
        <v>-0.27784533730391558</v>
      </c>
      <c r="AJ85" s="18">
        <f t="shared" si="132"/>
        <v>-0.1741550424885645</v>
      </c>
      <c r="AK85" s="18">
        <f t="shared" si="133"/>
        <v>-0.16079757315583265</v>
      </c>
      <c r="AL85" s="18">
        <f t="shared" si="134"/>
        <v>0.14320966764535115</v>
      </c>
    </row>
    <row r="86" spans="4:38" s="18" customFormat="1" x14ac:dyDescent="0.3">
      <c r="D86" s="22" t="s">
        <v>103</v>
      </c>
      <c r="E86" s="18" t="s">
        <v>109</v>
      </c>
      <c r="H86" s="18">
        <f>보고서!C71</f>
        <v>83</v>
      </c>
      <c r="I86" s="18">
        <f>보고서!D71</f>
        <v>1000</v>
      </c>
      <c r="J86" s="18">
        <f>보고서!E71</f>
        <v>166</v>
      </c>
      <c r="K86" s="19">
        <f>보고서!F71</f>
        <v>79</v>
      </c>
      <c r="L86" s="20">
        <f>보고서!G71</f>
        <v>0</v>
      </c>
      <c r="M86" s="19">
        <f t="shared" si="98"/>
        <v>79</v>
      </c>
      <c r="N86" s="18">
        <f>보고서!H71</f>
        <v>0</v>
      </c>
      <c r="O86" s="18">
        <f>보고서!I71</f>
        <v>0</v>
      </c>
      <c r="P86" s="18">
        <f>보고서!J71</f>
        <v>0</v>
      </c>
      <c r="Q86" s="18">
        <f>보고서!K71</f>
        <v>0</v>
      </c>
      <c r="R86" s="18">
        <f>보고서!L71</f>
        <v>0</v>
      </c>
      <c r="AA86" s="18">
        <f>(IRIVER!F13)*100</f>
        <v>78.747849000000002</v>
      </c>
      <c r="AB86" s="18">
        <f>(IRIVER!G13)*100</f>
        <v>0</v>
      </c>
      <c r="AC86" s="18">
        <f>(IRIVER!H13)*100</f>
        <v>0</v>
      </c>
      <c r="AD86" s="18">
        <f>(IRIVER!I13)*100</f>
        <v>0</v>
      </c>
      <c r="AE86" s="18">
        <f>(IRIVER!J13)*100</f>
        <v>0</v>
      </c>
      <c r="AF86" s="18">
        <f>(IRIVER!K13)*100</f>
        <v>0</v>
      </c>
      <c r="AG86" s="18">
        <f t="shared" si="129"/>
        <v>0.25215099999999779</v>
      </c>
      <c r="AH86" s="18">
        <f t="shared" si="130"/>
        <v>0</v>
      </c>
      <c r="AI86" s="18">
        <f t="shared" si="131"/>
        <v>0</v>
      </c>
      <c r="AJ86" s="18">
        <f t="shared" si="132"/>
        <v>0</v>
      </c>
      <c r="AK86" s="18">
        <f t="shared" si="133"/>
        <v>0</v>
      </c>
      <c r="AL86" s="18">
        <f t="shared" si="134"/>
        <v>0</v>
      </c>
    </row>
    <row r="87" spans="4:38" s="18" customFormat="1" x14ac:dyDescent="0.3">
      <c r="K87" s="19"/>
      <c r="L87" s="20"/>
      <c r="M87" s="19"/>
    </row>
    <row r="88" spans="4:38" s="15" customFormat="1" x14ac:dyDescent="0.3">
      <c r="D88" s="76" t="s">
        <v>115</v>
      </c>
      <c r="E88" s="77"/>
      <c r="F88" s="76"/>
      <c r="G88" s="76"/>
      <c r="H88" s="82">
        <f>IFERROR(H68/H8,"")</f>
        <v>0.84434560981306039</v>
      </c>
      <c r="I88" s="82">
        <f t="shared" ref="I88:R88" si="135">IFERROR(I68/I8,"")</f>
        <v>0.80062474594842969</v>
      </c>
      <c r="J88" s="82">
        <f t="shared" si="135"/>
        <v>0.75633218531547286</v>
      </c>
      <c r="K88" s="83">
        <f t="shared" si="135"/>
        <v>0.77485565365864617</v>
      </c>
      <c r="L88" s="84">
        <f t="shared" si="135"/>
        <v>0.84054009618151182</v>
      </c>
      <c r="M88" s="83">
        <f t="shared" si="135"/>
        <v>0.78664002094294894</v>
      </c>
      <c r="N88" s="82">
        <f t="shared" si="135"/>
        <v>0.78352874680342166</v>
      </c>
      <c r="O88" s="82">
        <f t="shared" si="135"/>
        <v>0.7955680475125122</v>
      </c>
      <c r="P88" s="82">
        <f t="shared" si="135"/>
        <v>0.79629431798272787</v>
      </c>
      <c r="Q88" s="82">
        <f t="shared" si="135"/>
        <v>0.79404150216376301</v>
      </c>
      <c r="R88" s="82">
        <f t="shared" si="135"/>
        <v>0.79617701230994375</v>
      </c>
      <c r="S88" s="1502"/>
      <c r="T88" s="15" t="s">
        <v>116</v>
      </c>
    </row>
    <row r="89" spans="4:38" s="15" customFormat="1" x14ac:dyDescent="0.3">
      <c r="D89" s="37" t="s">
        <v>63</v>
      </c>
      <c r="E89" s="73"/>
      <c r="F89" s="38"/>
      <c r="G89" s="38"/>
      <c r="H89" s="50">
        <f t="shared" ref="H89:R89" si="136">IFERROR(H69/H9,"")</f>
        <v>0.76412506856829399</v>
      </c>
      <c r="I89" s="50">
        <f t="shared" si="136"/>
        <v>0.80198334682548866</v>
      </c>
      <c r="J89" s="50">
        <f t="shared" si="136"/>
        <v>0.75446322029331381</v>
      </c>
      <c r="K89" s="51">
        <f t="shared" si="136"/>
        <v>0.78034524254957682</v>
      </c>
      <c r="L89" s="52">
        <f t="shared" si="136"/>
        <v>0.80661921338390397</v>
      </c>
      <c r="M89" s="51">
        <f t="shared" si="136"/>
        <v>0.78462593326222763</v>
      </c>
      <c r="N89" s="50">
        <f t="shared" si="136"/>
        <v>0.77831848927248803</v>
      </c>
      <c r="O89" s="50">
        <f t="shared" si="136"/>
        <v>0.7807989081937956</v>
      </c>
      <c r="P89" s="50">
        <f t="shared" si="136"/>
        <v>0.77638541337674016</v>
      </c>
      <c r="Q89" s="50">
        <f t="shared" si="136"/>
        <v>0.76675599015874507</v>
      </c>
      <c r="R89" s="50">
        <f t="shared" si="136"/>
        <v>0.76765968822576058</v>
      </c>
      <c r="S89" s="1503"/>
    </row>
    <row r="90" spans="4:38" s="18" customFormat="1" x14ac:dyDescent="0.3">
      <c r="D90" s="22" t="s">
        <v>64</v>
      </c>
      <c r="H90" s="81"/>
      <c r="I90" s="53">
        <f t="shared" ref="I90:R90" si="137">IFERROR(I70/I10,"")</f>
        <v>0.7955394301568669</v>
      </c>
      <c r="J90" s="53">
        <f t="shared" si="137"/>
        <v>0.76928301231175023</v>
      </c>
      <c r="K90" s="54">
        <f t="shared" si="137"/>
        <v>0.78052096529987947</v>
      </c>
      <c r="L90" s="55">
        <f t="shared" si="137"/>
        <v>0.8131031524769462</v>
      </c>
      <c r="M90" s="54">
        <f t="shared" si="137"/>
        <v>0.78577167987143703</v>
      </c>
      <c r="N90" s="53">
        <f t="shared" si="137"/>
        <v>0.78947410505105431</v>
      </c>
      <c r="O90" s="53">
        <f t="shared" si="137"/>
        <v>0.79360850562294361</v>
      </c>
      <c r="P90" s="53">
        <f t="shared" si="137"/>
        <v>0.79585651459757323</v>
      </c>
      <c r="Q90" s="53">
        <f t="shared" si="137"/>
        <v>0.79803747795817304</v>
      </c>
      <c r="R90" s="53">
        <f t="shared" si="137"/>
        <v>0.80016146351786677</v>
      </c>
      <c r="S90" s="53"/>
    </row>
    <row r="91" spans="4:38" s="18" customFormat="1" x14ac:dyDescent="0.3">
      <c r="D91" s="22" t="s">
        <v>67</v>
      </c>
      <c r="H91" s="81"/>
      <c r="I91" s="53" t="str">
        <f t="shared" ref="I91:R91" si="138">IFERROR(I71/I11,"")</f>
        <v/>
      </c>
      <c r="J91" s="53" t="str">
        <f t="shared" si="138"/>
        <v/>
      </c>
      <c r="K91" s="54" t="str">
        <f t="shared" si="138"/>
        <v/>
      </c>
      <c r="L91" s="55" t="str">
        <f t="shared" si="138"/>
        <v/>
      </c>
      <c r="M91" s="54" t="str">
        <f t="shared" si="138"/>
        <v/>
      </c>
      <c r="N91" s="53">
        <f t="shared" si="138"/>
        <v>0.6</v>
      </c>
      <c r="O91" s="53">
        <f t="shared" si="138"/>
        <v>0.59995552590615964</v>
      </c>
      <c r="P91" s="53">
        <f t="shared" si="138"/>
        <v>0.60001734906315063</v>
      </c>
      <c r="Q91" s="53">
        <f t="shared" si="138"/>
        <v>0.59998646316288196</v>
      </c>
      <c r="R91" s="53">
        <f t="shared" si="138"/>
        <v>0.59998871936602838</v>
      </c>
      <c r="S91" s="53"/>
      <c r="T91" s="18" t="s">
        <v>117</v>
      </c>
    </row>
    <row r="92" spans="4:38" s="18" customFormat="1" x14ac:dyDescent="0.3">
      <c r="D92" s="22" t="s">
        <v>71</v>
      </c>
      <c r="H92" s="81"/>
      <c r="I92" s="53">
        <f t="shared" ref="I92:R92" si="139">IFERROR(I72/I12,"")</f>
        <v>1.774524158125915</v>
      </c>
      <c r="J92" s="53">
        <f t="shared" si="139"/>
        <v>0</v>
      </c>
      <c r="K92" s="54">
        <f t="shared" si="139"/>
        <v>5.9988002399520091E-4</v>
      </c>
      <c r="L92" s="55">
        <f t="shared" si="139"/>
        <v>0</v>
      </c>
      <c r="M92" s="54">
        <f t="shared" si="139"/>
        <v>5.025125628140704E-4</v>
      </c>
      <c r="N92" s="85">
        <f>IFERROR(N72/N12,"")</f>
        <v>0</v>
      </c>
      <c r="O92" s="85">
        <f t="shared" si="139"/>
        <v>0</v>
      </c>
      <c r="P92" s="85">
        <f t="shared" si="139"/>
        <v>0</v>
      </c>
      <c r="Q92" s="85">
        <f t="shared" si="139"/>
        <v>0</v>
      </c>
      <c r="R92" s="85">
        <f t="shared" si="139"/>
        <v>0</v>
      </c>
      <c r="S92" s="85"/>
      <c r="T92" s="18" t="s">
        <v>118</v>
      </c>
    </row>
    <row r="93" spans="4:38" s="18" customFormat="1" x14ac:dyDescent="0.3">
      <c r="D93" s="22" t="s">
        <v>73</v>
      </c>
      <c r="H93" s="81"/>
      <c r="I93" s="53" t="str">
        <f t="shared" ref="I93:R93" si="140">IFERROR(I73/I13,"")</f>
        <v/>
      </c>
      <c r="J93" s="53">
        <f t="shared" si="140"/>
        <v>2.0886524822695036</v>
      </c>
      <c r="K93" s="86">
        <f t="shared" si="140"/>
        <v>10.572519083969466</v>
      </c>
      <c r="L93" s="55">
        <f t="shared" si="140"/>
        <v>1.3198529411764706</v>
      </c>
      <c r="M93" s="54">
        <f t="shared" si="140"/>
        <v>4.3275434243176178</v>
      </c>
      <c r="N93" s="53">
        <f t="shared" si="140"/>
        <v>1.0616142945163278</v>
      </c>
      <c r="O93" s="53">
        <f t="shared" si="140"/>
        <v>0.92259006815968836</v>
      </c>
      <c r="P93" s="53">
        <f t="shared" si="140"/>
        <v>0.77583697234352256</v>
      </c>
      <c r="Q93" s="53">
        <f t="shared" si="140"/>
        <v>0.72021857923497268</v>
      </c>
      <c r="R93" s="53">
        <f t="shared" si="140"/>
        <v>0.68061744112030553</v>
      </c>
      <c r="S93" s="53"/>
      <c r="T93" s="18" t="s">
        <v>119</v>
      </c>
    </row>
    <row r="94" spans="4:38" s="15" customFormat="1" x14ac:dyDescent="0.3">
      <c r="D94" s="37" t="s">
        <v>76</v>
      </c>
      <c r="E94" s="73"/>
      <c r="F94" s="38"/>
      <c r="G94" s="38"/>
      <c r="H94" s="50">
        <f t="shared" ref="H94:R94" si="141">IFERROR(H74/H14,"")</f>
        <v>0.88107795133862832</v>
      </c>
      <c r="I94" s="50">
        <f t="shared" si="141"/>
        <v>0.83044492803020376</v>
      </c>
      <c r="J94" s="50">
        <f t="shared" si="141"/>
        <v>0.75975244428350397</v>
      </c>
      <c r="K94" s="51">
        <f t="shared" si="141"/>
        <v>0.78135305757090356</v>
      </c>
      <c r="L94" s="52">
        <f t="shared" si="141"/>
        <v>0.87299123904881104</v>
      </c>
      <c r="M94" s="51">
        <f t="shared" si="141"/>
        <v>0.79880624338523443</v>
      </c>
      <c r="N94" s="50">
        <f t="shared" si="141"/>
        <v>0.79533221421995992</v>
      </c>
      <c r="O94" s="50">
        <f t="shared" si="141"/>
        <v>0.83726119747285965</v>
      </c>
      <c r="P94" s="50">
        <f t="shared" si="141"/>
        <v>0.84292670662802849</v>
      </c>
      <c r="Q94" s="50">
        <f t="shared" si="141"/>
        <v>0.85202161793393094</v>
      </c>
      <c r="R94" s="50">
        <f t="shared" si="141"/>
        <v>0.85818953526978403</v>
      </c>
      <c r="S94" s="1503"/>
    </row>
    <row r="95" spans="4:38" s="18" customFormat="1" x14ac:dyDescent="0.3">
      <c r="D95" s="22" t="s">
        <v>77</v>
      </c>
      <c r="H95" s="53">
        <f t="shared" ref="H95:R95" si="142">IFERROR(H75/H15,"")</f>
        <v>0.48435236163430889</v>
      </c>
      <c r="I95" s="53">
        <f t="shared" si="142"/>
        <v>0.32891748675246024</v>
      </c>
      <c r="J95" s="53">
        <f t="shared" si="142"/>
        <v>0.28392715756136183</v>
      </c>
      <c r="K95" s="54">
        <f t="shared" si="142"/>
        <v>0.28795907180705282</v>
      </c>
      <c r="L95" s="55">
        <f t="shared" si="142"/>
        <v>0.42228739002932553</v>
      </c>
      <c r="M95" s="54">
        <f t="shared" si="142"/>
        <v>0.30284321689683186</v>
      </c>
      <c r="N95" s="53">
        <f t="shared" si="142"/>
        <v>0.37844003992585201</v>
      </c>
      <c r="O95" s="53">
        <f t="shared" si="142"/>
        <v>0.3187211601845748</v>
      </c>
      <c r="P95" s="53">
        <f t="shared" si="142"/>
        <v>0.3001680268843015</v>
      </c>
      <c r="Q95" s="53">
        <f t="shared" si="142"/>
        <v>0.31021235727243623</v>
      </c>
      <c r="R95" s="53">
        <f t="shared" si="142"/>
        <v>0.31898091567171194</v>
      </c>
      <c r="S95" s="53"/>
      <c r="T95" s="18" t="s">
        <v>120</v>
      </c>
    </row>
    <row r="96" spans="4:38" s="18" customFormat="1" x14ac:dyDescent="0.3">
      <c r="D96" s="22" t="s">
        <v>80</v>
      </c>
      <c r="H96" s="53">
        <f t="shared" ref="H96:R96" si="143">IFERROR(H76/H16,"")</f>
        <v>0.91676246850769272</v>
      </c>
      <c r="I96" s="53">
        <f t="shared" si="143"/>
        <v>0.90855215171407733</v>
      </c>
      <c r="J96" s="53">
        <f t="shared" si="143"/>
        <v>0.90433145942197679</v>
      </c>
      <c r="K96" s="54">
        <f t="shared" si="143"/>
        <v>0.88659416756071396</v>
      </c>
      <c r="L96" s="55">
        <f t="shared" si="143"/>
        <v>0.90404867774397379</v>
      </c>
      <c r="M96" s="54">
        <f t="shared" si="143"/>
        <v>0.89075068269212909</v>
      </c>
      <c r="N96" s="53">
        <f t="shared" si="143"/>
        <v>0.83389006453418213</v>
      </c>
      <c r="O96" s="53">
        <f t="shared" si="143"/>
        <v>0.88466563071549387</v>
      </c>
      <c r="P96" s="53">
        <f t="shared" si="143"/>
        <v>0.89261985654964138</v>
      </c>
      <c r="Q96" s="53">
        <f t="shared" si="143"/>
        <v>0.89949361269897754</v>
      </c>
      <c r="R96" s="53">
        <f t="shared" si="143"/>
        <v>0.90394435801226325</v>
      </c>
      <c r="S96" s="53"/>
    </row>
    <row r="97" spans="4:20" s="18" customFormat="1" x14ac:dyDescent="0.3">
      <c r="D97" s="22" t="s">
        <v>83</v>
      </c>
      <c r="H97" s="53">
        <f t="shared" ref="H97:R97" si="144">IFERROR(H77/H17,"")</f>
        <v>0.99537987679671458</v>
      </c>
      <c r="I97" s="53">
        <f t="shared" si="144"/>
        <v>0.95396007726980037</v>
      </c>
      <c r="J97" s="85">
        <f t="shared" si="144"/>
        <v>0.83078231292517002</v>
      </c>
      <c r="K97" s="86">
        <f t="shared" si="144"/>
        <v>0.83057975367978376</v>
      </c>
      <c r="L97" s="55">
        <f t="shared" si="144"/>
        <v>0.8764513247990473</v>
      </c>
      <c r="M97" s="54">
        <f t="shared" si="144"/>
        <v>0.83718338833411909</v>
      </c>
      <c r="N97" s="53">
        <f t="shared" si="144"/>
        <v>0.80303190925474399</v>
      </c>
      <c r="O97" s="53">
        <f t="shared" si="144"/>
        <v>0.80049019607843142</v>
      </c>
      <c r="P97" s="53">
        <f t="shared" si="144"/>
        <v>0.80036261079774373</v>
      </c>
      <c r="Q97" s="53">
        <f t="shared" si="144"/>
        <v>0.80036764705882357</v>
      </c>
      <c r="R97" s="53">
        <f t="shared" si="144"/>
        <v>0.80040106951871659</v>
      </c>
      <c r="S97" s="53"/>
      <c r="T97" s="18" t="s">
        <v>121</v>
      </c>
    </row>
    <row r="98" spans="4:20" s="18" customFormat="1" x14ac:dyDescent="0.3">
      <c r="D98" s="22" t="s">
        <v>85</v>
      </c>
      <c r="H98" s="53">
        <f t="shared" ref="H98:R98" si="145">IFERROR(H78/H18,"")</f>
        <v>0.84985694738151507</v>
      </c>
      <c r="I98" s="53">
        <f t="shared" si="145"/>
        <v>0.88395538395538398</v>
      </c>
      <c r="J98" s="53">
        <f t="shared" si="145"/>
        <v>0.74104813848707607</v>
      </c>
      <c r="K98" s="54">
        <f t="shared" si="145"/>
        <v>0.7891612704286155</v>
      </c>
      <c r="L98" s="55">
        <f t="shared" si="145"/>
        <v>0.95725441841348125</v>
      </c>
      <c r="M98" s="54">
        <f t="shared" si="145"/>
        <v>0.81570918532943848</v>
      </c>
      <c r="N98" s="53">
        <f t="shared" si="145"/>
        <v>0.82987707108498132</v>
      </c>
      <c r="O98" s="53">
        <f t="shared" si="145"/>
        <v>0.83080548414738642</v>
      </c>
      <c r="P98" s="53">
        <f t="shared" si="145"/>
        <v>0.83101834657951423</v>
      </c>
      <c r="Q98" s="53">
        <f t="shared" si="145"/>
        <v>0.83109424329952308</v>
      </c>
      <c r="R98" s="53">
        <f t="shared" si="145"/>
        <v>0.83124625524266027</v>
      </c>
      <c r="S98" s="53"/>
      <c r="T98" s="18" t="s">
        <v>122</v>
      </c>
    </row>
    <row r="99" spans="4:20" s="15" customFormat="1" x14ac:dyDescent="0.3">
      <c r="D99" s="37" t="s">
        <v>88</v>
      </c>
      <c r="E99" s="73"/>
      <c r="F99" s="38"/>
      <c r="G99" s="38"/>
      <c r="H99" s="50">
        <f t="shared" ref="H99:R99" si="146">IFERROR(H79/H19,"")</f>
        <v>0.89020569404713257</v>
      </c>
      <c r="I99" s="50">
        <f t="shared" si="146"/>
        <v>0.93714011516314777</v>
      </c>
      <c r="J99" s="50">
        <f t="shared" si="146"/>
        <v>0.87482962289868238</v>
      </c>
      <c r="K99" s="51">
        <f t="shared" si="146"/>
        <v>1.0131941709334384</v>
      </c>
      <c r="L99" s="52">
        <f t="shared" si="146"/>
        <v>1.162534435261708</v>
      </c>
      <c r="M99" s="51">
        <f t="shared" si="146"/>
        <v>1.0580209481808158</v>
      </c>
      <c r="N99" s="50">
        <f t="shared" si="146"/>
        <v>0.98990806663440933</v>
      </c>
      <c r="O99" s="50">
        <f t="shared" si="146"/>
        <v>0.90187853364946202</v>
      </c>
      <c r="P99" s="50">
        <f t="shared" si="146"/>
        <v>0.89142895451345827</v>
      </c>
      <c r="Q99" s="50">
        <f t="shared" si="146"/>
        <v>0.88165439278241253</v>
      </c>
      <c r="R99" s="50">
        <f t="shared" si="146"/>
        <v>0.86100291023057984</v>
      </c>
      <c r="S99" s="1503"/>
    </row>
    <row r="100" spans="4:20" s="18" customFormat="1" x14ac:dyDescent="0.3">
      <c r="D100" s="22" t="s">
        <v>89</v>
      </c>
      <c r="H100" s="53">
        <f t="shared" ref="H100:R100" si="147">IFERROR(H80/H20,"")</f>
        <v>0.89020569404713257</v>
      </c>
      <c r="I100" s="53">
        <f t="shared" si="147"/>
        <v>0.93714011516314777</v>
      </c>
      <c r="J100" s="53">
        <f t="shared" si="147"/>
        <v>0.87482962289868238</v>
      </c>
      <c r="K100" s="54">
        <f t="shared" si="147"/>
        <v>1.0131941709334384</v>
      </c>
      <c r="L100" s="55">
        <f t="shared" si="147"/>
        <v>1.162534435261708</v>
      </c>
      <c r="M100" s="54">
        <f t="shared" si="147"/>
        <v>1.0580209481808158</v>
      </c>
      <c r="N100" s="53">
        <f t="shared" si="147"/>
        <v>0.8156207054512139</v>
      </c>
      <c r="O100" s="53">
        <f t="shared" si="147"/>
        <v>0.85666550643926209</v>
      </c>
      <c r="P100" s="53">
        <f t="shared" si="147"/>
        <v>0.85643375334096983</v>
      </c>
      <c r="Q100" s="53">
        <f t="shared" si="147"/>
        <v>0.85459172284476981</v>
      </c>
      <c r="R100" s="53">
        <f t="shared" si="147"/>
        <v>0.85193827625141139</v>
      </c>
      <c r="S100" s="53"/>
      <c r="T100" s="18" t="s">
        <v>123</v>
      </c>
    </row>
    <row r="101" spans="4:20" s="18" customFormat="1" x14ac:dyDescent="0.3">
      <c r="D101" s="22" t="s">
        <v>92</v>
      </c>
      <c r="H101" s="53" t="str">
        <f t="shared" ref="H101:R101" si="148">IFERROR(H81/H21,"")</f>
        <v/>
      </c>
      <c r="I101" s="53" t="str">
        <f t="shared" si="148"/>
        <v/>
      </c>
      <c r="J101" s="53" t="str">
        <f t="shared" si="148"/>
        <v/>
      </c>
      <c r="K101" s="54" t="str">
        <f t="shared" si="148"/>
        <v/>
      </c>
      <c r="L101" s="55" t="str">
        <f t="shared" si="148"/>
        <v/>
      </c>
      <c r="M101" s="54" t="str">
        <f t="shared" si="148"/>
        <v/>
      </c>
      <c r="N101" s="85">
        <f t="shared" si="148"/>
        <v>1.2552746294681778</v>
      </c>
      <c r="O101" s="53">
        <f t="shared" si="148"/>
        <v>0.95164750957854405</v>
      </c>
      <c r="P101" s="53">
        <f t="shared" si="148"/>
        <v>0.94721739130434779</v>
      </c>
      <c r="Q101" s="53">
        <f t="shared" si="148"/>
        <v>0.92374999999999996</v>
      </c>
      <c r="R101" s="53">
        <f t="shared" si="148"/>
        <v>0.87430939226519333</v>
      </c>
      <c r="S101" s="53"/>
      <c r="T101" s="18" t="s">
        <v>124</v>
      </c>
    </row>
    <row r="102" spans="4:20" s="15" customFormat="1" x14ac:dyDescent="0.3">
      <c r="D102" s="37" t="s">
        <v>94</v>
      </c>
      <c r="E102" s="73"/>
      <c r="F102" s="38"/>
      <c r="G102" s="38"/>
      <c r="H102" s="50">
        <f t="shared" ref="H102:R102" si="149">IFERROR(H82/H22,"")</f>
        <v>0.88453492635165731</v>
      </c>
      <c r="I102" s="50">
        <f t="shared" si="149"/>
        <v>0.72975924782753221</v>
      </c>
      <c r="J102" s="50">
        <f t="shared" si="149"/>
        <v>0.73379381258941345</v>
      </c>
      <c r="K102" s="51">
        <f t="shared" si="149"/>
        <v>0.70643590809238255</v>
      </c>
      <c r="L102" s="52">
        <f t="shared" si="149"/>
        <v>0.74455772940203913</v>
      </c>
      <c r="M102" s="51">
        <f t="shared" si="149"/>
        <v>0.71319363032434546</v>
      </c>
      <c r="N102" s="50">
        <f t="shared" si="149"/>
        <v>0.71906570451955942</v>
      </c>
      <c r="O102" s="50">
        <f t="shared" si="149"/>
        <v>0.72307785044757222</v>
      </c>
      <c r="P102" s="50">
        <f t="shared" si="149"/>
        <v>0.72504738228271837</v>
      </c>
      <c r="Q102" s="50">
        <f t="shared" si="149"/>
        <v>0.72273835211380166</v>
      </c>
      <c r="R102" s="50">
        <f t="shared" si="149"/>
        <v>0.72337188612099645</v>
      </c>
      <c r="S102" s="1503"/>
    </row>
    <row r="103" spans="4:20" s="18" customFormat="1" x14ac:dyDescent="0.3">
      <c r="D103" s="22" t="s">
        <v>96</v>
      </c>
      <c r="H103" s="53">
        <f t="shared" ref="H103:R103" si="150">IFERROR(H83/H23,"")</f>
        <v>0.81940924156755701</v>
      </c>
      <c r="I103" s="53">
        <f t="shared" si="150"/>
        <v>0.59126712328767128</v>
      </c>
      <c r="J103" s="53">
        <f t="shared" si="150"/>
        <v>0.64812575574365172</v>
      </c>
      <c r="K103" s="54">
        <f t="shared" si="150"/>
        <v>0.63923027166882274</v>
      </c>
      <c r="L103" s="55">
        <f t="shared" si="150"/>
        <v>0.76296709425543785</v>
      </c>
      <c r="M103" s="54">
        <f t="shared" si="150"/>
        <v>0.65927364712259462</v>
      </c>
      <c r="N103" s="53">
        <f t="shared" si="150"/>
        <v>0.68274778817797155</v>
      </c>
      <c r="O103" s="53">
        <f t="shared" si="150"/>
        <v>0.69925199319179432</v>
      </c>
      <c r="P103" s="53">
        <f t="shared" si="150"/>
        <v>0.70814187619391811</v>
      </c>
      <c r="Q103" s="53">
        <f t="shared" si="150"/>
        <v>0.70671143665633163</v>
      </c>
      <c r="R103" s="53">
        <f t="shared" si="150"/>
        <v>0.70893474042875393</v>
      </c>
      <c r="S103" s="53"/>
      <c r="T103" s="18" t="s">
        <v>122</v>
      </c>
    </row>
    <row r="104" spans="4:20" s="18" customFormat="1" x14ac:dyDescent="0.3">
      <c r="D104" s="22" t="s">
        <v>98</v>
      </c>
      <c r="H104" s="53">
        <f t="shared" ref="H104:R104" si="151">IFERROR(H84/H24,"")</f>
        <v>1.0590114827758363</v>
      </c>
      <c r="I104" s="53">
        <f t="shared" si="151"/>
        <v>0.7819816445027159</v>
      </c>
      <c r="J104" s="53">
        <f t="shared" si="151"/>
        <v>0.8117140396210164</v>
      </c>
      <c r="K104" s="54">
        <f t="shared" si="151"/>
        <v>0.79401276276276278</v>
      </c>
      <c r="L104" s="55">
        <f t="shared" si="151"/>
        <v>0.6861176470588235</v>
      </c>
      <c r="M104" s="54">
        <f t="shared" si="151"/>
        <v>0.77607385963539632</v>
      </c>
      <c r="N104" s="53">
        <f t="shared" si="151"/>
        <v>0.73751976507793093</v>
      </c>
      <c r="O104" s="53">
        <f t="shared" si="151"/>
        <v>0.73750374139479202</v>
      </c>
      <c r="P104" s="53">
        <f t="shared" si="151"/>
        <v>0.73749027741768214</v>
      </c>
      <c r="Q104" s="53">
        <f t="shared" si="151"/>
        <v>0.73753160193059064</v>
      </c>
      <c r="R104" s="53">
        <f t="shared" si="151"/>
        <v>0.73751203337255322</v>
      </c>
      <c r="S104" s="53"/>
    </row>
    <row r="105" spans="4:20" s="18" customFormat="1" x14ac:dyDescent="0.3">
      <c r="D105" s="22" t="s">
        <v>100</v>
      </c>
      <c r="H105" s="53">
        <f t="shared" ref="H105:R105" si="152">IFERROR(H85/H25,"")</f>
        <v>0.65547543938711128</v>
      </c>
      <c r="I105" s="53">
        <f t="shared" si="152"/>
        <v>0.87312459230267447</v>
      </c>
      <c r="J105" s="53">
        <f t="shared" si="152"/>
        <v>0.75515926424405566</v>
      </c>
      <c r="K105" s="54">
        <f t="shared" si="152"/>
        <v>0.77544500228206303</v>
      </c>
      <c r="L105" s="55">
        <f t="shared" si="152"/>
        <v>0.7821590174531351</v>
      </c>
      <c r="M105" s="54">
        <f t="shared" si="152"/>
        <v>0.77719682914488109</v>
      </c>
      <c r="N105" s="53">
        <f t="shared" si="152"/>
        <v>0.82756935109373087</v>
      </c>
      <c r="O105" s="53">
        <f t="shared" si="152"/>
        <v>0.8274994006233517</v>
      </c>
      <c r="P105" s="53">
        <f t="shared" si="152"/>
        <v>0.82743878740769528</v>
      </c>
      <c r="Q105" s="53">
        <f t="shared" si="152"/>
        <v>0.82750820042981565</v>
      </c>
      <c r="R105" s="53">
        <f t="shared" si="152"/>
        <v>0.82752233602091962</v>
      </c>
      <c r="S105" s="53"/>
    </row>
    <row r="106" spans="4:20" s="18" customFormat="1" x14ac:dyDescent="0.3">
      <c r="D106" s="22" t="s">
        <v>103</v>
      </c>
      <c r="H106" s="53">
        <f t="shared" ref="H106:R106" si="153">IFERROR(H86/H26,"")</f>
        <v>5.9927797833935016E-2</v>
      </c>
      <c r="I106" s="53">
        <f t="shared" si="153"/>
        <v>5.6818181818181817</v>
      </c>
      <c r="J106" s="53">
        <f t="shared" si="153"/>
        <v>0.78672985781990523</v>
      </c>
      <c r="K106" s="54">
        <f t="shared" si="153"/>
        <v>0.82291666666666663</v>
      </c>
      <c r="L106" s="55" t="str">
        <f t="shared" si="153"/>
        <v/>
      </c>
      <c r="M106" s="54">
        <f t="shared" si="153"/>
        <v>0.82291666666666663</v>
      </c>
      <c r="N106" s="53" t="str">
        <f t="shared" si="153"/>
        <v/>
      </c>
      <c r="O106" s="53" t="str">
        <f t="shared" si="153"/>
        <v/>
      </c>
      <c r="P106" s="53" t="str">
        <f t="shared" si="153"/>
        <v/>
      </c>
      <c r="Q106" s="53" t="str">
        <f t="shared" si="153"/>
        <v/>
      </c>
      <c r="R106" s="53" t="str">
        <f t="shared" si="153"/>
        <v/>
      </c>
      <c r="S106" s="53"/>
    </row>
    <row r="109" spans="4:20" x14ac:dyDescent="0.3">
      <c r="D109" s="34" t="s">
        <v>48</v>
      </c>
      <c r="E109" s="71"/>
      <c r="F109" s="34"/>
      <c r="G109" s="34"/>
      <c r="H109" s="34">
        <f>H8-H68</f>
        <v>30658</v>
      </c>
      <c r="I109" s="34">
        <f t="shared" ref="I109:S109" si="154">I8-I68</f>
        <v>45125</v>
      </c>
      <c r="J109" s="34">
        <f t="shared" si="154"/>
        <v>59501</v>
      </c>
      <c r="K109" s="35">
        <f t="shared" si="154"/>
        <v>50107</v>
      </c>
      <c r="L109" s="36">
        <f t="shared" si="154"/>
        <v>7759</v>
      </c>
      <c r="M109" s="35">
        <f t="shared" si="154"/>
        <v>57866</v>
      </c>
      <c r="N109" s="34">
        <f t="shared" si="154"/>
        <v>62810</v>
      </c>
      <c r="O109" s="34">
        <f t="shared" si="154"/>
        <v>75934</v>
      </c>
      <c r="P109" s="34">
        <f t="shared" si="154"/>
        <v>95342</v>
      </c>
      <c r="Q109" s="34">
        <f t="shared" si="154"/>
        <v>119410</v>
      </c>
      <c r="R109" s="34">
        <f t="shared" si="154"/>
        <v>138438</v>
      </c>
      <c r="S109" s="34">
        <f t="shared" si="154"/>
        <v>139822.37999999989</v>
      </c>
    </row>
    <row r="110" spans="4:20" x14ac:dyDescent="0.3">
      <c r="D110" s="37" t="s">
        <v>63</v>
      </c>
      <c r="E110" s="73"/>
      <c r="F110" s="38"/>
      <c r="G110" s="38"/>
      <c r="H110" s="38">
        <f t="shared" ref="H110:R110" si="155">H9-H69</f>
        <v>15050</v>
      </c>
      <c r="I110" s="38">
        <f t="shared" si="155"/>
        <v>20547</v>
      </c>
      <c r="J110" s="38">
        <f t="shared" si="155"/>
        <v>31894</v>
      </c>
      <c r="K110" s="39">
        <f t="shared" si="155"/>
        <v>21721</v>
      </c>
      <c r="L110" s="40">
        <f t="shared" si="155"/>
        <v>3722</v>
      </c>
      <c r="M110" s="39">
        <f t="shared" si="155"/>
        <v>25443</v>
      </c>
      <c r="N110" s="38">
        <f t="shared" si="155"/>
        <v>28972</v>
      </c>
      <c r="O110" s="38">
        <f t="shared" si="155"/>
        <v>37584</v>
      </c>
      <c r="P110" s="38">
        <f t="shared" si="155"/>
        <v>46021</v>
      </c>
      <c r="Q110" s="38">
        <f t="shared" si="155"/>
        <v>59536</v>
      </c>
      <c r="R110" s="38">
        <f t="shared" si="155"/>
        <v>69529</v>
      </c>
      <c r="S110" s="15"/>
    </row>
    <row r="111" spans="4:20" x14ac:dyDescent="0.3">
      <c r="D111" s="22" t="s">
        <v>64</v>
      </c>
      <c r="E111" s="18"/>
      <c r="F111" s="18"/>
      <c r="G111" s="18"/>
      <c r="H111" s="24"/>
      <c r="I111" s="18">
        <f t="shared" ref="I111:R111" si="156">I10-I70</f>
        <v>21076</v>
      </c>
      <c r="J111" s="18">
        <f t="shared" si="156"/>
        <v>29215</v>
      </c>
      <c r="K111" s="19">
        <f t="shared" si="156"/>
        <v>21309</v>
      </c>
      <c r="L111" s="20">
        <f t="shared" si="156"/>
        <v>3486</v>
      </c>
      <c r="M111" s="19">
        <f t="shared" si="156"/>
        <v>24795</v>
      </c>
      <c r="N111" s="18">
        <f t="shared" si="156"/>
        <v>26329</v>
      </c>
      <c r="O111" s="18">
        <f t="shared" si="156"/>
        <v>33622</v>
      </c>
      <c r="P111" s="18">
        <f t="shared" si="156"/>
        <v>38528</v>
      </c>
      <c r="Q111" s="18">
        <f t="shared" si="156"/>
        <v>44210</v>
      </c>
      <c r="R111" s="18">
        <f t="shared" si="156"/>
        <v>50992</v>
      </c>
      <c r="S111" s="18"/>
    </row>
    <row r="112" spans="4:20" x14ac:dyDescent="0.3">
      <c r="D112" s="22" t="s">
        <v>67</v>
      </c>
      <c r="E112" s="18"/>
      <c r="F112" s="18"/>
      <c r="G112" s="18"/>
      <c r="H112" s="24"/>
      <c r="I112" s="18">
        <f t="shared" ref="I112:R112" si="157">I11-I71</f>
        <v>0</v>
      </c>
      <c r="J112" s="18">
        <f t="shared" si="157"/>
        <v>0</v>
      </c>
      <c r="K112" s="19">
        <f t="shared" si="157"/>
        <v>0</v>
      </c>
      <c r="L112" s="20">
        <f t="shared" si="157"/>
        <v>0</v>
      </c>
      <c r="M112" s="19">
        <f t="shared" si="157"/>
        <v>0</v>
      </c>
      <c r="N112" s="18">
        <f t="shared" si="157"/>
        <v>842</v>
      </c>
      <c r="O112" s="18">
        <f t="shared" si="157"/>
        <v>1799</v>
      </c>
      <c r="P112" s="18">
        <f t="shared" si="157"/>
        <v>4611</v>
      </c>
      <c r="Q112" s="18">
        <f t="shared" si="157"/>
        <v>11820</v>
      </c>
      <c r="R112" s="18">
        <f t="shared" si="157"/>
        <v>14184</v>
      </c>
      <c r="S112" s="18"/>
    </row>
    <row r="113" spans="4:19" x14ac:dyDescent="0.3">
      <c r="D113" s="22" t="s">
        <v>71</v>
      </c>
      <c r="E113" s="18"/>
      <c r="F113" s="18"/>
      <c r="G113" s="18"/>
      <c r="H113" s="24"/>
      <c r="I113" s="18">
        <f t="shared" ref="I113:R113" si="158">I12-I72</f>
        <v>-529</v>
      </c>
      <c r="J113" s="18">
        <f t="shared" si="158"/>
        <v>2986</v>
      </c>
      <c r="K113" s="19">
        <f t="shared" si="158"/>
        <v>1666</v>
      </c>
      <c r="L113" s="20">
        <f t="shared" si="158"/>
        <v>323</v>
      </c>
      <c r="M113" s="19">
        <f t="shared" si="158"/>
        <v>1989</v>
      </c>
      <c r="N113" s="18">
        <f t="shared" si="158"/>
        <v>1901</v>
      </c>
      <c r="O113" s="18">
        <f t="shared" si="158"/>
        <v>2004</v>
      </c>
      <c r="P113" s="18">
        <f t="shared" si="158"/>
        <v>2112</v>
      </c>
      <c r="Q113" s="18">
        <f t="shared" si="158"/>
        <v>2226</v>
      </c>
      <c r="R113" s="18">
        <f t="shared" si="158"/>
        <v>2346</v>
      </c>
      <c r="S113" s="18"/>
    </row>
    <row r="114" spans="4:19" x14ac:dyDescent="0.3">
      <c r="D114" s="22" t="s">
        <v>73</v>
      </c>
      <c r="E114" s="18"/>
      <c r="F114" s="18"/>
      <c r="G114" s="18"/>
      <c r="H114" s="24"/>
      <c r="I114" s="18">
        <f t="shared" ref="I114:R114" si="159">I13-I73</f>
        <v>0</v>
      </c>
      <c r="J114" s="18">
        <f t="shared" si="159"/>
        <v>-307</v>
      </c>
      <c r="K114" s="19">
        <f t="shared" si="159"/>
        <v>-1254</v>
      </c>
      <c r="L114" s="20">
        <f t="shared" si="159"/>
        <v>-87</v>
      </c>
      <c r="M114" s="19">
        <f t="shared" si="159"/>
        <v>-1341</v>
      </c>
      <c r="N114" s="18">
        <f t="shared" si="159"/>
        <v>-100</v>
      </c>
      <c r="O114" s="18">
        <f t="shared" si="159"/>
        <v>159</v>
      </c>
      <c r="P114" s="18">
        <f t="shared" si="159"/>
        <v>770</v>
      </c>
      <c r="Q114" s="18">
        <f t="shared" si="159"/>
        <v>1280</v>
      </c>
      <c r="R114" s="18">
        <f t="shared" si="159"/>
        <v>2007</v>
      </c>
      <c r="S114" s="18"/>
    </row>
    <row r="115" spans="4:19" x14ac:dyDescent="0.3">
      <c r="D115" s="37" t="s">
        <v>76</v>
      </c>
      <c r="E115" s="73"/>
      <c r="F115" s="38"/>
      <c r="G115" s="38"/>
      <c r="H115" s="38">
        <f t="shared" ref="H115:R115" si="160">H14-H74</f>
        <v>9448</v>
      </c>
      <c r="I115" s="38">
        <f t="shared" si="160"/>
        <v>12934</v>
      </c>
      <c r="J115" s="38">
        <f t="shared" si="160"/>
        <v>14596</v>
      </c>
      <c r="K115" s="39">
        <f t="shared" si="160"/>
        <v>18564</v>
      </c>
      <c r="L115" s="40">
        <f>L14-L74</f>
        <v>2537</v>
      </c>
      <c r="M115" s="39">
        <f t="shared" si="160"/>
        <v>21101</v>
      </c>
      <c r="N115" s="38">
        <f t="shared" si="160"/>
        <v>18898</v>
      </c>
      <c r="O115" s="38">
        <f t="shared" si="160"/>
        <v>17284</v>
      </c>
      <c r="P115" s="38">
        <f t="shared" si="160"/>
        <v>23741</v>
      </c>
      <c r="Q115" s="38">
        <f t="shared" si="160"/>
        <v>27764</v>
      </c>
      <c r="R115" s="38">
        <f t="shared" si="160"/>
        <v>31607</v>
      </c>
      <c r="S115" s="15"/>
    </row>
    <row r="116" spans="4:19" x14ac:dyDescent="0.3">
      <c r="D116" s="22" t="s">
        <v>77</v>
      </c>
      <c r="E116" s="18"/>
      <c r="F116" s="18"/>
      <c r="G116" s="18"/>
      <c r="H116" s="18">
        <f t="shared" ref="H116:R116" si="161">H15-H75</f>
        <v>3559</v>
      </c>
      <c r="I116" s="18">
        <f t="shared" si="161"/>
        <v>7092</v>
      </c>
      <c r="J116" s="18">
        <f t="shared" si="161"/>
        <v>9044</v>
      </c>
      <c r="K116" s="19">
        <f t="shared" si="161"/>
        <v>7794</v>
      </c>
      <c r="L116" s="20">
        <f t="shared" si="161"/>
        <v>788</v>
      </c>
      <c r="M116" s="19">
        <f t="shared" si="161"/>
        <v>8582</v>
      </c>
      <c r="N116" s="18">
        <f t="shared" si="161"/>
        <v>4359</v>
      </c>
      <c r="O116" s="18">
        <f t="shared" si="161"/>
        <v>4134</v>
      </c>
      <c r="P116" s="18">
        <f t="shared" si="161"/>
        <v>5831</v>
      </c>
      <c r="Q116" s="18">
        <f t="shared" si="161"/>
        <v>6464</v>
      </c>
      <c r="R116" s="18">
        <f t="shared" si="161"/>
        <v>7244</v>
      </c>
      <c r="S116" s="18"/>
    </row>
    <row r="117" spans="4:19" x14ac:dyDescent="0.3">
      <c r="D117" s="22" t="s">
        <v>80</v>
      </c>
      <c r="E117" s="18"/>
      <c r="F117" s="18"/>
      <c r="G117" s="18"/>
      <c r="H117" s="18">
        <f t="shared" ref="H117:R117" si="162">H16-H76</f>
        <v>3403</v>
      </c>
      <c r="I117" s="18">
        <f t="shared" si="162"/>
        <v>5015</v>
      </c>
      <c r="J117" s="18">
        <f t="shared" si="162"/>
        <v>3863</v>
      </c>
      <c r="K117" s="19">
        <f t="shared" si="162"/>
        <v>4651</v>
      </c>
      <c r="L117" s="20">
        <f t="shared" si="162"/>
        <v>1230</v>
      </c>
      <c r="M117" s="19">
        <f t="shared" si="162"/>
        <v>5881</v>
      </c>
      <c r="N117" s="18">
        <f t="shared" si="162"/>
        <v>9498</v>
      </c>
      <c r="O117" s="18">
        <f t="shared" si="162"/>
        <v>8387</v>
      </c>
      <c r="P117" s="18">
        <f t="shared" si="162"/>
        <v>11378</v>
      </c>
      <c r="Q117" s="18">
        <f t="shared" si="162"/>
        <v>13556</v>
      </c>
      <c r="R117" s="18">
        <f t="shared" si="162"/>
        <v>15744</v>
      </c>
      <c r="S117" s="18"/>
    </row>
    <row r="118" spans="4:19" x14ac:dyDescent="0.3">
      <c r="D118" s="22" t="s">
        <v>83</v>
      </c>
      <c r="E118" s="18"/>
      <c r="F118" s="18"/>
      <c r="G118" s="18"/>
      <c r="H118" s="18">
        <f t="shared" ref="H118:R118" si="163">H17-H77</f>
        <v>72</v>
      </c>
      <c r="I118" s="18">
        <f t="shared" si="163"/>
        <v>286</v>
      </c>
      <c r="J118" s="18">
        <f t="shared" si="163"/>
        <v>597</v>
      </c>
      <c r="K118" s="19">
        <f t="shared" si="163"/>
        <v>3384</v>
      </c>
      <c r="L118" s="20">
        <f t="shared" si="163"/>
        <v>415</v>
      </c>
      <c r="M118" s="19">
        <f t="shared" si="163"/>
        <v>3799</v>
      </c>
      <c r="N118" s="18">
        <f t="shared" si="163"/>
        <v>1858</v>
      </c>
      <c r="O118" s="18">
        <f t="shared" si="163"/>
        <v>814</v>
      </c>
      <c r="P118" s="18">
        <f t="shared" si="163"/>
        <v>1982</v>
      </c>
      <c r="Q118" s="18">
        <f t="shared" si="163"/>
        <v>2715</v>
      </c>
      <c r="R118" s="18">
        <f t="shared" si="163"/>
        <v>2986</v>
      </c>
      <c r="S118" s="18"/>
    </row>
    <row r="119" spans="4:19" x14ac:dyDescent="0.3">
      <c r="D119" s="22" t="s">
        <v>85</v>
      </c>
      <c r="E119" s="18"/>
      <c r="F119" s="18"/>
      <c r="G119" s="18"/>
      <c r="H119" s="18">
        <f t="shared" ref="H119:R119" si="164">H18-H78</f>
        <v>2414</v>
      </c>
      <c r="I119" s="18">
        <f t="shared" si="164"/>
        <v>541</v>
      </c>
      <c r="J119" s="18">
        <f t="shared" si="164"/>
        <v>1092</v>
      </c>
      <c r="K119" s="19">
        <f t="shared" si="164"/>
        <v>2735</v>
      </c>
      <c r="L119" s="20">
        <f t="shared" si="164"/>
        <v>104</v>
      </c>
      <c r="M119" s="19">
        <f t="shared" si="164"/>
        <v>2839</v>
      </c>
      <c r="N119" s="18">
        <f t="shared" si="164"/>
        <v>3183</v>
      </c>
      <c r="O119" s="18">
        <f t="shared" si="164"/>
        <v>3949</v>
      </c>
      <c r="P119" s="18">
        <f t="shared" si="164"/>
        <v>4550</v>
      </c>
      <c r="Q119" s="18">
        <f t="shared" si="164"/>
        <v>5029</v>
      </c>
      <c r="R119" s="18">
        <f t="shared" si="164"/>
        <v>5633</v>
      </c>
      <c r="S119" s="18"/>
    </row>
    <row r="120" spans="4:19" x14ac:dyDescent="0.3">
      <c r="D120" s="37" t="s">
        <v>88</v>
      </c>
      <c r="E120" s="73"/>
      <c r="F120" s="38"/>
      <c r="G120" s="38"/>
      <c r="H120" s="38">
        <f t="shared" ref="H120:R120" si="165">H19-H79</f>
        <v>806</v>
      </c>
      <c r="I120" s="38">
        <f t="shared" si="165"/>
        <v>262</v>
      </c>
      <c r="J120" s="38">
        <f t="shared" si="165"/>
        <v>1102</v>
      </c>
      <c r="K120" s="39">
        <f t="shared" si="165"/>
        <v>-67</v>
      </c>
      <c r="L120" s="40">
        <f t="shared" si="165"/>
        <v>-354</v>
      </c>
      <c r="M120" s="39">
        <f t="shared" si="165"/>
        <v>-421</v>
      </c>
      <c r="N120" s="38">
        <f t="shared" si="165"/>
        <v>146</v>
      </c>
      <c r="O120" s="38">
        <f t="shared" si="165"/>
        <v>2690</v>
      </c>
      <c r="P120" s="38">
        <f t="shared" si="165"/>
        <v>3239</v>
      </c>
      <c r="Q120" s="38">
        <f t="shared" si="165"/>
        <v>4355</v>
      </c>
      <c r="R120" s="38">
        <f t="shared" si="165"/>
        <v>6209</v>
      </c>
      <c r="S120" s="15"/>
    </row>
    <row r="121" spans="4:19" x14ac:dyDescent="0.3">
      <c r="D121" s="22" t="s">
        <v>89</v>
      </c>
      <c r="E121" s="18"/>
      <c r="F121" s="18"/>
      <c r="G121" s="18"/>
      <c r="H121" s="18">
        <f t="shared" ref="H121:R121" si="166">H20-H80</f>
        <v>806</v>
      </c>
      <c r="I121" s="18">
        <f t="shared" si="166"/>
        <v>262</v>
      </c>
      <c r="J121" s="18">
        <f t="shared" si="166"/>
        <v>1102</v>
      </c>
      <c r="K121" s="19">
        <f t="shared" si="166"/>
        <v>-67</v>
      </c>
      <c r="L121" s="20">
        <f t="shared" si="166"/>
        <v>-354</v>
      </c>
      <c r="M121" s="19">
        <f t="shared" si="166"/>
        <v>-421</v>
      </c>
      <c r="N121" s="18">
        <f t="shared" si="166"/>
        <v>1610</v>
      </c>
      <c r="O121" s="18">
        <f t="shared" si="166"/>
        <v>2059</v>
      </c>
      <c r="P121" s="18">
        <f t="shared" si="166"/>
        <v>2632</v>
      </c>
      <c r="Q121" s="18">
        <f t="shared" si="166"/>
        <v>3257</v>
      </c>
      <c r="R121" s="18">
        <f t="shared" si="166"/>
        <v>3934</v>
      </c>
      <c r="S121" s="18"/>
    </row>
    <row r="122" spans="4:19" x14ac:dyDescent="0.3">
      <c r="D122" s="22" t="s">
        <v>92</v>
      </c>
      <c r="E122" s="18"/>
      <c r="F122" s="18"/>
      <c r="G122" s="18"/>
      <c r="H122" s="18">
        <f t="shared" ref="H122:R122" si="167">H21-H81</f>
        <v>0</v>
      </c>
      <c r="I122" s="18">
        <f t="shared" si="167"/>
        <v>0</v>
      </c>
      <c r="J122" s="18">
        <f t="shared" si="167"/>
        <v>0</v>
      </c>
      <c r="K122" s="19">
        <f t="shared" si="167"/>
        <v>0</v>
      </c>
      <c r="L122" s="20">
        <f t="shared" si="167"/>
        <v>0</v>
      </c>
      <c r="M122" s="19">
        <f t="shared" si="167"/>
        <v>0</v>
      </c>
      <c r="N122" s="18">
        <f t="shared" si="167"/>
        <v>-1464</v>
      </c>
      <c r="O122" s="18">
        <f t="shared" si="167"/>
        <v>631</v>
      </c>
      <c r="P122" s="18">
        <f t="shared" si="167"/>
        <v>607</v>
      </c>
      <c r="Q122" s="18">
        <f t="shared" si="167"/>
        <v>1098</v>
      </c>
      <c r="R122" s="18">
        <f t="shared" si="167"/>
        <v>2275</v>
      </c>
      <c r="S122" s="18"/>
    </row>
    <row r="123" spans="4:19" x14ac:dyDescent="0.3">
      <c r="D123" s="37" t="s">
        <v>94</v>
      </c>
      <c r="E123" s="73"/>
      <c r="F123" s="38"/>
      <c r="G123" s="38"/>
      <c r="H123" s="38">
        <f t="shared" ref="H123:R123" si="168">H22-H82</f>
        <v>5354</v>
      </c>
      <c r="I123" s="38">
        <f t="shared" si="168"/>
        <v>11382</v>
      </c>
      <c r="J123" s="38">
        <f t="shared" si="168"/>
        <v>11909</v>
      </c>
      <c r="K123" s="39">
        <f t="shared" si="168"/>
        <v>9889</v>
      </c>
      <c r="L123" s="40">
        <f t="shared" si="168"/>
        <v>1854</v>
      </c>
      <c r="M123" s="39">
        <f t="shared" si="168"/>
        <v>11743</v>
      </c>
      <c r="N123" s="38">
        <f t="shared" si="168"/>
        <v>14794</v>
      </c>
      <c r="O123" s="38">
        <f t="shared" si="168"/>
        <v>18376</v>
      </c>
      <c r="P123" s="38">
        <f t="shared" si="168"/>
        <v>22341</v>
      </c>
      <c r="Q123" s="38">
        <f t="shared" si="168"/>
        <v>27755</v>
      </c>
      <c r="R123" s="38">
        <f t="shared" si="168"/>
        <v>31093</v>
      </c>
      <c r="S123" s="15"/>
    </row>
    <row r="124" spans="4:19" x14ac:dyDescent="0.3">
      <c r="D124" s="22" t="s">
        <v>96</v>
      </c>
      <c r="E124" s="18"/>
      <c r="F124" s="18"/>
      <c r="G124" s="18"/>
      <c r="H124" s="18">
        <f t="shared" ref="H124:R124" si="169">H23-H83</f>
        <v>3705</v>
      </c>
      <c r="I124" s="18">
        <f t="shared" si="169"/>
        <v>7161</v>
      </c>
      <c r="J124" s="18">
        <f t="shared" si="169"/>
        <v>6402</v>
      </c>
      <c r="K124" s="19">
        <f t="shared" si="169"/>
        <v>6693</v>
      </c>
      <c r="L124" s="20">
        <f t="shared" si="169"/>
        <v>850</v>
      </c>
      <c r="M124" s="19">
        <f t="shared" si="169"/>
        <v>7543</v>
      </c>
      <c r="N124" s="18">
        <f t="shared" si="169"/>
        <v>9897</v>
      </c>
      <c r="O124" s="18">
        <f t="shared" si="169"/>
        <v>13429</v>
      </c>
      <c r="P124" s="18">
        <f t="shared" si="169"/>
        <v>16959</v>
      </c>
      <c r="Q124" s="18">
        <f t="shared" si="169"/>
        <v>21662</v>
      </c>
      <c r="R124" s="18">
        <f t="shared" si="169"/>
        <v>24602</v>
      </c>
      <c r="S124" s="18"/>
    </row>
    <row r="125" spans="4:19" x14ac:dyDescent="0.3">
      <c r="D125" s="22" t="s">
        <v>98</v>
      </c>
      <c r="E125" s="18"/>
      <c r="F125" s="18"/>
      <c r="G125" s="18"/>
      <c r="H125" s="18">
        <f t="shared" ref="H125:R125" si="170">H24-H84</f>
        <v>-1182</v>
      </c>
      <c r="I125" s="18">
        <f t="shared" si="170"/>
        <v>4656</v>
      </c>
      <c r="J125" s="18">
        <f t="shared" si="170"/>
        <v>3279</v>
      </c>
      <c r="K125" s="19">
        <f t="shared" si="170"/>
        <v>2195</v>
      </c>
      <c r="L125" s="20">
        <f t="shared" si="170"/>
        <v>667</v>
      </c>
      <c r="M125" s="19">
        <f t="shared" si="170"/>
        <v>2862</v>
      </c>
      <c r="N125" s="18">
        <f t="shared" si="170"/>
        <v>3486</v>
      </c>
      <c r="O125" s="18">
        <f t="shared" si="170"/>
        <v>3508</v>
      </c>
      <c r="P125" s="18">
        <f t="shared" si="170"/>
        <v>4050</v>
      </c>
      <c r="Q125" s="18">
        <f t="shared" si="170"/>
        <v>4568</v>
      </c>
      <c r="R125" s="18">
        <f t="shared" si="170"/>
        <v>4908</v>
      </c>
      <c r="S125" s="18"/>
    </row>
    <row r="126" spans="4:19" x14ac:dyDescent="0.3">
      <c r="D126" s="22" t="s">
        <v>100</v>
      </c>
      <c r="E126" s="18"/>
      <c r="F126" s="18"/>
      <c r="G126" s="18"/>
      <c r="H126" s="18">
        <f t="shared" ref="H126:R126" si="171">H25-H85</f>
        <v>1529</v>
      </c>
      <c r="I126" s="18">
        <f t="shared" si="171"/>
        <v>389</v>
      </c>
      <c r="J126" s="18">
        <f t="shared" si="171"/>
        <v>2183</v>
      </c>
      <c r="K126" s="19">
        <f t="shared" si="171"/>
        <v>984</v>
      </c>
      <c r="L126" s="20">
        <f t="shared" si="171"/>
        <v>337</v>
      </c>
      <c r="M126" s="19">
        <f t="shared" si="171"/>
        <v>1321</v>
      </c>
      <c r="N126" s="18">
        <f t="shared" si="171"/>
        <v>1411</v>
      </c>
      <c r="O126" s="18">
        <f t="shared" si="171"/>
        <v>1439</v>
      </c>
      <c r="P126" s="18">
        <f t="shared" si="171"/>
        <v>1332</v>
      </c>
      <c r="Q126" s="18">
        <f t="shared" si="171"/>
        <v>1525</v>
      </c>
      <c r="R126" s="18">
        <f t="shared" si="171"/>
        <v>1583</v>
      </c>
      <c r="S126" s="18"/>
    </row>
    <row r="127" spans="4:19" x14ac:dyDescent="0.3">
      <c r="D127" s="22" t="s">
        <v>103</v>
      </c>
      <c r="E127" s="18"/>
      <c r="F127" s="18"/>
      <c r="G127" s="18"/>
      <c r="H127" s="18">
        <f t="shared" ref="H127:R127" si="172">H26-H86</f>
        <v>1302</v>
      </c>
      <c r="I127" s="18">
        <f t="shared" si="172"/>
        <v>-824</v>
      </c>
      <c r="J127" s="18">
        <f t="shared" si="172"/>
        <v>45</v>
      </c>
      <c r="K127" s="19">
        <f t="shared" si="172"/>
        <v>17</v>
      </c>
      <c r="L127" s="20">
        <f t="shared" si="172"/>
        <v>0</v>
      </c>
      <c r="M127" s="19">
        <f t="shared" si="172"/>
        <v>17</v>
      </c>
      <c r="N127" s="18">
        <f t="shared" si="172"/>
        <v>0</v>
      </c>
      <c r="O127" s="18">
        <f t="shared" si="172"/>
        <v>0</v>
      </c>
      <c r="P127" s="18">
        <f t="shared" si="172"/>
        <v>0</v>
      </c>
      <c r="Q127" s="18">
        <f t="shared" si="172"/>
        <v>0</v>
      </c>
      <c r="R127" s="18">
        <f t="shared" si="172"/>
        <v>0</v>
      </c>
      <c r="S127" s="18"/>
    </row>
    <row r="129" spans="4:19" x14ac:dyDescent="0.3">
      <c r="D129" s="76" t="s">
        <v>125</v>
      </c>
      <c r="E129" s="77"/>
      <c r="F129" s="76"/>
      <c r="G129" s="76"/>
      <c r="H129" s="82">
        <f>IFERROR(H109/H8,"")</f>
        <v>0.15565439018693961</v>
      </c>
      <c r="I129" s="82">
        <f t="shared" ref="I129:R129" si="173">IFERROR(I109/I8,"")</f>
        <v>0.19937525405157025</v>
      </c>
      <c r="J129" s="82">
        <f t="shared" si="173"/>
        <v>0.24366781468452714</v>
      </c>
      <c r="K129" s="83">
        <f t="shared" si="173"/>
        <v>0.22514434634135383</v>
      </c>
      <c r="L129" s="84">
        <f t="shared" si="173"/>
        <v>0.15945990381848824</v>
      </c>
      <c r="M129" s="83">
        <f t="shared" si="173"/>
        <v>0.21335997905705109</v>
      </c>
      <c r="N129" s="82">
        <f t="shared" si="173"/>
        <v>0.21647125319657837</v>
      </c>
      <c r="O129" s="82">
        <f t="shared" si="173"/>
        <v>0.20443195248748786</v>
      </c>
      <c r="P129" s="82">
        <f t="shared" si="173"/>
        <v>0.2037056820172721</v>
      </c>
      <c r="Q129" s="82">
        <f t="shared" si="173"/>
        <v>0.20595849783623704</v>
      </c>
      <c r="R129" s="82">
        <f t="shared" si="173"/>
        <v>0.20382298769005619</v>
      </c>
      <c r="S129" s="1502"/>
    </row>
    <row r="130" spans="4:19" x14ac:dyDescent="0.3">
      <c r="D130" s="37" t="s">
        <v>63</v>
      </c>
      <c r="E130" s="73"/>
      <c r="F130" s="38"/>
      <c r="G130" s="38"/>
      <c r="H130" s="50">
        <f t="shared" ref="H130:R130" si="174">IFERROR(H110/H9,"")</f>
        <v>0.23587493143170599</v>
      </c>
      <c r="I130" s="50">
        <f t="shared" si="174"/>
        <v>0.19801665317451139</v>
      </c>
      <c r="J130" s="50">
        <f t="shared" si="174"/>
        <v>0.24553677970668616</v>
      </c>
      <c r="K130" s="51">
        <f t="shared" si="174"/>
        <v>0.2196547574504232</v>
      </c>
      <c r="L130" s="52">
        <f t="shared" si="174"/>
        <v>0.19338078661609601</v>
      </c>
      <c r="M130" s="51">
        <f t="shared" si="174"/>
        <v>0.21537406673777237</v>
      </c>
      <c r="N130" s="50">
        <f t="shared" si="174"/>
        <v>0.22168151072751202</v>
      </c>
      <c r="O130" s="50">
        <f t="shared" si="174"/>
        <v>0.2192010918062044</v>
      </c>
      <c r="P130" s="50">
        <f t="shared" si="174"/>
        <v>0.22361458662325989</v>
      </c>
      <c r="Q130" s="50">
        <f t="shared" si="174"/>
        <v>0.23324400984125493</v>
      </c>
      <c r="R130" s="50">
        <f t="shared" si="174"/>
        <v>0.23234031177423936</v>
      </c>
      <c r="S130" s="1503"/>
    </row>
    <row r="131" spans="4:19" x14ac:dyDescent="0.3">
      <c r="D131" s="22" t="s">
        <v>64</v>
      </c>
      <c r="E131" s="18"/>
      <c r="F131" s="18"/>
      <c r="G131" s="18"/>
      <c r="H131" s="81">
        <f t="shared" ref="H131:R131" si="175">IFERROR(H111/H10,"")</f>
        <v>0</v>
      </c>
      <c r="I131" s="53">
        <f t="shared" si="175"/>
        <v>0.20446056984313307</v>
      </c>
      <c r="J131" s="53">
        <f t="shared" si="175"/>
        <v>0.23071698768824975</v>
      </c>
      <c r="K131" s="54">
        <f t="shared" si="175"/>
        <v>0.21947903470012051</v>
      </c>
      <c r="L131" s="55">
        <f t="shared" si="175"/>
        <v>0.18689684752305383</v>
      </c>
      <c r="M131" s="54">
        <f t="shared" si="175"/>
        <v>0.21422832012856291</v>
      </c>
      <c r="N131" s="53">
        <f t="shared" si="175"/>
        <v>0.21052589494894572</v>
      </c>
      <c r="O131" s="53">
        <f t="shared" si="175"/>
        <v>0.20639149437705642</v>
      </c>
      <c r="P131" s="53">
        <f t="shared" si="175"/>
        <v>0.20414348540242674</v>
      </c>
      <c r="Q131" s="53">
        <f t="shared" si="175"/>
        <v>0.20196252204182694</v>
      </c>
      <c r="R131" s="53">
        <f t="shared" si="175"/>
        <v>0.19983853648213321</v>
      </c>
      <c r="S131" s="53"/>
    </row>
    <row r="132" spans="4:19" x14ac:dyDescent="0.3">
      <c r="D132" s="22" t="s">
        <v>67</v>
      </c>
      <c r="E132" s="18"/>
      <c r="F132" s="18"/>
      <c r="G132" s="18"/>
      <c r="H132" s="81" t="str">
        <f t="shared" ref="H132:R132" si="176">IFERROR(H112/H11,"")</f>
        <v/>
      </c>
      <c r="I132" s="53" t="str">
        <f t="shared" si="176"/>
        <v/>
      </c>
      <c r="J132" s="53" t="str">
        <f t="shared" si="176"/>
        <v/>
      </c>
      <c r="K132" s="54" t="str">
        <f t="shared" si="176"/>
        <v/>
      </c>
      <c r="L132" s="55" t="str">
        <f t="shared" si="176"/>
        <v/>
      </c>
      <c r="M132" s="54" t="str">
        <f t="shared" si="176"/>
        <v/>
      </c>
      <c r="N132" s="53">
        <f t="shared" si="176"/>
        <v>0.4</v>
      </c>
      <c r="O132" s="53">
        <f t="shared" si="176"/>
        <v>0.40004447409384036</v>
      </c>
      <c r="P132" s="53">
        <f t="shared" si="176"/>
        <v>0.39998265093684943</v>
      </c>
      <c r="Q132" s="53">
        <f t="shared" si="176"/>
        <v>0.40001353683711799</v>
      </c>
      <c r="R132" s="53">
        <f t="shared" si="176"/>
        <v>0.40001128063397162</v>
      </c>
      <c r="S132" s="53"/>
    </row>
    <row r="133" spans="4:19" x14ac:dyDescent="0.3">
      <c r="D133" s="22" t="s">
        <v>71</v>
      </c>
      <c r="E133" s="18"/>
      <c r="F133" s="18"/>
      <c r="G133" s="18"/>
      <c r="H133" s="81">
        <f t="shared" ref="H133:R133" si="177">IFERROR(H113/H12,"")</f>
        <v>0</v>
      </c>
      <c r="I133" s="53">
        <f t="shared" si="177"/>
        <v>-0.77452415812591513</v>
      </c>
      <c r="J133" s="53">
        <f t="shared" si="177"/>
        <v>1</v>
      </c>
      <c r="K133" s="54">
        <f t="shared" si="177"/>
        <v>0.99940011997600475</v>
      </c>
      <c r="L133" s="55">
        <f t="shared" si="177"/>
        <v>1</v>
      </c>
      <c r="M133" s="54">
        <f t="shared" si="177"/>
        <v>0.99949748743718592</v>
      </c>
      <c r="N133" s="53">
        <f t="shared" si="177"/>
        <v>1</v>
      </c>
      <c r="O133" s="53">
        <f t="shared" si="177"/>
        <v>1</v>
      </c>
      <c r="P133" s="53">
        <f t="shared" si="177"/>
        <v>1</v>
      </c>
      <c r="Q133" s="53">
        <f t="shared" si="177"/>
        <v>1</v>
      </c>
      <c r="R133" s="53">
        <f t="shared" si="177"/>
        <v>1</v>
      </c>
      <c r="S133" s="53"/>
    </row>
    <row r="134" spans="4:19" x14ac:dyDescent="0.3">
      <c r="D134" s="22" t="s">
        <v>73</v>
      </c>
      <c r="E134" s="18"/>
      <c r="F134" s="18"/>
      <c r="G134" s="18"/>
      <c r="H134" s="81" t="str">
        <f t="shared" ref="H134:R134" si="178">IFERROR(H114/H13,"")</f>
        <v/>
      </c>
      <c r="I134" s="53" t="str">
        <f t="shared" si="178"/>
        <v/>
      </c>
      <c r="J134" s="53">
        <f t="shared" si="178"/>
        <v>-1.0886524822695036</v>
      </c>
      <c r="K134" s="54">
        <f t="shared" si="178"/>
        <v>-9.5725190839694658</v>
      </c>
      <c r="L134" s="55">
        <f t="shared" si="178"/>
        <v>-0.31985294117647056</v>
      </c>
      <c r="M134" s="54">
        <f t="shared" si="178"/>
        <v>-3.3275434243176178</v>
      </c>
      <c r="N134" s="53">
        <f t="shared" si="178"/>
        <v>-6.1614294516327786E-2</v>
      </c>
      <c r="O134" s="53">
        <f t="shared" si="178"/>
        <v>7.7409931840311585E-2</v>
      </c>
      <c r="P134" s="53">
        <f t="shared" si="178"/>
        <v>0.22416302765647744</v>
      </c>
      <c r="Q134" s="53">
        <f t="shared" si="178"/>
        <v>0.27978142076502732</v>
      </c>
      <c r="R134" s="53">
        <f t="shared" si="178"/>
        <v>0.31938255887969447</v>
      </c>
      <c r="S134" s="53"/>
    </row>
    <row r="135" spans="4:19" x14ac:dyDescent="0.3">
      <c r="D135" s="37" t="s">
        <v>76</v>
      </c>
      <c r="E135" s="73"/>
      <c r="F135" s="38"/>
      <c r="G135" s="38"/>
      <c r="H135" s="50">
        <f t="shared" ref="H135:R135" si="179">IFERROR(H115/H14,"")</f>
        <v>0.11892204866137174</v>
      </c>
      <c r="I135" s="50">
        <f t="shared" si="179"/>
        <v>0.16955507196979627</v>
      </c>
      <c r="J135" s="50">
        <f t="shared" si="179"/>
        <v>0.24024755571649603</v>
      </c>
      <c r="K135" s="51">
        <f t="shared" si="179"/>
        <v>0.21864694242909638</v>
      </c>
      <c r="L135" s="52">
        <f t="shared" si="179"/>
        <v>0.12700876095118899</v>
      </c>
      <c r="M135" s="51">
        <f t="shared" si="179"/>
        <v>0.20119375661476557</v>
      </c>
      <c r="N135" s="50">
        <f t="shared" si="179"/>
        <v>0.20466778578004008</v>
      </c>
      <c r="O135" s="50">
        <f t="shared" si="179"/>
        <v>0.1627388025271404</v>
      </c>
      <c r="P135" s="50">
        <f t="shared" si="179"/>
        <v>0.15707329337197148</v>
      </c>
      <c r="Q135" s="50">
        <f t="shared" si="179"/>
        <v>0.147978382066069</v>
      </c>
      <c r="R135" s="50">
        <f t="shared" si="179"/>
        <v>0.141810464730216</v>
      </c>
      <c r="S135" s="1503"/>
    </row>
    <row r="136" spans="4:19" x14ac:dyDescent="0.3">
      <c r="D136" s="22" t="s">
        <v>77</v>
      </c>
      <c r="E136" s="18"/>
      <c r="F136" s="18"/>
      <c r="G136" s="18"/>
      <c r="H136" s="53">
        <f t="shared" ref="H136:R136" si="180">IFERROR(H116/H15,"")</f>
        <v>0.51564763836569105</v>
      </c>
      <c r="I136" s="53">
        <f t="shared" si="180"/>
        <v>0.67108251324753976</v>
      </c>
      <c r="J136" s="53">
        <f t="shared" si="180"/>
        <v>0.71607284243863811</v>
      </c>
      <c r="K136" s="54">
        <f t="shared" si="180"/>
        <v>0.71204092819294718</v>
      </c>
      <c r="L136" s="55">
        <f t="shared" si="180"/>
        <v>0.57771260997067453</v>
      </c>
      <c r="M136" s="54">
        <f t="shared" si="180"/>
        <v>0.6971567831031682</v>
      </c>
      <c r="N136" s="53">
        <f t="shared" si="180"/>
        <v>0.62155996007414804</v>
      </c>
      <c r="O136" s="53">
        <f t="shared" si="180"/>
        <v>0.68127883981542514</v>
      </c>
      <c r="P136" s="53">
        <f t="shared" si="180"/>
        <v>0.69983197311569856</v>
      </c>
      <c r="Q136" s="53">
        <f t="shared" si="180"/>
        <v>0.68978764272756377</v>
      </c>
      <c r="R136" s="53">
        <f t="shared" si="180"/>
        <v>0.68101908432828806</v>
      </c>
      <c r="S136" s="53"/>
    </row>
    <row r="137" spans="4:19" x14ac:dyDescent="0.3">
      <c r="D137" s="22" t="s">
        <v>80</v>
      </c>
      <c r="E137" s="18"/>
      <c r="F137" s="18"/>
      <c r="G137" s="18"/>
      <c r="H137" s="53">
        <f t="shared" ref="H137:R137" si="181">IFERROR(H117/H16,"")</f>
        <v>8.323753149230731E-2</v>
      </c>
      <c r="I137" s="53">
        <f t="shared" si="181"/>
        <v>9.1447848285922687E-2</v>
      </c>
      <c r="J137" s="53">
        <f t="shared" si="181"/>
        <v>9.5668540578023237E-2</v>
      </c>
      <c r="K137" s="54">
        <f t="shared" si="181"/>
        <v>0.11340583243928606</v>
      </c>
      <c r="L137" s="55">
        <f t="shared" si="181"/>
        <v>9.5951322256026206E-2</v>
      </c>
      <c r="M137" s="54">
        <f t="shared" si="181"/>
        <v>0.10924931730787094</v>
      </c>
      <c r="N137" s="53">
        <f t="shared" si="181"/>
        <v>0.16610993546581787</v>
      </c>
      <c r="O137" s="53">
        <f t="shared" si="181"/>
        <v>0.11533436928450612</v>
      </c>
      <c r="P137" s="53">
        <f t="shared" si="181"/>
        <v>0.10738014345035862</v>
      </c>
      <c r="Q137" s="53">
        <f t="shared" si="181"/>
        <v>0.10050638730102242</v>
      </c>
      <c r="R137" s="53">
        <f t="shared" si="181"/>
        <v>9.6055641987736792E-2</v>
      </c>
      <c r="S137" s="53"/>
    </row>
    <row r="138" spans="4:19" x14ac:dyDescent="0.3">
      <c r="D138" s="22" t="s">
        <v>83</v>
      </c>
      <c r="E138" s="18"/>
      <c r="F138" s="18"/>
      <c r="G138" s="18"/>
      <c r="H138" s="53">
        <f t="shared" ref="H138:R138" si="182">IFERROR(H118/H17,"")</f>
        <v>4.6201232032854209E-3</v>
      </c>
      <c r="I138" s="53">
        <f t="shared" si="182"/>
        <v>4.6039922730199613E-2</v>
      </c>
      <c r="J138" s="53">
        <f t="shared" si="182"/>
        <v>0.16921768707482993</v>
      </c>
      <c r="K138" s="54">
        <f t="shared" si="182"/>
        <v>0.16942024632021629</v>
      </c>
      <c r="L138" s="55">
        <f t="shared" si="182"/>
        <v>0.12354867520095267</v>
      </c>
      <c r="M138" s="54">
        <f t="shared" si="182"/>
        <v>0.16281661166588093</v>
      </c>
      <c r="N138" s="53">
        <f t="shared" si="182"/>
        <v>0.19696809074525601</v>
      </c>
      <c r="O138" s="53">
        <f t="shared" si="182"/>
        <v>0.19950980392156864</v>
      </c>
      <c r="P138" s="53">
        <f t="shared" si="182"/>
        <v>0.19963738920225624</v>
      </c>
      <c r="Q138" s="53">
        <f t="shared" si="182"/>
        <v>0.19963235294117648</v>
      </c>
      <c r="R138" s="53">
        <f t="shared" si="182"/>
        <v>0.19959893048128341</v>
      </c>
      <c r="S138" s="53"/>
    </row>
    <row r="139" spans="4:19" x14ac:dyDescent="0.3">
      <c r="D139" s="22" t="s">
        <v>85</v>
      </c>
      <c r="E139" s="18"/>
      <c r="F139" s="18"/>
      <c r="G139" s="18"/>
      <c r="H139" s="53">
        <f t="shared" ref="H139:R139" si="183">IFERROR(H119/H18,"")</f>
        <v>0.15014305261848487</v>
      </c>
      <c r="I139" s="53">
        <f t="shared" si="183"/>
        <v>0.11604461604461605</v>
      </c>
      <c r="J139" s="53">
        <f t="shared" si="183"/>
        <v>0.25895186151292388</v>
      </c>
      <c r="K139" s="54">
        <f t="shared" si="183"/>
        <v>0.21083872957138453</v>
      </c>
      <c r="L139" s="55">
        <f t="shared" si="183"/>
        <v>4.2745581586518699E-2</v>
      </c>
      <c r="M139" s="54">
        <f t="shared" si="183"/>
        <v>0.18429081467056149</v>
      </c>
      <c r="N139" s="53">
        <f t="shared" si="183"/>
        <v>0.17012292891501871</v>
      </c>
      <c r="O139" s="53">
        <f t="shared" si="183"/>
        <v>0.16919451585261353</v>
      </c>
      <c r="P139" s="53">
        <f t="shared" si="183"/>
        <v>0.16898165342048577</v>
      </c>
      <c r="Q139" s="53">
        <f t="shared" si="183"/>
        <v>0.16890575670047692</v>
      </c>
      <c r="R139" s="53">
        <f t="shared" si="183"/>
        <v>0.16875374475733973</v>
      </c>
      <c r="S139" s="53"/>
    </row>
    <row r="140" spans="4:19" x14ac:dyDescent="0.3">
      <c r="D140" s="37" t="s">
        <v>88</v>
      </c>
      <c r="E140" s="73"/>
      <c r="F140" s="38"/>
      <c r="G140" s="38"/>
      <c r="H140" s="50">
        <f t="shared" ref="H140:R140" si="184">IFERROR(H120/H19,"")</f>
        <v>0.10979430595286746</v>
      </c>
      <c r="I140" s="50">
        <f t="shared" si="184"/>
        <v>6.2859884836852203E-2</v>
      </c>
      <c r="J140" s="50">
        <f t="shared" si="184"/>
        <v>0.12517037710131759</v>
      </c>
      <c r="K140" s="51">
        <f t="shared" si="184"/>
        <v>-1.3194170933438361E-2</v>
      </c>
      <c r="L140" s="52">
        <f t="shared" si="184"/>
        <v>-0.16253443526170799</v>
      </c>
      <c r="M140" s="51">
        <f t="shared" si="184"/>
        <v>-5.8020948180815879E-2</v>
      </c>
      <c r="N140" s="50">
        <f t="shared" si="184"/>
        <v>1.0091933365590654E-2</v>
      </c>
      <c r="O140" s="50">
        <f t="shared" si="184"/>
        <v>9.8121466350538034E-2</v>
      </c>
      <c r="P140" s="50">
        <f t="shared" si="184"/>
        <v>0.10857104548654174</v>
      </c>
      <c r="Q140" s="50">
        <f t="shared" si="184"/>
        <v>0.11834560721758744</v>
      </c>
      <c r="R140" s="50">
        <f t="shared" si="184"/>
        <v>0.13899708976942018</v>
      </c>
      <c r="S140" s="1503"/>
    </row>
    <row r="141" spans="4:19" x14ac:dyDescent="0.3">
      <c r="D141" s="22" t="s">
        <v>89</v>
      </c>
      <c r="E141" s="18"/>
      <c r="F141" s="18"/>
      <c r="G141" s="18"/>
      <c r="H141" s="53">
        <f t="shared" ref="H141:R141" si="185">IFERROR(H121/H20,"")</f>
        <v>0.10979430595286746</v>
      </c>
      <c r="I141" s="53">
        <f t="shared" si="185"/>
        <v>6.2859884836852203E-2</v>
      </c>
      <c r="J141" s="53">
        <f t="shared" si="185"/>
        <v>0.12517037710131759</v>
      </c>
      <c r="K141" s="54">
        <f t="shared" si="185"/>
        <v>-1.3194170933438361E-2</v>
      </c>
      <c r="L141" s="55">
        <f t="shared" si="185"/>
        <v>-0.16253443526170799</v>
      </c>
      <c r="M141" s="54">
        <f t="shared" si="185"/>
        <v>-5.8020948180815879E-2</v>
      </c>
      <c r="N141" s="53">
        <f t="shared" si="185"/>
        <v>0.18437929454878607</v>
      </c>
      <c r="O141" s="53">
        <f t="shared" si="185"/>
        <v>0.14333449356073791</v>
      </c>
      <c r="P141" s="53">
        <f t="shared" si="185"/>
        <v>0.14356624665903017</v>
      </c>
      <c r="Q141" s="53">
        <f t="shared" si="185"/>
        <v>0.14540827715523014</v>
      </c>
      <c r="R141" s="53">
        <f t="shared" si="185"/>
        <v>0.14806172374858864</v>
      </c>
      <c r="S141" s="53"/>
    </row>
    <row r="142" spans="4:19" x14ac:dyDescent="0.3">
      <c r="D142" s="22" t="s">
        <v>92</v>
      </c>
      <c r="E142" s="18"/>
      <c r="F142" s="18"/>
      <c r="G142" s="18"/>
      <c r="H142" s="53" t="str">
        <f t="shared" ref="H142:R142" si="186">IFERROR(H122/H21,"")</f>
        <v/>
      </c>
      <c r="I142" s="53" t="str">
        <f t="shared" si="186"/>
        <v/>
      </c>
      <c r="J142" s="53" t="str">
        <f t="shared" si="186"/>
        <v/>
      </c>
      <c r="K142" s="54" t="str">
        <f t="shared" si="186"/>
        <v/>
      </c>
      <c r="L142" s="55" t="str">
        <f t="shared" si="186"/>
        <v/>
      </c>
      <c r="M142" s="54" t="str">
        <f t="shared" si="186"/>
        <v/>
      </c>
      <c r="N142" s="53">
        <f t="shared" si="186"/>
        <v>-0.25527462946817786</v>
      </c>
      <c r="O142" s="53">
        <f t="shared" si="186"/>
        <v>4.8352490421455938E-2</v>
      </c>
      <c r="P142" s="53">
        <f t="shared" si="186"/>
        <v>5.2782608695652176E-2</v>
      </c>
      <c r="Q142" s="53">
        <f t="shared" si="186"/>
        <v>7.6249999999999998E-2</v>
      </c>
      <c r="R142" s="53">
        <f t="shared" si="186"/>
        <v>0.12569060773480664</v>
      </c>
      <c r="S142" s="53"/>
    </row>
    <row r="143" spans="4:19" x14ac:dyDescent="0.3">
      <c r="D143" s="37" t="s">
        <v>94</v>
      </c>
      <c r="E143" s="73"/>
      <c r="F143" s="38"/>
      <c r="G143" s="38"/>
      <c r="H143" s="50">
        <f t="shared" ref="H143:R143" si="187">IFERROR(H123/H22,"")</f>
        <v>0.11546507364834264</v>
      </c>
      <c r="I143" s="50">
        <f t="shared" si="187"/>
        <v>0.27024075217246785</v>
      </c>
      <c r="J143" s="50">
        <f t="shared" si="187"/>
        <v>0.26620618741058655</v>
      </c>
      <c r="K143" s="51">
        <f t="shared" si="187"/>
        <v>0.2935640919076174</v>
      </c>
      <c r="L143" s="52">
        <f t="shared" si="187"/>
        <v>0.25544227059796087</v>
      </c>
      <c r="M143" s="51">
        <f t="shared" si="187"/>
        <v>0.28680636967565454</v>
      </c>
      <c r="N143" s="50">
        <f t="shared" si="187"/>
        <v>0.28093429548044058</v>
      </c>
      <c r="O143" s="50">
        <f t="shared" si="187"/>
        <v>0.27692214955242772</v>
      </c>
      <c r="P143" s="50">
        <f t="shared" si="187"/>
        <v>0.27495261771728163</v>
      </c>
      <c r="Q143" s="50">
        <f t="shared" si="187"/>
        <v>0.27726164788619834</v>
      </c>
      <c r="R143" s="50">
        <f t="shared" si="187"/>
        <v>0.27662811387900355</v>
      </c>
      <c r="S143" s="1503"/>
    </row>
    <row r="144" spans="4:19" x14ac:dyDescent="0.3">
      <c r="D144" s="22" t="s">
        <v>96</v>
      </c>
      <c r="E144" s="18"/>
      <c r="F144" s="18"/>
      <c r="G144" s="18"/>
      <c r="H144" s="53">
        <f t="shared" ref="H144:R144" si="188">IFERROR(H124/H23,"")</f>
        <v>0.18059075843244296</v>
      </c>
      <c r="I144" s="53">
        <f t="shared" si="188"/>
        <v>0.40873287671232877</v>
      </c>
      <c r="J144" s="53">
        <f t="shared" si="188"/>
        <v>0.35187424425634822</v>
      </c>
      <c r="K144" s="54">
        <f t="shared" si="188"/>
        <v>0.36076972833117721</v>
      </c>
      <c r="L144" s="55">
        <f t="shared" si="188"/>
        <v>0.23703290574456218</v>
      </c>
      <c r="M144" s="54">
        <f t="shared" si="188"/>
        <v>0.34072635287740538</v>
      </c>
      <c r="N144" s="53">
        <f t="shared" si="188"/>
        <v>0.31725221182202845</v>
      </c>
      <c r="O144" s="53">
        <f t="shared" si="188"/>
        <v>0.30074800680820568</v>
      </c>
      <c r="P144" s="53">
        <f t="shared" si="188"/>
        <v>0.29185812380608189</v>
      </c>
      <c r="Q144" s="53">
        <f t="shared" si="188"/>
        <v>0.29328856334366832</v>
      </c>
      <c r="R144" s="53">
        <f t="shared" si="188"/>
        <v>0.29106525957124602</v>
      </c>
      <c r="S144" s="53"/>
    </row>
    <row r="145" spans="4:19" x14ac:dyDescent="0.3">
      <c r="D145" s="22" t="s">
        <v>98</v>
      </c>
      <c r="E145" s="18"/>
      <c r="F145" s="18"/>
      <c r="G145" s="18"/>
      <c r="H145" s="53">
        <f t="shared" ref="H145:R145" si="189">IFERROR(H125/H24,"")</f>
        <v>-5.9011482775836246E-2</v>
      </c>
      <c r="I145" s="53">
        <f t="shared" si="189"/>
        <v>0.21801835549728413</v>
      </c>
      <c r="J145" s="53">
        <f t="shared" si="189"/>
        <v>0.18828596037898362</v>
      </c>
      <c r="K145" s="54">
        <f t="shared" si="189"/>
        <v>0.20598723723723725</v>
      </c>
      <c r="L145" s="55">
        <f t="shared" si="189"/>
        <v>0.31388235294117645</v>
      </c>
      <c r="M145" s="54">
        <f t="shared" si="189"/>
        <v>0.2239261403646037</v>
      </c>
      <c r="N145" s="53">
        <f t="shared" si="189"/>
        <v>0.26248023492206912</v>
      </c>
      <c r="O145" s="53">
        <f t="shared" si="189"/>
        <v>0.26249625860520803</v>
      </c>
      <c r="P145" s="53">
        <f t="shared" si="189"/>
        <v>0.26250972258231786</v>
      </c>
      <c r="Q145" s="53">
        <f t="shared" si="189"/>
        <v>0.26246839806940936</v>
      </c>
      <c r="R145" s="53">
        <f t="shared" si="189"/>
        <v>0.26248796662744678</v>
      </c>
      <c r="S145" s="53"/>
    </row>
    <row r="146" spans="4:19" x14ac:dyDescent="0.3">
      <c r="D146" s="22" t="s">
        <v>100</v>
      </c>
      <c r="E146" s="18"/>
      <c r="F146" s="18"/>
      <c r="G146" s="18"/>
      <c r="H146" s="53">
        <f t="shared" ref="H146:R146" si="190">IFERROR(H126/H25,"")</f>
        <v>0.34452456061288866</v>
      </c>
      <c r="I146" s="53">
        <f t="shared" si="190"/>
        <v>0.1268754076973255</v>
      </c>
      <c r="J146" s="53">
        <f t="shared" si="190"/>
        <v>0.24484073575594437</v>
      </c>
      <c r="K146" s="54">
        <f t="shared" si="190"/>
        <v>0.22455499771793702</v>
      </c>
      <c r="L146" s="55">
        <f t="shared" si="190"/>
        <v>0.2178409825468649</v>
      </c>
      <c r="M146" s="54">
        <f t="shared" si="190"/>
        <v>0.22280317085511891</v>
      </c>
      <c r="N146" s="53">
        <f t="shared" si="190"/>
        <v>0.17243064890626911</v>
      </c>
      <c r="O146" s="53">
        <f t="shared" si="190"/>
        <v>0.17250059937664827</v>
      </c>
      <c r="P146" s="53">
        <f t="shared" si="190"/>
        <v>0.1725612125923047</v>
      </c>
      <c r="Q146" s="53">
        <f t="shared" si="190"/>
        <v>0.17249179957018437</v>
      </c>
      <c r="R146" s="53">
        <f t="shared" si="190"/>
        <v>0.1724776639790804</v>
      </c>
      <c r="S146" s="53"/>
    </row>
    <row r="147" spans="4:19" x14ac:dyDescent="0.3">
      <c r="D147" s="22" t="s">
        <v>103</v>
      </c>
      <c r="E147" s="18"/>
      <c r="F147" s="18"/>
      <c r="G147" s="18"/>
      <c r="H147" s="53">
        <f t="shared" ref="H147:R147" si="191">IFERROR(H127/H26,"")</f>
        <v>0.94007220216606502</v>
      </c>
      <c r="I147" s="53">
        <f t="shared" si="191"/>
        <v>-4.6818181818181817</v>
      </c>
      <c r="J147" s="53">
        <f t="shared" si="191"/>
        <v>0.2132701421800948</v>
      </c>
      <c r="K147" s="54">
        <f t="shared" si="191"/>
        <v>0.17708333333333334</v>
      </c>
      <c r="L147" s="55" t="str">
        <f t="shared" si="191"/>
        <v/>
      </c>
      <c r="M147" s="54">
        <f t="shared" si="191"/>
        <v>0.17708333333333334</v>
      </c>
      <c r="N147" s="53" t="str">
        <f t="shared" si="191"/>
        <v/>
      </c>
      <c r="O147" s="53" t="str">
        <f t="shared" si="191"/>
        <v/>
      </c>
      <c r="P147" s="53" t="str">
        <f t="shared" si="191"/>
        <v/>
      </c>
      <c r="Q147" s="53" t="str">
        <f t="shared" si="191"/>
        <v/>
      </c>
      <c r="R147" s="53" t="str">
        <f t="shared" si="191"/>
        <v/>
      </c>
      <c r="S147" s="53"/>
    </row>
    <row r="149" spans="4:19" x14ac:dyDescent="0.3">
      <c r="D149" s="76" t="s">
        <v>126</v>
      </c>
      <c r="E149" s="77"/>
      <c r="F149" s="76"/>
      <c r="G149" s="76"/>
      <c r="H149" s="82">
        <f>H109/H$109</f>
        <v>1</v>
      </c>
      <c r="I149" s="82">
        <f t="shared" ref="I149:R149" si="192">I109/I$109</f>
        <v>1</v>
      </c>
      <c r="J149" s="82">
        <f t="shared" si="192"/>
        <v>1</v>
      </c>
      <c r="K149" s="83">
        <f t="shared" si="192"/>
        <v>1</v>
      </c>
      <c r="L149" s="84">
        <f t="shared" si="192"/>
        <v>1</v>
      </c>
      <c r="M149" s="83">
        <f t="shared" si="192"/>
        <v>1</v>
      </c>
      <c r="N149" s="82">
        <f t="shared" si="192"/>
        <v>1</v>
      </c>
      <c r="O149" s="82">
        <f t="shared" si="192"/>
        <v>1</v>
      </c>
      <c r="P149" s="82">
        <f t="shared" si="192"/>
        <v>1</v>
      </c>
      <c r="Q149" s="82">
        <f t="shared" si="192"/>
        <v>1</v>
      </c>
      <c r="R149" s="82">
        <f t="shared" si="192"/>
        <v>1</v>
      </c>
      <c r="S149" s="1502"/>
    </row>
    <row r="150" spans="4:19" x14ac:dyDescent="0.3">
      <c r="D150" s="37" t="s">
        <v>63</v>
      </c>
      <c r="E150" s="73"/>
      <c r="F150" s="38"/>
      <c r="G150" s="38"/>
      <c r="H150" s="50">
        <f t="shared" ref="H150:R167" si="193">H110/H$109</f>
        <v>0.49089960206145217</v>
      </c>
      <c r="I150" s="50">
        <f t="shared" si="193"/>
        <v>0.45533518005540169</v>
      </c>
      <c r="J150" s="50">
        <f t="shared" si="193"/>
        <v>0.53602460462849366</v>
      </c>
      <c r="K150" s="51">
        <f t="shared" si="193"/>
        <v>0.43349232642145807</v>
      </c>
      <c r="L150" s="52">
        <f t="shared" si="193"/>
        <v>0.47970099239592728</v>
      </c>
      <c r="M150" s="51">
        <f t="shared" si="193"/>
        <v>0.43968824525628175</v>
      </c>
      <c r="N150" s="50">
        <f t="shared" si="193"/>
        <v>0.46126412991561855</v>
      </c>
      <c r="O150" s="50">
        <f t="shared" si="193"/>
        <v>0.4949561461268997</v>
      </c>
      <c r="P150" s="50">
        <f t="shared" si="193"/>
        <v>0.48269388097585536</v>
      </c>
      <c r="Q150" s="50">
        <f t="shared" si="193"/>
        <v>0.49858470814839628</v>
      </c>
      <c r="R150" s="50">
        <f t="shared" si="193"/>
        <v>0.50223926956471487</v>
      </c>
      <c r="S150" s="1503"/>
    </row>
    <row r="151" spans="4:19" x14ac:dyDescent="0.3">
      <c r="D151" s="22" t="s">
        <v>64</v>
      </c>
      <c r="E151" s="18"/>
      <c r="F151" s="18"/>
      <c r="G151" s="18"/>
      <c r="H151" s="81">
        <f t="shared" si="193"/>
        <v>0</v>
      </c>
      <c r="I151" s="53">
        <f t="shared" si="193"/>
        <v>0.46705817174515235</v>
      </c>
      <c r="J151" s="53">
        <f t="shared" si="193"/>
        <v>0.49100015125796204</v>
      </c>
      <c r="K151" s="54">
        <f t="shared" si="193"/>
        <v>0.42526992236613648</v>
      </c>
      <c r="L151" s="55">
        <f t="shared" si="193"/>
        <v>0.44928470163680889</v>
      </c>
      <c r="M151" s="54">
        <f t="shared" si="193"/>
        <v>0.42848995956174613</v>
      </c>
      <c r="N151" s="53">
        <f t="shared" si="193"/>
        <v>0.41918484317783794</v>
      </c>
      <c r="O151" s="53">
        <f t="shared" si="193"/>
        <v>0.44277925566939713</v>
      </c>
      <c r="P151" s="53">
        <f t="shared" si="193"/>
        <v>0.40410312349226996</v>
      </c>
      <c r="Q151" s="53">
        <f t="shared" si="193"/>
        <v>0.37023699857633363</v>
      </c>
      <c r="R151" s="53">
        <f t="shared" si="193"/>
        <v>0.36833817304497318</v>
      </c>
      <c r="S151" s="53"/>
    </row>
    <row r="152" spans="4:19" x14ac:dyDescent="0.3">
      <c r="D152" s="22" t="s">
        <v>67</v>
      </c>
      <c r="E152" s="18"/>
      <c r="F152" s="18"/>
      <c r="G152" s="18"/>
      <c r="H152" s="81">
        <f t="shared" si="193"/>
        <v>0</v>
      </c>
      <c r="I152" s="53">
        <f t="shared" si="193"/>
        <v>0</v>
      </c>
      <c r="J152" s="53">
        <f t="shared" si="193"/>
        <v>0</v>
      </c>
      <c r="K152" s="54">
        <f t="shared" si="193"/>
        <v>0</v>
      </c>
      <c r="L152" s="55">
        <f t="shared" si="193"/>
        <v>0</v>
      </c>
      <c r="M152" s="54">
        <f t="shared" si="193"/>
        <v>0</v>
      </c>
      <c r="N152" s="53">
        <f t="shared" si="193"/>
        <v>1.3405508676962268E-2</v>
      </c>
      <c r="O152" s="53">
        <f t="shared" si="193"/>
        <v>2.369162693918403E-2</v>
      </c>
      <c r="P152" s="53">
        <f t="shared" si="193"/>
        <v>4.8362736254746075E-2</v>
      </c>
      <c r="Q152" s="53">
        <f t="shared" si="193"/>
        <v>9.8986684532283722E-2</v>
      </c>
      <c r="R152" s="53">
        <f t="shared" si="193"/>
        <v>0.10245741776101937</v>
      </c>
      <c r="S152" s="53"/>
    </row>
    <row r="153" spans="4:19" x14ac:dyDescent="0.3">
      <c r="D153" s="22" t="s">
        <v>71</v>
      </c>
      <c r="E153" s="18"/>
      <c r="F153" s="18"/>
      <c r="G153" s="18"/>
      <c r="H153" s="81">
        <f t="shared" si="193"/>
        <v>0</v>
      </c>
      <c r="I153" s="53">
        <f t="shared" si="193"/>
        <v>-1.1722991689750693E-2</v>
      </c>
      <c r="J153" s="53">
        <f t="shared" si="193"/>
        <v>5.0184030520495457E-2</v>
      </c>
      <c r="K153" s="54">
        <f t="shared" si="193"/>
        <v>3.3248847466421858E-2</v>
      </c>
      <c r="L153" s="55">
        <f t="shared" si="193"/>
        <v>4.162907591184431E-2</v>
      </c>
      <c r="M153" s="54">
        <f t="shared" si="193"/>
        <v>3.4372515812394151E-2</v>
      </c>
      <c r="N153" s="53">
        <f t="shared" si="193"/>
        <v>3.0265881229103647E-2</v>
      </c>
      <c r="O153" s="53">
        <f t="shared" si="193"/>
        <v>2.639133984776253E-2</v>
      </c>
      <c r="P153" s="53">
        <f t="shared" si="193"/>
        <v>2.2151832350905162E-2</v>
      </c>
      <c r="Q153" s="53">
        <f t="shared" si="193"/>
        <v>1.8641654802780336E-2</v>
      </c>
      <c r="R153" s="53">
        <f t="shared" si="193"/>
        <v>1.6946214189745588E-2</v>
      </c>
      <c r="S153" s="53"/>
    </row>
    <row r="154" spans="4:19" x14ac:dyDescent="0.3">
      <c r="D154" s="22" t="s">
        <v>73</v>
      </c>
      <c r="E154" s="18"/>
      <c r="F154" s="18"/>
      <c r="G154" s="18"/>
      <c r="H154" s="81">
        <f t="shared" si="193"/>
        <v>0</v>
      </c>
      <c r="I154" s="53">
        <f t="shared" si="193"/>
        <v>0</v>
      </c>
      <c r="J154" s="53">
        <f t="shared" si="193"/>
        <v>-5.1595771499638662E-3</v>
      </c>
      <c r="K154" s="54">
        <f t="shared" si="193"/>
        <v>-2.5026443411100247E-2</v>
      </c>
      <c r="L154" s="55">
        <f t="shared" si="193"/>
        <v>-1.1212785152725866E-2</v>
      </c>
      <c r="M154" s="54">
        <f t="shared" si="193"/>
        <v>-2.3174230117858501E-2</v>
      </c>
      <c r="N154" s="53">
        <f t="shared" si="193"/>
        <v>-1.5921031682853048E-3</v>
      </c>
      <c r="O154" s="53">
        <f t="shared" si="193"/>
        <v>2.0939236705560093E-3</v>
      </c>
      <c r="P154" s="53">
        <f t="shared" si="193"/>
        <v>8.076188877934173E-3</v>
      </c>
      <c r="Q154" s="53">
        <f t="shared" si="193"/>
        <v>1.0719370236998576E-2</v>
      </c>
      <c r="R154" s="53">
        <f t="shared" si="193"/>
        <v>1.4497464568976727E-2</v>
      </c>
      <c r="S154" s="53"/>
    </row>
    <row r="155" spans="4:19" x14ac:dyDescent="0.3">
      <c r="D155" s="37" t="s">
        <v>76</v>
      </c>
      <c r="E155" s="73"/>
      <c r="F155" s="38"/>
      <c r="G155" s="38"/>
      <c r="H155" s="50">
        <f t="shared" si="193"/>
        <v>0.30817404918781394</v>
      </c>
      <c r="I155" s="50">
        <f t="shared" si="193"/>
        <v>0.28662603878116344</v>
      </c>
      <c r="J155" s="50">
        <f t="shared" si="193"/>
        <v>0.24530680156636023</v>
      </c>
      <c r="K155" s="51">
        <f t="shared" si="193"/>
        <v>0.37048715748298638</v>
      </c>
      <c r="L155" s="52">
        <f t="shared" si="193"/>
        <v>0.32697512566052328</v>
      </c>
      <c r="M155" s="51">
        <f t="shared" si="193"/>
        <v>0.36465281858085924</v>
      </c>
      <c r="N155" s="50">
        <f t="shared" si="193"/>
        <v>0.3008756567425569</v>
      </c>
      <c r="O155" s="50">
        <f t="shared" si="193"/>
        <v>0.22761872152132115</v>
      </c>
      <c r="P155" s="50">
        <f t="shared" si="193"/>
        <v>0.24900883136498081</v>
      </c>
      <c r="Q155" s="50">
        <f t="shared" si="193"/>
        <v>0.23250984004689723</v>
      </c>
      <c r="R155" s="50">
        <f t="shared" si="193"/>
        <v>0.22831159074820498</v>
      </c>
      <c r="S155" s="1503"/>
    </row>
    <row r="156" spans="4:19" x14ac:dyDescent="0.3">
      <c r="D156" s="22" t="s">
        <v>77</v>
      </c>
      <c r="E156" s="18"/>
      <c r="F156" s="18"/>
      <c r="G156" s="18"/>
      <c r="H156" s="53">
        <f t="shared" si="193"/>
        <v>0.11608715506556201</v>
      </c>
      <c r="I156" s="53">
        <f t="shared" si="193"/>
        <v>0.1571634349030471</v>
      </c>
      <c r="J156" s="53">
        <f t="shared" si="193"/>
        <v>0.15199744542108537</v>
      </c>
      <c r="K156" s="54">
        <f t="shared" si="193"/>
        <v>0.15554712914363264</v>
      </c>
      <c r="L156" s="55">
        <f t="shared" si="193"/>
        <v>0.10155947931434463</v>
      </c>
      <c r="M156" s="54">
        <f t="shared" si="193"/>
        <v>0.14830816023226073</v>
      </c>
      <c r="N156" s="53">
        <f t="shared" si="193"/>
        <v>6.9399777105556434E-2</v>
      </c>
      <c r="O156" s="53">
        <f t="shared" si="193"/>
        <v>5.4442015434456238E-2</v>
      </c>
      <c r="P156" s="53">
        <f t="shared" si="193"/>
        <v>6.1158775775628789E-2</v>
      </c>
      <c r="Q156" s="53">
        <f t="shared" si="193"/>
        <v>5.4132819696842811E-2</v>
      </c>
      <c r="R156" s="53">
        <f t="shared" si="193"/>
        <v>5.2326673312240855E-2</v>
      </c>
      <c r="S156" s="53"/>
    </row>
    <row r="157" spans="4:19" x14ac:dyDescent="0.3">
      <c r="D157" s="22" t="s">
        <v>80</v>
      </c>
      <c r="E157" s="18"/>
      <c r="F157" s="18"/>
      <c r="G157" s="18"/>
      <c r="H157" s="53">
        <f t="shared" si="193"/>
        <v>0.11099876051927719</v>
      </c>
      <c r="I157" s="53">
        <f t="shared" si="193"/>
        <v>0.11113573407202217</v>
      </c>
      <c r="J157" s="53">
        <f t="shared" si="193"/>
        <v>6.4923278600359652E-2</v>
      </c>
      <c r="K157" s="54">
        <f t="shared" si="193"/>
        <v>9.2821362284710718E-2</v>
      </c>
      <c r="L157" s="55">
        <f t="shared" si="193"/>
        <v>0.15852558319371052</v>
      </c>
      <c r="M157" s="54">
        <f t="shared" si="193"/>
        <v>0.10163135519994471</v>
      </c>
      <c r="N157" s="53">
        <f t="shared" si="193"/>
        <v>0.15121795892373827</v>
      </c>
      <c r="O157" s="53">
        <f t="shared" si="193"/>
        <v>0.11045118128901414</v>
      </c>
      <c r="P157" s="53">
        <f t="shared" si="193"/>
        <v>0.11933880136770783</v>
      </c>
      <c r="Q157" s="53">
        <f t="shared" si="193"/>
        <v>0.11352483041621304</v>
      </c>
      <c r="R157" s="53">
        <f t="shared" si="193"/>
        <v>0.11372600008668141</v>
      </c>
      <c r="S157" s="53"/>
    </row>
    <row r="158" spans="4:19" x14ac:dyDescent="0.3">
      <c r="D158" s="22" t="s">
        <v>83</v>
      </c>
      <c r="E158" s="18"/>
      <c r="F158" s="18"/>
      <c r="G158" s="18"/>
      <c r="H158" s="53">
        <f t="shared" si="193"/>
        <v>2.3484897905929935E-3</v>
      </c>
      <c r="I158" s="53">
        <f t="shared" si="193"/>
        <v>6.3379501385041554E-3</v>
      </c>
      <c r="J158" s="53">
        <f t="shared" si="193"/>
        <v>1.0033444816053512E-2</v>
      </c>
      <c r="K158" s="54">
        <f t="shared" si="193"/>
        <v>6.7535474085457126E-2</v>
      </c>
      <c r="L158" s="55">
        <f t="shared" si="193"/>
        <v>5.3486274004382009E-2</v>
      </c>
      <c r="M158" s="54">
        <f t="shared" si="193"/>
        <v>6.5651678014723672E-2</v>
      </c>
      <c r="N158" s="53">
        <f t="shared" si="193"/>
        <v>2.9581276866740964E-2</v>
      </c>
      <c r="O158" s="53">
        <f t="shared" si="193"/>
        <v>1.0719835646745859E-2</v>
      </c>
      <c r="P158" s="53">
        <f t="shared" si="193"/>
        <v>2.0788319942942252E-2</v>
      </c>
      <c r="Q158" s="53">
        <f t="shared" si="193"/>
        <v>2.2736789213633698E-2</v>
      </c>
      <c r="R158" s="53">
        <f t="shared" si="193"/>
        <v>2.1569222323350526E-2</v>
      </c>
      <c r="S158" s="53"/>
    </row>
    <row r="159" spans="4:19" x14ac:dyDescent="0.3">
      <c r="D159" s="22" t="s">
        <v>85</v>
      </c>
      <c r="E159" s="18"/>
      <c r="F159" s="18"/>
      <c r="G159" s="18"/>
      <c r="H159" s="53">
        <f t="shared" si="193"/>
        <v>7.8739643812381757E-2</v>
      </c>
      <c r="I159" s="53">
        <f t="shared" si="193"/>
        <v>1.1988919667590027E-2</v>
      </c>
      <c r="J159" s="53">
        <f t="shared" si="193"/>
        <v>1.8352632728861701E-2</v>
      </c>
      <c r="K159" s="54">
        <f t="shared" si="193"/>
        <v>5.4583191969185943E-2</v>
      </c>
      <c r="L159" s="55">
        <f t="shared" si="193"/>
        <v>1.3403789148086093E-2</v>
      </c>
      <c r="M159" s="54">
        <f t="shared" si="193"/>
        <v>4.9061625133930115E-2</v>
      </c>
      <c r="N159" s="53">
        <f t="shared" si="193"/>
        <v>5.0676643846521256E-2</v>
      </c>
      <c r="O159" s="53">
        <f t="shared" si="193"/>
        <v>5.2005689151104907E-2</v>
      </c>
      <c r="P159" s="53">
        <f t="shared" si="193"/>
        <v>4.7722934278701938E-2</v>
      </c>
      <c r="Q159" s="53">
        <f t="shared" si="193"/>
        <v>4.2115400720207689E-2</v>
      </c>
      <c r="R159" s="53">
        <f t="shared" si="193"/>
        <v>4.0689695025932185E-2</v>
      </c>
      <c r="S159" s="53"/>
    </row>
    <row r="160" spans="4:19" x14ac:dyDescent="0.3">
      <c r="D160" s="37" t="s">
        <v>88</v>
      </c>
      <c r="E160" s="73"/>
      <c r="F160" s="38"/>
      <c r="G160" s="38"/>
      <c r="H160" s="50">
        <f t="shared" si="193"/>
        <v>2.6290038489138235E-2</v>
      </c>
      <c r="I160" s="50">
        <f t="shared" si="193"/>
        <v>5.8060941828254851E-3</v>
      </c>
      <c r="J160" s="50">
        <f t="shared" si="193"/>
        <v>1.8520697131140653E-2</v>
      </c>
      <c r="K160" s="51">
        <f t="shared" si="193"/>
        <v>-1.3371385235595825E-3</v>
      </c>
      <c r="L160" s="52">
        <f t="shared" si="193"/>
        <v>-4.5624436138677664E-2</v>
      </c>
      <c r="M160" s="51">
        <f t="shared" si="193"/>
        <v>-7.2754294404313415E-3</v>
      </c>
      <c r="N160" s="50">
        <f t="shared" si="193"/>
        <v>2.3244706256965453E-3</v>
      </c>
      <c r="O160" s="50">
        <f t="shared" si="193"/>
        <v>3.5425501093054493E-2</v>
      </c>
      <c r="P160" s="50">
        <f t="shared" si="193"/>
        <v>3.3972436072245184E-2</v>
      </c>
      <c r="Q160" s="50">
        <f t="shared" si="193"/>
        <v>3.6470982329788126E-2</v>
      </c>
      <c r="R160" s="50">
        <f t="shared" si="193"/>
        <v>4.4850402346176627E-2</v>
      </c>
      <c r="S160" s="1503"/>
    </row>
    <row r="161" spans="4:19" x14ac:dyDescent="0.3">
      <c r="D161" s="22" t="s">
        <v>89</v>
      </c>
      <c r="E161" s="18"/>
      <c r="F161" s="18"/>
      <c r="G161" s="18"/>
      <c r="H161" s="53">
        <f t="shared" si="193"/>
        <v>2.6290038489138235E-2</v>
      </c>
      <c r="I161" s="53">
        <f t="shared" si="193"/>
        <v>5.8060941828254851E-3</v>
      </c>
      <c r="J161" s="53">
        <f t="shared" si="193"/>
        <v>1.8520697131140653E-2</v>
      </c>
      <c r="K161" s="54">
        <f t="shared" si="193"/>
        <v>-1.3371385235595825E-3</v>
      </c>
      <c r="L161" s="55">
        <f t="shared" si="193"/>
        <v>-4.5624436138677664E-2</v>
      </c>
      <c r="M161" s="54">
        <f t="shared" si="193"/>
        <v>-7.2754294404313415E-3</v>
      </c>
      <c r="N161" s="53">
        <f t="shared" si="193"/>
        <v>2.563286100939341E-2</v>
      </c>
      <c r="O161" s="53">
        <f t="shared" si="193"/>
        <v>2.7115653067137251E-2</v>
      </c>
      <c r="P161" s="53">
        <f t="shared" si="193"/>
        <v>2.7605881982756812E-2</v>
      </c>
      <c r="Q161" s="53">
        <f t="shared" si="193"/>
        <v>2.7275772548362782E-2</v>
      </c>
      <c r="R161" s="53">
        <f t="shared" si="193"/>
        <v>2.8417053121252835E-2</v>
      </c>
      <c r="S161" s="53"/>
    </row>
    <row r="162" spans="4:19" x14ac:dyDescent="0.3">
      <c r="D162" s="22" t="s">
        <v>92</v>
      </c>
      <c r="E162" s="18"/>
      <c r="F162" s="18"/>
      <c r="G162" s="18"/>
      <c r="H162" s="53">
        <f t="shared" si="193"/>
        <v>0</v>
      </c>
      <c r="I162" s="53">
        <f t="shared" si="193"/>
        <v>0</v>
      </c>
      <c r="J162" s="53">
        <f t="shared" si="193"/>
        <v>0</v>
      </c>
      <c r="K162" s="54">
        <f t="shared" si="193"/>
        <v>0</v>
      </c>
      <c r="L162" s="55">
        <f t="shared" si="193"/>
        <v>0</v>
      </c>
      <c r="M162" s="54">
        <f t="shared" si="193"/>
        <v>0</v>
      </c>
      <c r="N162" s="53">
        <f t="shared" si="193"/>
        <v>-2.3308390383696864E-2</v>
      </c>
      <c r="O162" s="53">
        <f t="shared" si="193"/>
        <v>8.3098480259172439E-3</v>
      </c>
      <c r="P162" s="53">
        <f t="shared" si="193"/>
        <v>6.3665540894883681E-3</v>
      </c>
      <c r="Q162" s="53">
        <f t="shared" si="193"/>
        <v>9.1952097814253404E-3</v>
      </c>
      <c r="R162" s="53">
        <f t="shared" si="193"/>
        <v>1.6433349224923791E-2</v>
      </c>
      <c r="S162" s="53"/>
    </row>
    <row r="163" spans="4:19" x14ac:dyDescent="0.3">
      <c r="D163" s="37" t="s">
        <v>94</v>
      </c>
      <c r="E163" s="73"/>
      <c r="F163" s="38"/>
      <c r="G163" s="38"/>
      <c r="H163" s="50">
        <f t="shared" si="193"/>
        <v>0.17463631026159568</v>
      </c>
      <c r="I163" s="50">
        <f t="shared" si="193"/>
        <v>0.25223268698060941</v>
      </c>
      <c r="J163" s="50">
        <f t="shared" si="193"/>
        <v>0.20014789667400548</v>
      </c>
      <c r="K163" s="51">
        <f t="shared" si="193"/>
        <v>0.19735765461911509</v>
      </c>
      <c r="L163" s="52">
        <f t="shared" si="193"/>
        <v>0.23894831808222708</v>
      </c>
      <c r="M163" s="51">
        <f t="shared" si="193"/>
        <v>0.20293436560329037</v>
      </c>
      <c r="N163" s="50">
        <f t="shared" si="193"/>
        <v>0.23553574271612801</v>
      </c>
      <c r="O163" s="50">
        <f t="shared" si="193"/>
        <v>0.24199963125872467</v>
      </c>
      <c r="P163" s="50">
        <f t="shared" si="193"/>
        <v>0.23432485158691868</v>
      </c>
      <c r="Q163" s="50">
        <f t="shared" si="193"/>
        <v>0.23243446947491836</v>
      </c>
      <c r="R163" s="50">
        <f t="shared" si="193"/>
        <v>0.22459873734090352</v>
      </c>
      <c r="S163" s="1503"/>
    </row>
    <row r="164" spans="4:19" x14ac:dyDescent="0.3">
      <c r="D164" s="22" t="s">
        <v>96</v>
      </c>
      <c r="E164" s="18"/>
      <c r="F164" s="18"/>
      <c r="G164" s="18"/>
      <c r="H164" s="53">
        <f t="shared" si="193"/>
        <v>0.12084937047426447</v>
      </c>
      <c r="I164" s="53">
        <f t="shared" si="193"/>
        <v>0.15869252077562326</v>
      </c>
      <c r="J164" s="53">
        <f t="shared" si="193"/>
        <v>0.1075948303389859</v>
      </c>
      <c r="K164" s="54">
        <f t="shared" si="193"/>
        <v>0.13357415131618336</v>
      </c>
      <c r="L164" s="55">
        <f t="shared" si="193"/>
        <v>0.10955019976801134</v>
      </c>
      <c r="M164" s="54">
        <f t="shared" si="193"/>
        <v>0.13035288424981856</v>
      </c>
      <c r="N164" s="53">
        <f t="shared" si="193"/>
        <v>0.15757045056519661</v>
      </c>
      <c r="O164" s="53">
        <f t="shared" si="193"/>
        <v>0.17685094950878394</v>
      </c>
      <c r="P164" s="53">
        <f t="shared" si="193"/>
        <v>0.1778754378972541</v>
      </c>
      <c r="Q164" s="53">
        <f t="shared" si="193"/>
        <v>0.18140859224520559</v>
      </c>
      <c r="R164" s="53">
        <f t="shared" si="193"/>
        <v>0.17771132203585721</v>
      </c>
      <c r="S164" s="53"/>
    </row>
    <row r="165" spans="4:19" x14ac:dyDescent="0.3">
      <c r="D165" s="22" t="s">
        <v>98</v>
      </c>
      <c r="E165" s="18"/>
      <c r="F165" s="18"/>
      <c r="G165" s="18"/>
      <c r="H165" s="53">
        <f t="shared" si="193"/>
        <v>-3.8554374062234976E-2</v>
      </c>
      <c r="I165" s="53">
        <f t="shared" si="193"/>
        <v>0.10318005540166204</v>
      </c>
      <c r="J165" s="53">
        <f t="shared" si="193"/>
        <v>5.5108317507268786E-2</v>
      </c>
      <c r="K165" s="54">
        <f t="shared" si="193"/>
        <v>4.3806254615123635E-2</v>
      </c>
      <c r="L165" s="55">
        <f t="shared" si="193"/>
        <v>8.5964686170898308E-2</v>
      </c>
      <c r="M165" s="54">
        <f t="shared" si="193"/>
        <v>4.9459095150865794E-2</v>
      </c>
      <c r="N165" s="53">
        <f t="shared" si="193"/>
        <v>5.5500716446425728E-2</v>
      </c>
      <c r="O165" s="53">
        <f t="shared" si="193"/>
        <v>4.6198014064845784E-2</v>
      </c>
      <c r="P165" s="53">
        <f t="shared" si="193"/>
        <v>4.2478655786536888E-2</v>
      </c>
      <c r="Q165" s="53">
        <f t="shared" si="193"/>
        <v>3.8254752533288666E-2</v>
      </c>
      <c r="R165" s="53">
        <f t="shared" si="193"/>
        <v>3.5452693624582844E-2</v>
      </c>
      <c r="S165" s="53"/>
    </row>
    <row r="166" spans="4:19" x14ac:dyDescent="0.3">
      <c r="D166" s="22" t="s">
        <v>100</v>
      </c>
      <c r="E166" s="18"/>
      <c r="F166" s="18"/>
      <c r="G166" s="18"/>
      <c r="H166" s="53">
        <f t="shared" si="193"/>
        <v>4.9872790136342882E-2</v>
      </c>
      <c r="I166" s="53">
        <f t="shared" si="193"/>
        <v>8.6204986149584495E-3</v>
      </c>
      <c r="J166" s="53">
        <f t="shared" si="193"/>
        <v>3.6688459017495505E-2</v>
      </c>
      <c r="K166" s="54">
        <f t="shared" si="193"/>
        <v>1.9637974734069093E-2</v>
      </c>
      <c r="L166" s="55">
        <f t="shared" si="193"/>
        <v>4.3433432143317435E-2</v>
      </c>
      <c r="M166" s="54">
        <f t="shared" si="193"/>
        <v>2.2828604016175303E-2</v>
      </c>
      <c r="N166" s="53">
        <f t="shared" si="193"/>
        <v>2.2464575704505652E-2</v>
      </c>
      <c r="O166" s="53">
        <f t="shared" si="193"/>
        <v>1.895066768509495E-2</v>
      </c>
      <c r="P166" s="53">
        <f t="shared" si="193"/>
        <v>1.3970757903127688E-2</v>
      </c>
      <c r="Q166" s="53">
        <f t="shared" si="193"/>
        <v>1.2771124696424085E-2</v>
      </c>
      <c r="R166" s="53">
        <f t="shared" si="193"/>
        <v>1.1434721680463457E-2</v>
      </c>
      <c r="S166" s="53"/>
    </row>
    <row r="167" spans="4:19" x14ac:dyDescent="0.3">
      <c r="D167" s="22" t="s">
        <v>103</v>
      </c>
      <c r="E167" s="18"/>
      <c r="F167" s="18"/>
      <c r="G167" s="18"/>
      <c r="H167" s="53">
        <f t="shared" si="193"/>
        <v>4.2468523713223301E-2</v>
      </c>
      <c r="I167" s="53">
        <f t="shared" si="193"/>
        <v>-1.8260387811634349E-2</v>
      </c>
      <c r="J167" s="53">
        <f t="shared" si="193"/>
        <v>7.5628981025528978E-4</v>
      </c>
      <c r="K167" s="54">
        <f t="shared" si="193"/>
        <v>3.3927395373899855E-4</v>
      </c>
      <c r="L167" s="55">
        <f t="shared" si="193"/>
        <v>0</v>
      </c>
      <c r="M167" s="54">
        <f t="shared" si="193"/>
        <v>2.9378218643071925E-4</v>
      </c>
      <c r="N167" s="53">
        <f t="shared" si="193"/>
        <v>0</v>
      </c>
      <c r="O167" s="53">
        <f t="shared" si="193"/>
        <v>0</v>
      </c>
      <c r="P167" s="53">
        <f t="shared" si="193"/>
        <v>0</v>
      </c>
      <c r="Q167" s="53">
        <f t="shared" si="193"/>
        <v>0</v>
      </c>
      <c r="R167" s="53">
        <f t="shared" si="193"/>
        <v>0</v>
      </c>
      <c r="S167" s="53"/>
    </row>
    <row r="171" spans="4:19" s="18" customFormat="1" x14ac:dyDescent="0.3">
      <c r="D171" s="41" t="s">
        <v>127</v>
      </c>
      <c r="E171" s="74"/>
      <c r="F171" s="41"/>
      <c r="G171" s="41"/>
      <c r="H171" s="41">
        <f>H172+H173+H174+H175+H176+H177</f>
        <v>57401</v>
      </c>
      <c r="I171" s="41">
        <f t="shared" ref="I171:R171" si="194">I172+I173+I174+I175+I176+I177</f>
        <v>57012</v>
      </c>
      <c r="J171" s="41">
        <f t="shared" si="194"/>
        <v>54652</v>
      </c>
      <c r="K171" s="42">
        <f t="shared" si="194"/>
        <v>52134</v>
      </c>
      <c r="L171" s="43">
        <f t="shared" si="194"/>
        <v>14917</v>
      </c>
      <c r="M171" s="42">
        <f t="shared" ref="M171:M177" si="195">K171+L171</f>
        <v>67051</v>
      </c>
      <c r="N171" s="41">
        <f t="shared" si="194"/>
        <v>69605</v>
      </c>
      <c r="O171" s="41">
        <f t="shared" si="194"/>
        <v>73107</v>
      </c>
      <c r="P171" s="41">
        <f t="shared" si="194"/>
        <v>77773</v>
      </c>
      <c r="Q171" s="41">
        <f t="shared" si="194"/>
        <v>84099</v>
      </c>
      <c r="R171" s="41">
        <f t="shared" si="194"/>
        <v>90073</v>
      </c>
      <c r="S171" s="28">
        <f>R171*(1+$F$213)</f>
        <v>90973.73</v>
      </c>
    </row>
    <row r="172" spans="4:19" s="18" customFormat="1" x14ac:dyDescent="0.3">
      <c r="D172" s="23" t="s">
        <v>128</v>
      </c>
      <c r="H172" s="18">
        <f>보고서!C79</f>
        <v>14968</v>
      </c>
      <c r="I172" s="18">
        <f>보고서!D79</f>
        <v>17679</v>
      </c>
      <c r="J172" s="18">
        <f>보고서!E79</f>
        <v>19317</v>
      </c>
      <c r="K172" s="19">
        <f>보고서!F79</f>
        <v>17109</v>
      </c>
      <c r="L172" s="20">
        <f>보고서!G79</f>
        <v>5195</v>
      </c>
      <c r="M172" s="19">
        <f t="shared" si="195"/>
        <v>22304</v>
      </c>
      <c r="N172" s="18">
        <f>보고서!H79</f>
        <v>22790</v>
      </c>
      <c r="O172" s="18">
        <f>보고서!I79</f>
        <v>23177</v>
      </c>
      <c r="P172" s="18">
        <f>보고서!J79</f>
        <v>23687</v>
      </c>
      <c r="Q172" s="18">
        <f>보고서!K79</f>
        <v>24445</v>
      </c>
      <c r="R172" s="18">
        <f>보고서!L79</f>
        <v>25276</v>
      </c>
    </row>
    <row r="173" spans="4:19" s="18" customFormat="1" x14ac:dyDescent="0.3">
      <c r="D173" s="23" t="s">
        <v>129</v>
      </c>
      <c r="H173" s="18">
        <f>보고서!C80</f>
        <v>6446</v>
      </c>
      <c r="I173" s="18">
        <f>보고서!D80</f>
        <v>6956</v>
      </c>
      <c r="J173" s="18">
        <f>보고서!E80</f>
        <v>7614</v>
      </c>
      <c r="K173" s="19">
        <f>보고서!F80</f>
        <v>5799</v>
      </c>
      <c r="L173" s="20">
        <f>보고서!G80</f>
        <v>1551</v>
      </c>
      <c r="M173" s="19">
        <f t="shared" si="195"/>
        <v>7350</v>
      </c>
      <c r="N173" s="18">
        <f>보고서!H80</f>
        <v>8017</v>
      </c>
      <c r="O173" s="18">
        <f>보고서!I80</f>
        <v>8153</v>
      </c>
      <c r="P173" s="18">
        <f>보고서!J80</f>
        <v>8333</v>
      </c>
      <c r="Q173" s="18">
        <f>보고서!K80</f>
        <v>8599</v>
      </c>
      <c r="R173" s="18">
        <f>보고서!L80</f>
        <v>8892</v>
      </c>
    </row>
    <row r="174" spans="4:19" s="18" customFormat="1" x14ac:dyDescent="0.3">
      <c r="D174" s="23" t="s">
        <v>130</v>
      </c>
      <c r="H174" s="18">
        <f>보고서!C81</f>
        <v>17716</v>
      </c>
      <c r="I174" s="18">
        <f>보고서!D81</f>
        <v>16703</v>
      </c>
      <c r="J174" s="18">
        <f>보고서!E81</f>
        <v>17674</v>
      </c>
      <c r="K174" s="19">
        <f>보고서!F81</f>
        <v>16783</v>
      </c>
      <c r="L174" s="20">
        <f>보고서!G81</f>
        <v>4908</v>
      </c>
      <c r="M174" s="19">
        <f t="shared" si="195"/>
        <v>21691</v>
      </c>
      <c r="N174" s="18">
        <f>보고서!H81</f>
        <v>23375</v>
      </c>
      <c r="O174" s="18">
        <f>보고서!I81</f>
        <v>23534</v>
      </c>
      <c r="P174" s="18">
        <f>보고서!J81</f>
        <v>23982</v>
      </c>
      <c r="Q174" s="18">
        <f>보고서!K81</f>
        <v>24550</v>
      </c>
      <c r="R174" s="18">
        <f>보고서!L81</f>
        <v>25288</v>
      </c>
    </row>
    <row r="175" spans="4:19" s="18" customFormat="1" x14ac:dyDescent="0.3">
      <c r="D175" s="23" t="s">
        <v>131</v>
      </c>
      <c r="H175" s="18">
        <f>보고서!C82</f>
        <v>9492</v>
      </c>
      <c r="I175" s="18">
        <f>보고서!D82</f>
        <v>8643</v>
      </c>
      <c r="J175" s="66">
        <f>보고서!E82</f>
        <v>5804</v>
      </c>
      <c r="K175" s="19">
        <f>보고서!F82</f>
        <v>8778</v>
      </c>
      <c r="L175" s="20">
        <f>보고서!G82</f>
        <v>2428</v>
      </c>
      <c r="M175" s="19">
        <f t="shared" si="195"/>
        <v>11206</v>
      </c>
      <c r="N175" s="18">
        <f>보고서!H82</f>
        <v>11713</v>
      </c>
      <c r="O175" s="18">
        <f>보고서!I82</f>
        <v>14962</v>
      </c>
      <c r="P175" s="18">
        <f>보고서!J82</f>
        <v>18780</v>
      </c>
      <c r="Q175" s="18">
        <f>보고서!K82</f>
        <v>23247</v>
      </c>
      <c r="R175" s="18">
        <f>보고서!L82</f>
        <v>27084</v>
      </c>
    </row>
    <row r="176" spans="4:19" s="18" customFormat="1" x14ac:dyDescent="0.3">
      <c r="D176" s="23" t="s">
        <v>132</v>
      </c>
      <c r="H176" s="18">
        <f>보고서!C83</f>
        <v>370</v>
      </c>
      <c r="I176" s="18">
        <f>보고서!D83</f>
        <v>-29</v>
      </c>
      <c r="J176" s="18">
        <f>보고서!E83</f>
        <v>-410</v>
      </c>
      <c r="K176" s="19">
        <f>보고서!F83</f>
        <v>11</v>
      </c>
      <c r="L176" s="20">
        <f>보고서!G83</f>
        <v>2</v>
      </c>
      <c r="M176" s="19">
        <f t="shared" si="195"/>
        <v>13</v>
      </c>
      <c r="N176" s="18">
        <f>보고서!H83</f>
        <v>15</v>
      </c>
      <c r="O176" s="18">
        <f>보고서!I83</f>
        <v>19</v>
      </c>
      <c r="P176" s="18">
        <f>보고서!J83</f>
        <v>23</v>
      </c>
      <c r="Q176" s="18">
        <f>보고서!K83</f>
        <v>29</v>
      </c>
      <c r="R176" s="18">
        <f>보고서!L83</f>
        <v>34</v>
      </c>
    </row>
    <row r="177" spans="4:20" s="18" customFormat="1" x14ac:dyDescent="0.3">
      <c r="D177" s="23" t="s">
        <v>133</v>
      </c>
      <c r="H177" s="18">
        <f>보고서!C84</f>
        <v>8409</v>
      </c>
      <c r="I177" s="18">
        <f>보고서!D84</f>
        <v>7060</v>
      </c>
      <c r="J177" s="18">
        <f>보고서!E84</f>
        <v>4653</v>
      </c>
      <c r="K177" s="19">
        <f>보고서!F84</f>
        <v>3654</v>
      </c>
      <c r="L177" s="20">
        <f>보고서!G84</f>
        <v>833</v>
      </c>
      <c r="M177" s="19">
        <f t="shared" si="195"/>
        <v>4487</v>
      </c>
      <c r="N177" s="18">
        <f>보고서!H84</f>
        <v>3695</v>
      </c>
      <c r="O177" s="18">
        <f>보고서!I84</f>
        <v>3262</v>
      </c>
      <c r="P177" s="18">
        <f>보고서!J84</f>
        <v>2968</v>
      </c>
      <c r="Q177" s="18">
        <f>보고서!K84</f>
        <v>3229</v>
      </c>
      <c r="R177" s="18">
        <f>보고서!L84</f>
        <v>3499</v>
      </c>
    </row>
    <row r="178" spans="4:20" s="18" customFormat="1" x14ac:dyDescent="0.3">
      <c r="D178" s="31"/>
      <c r="E178" s="31"/>
      <c r="F178" s="31"/>
      <c r="G178" s="31"/>
      <c r="H178" s="31"/>
      <c r="I178" s="31"/>
      <c r="J178" s="31"/>
      <c r="K178" s="32"/>
      <c r="L178" s="33"/>
      <c r="M178" s="32"/>
      <c r="N178" s="31"/>
      <c r="O178" s="31"/>
      <c r="P178" s="31"/>
      <c r="Q178" s="31"/>
      <c r="R178" s="31"/>
    </row>
    <row r="180" spans="4:20" x14ac:dyDescent="0.3">
      <c r="D180" s="87" t="s">
        <v>134</v>
      </c>
      <c r="E180" s="88"/>
      <c r="F180" s="87"/>
      <c r="G180" s="87"/>
      <c r="H180" s="89">
        <f t="shared" ref="H180:R180" si="196">H171/H$8</f>
        <v>0.29143184979843828</v>
      </c>
      <c r="I180" s="89">
        <f t="shared" si="196"/>
        <v>0.25189544562854566</v>
      </c>
      <c r="J180" s="89">
        <f t="shared" si="196"/>
        <v>0.22381024534274679</v>
      </c>
      <c r="K180" s="90">
        <f t="shared" si="196"/>
        <v>0.234252207319539</v>
      </c>
      <c r="L180" s="91">
        <f t="shared" si="196"/>
        <v>0.30656829298368204</v>
      </c>
      <c r="M180" s="90">
        <f t="shared" si="196"/>
        <v>0.24722634976936947</v>
      </c>
      <c r="N180" s="89">
        <f t="shared" si="196"/>
        <v>0.239889851596049</v>
      </c>
      <c r="O180" s="89">
        <f t="shared" si="196"/>
        <v>0.19682101233311527</v>
      </c>
      <c r="P180" s="89">
        <f t="shared" si="196"/>
        <v>0.16616813164743033</v>
      </c>
      <c r="Q180" s="89">
        <f t="shared" si="196"/>
        <v>0.145054046642071</v>
      </c>
      <c r="R180" s="89">
        <f t="shared" si="196"/>
        <v>0.13261494654795961</v>
      </c>
      <c r="S180" s="1502"/>
    </row>
    <row r="181" spans="4:20" x14ac:dyDescent="0.3">
      <c r="D181" s="23" t="s">
        <v>128</v>
      </c>
      <c r="E181" s="18"/>
      <c r="F181" s="18"/>
      <c r="G181" s="18"/>
      <c r="H181" s="53">
        <f t="shared" ref="H181:R181" si="197">H172/H$8</f>
        <v>7.5994354240919562E-2</v>
      </c>
      <c r="I181" s="53">
        <f t="shared" si="197"/>
        <v>7.8110916706431263E-2</v>
      </c>
      <c r="J181" s="53">
        <f t="shared" si="197"/>
        <v>7.9106757470647743E-2</v>
      </c>
      <c r="K181" s="54">
        <f t="shared" si="197"/>
        <v>7.6875379119768147E-2</v>
      </c>
      <c r="L181" s="55">
        <f t="shared" si="197"/>
        <v>0.10676558839245345</v>
      </c>
      <c r="M181" s="54">
        <f t="shared" si="197"/>
        <v>8.2237945821181144E-2</v>
      </c>
      <c r="N181" s="53">
        <f t="shared" si="197"/>
        <v>7.8544497060181837E-2</v>
      </c>
      <c r="O181" s="53">
        <f t="shared" si="197"/>
        <v>6.239786344460329E-2</v>
      </c>
      <c r="P181" s="53">
        <f t="shared" si="197"/>
        <v>5.0609138574218331E-2</v>
      </c>
      <c r="Q181" s="53">
        <f t="shared" si="197"/>
        <v>4.216276257940553E-2</v>
      </c>
      <c r="R181" s="53">
        <f t="shared" si="197"/>
        <v>3.7213986310506222E-2</v>
      </c>
      <c r="S181" s="53"/>
      <c r="T181" s="21" t="s">
        <v>135</v>
      </c>
    </row>
    <row r="182" spans="4:20" x14ac:dyDescent="0.3">
      <c r="D182" s="23" t="s">
        <v>129</v>
      </c>
      <c r="E182" s="18"/>
      <c r="F182" s="18"/>
      <c r="G182" s="18"/>
      <c r="H182" s="53">
        <f t="shared" ref="H182:R182" si="198">H173/H$8</f>
        <v>3.2727125029193449E-2</v>
      </c>
      <c r="I182" s="53">
        <f t="shared" si="198"/>
        <v>3.073361256914621E-2</v>
      </c>
      <c r="J182" s="53">
        <f t="shared" si="198"/>
        <v>3.1180765718357501E-2</v>
      </c>
      <c r="K182" s="54">
        <f t="shared" si="198"/>
        <v>2.6056480420570197E-2</v>
      </c>
      <c r="L182" s="55">
        <f t="shared" si="198"/>
        <v>3.1875539479633362E-2</v>
      </c>
      <c r="M182" s="54">
        <f t="shared" si="198"/>
        <v>2.7100470847636358E-2</v>
      </c>
      <c r="N182" s="53">
        <f t="shared" si="198"/>
        <v>2.7630155021126711E-2</v>
      </c>
      <c r="O182" s="53">
        <f t="shared" si="198"/>
        <v>2.1949768333427561E-2</v>
      </c>
      <c r="P182" s="53">
        <f t="shared" si="198"/>
        <v>1.7804109922698583E-2</v>
      </c>
      <c r="Q182" s="53">
        <f t="shared" si="198"/>
        <v>1.4831564549818292E-2</v>
      </c>
      <c r="R182" s="53">
        <f t="shared" si="198"/>
        <v>1.3091737864892442E-2</v>
      </c>
      <c r="S182" s="53"/>
      <c r="T182" s="21" t="s">
        <v>135</v>
      </c>
    </row>
    <row r="183" spans="4:20" x14ac:dyDescent="0.3">
      <c r="D183" s="23" t="s">
        <v>130</v>
      </c>
      <c r="E183" s="18"/>
      <c r="F183" s="18"/>
      <c r="G183" s="18"/>
      <c r="H183" s="53">
        <f t="shared" ref="H183:R183" si="199">H174/H$8</f>
        <v>8.9946284054792297E-2</v>
      </c>
      <c r="I183" s="53">
        <f t="shared" si="199"/>
        <v>7.3798667444285385E-2</v>
      </c>
      <c r="J183" s="53">
        <f t="shared" si="199"/>
        <v>7.2378362661708759E-2</v>
      </c>
      <c r="K183" s="54">
        <f t="shared" si="199"/>
        <v>7.5410572667430523E-2</v>
      </c>
      <c r="L183" s="55">
        <f t="shared" si="199"/>
        <v>0.10086727773439105</v>
      </c>
      <c r="M183" s="54">
        <f t="shared" si="199"/>
        <v>7.9977729681099355E-2</v>
      </c>
      <c r="N183" s="53">
        <f t="shared" si="199"/>
        <v>8.0560667783315068E-2</v>
      </c>
      <c r="O183" s="53">
        <f t="shared" si="199"/>
        <v>6.33589903052722E-2</v>
      </c>
      <c r="P183" s="53">
        <f t="shared" si="199"/>
        <v>5.1239429277109977E-2</v>
      </c>
      <c r="Q183" s="53">
        <f t="shared" si="199"/>
        <v>4.2343866693573561E-2</v>
      </c>
      <c r="R183" s="53">
        <f t="shared" si="199"/>
        <v>3.7231653972941973E-2</v>
      </c>
      <c r="S183" s="53"/>
      <c r="T183" s="21" t="s">
        <v>136</v>
      </c>
    </row>
    <row r="184" spans="4:20" x14ac:dyDescent="0.3">
      <c r="D184" s="23" t="s">
        <v>131</v>
      </c>
      <c r="E184" s="18"/>
      <c r="F184" s="18"/>
      <c r="G184" s="18"/>
      <c r="H184" s="53">
        <f t="shared" ref="H184:R184" si="200">H175/H$8</f>
        <v>4.8192037042678285E-2</v>
      </c>
      <c r="I184" s="53">
        <f t="shared" si="200"/>
        <v>3.8187264726154496E-2</v>
      </c>
      <c r="J184" s="85">
        <f t="shared" si="200"/>
        <v>2.3768474419404641E-2</v>
      </c>
      <c r="K184" s="54">
        <f t="shared" si="200"/>
        <v>3.9441935701287324E-2</v>
      </c>
      <c r="L184" s="55">
        <f t="shared" si="200"/>
        <v>4.9899297135106255E-2</v>
      </c>
      <c r="M184" s="54">
        <f t="shared" si="200"/>
        <v>4.1318078410695652E-2</v>
      </c>
      <c r="N184" s="53">
        <f t="shared" si="200"/>
        <v>4.0368218256512059E-2</v>
      </c>
      <c r="O184" s="53">
        <f t="shared" si="200"/>
        <v>4.0281176720807457E-2</v>
      </c>
      <c r="P184" s="53">
        <f t="shared" si="200"/>
        <v>4.0124947119678317E-2</v>
      </c>
      <c r="Q184" s="53">
        <f t="shared" si="200"/>
        <v>4.0096450876802636E-2</v>
      </c>
      <c r="R184" s="53">
        <f t="shared" si="200"/>
        <v>3.9875914117492903E-2</v>
      </c>
      <c r="S184" s="53"/>
    </row>
    <row r="185" spans="4:20" x14ac:dyDescent="0.3">
      <c r="D185" s="23" t="s">
        <v>132</v>
      </c>
      <c r="E185" s="18"/>
      <c r="F185" s="18"/>
      <c r="G185" s="18"/>
      <c r="H185" s="53">
        <f t="shared" ref="H185:R185" si="201">H176/H$8</f>
        <v>1.878534945827114E-3</v>
      </c>
      <c r="I185" s="53">
        <f t="shared" si="201"/>
        <v>-1.2813035717441635E-4</v>
      </c>
      <c r="J185" s="53">
        <f t="shared" si="201"/>
        <v>-1.6790273108125264E-3</v>
      </c>
      <c r="K185" s="54">
        <f t="shared" si="201"/>
        <v>4.942598458807935E-5</v>
      </c>
      <c r="L185" s="55">
        <f t="shared" si="201"/>
        <v>4.1103210160713548E-5</v>
      </c>
      <c r="M185" s="54">
        <f t="shared" si="201"/>
        <v>4.7932805580853423E-5</v>
      </c>
      <c r="N185" s="53">
        <f t="shared" si="201"/>
        <v>5.1696685208544426E-5</v>
      </c>
      <c r="O185" s="53">
        <f t="shared" si="201"/>
        <v>5.1152409951566747E-5</v>
      </c>
      <c r="P185" s="53">
        <f t="shared" si="201"/>
        <v>4.9141309039009656E-5</v>
      </c>
      <c r="Q185" s="53">
        <f t="shared" si="201"/>
        <v>5.0019231532123555E-5</v>
      </c>
      <c r="R185" s="53">
        <f t="shared" si="201"/>
        <v>5.0058376901298129E-5</v>
      </c>
      <c r="S185" s="53"/>
    </row>
    <row r="186" spans="4:20" x14ac:dyDescent="0.3">
      <c r="D186" s="23" t="s">
        <v>133</v>
      </c>
      <c r="E186" s="18"/>
      <c r="F186" s="18"/>
      <c r="G186" s="18"/>
      <c r="H186" s="53">
        <f t="shared" ref="H186:R186" si="202">H177/H$8</f>
        <v>4.2693514485027569E-2</v>
      </c>
      <c r="I186" s="53">
        <f t="shared" si="202"/>
        <v>3.1193114539702738E-2</v>
      </c>
      <c r="J186" s="53">
        <f t="shared" si="202"/>
        <v>1.9054912383440696E-2</v>
      </c>
      <c r="K186" s="54">
        <f t="shared" si="202"/>
        <v>1.6418413425894722E-2</v>
      </c>
      <c r="L186" s="55">
        <f t="shared" si="202"/>
        <v>1.7119487031937195E-2</v>
      </c>
      <c r="M186" s="54">
        <f t="shared" si="202"/>
        <v>1.65441922031761E-2</v>
      </c>
      <c r="N186" s="53">
        <f t="shared" si="202"/>
        <v>1.2734616789704778E-2</v>
      </c>
      <c r="O186" s="53">
        <f t="shared" si="202"/>
        <v>8.7820611190531951E-3</v>
      </c>
      <c r="P186" s="53">
        <f t="shared" si="202"/>
        <v>6.341365444686115E-3</v>
      </c>
      <c r="Q186" s="53">
        <f t="shared" si="202"/>
        <v>5.5693827109388611E-3</v>
      </c>
      <c r="R186" s="53">
        <f t="shared" si="202"/>
        <v>5.1515959052247694E-3</v>
      </c>
      <c r="S186" s="53"/>
    </row>
    <row r="187" spans="4:20" x14ac:dyDescent="0.3">
      <c r="D187" s="31"/>
      <c r="E187" s="31"/>
      <c r="F187" s="31"/>
      <c r="G187" s="31"/>
      <c r="H187" s="31"/>
      <c r="I187" s="31"/>
      <c r="J187" s="31"/>
      <c r="K187" s="32"/>
      <c r="L187" s="33"/>
      <c r="M187" s="32"/>
      <c r="N187" s="31"/>
      <c r="O187" s="31"/>
      <c r="P187" s="31"/>
      <c r="Q187" s="31"/>
      <c r="R187" s="31"/>
      <c r="S187" s="18"/>
    </row>
    <row r="189" spans="4:20" s="18" customFormat="1" x14ac:dyDescent="0.3">
      <c r="D189" s="15" t="s">
        <v>137</v>
      </c>
      <c r="F189" s="15"/>
      <c r="G189" s="15"/>
      <c r="H189" s="15">
        <f t="shared" ref="H189:S189" si="203">H8-H68-H171</f>
        <v>-26743</v>
      </c>
      <c r="I189" s="15">
        <f t="shared" si="203"/>
        <v>-11887</v>
      </c>
      <c r="J189" s="15">
        <f t="shared" si="203"/>
        <v>4849</v>
      </c>
      <c r="K189" s="16">
        <f t="shared" si="203"/>
        <v>-2027</v>
      </c>
      <c r="L189" s="17">
        <f t="shared" si="203"/>
        <v>-7158</v>
      </c>
      <c r="M189" s="16">
        <f t="shared" si="203"/>
        <v>-9185</v>
      </c>
      <c r="N189" s="15">
        <f t="shared" si="203"/>
        <v>-6795</v>
      </c>
      <c r="O189" s="15">
        <f t="shared" si="203"/>
        <v>2827</v>
      </c>
      <c r="P189" s="15">
        <f t="shared" si="203"/>
        <v>17569</v>
      </c>
      <c r="Q189" s="15">
        <f t="shared" si="203"/>
        <v>35311</v>
      </c>
      <c r="R189" s="15">
        <f t="shared" si="203"/>
        <v>48365</v>
      </c>
      <c r="S189" s="15">
        <f t="shared" si="203"/>
        <v>48848.649999999892</v>
      </c>
    </row>
    <row r="190" spans="4:20" s="18" customFormat="1" ht="14.25" thickBot="1" x14ac:dyDescent="0.35">
      <c r="D190" s="46" t="s">
        <v>138</v>
      </c>
      <c r="E190" s="46"/>
      <c r="F190" s="46"/>
      <c r="G190" s="46"/>
      <c r="H190" s="47">
        <f t="shared" ref="H190:S190" si="204">H189/H$8</f>
        <v>-0.13577745961149867</v>
      </c>
      <c r="I190" s="47">
        <f t="shared" si="204"/>
        <v>-5.252019157697542E-2</v>
      </c>
      <c r="J190" s="47">
        <f t="shared" si="204"/>
        <v>1.9857569341780342E-2</v>
      </c>
      <c r="K190" s="48">
        <f t="shared" si="204"/>
        <v>-9.1078609781851672E-3</v>
      </c>
      <c r="L190" s="49">
        <f t="shared" si="204"/>
        <v>-0.14710838916519381</v>
      </c>
      <c r="M190" s="48">
        <f t="shared" si="204"/>
        <v>-3.3866370712318364E-2</v>
      </c>
      <c r="N190" s="47">
        <f t="shared" si="204"/>
        <v>-2.3418598399470626E-2</v>
      </c>
      <c r="O190" s="47">
        <f t="shared" si="204"/>
        <v>7.6109401543725886E-3</v>
      </c>
      <c r="P190" s="47">
        <f t="shared" si="204"/>
        <v>3.7537550369841764E-2</v>
      </c>
      <c r="Q190" s="47">
        <f t="shared" si="204"/>
        <v>6.0904451194166036E-2</v>
      </c>
      <c r="R190" s="47">
        <f t="shared" si="204"/>
        <v>7.1208041142096598E-2</v>
      </c>
      <c r="S190" s="47">
        <f t="shared" si="204"/>
        <v>7.1208041142096445E-2</v>
      </c>
    </row>
    <row r="191" spans="4:20" s="18" customFormat="1" ht="14.25" thickTop="1" x14ac:dyDescent="0.3">
      <c r="K191" s="19"/>
      <c r="L191" s="20"/>
      <c r="M191" s="19"/>
    </row>
    <row r="192" spans="4:20" s="15" customFormat="1" x14ac:dyDescent="0.3">
      <c r="D192" s="34" t="s">
        <v>139</v>
      </c>
      <c r="E192" s="1507">
        <v>1</v>
      </c>
      <c r="F192" s="34"/>
      <c r="G192" s="34"/>
      <c r="H192" s="34"/>
      <c r="I192" s="34"/>
      <c r="J192" s="34"/>
      <c r="K192" s="35"/>
      <c r="L192" s="36"/>
      <c r="M192" s="35">
        <f>CHOOSE($E$192,M193,M194)</f>
        <v>-315</v>
      </c>
      <c r="N192" s="34">
        <f t="shared" ref="N192" si="205">SUMPRODUCT($E$199:$E$202,N199:N202)</f>
        <v>0</v>
      </c>
      <c r="O192" s="34">
        <f t="shared" ref="O192:S192" si="206">CHOOSE($E$192,O193,O194)</f>
        <v>214</v>
      </c>
      <c r="P192" s="34">
        <f t="shared" si="206"/>
        <v>1447</v>
      </c>
      <c r="Q192" s="34">
        <f t="shared" si="206"/>
        <v>2930</v>
      </c>
      <c r="R192" s="34">
        <f t="shared" si="206"/>
        <v>4022</v>
      </c>
      <c r="S192" s="34">
        <f t="shared" si="206"/>
        <v>10823</v>
      </c>
    </row>
    <row r="193" spans="4:19" s="15" customFormat="1" x14ac:dyDescent="0.3">
      <c r="D193" s="15" t="s">
        <v>140</v>
      </c>
      <c r="K193" s="16"/>
      <c r="L193" s="17"/>
      <c r="M193" s="16">
        <f>보고서!G12</f>
        <v>-315</v>
      </c>
      <c r="O193" s="1395">
        <f>보고서!J12</f>
        <v>214</v>
      </c>
      <c r="P193" s="1395">
        <f>보고서!K12</f>
        <v>1447</v>
      </c>
      <c r="Q193" s="1395">
        <f>보고서!L12</f>
        <v>2930</v>
      </c>
      <c r="R193" s="1395">
        <f>보고서!M12</f>
        <v>4022</v>
      </c>
      <c r="S193" s="15">
        <f>보고서!N12</f>
        <v>10823</v>
      </c>
    </row>
    <row r="194" spans="4:19" s="15" customFormat="1" x14ac:dyDescent="0.3">
      <c r="D194" s="15" t="s">
        <v>141</v>
      </c>
      <c r="K194" s="16"/>
      <c r="L194" s="17"/>
      <c r="M194" s="16">
        <f>SUMPRODUCT($E$199:$E$202,M199:M202)</f>
        <v>0</v>
      </c>
      <c r="N194" s="15">
        <f t="shared" ref="N194:S194" si="207">SUMPRODUCT($E$199:$E$202,N199:N202)</f>
        <v>0</v>
      </c>
      <c r="O194" s="15">
        <f t="shared" si="207"/>
        <v>96.168599999999984</v>
      </c>
      <c r="P194" s="15">
        <f t="shared" si="207"/>
        <v>712.38419999999996</v>
      </c>
      <c r="Q194" s="15">
        <f t="shared" si="207"/>
        <v>1453.9998000000001</v>
      </c>
      <c r="R194" s="15">
        <f t="shared" si="207"/>
        <v>1999.6569999999999</v>
      </c>
      <c r="S194" s="15">
        <f t="shared" si="207"/>
        <v>10822.038149999975</v>
      </c>
    </row>
    <row r="195" spans="4:19" s="18" customFormat="1" x14ac:dyDescent="0.3">
      <c r="D195" s="38" t="s">
        <v>142</v>
      </c>
      <c r="E195" s="1507">
        <v>1</v>
      </c>
      <c r="F195" s="38"/>
      <c r="G195" s="38"/>
      <c r="H195" s="38"/>
      <c r="I195" s="38"/>
      <c r="J195" s="38"/>
      <c r="K195" s="39"/>
      <c r="L195" s="40"/>
      <c r="M195" s="39">
        <f>CHOOSE($E$195,M196,M197)</f>
        <v>0</v>
      </c>
      <c r="N195" s="38">
        <f t="shared" ref="N195" si="208">IF(N189&lt;0,0,N189)</f>
        <v>0</v>
      </c>
      <c r="O195" s="38">
        <f t="shared" ref="O195:S195" si="209">CHOOSE($E$195,O196,O197)</f>
        <v>565.4</v>
      </c>
      <c r="P195" s="38">
        <f t="shared" si="209"/>
        <v>3513.8</v>
      </c>
      <c r="Q195" s="38">
        <f t="shared" si="209"/>
        <v>7062.2000000000007</v>
      </c>
      <c r="R195" s="38">
        <f t="shared" si="209"/>
        <v>9673</v>
      </c>
      <c r="S195" s="38">
        <f t="shared" si="209"/>
        <v>48848.649999999892</v>
      </c>
    </row>
    <row r="196" spans="4:19" s="18" customFormat="1" x14ac:dyDescent="0.3">
      <c r="D196" s="15" t="s">
        <v>143</v>
      </c>
      <c r="E196" s="15"/>
      <c r="F196" s="15"/>
      <c r="G196" s="15"/>
      <c r="H196" s="15"/>
      <c r="I196" s="15"/>
      <c r="J196" s="15"/>
      <c r="K196" s="16"/>
      <c r="L196" s="17"/>
      <c r="M196" s="16">
        <f>IF(M189&lt;0,0,M189)</f>
        <v>0</v>
      </c>
      <c r="N196" s="15"/>
      <c r="O196" s="15">
        <f>O197*0.2</f>
        <v>565.4</v>
      </c>
      <c r="P196" s="15">
        <f>P197*0.2</f>
        <v>3513.8</v>
      </c>
      <c r="Q196" s="15">
        <f>Q197*0.2</f>
        <v>7062.2000000000007</v>
      </c>
      <c r="R196" s="15">
        <f>R197*0.2</f>
        <v>9673</v>
      </c>
      <c r="S196" s="15">
        <f>S197</f>
        <v>48848.649999999892</v>
      </c>
    </row>
    <row r="197" spans="4:19" s="18" customFormat="1" x14ac:dyDescent="0.3">
      <c r="D197" s="15" t="s">
        <v>144</v>
      </c>
      <c r="E197" s="15"/>
      <c r="F197" s="15"/>
      <c r="G197" s="15"/>
      <c r="H197" s="15"/>
      <c r="I197" s="15"/>
      <c r="J197" s="15"/>
      <c r="K197" s="16"/>
      <c r="L197" s="17"/>
      <c r="M197" s="16">
        <f>IF(M189&lt;0,0,M189)</f>
        <v>0</v>
      </c>
      <c r="N197" s="15"/>
      <c r="O197" s="15">
        <f t="shared" ref="O197:S197" si="210">IF(O189&lt;0,0,O189)</f>
        <v>2827</v>
      </c>
      <c r="P197" s="15">
        <f t="shared" si="210"/>
        <v>17569</v>
      </c>
      <c r="Q197" s="15">
        <f t="shared" si="210"/>
        <v>35311</v>
      </c>
      <c r="R197" s="15">
        <f t="shared" si="210"/>
        <v>48365</v>
      </c>
      <c r="S197" s="15">
        <f t="shared" si="210"/>
        <v>48848.649999999892</v>
      </c>
    </row>
    <row r="198" spans="4:19" s="18" customFormat="1" x14ac:dyDescent="0.3">
      <c r="D198" s="15" t="s">
        <v>145</v>
      </c>
      <c r="E198" s="15"/>
      <c r="F198" s="15"/>
      <c r="G198" s="15"/>
      <c r="H198" s="15"/>
      <c r="I198" s="15"/>
      <c r="J198" s="15"/>
      <c r="K198" s="16"/>
      <c r="L198" s="17"/>
      <c r="M198" s="16"/>
      <c r="N198" s="15"/>
      <c r="O198" s="15"/>
      <c r="P198" s="15"/>
      <c r="Q198" s="15"/>
      <c r="R198" s="15"/>
      <c r="S198" s="15"/>
    </row>
    <row r="199" spans="4:19" s="18" customFormat="1" x14ac:dyDescent="0.3">
      <c r="D199" s="1508">
        <v>200</v>
      </c>
      <c r="E199" s="1509">
        <v>9.9000000000000005E-2</v>
      </c>
      <c r="F199" s="1508"/>
      <c r="G199" s="1508"/>
      <c r="H199" s="1508"/>
      <c r="I199" s="1508"/>
      <c r="J199" s="1508"/>
      <c r="K199" s="1510"/>
      <c r="L199" s="1511"/>
      <c r="M199" s="1510">
        <f>MIN(M195,$D199)</f>
        <v>0</v>
      </c>
      <c r="N199" s="1508">
        <f t="shared" ref="N199:S199" si="211">MIN(N195,$D199)</f>
        <v>0</v>
      </c>
      <c r="O199" s="1508">
        <f t="shared" si="211"/>
        <v>200</v>
      </c>
      <c r="P199" s="1508">
        <f t="shared" si="211"/>
        <v>200</v>
      </c>
      <c r="Q199" s="1508">
        <f t="shared" si="211"/>
        <v>200</v>
      </c>
      <c r="R199" s="1508">
        <f t="shared" si="211"/>
        <v>200</v>
      </c>
      <c r="S199" s="1508">
        <f t="shared" si="211"/>
        <v>200</v>
      </c>
    </row>
    <row r="200" spans="4:19" s="18" customFormat="1" x14ac:dyDescent="0.3">
      <c r="D200" s="18">
        <v>20000</v>
      </c>
      <c r="E200" s="1427">
        <v>0.20899999999999999</v>
      </c>
      <c r="K200" s="19"/>
      <c r="L200" s="20"/>
      <c r="M200" s="19">
        <f>MIN(M$195-SUM(M$199:M199),$D200-SUM($D$199:$D199))</f>
        <v>0</v>
      </c>
      <c r="N200" s="18">
        <f>MIN(N$195-SUM(N$199:N199),$D200-SUM($D$199:$D199))</f>
        <v>0</v>
      </c>
      <c r="O200" s="18">
        <f>MIN(O$195-SUM(O$199:O199),$D200-SUM($D$199:$D199))</f>
        <v>365.4</v>
      </c>
      <c r="P200" s="18">
        <f>MIN(P$195-SUM(P$199:P199),$D200-SUM($D$199:$D199))</f>
        <v>3313.8</v>
      </c>
      <c r="Q200" s="18">
        <f>MIN(Q$195-SUM(Q$199:Q199),$D200-SUM($D$199:$D199))</f>
        <v>6862.2000000000007</v>
      </c>
      <c r="R200" s="18">
        <f>MIN(R$195-SUM(R$199:R199),$D200-SUM($D$199:$D199))</f>
        <v>9473</v>
      </c>
      <c r="S200" s="18">
        <f>MIN(S$195-SUM(S$199:S199),$D200-SUM($D$199:$D199))</f>
        <v>19800</v>
      </c>
    </row>
    <row r="201" spans="4:19" s="18" customFormat="1" x14ac:dyDescent="0.3">
      <c r="D201" s="18">
        <v>300000</v>
      </c>
      <c r="E201" s="1427">
        <v>0.23100000000000001</v>
      </c>
      <c r="K201" s="19"/>
      <c r="L201" s="20"/>
      <c r="M201" s="19">
        <f>MIN(M$195-SUM(M$199:M200),$D201-SUM($D$199:$D200))</f>
        <v>0</v>
      </c>
      <c r="N201" s="18">
        <f>MIN(N$195-SUM(N$199:N200),$D201-SUM($D$199:$D200))</f>
        <v>0</v>
      </c>
      <c r="O201" s="18">
        <f>MIN(O$195-SUM(O$199:O200),$D201-SUM($D$199:$D200))</f>
        <v>0</v>
      </c>
      <c r="P201" s="18">
        <f>MIN(P$195-SUM(P$199:P200),$D201-SUM($D$199:$D200))</f>
        <v>0</v>
      </c>
      <c r="Q201" s="18">
        <f>MIN(Q$195-SUM(Q$199:Q200),$D201-SUM($D$199:$D200))</f>
        <v>0</v>
      </c>
      <c r="R201" s="18">
        <f>MIN(R$195-SUM(R$199:R200),$D201-SUM($D$199:$D200))</f>
        <v>0</v>
      </c>
      <c r="S201" s="18">
        <f>MIN(S$195-SUM(S$199:S200),$D201-SUM($D$199:$D200))</f>
        <v>28848.649999999892</v>
      </c>
    </row>
    <row r="202" spans="4:19" s="18" customFormat="1" x14ac:dyDescent="0.3">
      <c r="D202" s="1457" t="s">
        <v>146</v>
      </c>
      <c r="E202" s="1428">
        <v>0.26400000000000001</v>
      </c>
      <c r="F202" s="1457"/>
      <c r="G202" s="1457"/>
      <c r="H202" s="1457"/>
      <c r="I202" s="1457"/>
      <c r="J202" s="1457"/>
      <c r="K202" s="1488"/>
      <c r="L202" s="1489"/>
      <c r="M202" s="1488">
        <f>M195-SUM(M199:M201)</f>
        <v>0</v>
      </c>
      <c r="N202" s="1457">
        <f t="shared" ref="N202:S202" si="212">N195-SUM(N199:N201)</f>
        <v>0</v>
      </c>
      <c r="O202" s="1457">
        <f t="shared" si="212"/>
        <v>0</v>
      </c>
      <c r="P202" s="1457">
        <f t="shared" si="212"/>
        <v>0</v>
      </c>
      <c r="Q202" s="1457">
        <f t="shared" si="212"/>
        <v>0</v>
      </c>
      <c r="R202" s="1457">
        <f t="shared" si="212"/>
        <v>0</v>
      </c>
      <c r="S202" s="1457">
        <f t="shared" si="212"/>
        <v>0</v>
      </c>
    </row>
    <row r="203" spans="4:19" s="18" customFormat="1" x14ac:dyDescent="0.3">
      <c r="D203" s="31" t="s">
        <v>34</v>
      </c>
      <c r="E203" s="31"/>
      <c r="F203" s="31"/>
      <c r="G203" s="31"/>
      <c r="H203" s="31"/>
      <c r="I203" s="31"/>
      <c r="J203" s="31"/>
      <c r="K203" s="32"/>
      <c r="L203" s="33"/>
      <c r="M203" s="32" t="b">
        <f>M195=SUM(M199:M202)</f>
        <v>1</v>
      </c>
      <c r="N203" s="31" t="b">
        <f t="shared" ref="N203:S203" si="213">N195=SUM(N199:N202)</f>
        <v>1</v>
      </c>
      <c r="O203" s="31" t="b">
        <f t="shared" si="213"/>
        <v>1</v>
      </c>
      <c r="P203" s="31" t="b">
        <f t="shared" si="213"/>
        <v>1</v>
      </c>
      <c r="Q203" s="31" t="b">
        <f t="shared" si="213"/>
        <v>1</v>
      </c>
      <c r="R203" s="31" t="b">
        <f t="shared" si="213"/>
        <v>1</v>
      </c>
      <c r="S203" s="31" t="b">
        <f t="shared" si="213"/>
        <v>1</v>
      </c>
    </row>
    <row r="204" spans="4:19" s="18" customFormat="1" x14ac:dyDescent="0.3">
      <c r="K204" s="19"/>
      <c r="L204" s="20"/>
      <c r="M204" s="19"/>
    </row>
    <row r="205" spans="4:19" s="18" customFormat="1" x14ac:dyDescent="0.3">
      <c r="K205" s="19"/>
      <c r="L205" s="20"/>
      <c r="M205" s="19"/>
    </row>
    <row r="206" spans="4:19" s="18" customFormat="1" x14ac:dyDescent="0.3">
      <c r="K206" s="19"/>
      <c r="L206" s="20"/>
      <c r="M206" s="19"/>
    </row>
    <row r="207" spans="4:19" s="18" customFormat="1" x14ac:dyDescent="0.3">
      <c r="D207" s="28" t="s">
        <v>147</v>
      </c>
      <c r="E207" s="28"/>
      <c r="F207" s="28"/>
      <c r="G207" s="28"/>
      <c r="H207" s="28"/>
      <c r="I207" s="28"/>
      <c r="J207" s="28"/>
      <c r="K207" s="29"/>
      <c r="L207" s="30">
        <f>L189-L192</f>
        <v>-7158</v>
      </c>
      <c r="M207" s="29">
        <f t="shared" ref="M207:R207" si="214">M189-M192</f>
        <v>-8870</v>
      </c>
      <c r="N207" s="28">
        <f t="shared" si="214"/>
        <v>-6795</v>
      </c>
      <c r="O207" s="28">
        <f t="shared" si="214"/>
        <v>2613</v>
      </c>
      <c r="P207" s="28">
        <f t="shared" si="214"/>
        <v>16122</v>
      </c>
      <c r="Q207" s="28">
        <f t="shared" si="214"/>
        <v>32381</v>
      </c>
      <c r="R207" s="28">
        <f t="shared" si="214"/>
        <v>44343</v>
      </c>
      <c r="S207" s="28">
        <f t="shared" ref="S207" si="215">S189-S192</f>
        <v>38025.649999999892</v>
      </c>
    </row>
    <row r="208" spans="4:19" s="18" customFormat="1" x14ac:dyDescent="0.3">
      <c r="D208" s="18" t="s">
        <v>148</v>
      </c>
      <c r="K208" s="19"/>
      <c r="L208" s="20">
        <f>L288</f>
        <v>954</v>
      </c>
      <c r="M208" s="19"/>
      <c r="N208" s="18">
        <f>N288</f>
        <v>4332</v>
      </c>
      <c r="O208" s="18">
        <f t="shared" ref="O208:R208" si="216">O288</f>
        <v>3852</v>
      </c>
      <c r="P208" s="18">
        <f t="shared" si="216"/>
        <v>3596</v>
      </c>
      <c r="Q208" s="18">
        <f t="shared" si="216"/>
        <v>3845</v>
      </c>
      <c r="R208" s="18">
        <f t="shared" si="216"/>
        <v>4113</v>
      </c>
    </row>
    <row r="209" spans="4:21" s="18" customFormat="1" x14ac:dyDescent="0.3">
      <c r="D209" s="18" t="s">
        <v>149</v>
      </c>
      <c r="K209" s="19"/>
      <c r="L209" s="20">
        <f>-L284</f>
        <v>-825</v>
      </c>
      <c r="M209" s="19"/>
      <c r="N209" s="18">
        <f>-N284</f>
        <v>-5068</v>
      </c>
      <c r="O209" s="18">
        <f t="shared" ref="O209:R209" si="217">-O284</f>
        <v>-4276</v>
      </c>
      <c r="P209" s="18">
        <f t="shared" si="217"/>
        <v>-3804</v>
      </c>
      <c r="Q209" s="18">
        <f t="shared" si="217"/>
        <v>-3554</v>
      </c>
      <c r="R209" s="18">
        <f t="shared" si="217"/>
        <v>-3812</v>
      </c>
    </row>
    <row r="210" spans="4:21" s="18" customFormat="1" x14ac:dyDescent="0.3">
      <c r="D210" s="18" t="s">
        <v>150</v>
      </c>
      <c r="K210" s="19"/>
      <c r="L210" s="20">
        <f>L312</f>
        <v>243</v>
      </c>
      <c r="M210" s="19"/>
      <c r="N210" s="18">
        <f t="shared" ref="N210:R210" si="218">N312</f>
        <v>1360</v>
      </c>
      <c r="O210" s="18">
        <f t="shared" si="218"/>
        <v>3020</v>
      </c>
      <c r="P210" s="18">
        <f t="shared" si="218"/>
        <v>343</v>
      </c>
      <c r="Q210" s="18">
        <f t="shared" si="218"/>
        <v>1588</v>
      </c>
      <c r="R210" s="18">
        <f t="shared" si="218"/>
        <v>1927</v>
      </c>
      <c r="S210" s="18">
        <f>'#22'!U10</f>
        <v>119.84753536939388</v>
      </c>
    </row>
    <row r="211" spans="4:21" s="18" customFormat="1" x14ac:dyDescent="0.3">
      <c r="K211" s="19"/>
      <c r="L211" s="20"/>
      <c r="M211" s="19"/>
    </row>
    <row r="212" spans="4:21" s="18" customFormat="1" x14ac:dyDescent="0.3">
      <c r="D212" s="28" t="s">
        <v>151</v>
      </c>
      <c r="E212" s="1490" t="s">
        <v>152</v>
      </c>
      <c r="F212" s="1490" t="s">
        <v>153</v>
      </c>
      <c r="G212" s="28"/>
      <c r="H212" s="28"/>
      <c r="I212" s="28"/>
      <c r="J212" s="28"/>
      <c r="K212" s="29"/>
      <c r="L212" s="30">
        <f>L207+L208+L209+L210</f>
        <v>-6786</v>
      </c>
      <c r="M212" s="29">
        <f t="shared" ref="M212:S212" si="219">M207+M208+M209+M210</f>
        <v>-8870</v>
      </c>
      <c r="N212" s="28">
        <f t="shared" si="219"/>
        <v>-6171</v>
      </c>
      <c r="O212" s="28">
        <f t="shared" si="219"/>
        <v>5209</v>
      </c>
      <c r="P212" s="28">
        <f t="shared" si="219"/>
        <v>16257</v>
      </c>
      <c r="Q212" s="28">
        <f t="shared" si="219"/>
        <v>34260</v>
      </c>
      <c r="R212" s="28">
        <f t="shared" si="219"/>
        <v>46571</v>
      </c>
      <c r="S212" s="28">
        <f t="shared" si="219"/>
        <v>38145.497535369286</v>
      </c>
    </row>
    <row r="213" spans="4:21" s="18" customFormat="1" x14ac:dyDescent="0.3">
      <c r="D213" s="18" t="s">
        <v>154</v>
      </c>
      <c r="E213" s="1491">
        <f>$F$227</f>
        <v>0.1605</v>
      </c>
      <c r="F213" s="1492">
        <v>0.01</v>
      </c>
      <c r="K213" s="19"/>
      <c r="L213" s="1493">
        <f>(2/12)/2</f>
        <v>8.3333333333333329E-2</v>
      </c>
      <c r="M213" s="1494"/>
      <c r="N213" s="1495">
        <f>2/12+6/12</f>
        <v>0.66666666666666663</v>
      </c>
      <c r="O213" s="1495">
        <f>N213+1</f>
        <v>1.6666666666666665</v>
      </c>
      <c r="P213" s="1495">
        <f t="shared" ref="P213:R213" si="220">O213+1</f>
        <v>2.6666666666666665</v>
      </c>
      <c r="Q213" s="1495">
        <f t="shared" si="220"/>
        <v>3.6666666666666665</v>
      </c>
      <c r="R213" s="1495">
        <f t="shared" si="220"/>
        <v>4.6666666666666661</v>
      </c>
      <c r="S213" s="1495"/>
    </row>
    <row r="214" spans="4:21" s="18" customFormat="1" x14ac:dyDescent="0.3">
      <c r="D214" s="18" t="s">
        <v>155</v>
      </c>
      <c r="K214" s="19"/>
      <c r="L214" s="1496">
        <f>1/(1+$E$213)^L213</f>
        <v>0.98767236997975927</v>
      </c>
      <c r="M214" s="1497"/>
      <c r="N214" s="1498">
        <f t="shared" ref="N214:R214" si="221">1/(1+$E$213)^N213</f>
        <v>0.90553082118235662</v>
      </c>
      <c r="O214" s="1498">
        <f t="shared" si="221"/>
        <v>0.78029368477583494</v>
      </c>
      <c r="P214" s="1498">
        <f t="shared" si="221"/>
        <v>0.67237715189645408</v>
      </c>
      <c r="Q214" s="1498">
        <f t="shared" si="221"/>
        <v>0.57938574053981384</v>
      </c>
      <c r="R214" s="1498">
        <f t="shared" si="221"/>
        <v>0.49925526974563889</v>
      </c>
      <c r="S214" s="1498">
        <f>R214/($E$213-$F$213)</f>
        <v>3.3173107624294942</v>
      </c>
    </row>
    <row r="215" spans="4:21" s="15" customFormat="1" x14ac:dyDescent="0.3">
      <c r="D215" s="248" t="s">
        <v>156</v>
      </c>
      <c r="E215" s="248"/>
      <c r="F215" s="248"/>
      <c r="G215" s="248"/>
      <c r="H215" s="248"/>
      <c r="I215" s="248"/>
      <c r="J215" s="248"/>
      <c r="K215" s="249"/>
      <c r="L215" s="250">
        <f>L212*L214</f>
        <v>-6702.3447026826461</v>
      </c>
      <c r="M215" s="249"/>
      <c r="N215" s="248">
        <f t="shared" ref="N215:S215" si="222">N212*N214</f>
        <v>-5588.030697516323</v>
      </c>
      <c r="O215" s="248">
        <f t="shared" si="222"/>
        <v>4064.549803997324</v>
      </c>
      <c r="P215" s="248">
        <f t="shared" si="222"/>
        <v>10930.835358380655</v>
      </c>
      <c r="Q215" s="248">
        <f t="shared" si="222"/>
        <v>19849.755470894022</v>
      </c>
      <c r="R215" s="248">
        <f t="shared" si="222"/>
        <v>23250.817167324149</v>
      </c>
      <c r="S215" s="248">
        <f t="shared" si="222"/>
        <v>126540.46951230828</v>
      </c>
    </row>
    <row r="216" spans="4:21" s="18" customFormat="1" x14ac:dyDescent="0.3">
      <c r="K216" s="19"/>
      <c r="L216" s="20"/>
      <c r="M216" s="19"/>
    </row>
    <row r="217" spans="4:21" s="18" customFormat="1" x14ac:dyDescent="0.3">
      <c r="D217" s="1504" t="s">
        <v>157</v>
      </c>
      <c r="E217" s="1504"/>
      <c r="F217" s="1504"/>
      <c r="G217" s="1504"/>
      <c r="H217" s="1504"/>
      <c r="I217" s="1504"/>
      <c r="J217" s="1504"/>
      <c r="K217" s="1505"/>
      <c r="L217" s="1506"/>
      <c r="M217" s="1505"/>
      <c r="N217" s="1504"/>
      <c r="O217" s="1504"/>
      <c r="P217" s="1504"/>
      <c r="Q217" s="1504"/>
      <c r="R217" s="1504"/>
      <c r="S217" s="1504">
        <f>SUM(L215:S215)</f>
        <v>172346.05191270547</v>
      </c>
      <c r="T217" s="18">
        <f>보고서!Q5</f>
        <v>239275</v>
      </c>
      <c r="U217" s="18">
        <f>T217-S217</f>
        <v>66928.948087294528</v>
      </c>
    </row>
    <row r="218" spans="4:21" s="18" customFormat="1" x14ac:dyDescent="0.3">
      <c r="D218" s="18" t="s">
        <v>3773</v>
      </c>
      <c r="K218" s="19"/>
      <c r="L218" s="20"/>
      <c r="M218" s="19"/>
      <c r="S218" s="18">
        <f>보고서!Q14</f>
        <v>34648</v>
      </c>
    </row>
    <row r="219" spans="4:21" s="18" customFormat="1" x14ac:dyDescent="0.3">
      <c r="D219" s="18" t="s">
        <v>3774</v>
      </c>
      <c r="K219" s="19"/>
      <c r="L219" s="20"/>
      <c r="M219" s="19"/>
      <c r="S219" s="18">
        <f>보고서!Q17</f>
        <v>150101</v>
      </c>
      <c r="T219" s="15" t="s">
        <v>3807</v>
      </c>
      <c r="U219" s="15">
        <v>51782</v>
      </c>
    </row>
    <row r="220" spans="4:21" x14ac:dyDescent="0.3">
      <c r="D220" s="1513" t="s">
        <v>3776</v>
      </c>
      <c r="E220" s="1513"/>
      <c r="F220" s="1513"/>
      <c r="G220" s="1513"/>
      <c r="H220" s="1513"/>
      <c r="I220" s="1513"/>
      <c r="J220" s="1513"/>
      <c r="K220" s="1513"/>
      <c r="L220" s="1513"/>
      <c r="M220" s="1513"/>
      <c r="N220" s="1513"/>
      <c r="O220" s="1513"/>
      <c r="P220" s="1513"/>
      <c r="Q220" s="1513"/>
      <c r="R220" s="1513"/>
      <c r="S220" s="1514">
        <f>S217+S218+S219</f>
        <v>357095.05191270547</v>
      </c>
      <c r="T220" s="18">
        <f>보고서!Q18</f>
        <v>424024</v>
      </c>
    </row>
    <row r="222" spans="4:21" x14ac:dyDescent="0.3">
      <c r="D222" s="1515" t="s">
        <v>3775</v>
      </c>
      <c r="E222" s="1516"/>
      <c r="F222" s="1516"/>
      <c r="G222" s="1516"/>
      <c r="H222" s="1516"/>
      <c r="I222" s="1516"/>
      <c r="J222" s="1516"/>
      <c r="K222" s="1516"/>
      <c r="L222" s="1516"/>
      <c r="M222" s="1516"/>
      <c r="N222" s="1516"/>
      <c r="O222" s="1516"/>
      <c r="P222" s="1516"/>
      <c r="Q222" s="1516"/>
      <c r="R222" s="1516"/>
      <c r="S222" s="1520">
        <v>405384</v>
      </c>
      <c r="T222" s="21" t="s">
        <v>3811</v>
      </c>
    </row>
    <row r="223" spans="4:21" ht="14.25" thickBot="1" x14ac:dyDescent="0.35"/>
    <row r="224" spans="4:21" ht="14.25" thickBot="1" x14ac:dyDescent="0.35">
      <c r="D224" s="1517" t="s">
        <v>3777</v>
      </c>
      <c r="E224" s="1518"/>
      <c r="F224" s="1518"/>
      <c r="G224" s="1518"/>
      <c r="H224" s="1518"/>
      <c r="I224" s="1518"/>
      <c r="J224" s="1518"/>
      <c r="K224" s="1518"/>
      <c r="L224" s="1518"/>
      <c r="M224" s="1518"/>
      <c r="N224" s="1518"/>
      <c r="O224" s="1518"/>
      <c r="P224" s="1518"/>
      <c r="Q224" s="1518"/>
      <c r="R224" s="1518"/>
      <c r="S224" s="1519">
        <f>S220-S222</f>
        <v>-48288.948087294528</v>
      </c>
    </row>
    <row r="227" spans="4:10" x14ac:dyDescent="0.3">
      <c r="D227" s="1670" t="s">
        <v>152</v>
      </c>
      <c r="E227" s="1669">
        <v>2</v>
      </c>
      <c r="F227" s="1671">
        <f>CHOOSE($E$227,F228,F229)</f>
        <v>0.1605</v>
      </c>
    </row>
    <row r="228" spans="4:10" x14ac:dyDescent="0.3">
      <c r="D228" s="1663" t="s">
        <v>3793</v>
      </c>
      <c r="E228" s="1664"/>
      <c r="F228" s="1665">
        <v>0.127</v>
      </c>
    </row>
    <row r="229" spans="4:10" x14ac:dyDescent="0.3">
      <c r="D229" s="1666" t="s">
        <v>3794</v>
      </c>
      <c r="E229" s="1667"/>
      <c r="F229" s="1668">
        <f>F228+F232</f>
        <v>0.1605</v>
      </c>
    </row>
    <row r="231" spans="4:10" x14ac:dyDescent="0.3">
      <c r="D231" s="1672" t="s">
        <v>3806</v>
      </c>
      <c r="E231" s="1672"/>
      <c r="F231" s="28">
        <f>KRX!J2172/10^8</f>
        <v>1501.0999608</v>
      </c>
    </row>
    <row r="232" spans="4:10" x14ac:dyDescent="0.3">
      <c r="D232" s="1672" t="s">
        <v>3808</v>
      </c>
      <c r="E232" s="1672"/>
      <c r="F232" s="1673">
        <v>3.3500000000000002E-2</v>
      </c>
    </row>
    <row r="236" spans="4:10" x14ac:dyDescent="0.3">
      <c r="D236" s="341" t="s">
        <v>3809</v>
      </c>
    </row>
    <row r="238" spans="4:10" x14ac:dyDescent="0.3">
      <c r="D238" s="1515" t="s">
        <v>3785</v>
      </c>
      <c r="E238" s="1516"/>
      <c r="F238" s="1516"/>
      <c r="G238" s="1516"/>
      <c r="H238" s="1516"/>
      <c r="I238" s="1516"/>
    </row>
    <row r="239" spans="4:10" x14ac:dyDescent="0.3">
      <c r="D239" s="15">
        <f>S220</f>
        <v>357095.05191270547</v>
      </c>
      <c r="E239" s="44">
        <f>F239-0.5%</f>
        <v>0</v>
      </c>
      <c r="F239" s="44">
        <f>G239-0.5%</f>
        <v>5.0000000000000001E-3</v>
      </c>
      <c r="G239" s="1674">
        <v>0.01</v>
      </c>
      <c r="H239" s="44">
        <f>G239+0.5%</f>
        <v>1.4999999999999999E-2</v>
      </c>
      <c r="I239" s="44">
        <f>H239+0.5%</f>
        <v>0.02</v>
      </c>
    </row>
    <row r="240" spans="4:10" x14ac:dyDescent="0.3">
      <c r="D240" s="44">
        <f>D241-0.5%</f>
        <v>0.15049999999999999</v>
      </c>
      <c r="E240" s="1675">
        <f t="dataTable" ref="E240:I244" dt2D="1" dtr="1" r1="F213" r2="E213"/>
        <v>362514.98842823406</v>
      </c>
      <c r="F240" s="1676">
        <v>367849.2406066343</v>
      </c>
      <c r="G240" s="1676">
        <v>373563.15486178891</v>
      </c>
      <c r="H240" s="1676">
        <v>379698.76020588574</v>
      </c>
      <c r="I240" s="1684">
        <v>386304.52687903115</v>
      </c>
      <c r="J240" s="341" t="b">
        <f>D242=E213</f>
        <v>1</v>
      </c>
    </row>
    <row r="241" spans="4:10" x14ac:dyDescent="0.3">
      <c r="D241" s="44">
        <f>D242-0.5%</f>
        <v>0.1555</v>
      </c>
      <c r="E241" s="1677">
        <v>354862.0216201013</v>
      </c>
      <c r="F241" s="1678">
        <v>359779.56212076143</v>
      </c>
      <c r="G241" s="1678">
        <v>365035.07791356312</v>
      </c>
      <c r="H241" s="1682">
        <v>370664.65176991024</v>
      </c>
      <c r="I241" s="1679">
        <v>376709.69233152189</v>
      </c>
      <c r="J241" s="341" t="b">
        <f>G239=F213</f>
        <v>1</v>
      </c>
    </row>
    <row r="242" spans="4:10" x14ac:dyDescent="0.3">
      <c r="D242" s="1674">
        <v>0.1605</v>
      </c>
      <c r="E242" s="1677">
        <v>347706.45685765555</v>
      </c>
      <c r="F242" s="1678">
        <v>352249.81234249484</v>
      </c>
      <c r="G242" s="1682">
        <v>357095.05191270547</v>
      </c>
      <c r="H242" s="1678">
        <v>362273.29763894511</v>
      </c>
      <c r="I242" s="1679">
        <v>367820.10177986283</v>
      </c>
    </row>
    <row r="243" spans="4:10" x14ac:dyDescent="0.3">
      <c r="D243" s="44">
        <f>D242+0.5%</f>
        <v>0.16550000000000001</v>
      </c>
      <c r="E243" s="1677">
        <v>341002.90282682062</v>
      </c>
      <c r="F243" s="1682">
        <v>345209.21728925814</v>
      </c>
      <c r="G243" s="1678">
        <v>349686.03428947297</v>
      </c>
      <c r="H243" s="1678">
        <v>354460.31421329081</v>
      </c>
      <c r="I243" s="1679">
        <v>359562.72334149398</v>
      </c>
    </row>
    <row r="244" spans="4:10" x14ac:dyDescent="0.3">
      <c r="D244" s="44">
        <f>D243+0.5%</f>
        <v>0.17050000000000001</v>
      </c>
      <c r="E244" s="1683">
        <v>334711.29777662049</v>
      </c>
      <c r="F244" s="1680">
        <v>338613.1438761251</v>
      </c>
      <c r="G244" s="1680">
        <v>342758.09565161134</v>
      </c>
      <c r="H244" s="1680">
        <v>347169.60381137393</v>
      </c>
      <c r="I244" s="1681">
        <v>351874.23543690064</v>
      </c>
    </row>
    <row r="246" spans="4:10" x14ac:dyDescent="0.3">
      <c r="D246" s="1515" t="s">
        <v>3810</v>
      </c>
      <c r="E246" s="1516"/>
      <c r="F246" s="1516"/>
      <c r="G246" s="1516"/>
      <c r="H246" s="1516"/>
      <c r="I246" s="1516"/>
    </row>
    <row r="247" spans="4:10" x14ac:dyDescent="0.3">
      <c r="D247" s="15">
        <f>S228</f>
        <v>0</v>
      </c>
      <c r="E247" s="44">
        <f>F247-0.5%</f>
        <v>0</v>
      </c>
      <c r="F247" s="44">
        <f>G247-0.5%</f>
        <v>5.0000000000000001E-3</v>
      </c>
      <c r="G247" s="1674">
        <v>0.01</v>
      </c>
      <c r="H247" s="44">
        <f>G247+0.5%</f>
        <v>1.4999999999999999E-2</v>
      </c>
      <c r="I247" s="44">
        <f>H247+0.5%</f>
        <v>0.02</v>
      </c>
    </row>
    <row r="248" spans="4:10" x14ac:dyDescent="0.3">
      <c r="D248" s="44">
        <f>D249-0.5%</f>
        <v>0.15049999999999999</v>
      </c>
      <c r="E248" s="1675">
        <f>E240-$S$222</f>
        <v>-42869.011571765936</v>
      </c>
      <c r="F248" s="1676">
        <f t="shared" ref="F248:I248" si="223">F240-$S$222</f>
        <v>-37534.759393365704</v>
      </c>
      <c r="G248" s="1676">
        <f t="shared" si="223"/>
        <v>-31820.845138211094</v>
      </c>
      <c r="H248" s="1676">
        <f t="shared" si="223"/>
        <v>-25685.239794114255</v>
      </c>
      <c r="I248" s="1684">
        <f t="shared" si="223"/>
        <v>-19079.473120968847</v>
      </c>
    </row>
    <row r="249" spans="4:10" x14ac:dyDescent="0.3">
      <c r="D249" s="44">
        <f>D250-0.5%</f>
        <v>0.1555</v>
      </c>
      <c r="E249" s="1677">
        <f t="shared" ref="E249:I249" si="224">E241-$S$222</f>
        <v>-50521.978379898705</v>
      </c>
      <c r="F249" s="1678">
        <f t="shared" si="224"/>
        <v>-45604.437879238569</v>
      </c>
      <c r="G249" s="1678">
        <f t="shared" si="224"/>
        <v>-40348.922086436884</v>
      </c>
      <c r="H249" s="1682">
        <f t="shared" si="224"/>
        <v>-34719.348230089759</v>
      </c>
      <c r="I249" s="1679">
        <f t="shared" si="224"/>
        <v>-28674.307668478112</v>
      </c>
    </row>
    <row r="250" spans="4:10" x14ac:dyDescent="0.3">
      <c r="D250" s="1674">
        <v>0.1605</v>
      </c>
      <c r="E250" s="1677">
        <f t="shared" ref="E250:I250" si="225">E242-$S$222</f>
        <v>-57677.543142344453</v>
      </c>
      <c r="F250" s="1678">
        <f t="shared" si="225"/>
        <v>-53134.187657505157</v>
      </c>
      <c r="G250" s="1682">
        <f t="shared" si="225"/>
        <v>-48288.948087294528</v>
      </c>
      <c r="H250" s="1678">
        <f t="shared" si="225"/>
        <v>-43110.702361054893</v>
      </c>
      <c r="I250" s="1679">
        <f t="shared" si="225"/>
        <v>-37563.898220137169</v>
      </c>
    </row>
    <row r="251" spans="4:10" x14ac:dyDescent="0.3">
      <c r="D251" s="44">
        <f>D250+0.5%</f>
        <v>0.16550000000000001</v>
      </c>
      <c r="E251" s="1677">
        <f t="shared" ref="E251:I251" si="226">E243-$S$222</f>
        <v>-64381.097173179383</v>
      </c>
      <c r="F251" s="1682">
        <f t="shared" si="226"/>
        <v>-60174.782710741856</v>
      </c>
      <c r="G251" s="1678">
        <f t="shared" si="226"/>
        <v>-55697.965710527031</v>
      </c>
      <c r="H251" s="1678">
        <f t="shared" si="226"/>
        <v>-50923.685786709189</v>
      </c>
      <c r="I251" s="1679">
        <f t="shared" si="226"/>
        <v>-45821.276658506016</v>
      </c>
    </row>
    <row r="252" spans="4:10" x14ac:dyDescent="0.3">
      <c r="D252" s="44">
        <f>D251+0.5%</f>
        <v>0.17050000000000001</v>
      </c>
      <c r="E252" s="1683">
        <f t="shared" ref="E252:I252" si="227">E244-$S$222</f>
        <v>-70672.702223379514</v>
      </c>
      <c r="F252" s="1680">
        <f t="shared" si="227"/>
        <v>-66770.856123874895</v>
      </c>
      <c r="G252" s="1680">
        <f t="shared" si="227"/>
        <v>-62625.904348388663</v>
      </c>
      <c r="H252" s="1680">
        <f t="shared" si="227"/>
        <v>-58214.396188626066</v>
      </c>
      <c r="I252" s="1681">
        <f t="shared" si="227"/>
        <v>-53509.764563099365</v>
      </c>
    </row>
    <row r="258" spans="4:19" s="18" customFormat="1" x14ac:dyDescent="0.3">
      <c r="D258" s="25" t="s">
        <v>158</v>
      </c>
      <c r="E258" s="25"/>
      <c r="F258" s="25"/>
      <c r="G258" s="25"/>
      <c r="H258" s="25">
        <f>보고서!C48-H8</f>
        <v>-1</v>
      </c>
      <c r="I258" s="25">
        <f>보고서!D48-I8</f>
        <v>-3</v>
      </c>
      <c r="J258" s="25">
        <f>보고서!E48-J8</f>
        <v>0</v>
      </c>
      <c r="K258" s="26">
        <f>보고서!F48-K8</f>
        <v>-3</v>
      </c>
      <c r="L258" s="27">
        <f>보고서!G48-L8</f>
        <v>-1</v>
      </c>
      <c r="M258" s="26"/>
      <c r="N258" s="25">
        <f>보고서!H48-N8</f>
        <v>0</v>
      </c>
      <c r="O258" s="25">
        <f>보고서!I48-O8</f>
        <v>-1</v>
      </c>
      <c r="P258" s="25">
        <f>보고서!J48-P8</f>
        <v>-1</v>
      </c>
      <c r="Q258" s="25">
        <f>보고서!K48-Q8</f>
        <v>-1</v>
      </c>
      <c r="R258" s="25">
        <f>보고서!L48-R8</f>
        <v>1</v>
      </c>
      <c r="S258" s="25"/>
    </row>
    <row r="259" spans="4:19" s="18" customFormat="1" x14ac:dyDescent="0.3">
      <c r="D259" s="25" t="s">
        <v>158</v>
      </c>
      <c r="E259" s="25"/>
      <c r="F259" s="25"/>
      <c r="G259" s="25"/>
      <c r="H259" s="25">
        <f>보고서!C72-H68</f>
        <v>-1</v>
      </c>
      <c r="I259" s="25">
        <f>보고서!D72-I68</f>
        <v>-2</v>
      </c>
      <c r="J259" s="25">
        <f>보고서!E72-J68</f>
        <v>0</v>
      </c>
      <c r="K259" s="26">
        <f>보고서!F72-K68</f>
        <v>1</v>
      </c>
      <c r="L259" s="27">
        <f>보고서!G72-L68</f>
        <v>0</v>
      </c>
      <c r="M259" s="26"/>
      <c r="N259" s="25">
        <f>보고서!H72-N68</f>
        <v>1</v>
      </c>
      <c r="O259" s="25">
        <f>보고서!I72-O68</f>
        <v>-1</v>
      </c>
      <c r="P259" s="25">
        <f>보고서!J72-P68</f>
        <v>-1</v>
      </c>
      <c r="Q259" s="25">
        <f>보고서!K72-Q68</f>
        <v>0</v>
      </c>
      <c r="R259" s="25">
        <f>보고서!L72-R68</f>
        <v>-1</v>
      </c>
      <c r="S259" s="25"/>
    </row>
    <row r="260" spans="4:19" s="18" customFormat="1" x14ac:dyDescent="0.3">
      <c r="D260" s="25" t="s">
        <v>158</v>
      </c>
      <c r="E260" s="25"/>
      <c r="F260" s="25"/>
      <c r="G260" s="25"/>
      <c r="H260" s="25">
        <f>보고서!C85-H171</f>
        <v>1</v>
      </c>
      <c r="I260" s="25">
        <f>보고서!D85-I171</f>
        <v>1</v>
      </c>
      <c r="J260" s="25">
        <f>보고서!E85-J171</f>
        <v>0</v>
      </c>
      <c r="K260" s="26">
        <f>보고서!F85-K171</f>
        <v>-1</v>
      </c>
      <c r="L260" s="27">
        <f>보고서!G85-L171</f>
        <v>1</v>
      </c>
      <c r="M260" s="26"/>
      <c r="N260" s="25">
        <f>보고서!H85-N171</f>
        <v>-1</v>
      </c>
      <c r="O260" s="25">
        <f>보고서!I85-O171</f>
        <v>-1</v>
      </c>
      <c r="P260" s="25">
        <f>보고서!J85-P171</f>
        <v>-1</v>
      </c>
      <c r="Q260" s="25">
        <f>보고서!K85-Q171</f>
        <v>-1</v>
      </c>
      <c r="R260" s="25">
        <f>보고서!L85-R171</f>
        <v>-1</v>
      </c>
      <c r="S260" s="25"/>
    </row>
    <row r="261" spans="4:19" s="18" customFormat="1" x14ac:dyDescent="0.3">
      <c r="K261" s="19"/>
      <c r="L261" s="20"/>
      <c r="M261" s="19"/>
    </row>
    <row r="262" spans="4:19" s="18" customFormat="1" x14ac:dyDescent="0.3">
      <c r="D262" s="18" t="s">
        <v>159</v>
      </c>
      <c r="K262" s="19"/>
      <c r="L262" s="20"/>
      <c r="M262" s="19"/>
    </row>
    <row r="263" spans="4:19" s="18" customFormat="1" x14ac:dyDescent="0.3">
      <c r="K263" s="19"/>
      <c r="L263" s="20"/>
      <c r="M263" s="19"/>
    </row>
    <row r="264" spans="4:19" s="18" customFormat="1" x14ac:dyDescent="0.3">
      <c r="D264" s="15" t="s">
        <v>160</v>
      </c>
      <c r="K264" s="19"/>
      <c r="L264" s="20"/>
      <c r="M264" s="19"/>
    </row>
    <row r="265" spans="4:19" s="18" customFormat="1" x14ac:dyDescent="0.3">
      <c r="D265" s="25" t="s">
        <v>161</v>
      </c>
      <c r="E265" s="25"/>
      <c r="F265" s="25"/>
      <c r="G265" s="25"/>
      <c r="H265" s="25">
        <f>dart!F52/10^6</f>
        <v>196961.16268400001</v>
      </c>
      <c r="I265" s="25">
        <f>dart!D52/10^6</f>
        <v>226329.072223</v>
      </c>
      <c r="J265" s="25">
        <f>dart!R52/10^6</f>
        <v>244189.26450200001</v>
      </c>
      <c r="K265" s="26"/>
      <c r="L265" s="27"/>
      <c r="M265" s="26"/>
      <c r="N265" s="25"/>
      <c r="O265" s="25"/>
      <c r="P265" s="25"/>
      <c r="Q265" s="25"/>
      <c r="R265" s="25"/>
      <c r="S265" s="25"/>
    </row>
    <row r="266" spans="4:19" s="18" customFormat="1" x14ac:dyDescent="0.3">
      <c r="D266" s="25" t="s">
        <v>44</v>
      </c>
      <c r="E266" s="25"/>
      <c r="F266" s="25"/>
      <c r="G266" s="25"/>
      <c r="H266" s="25">
        <f>dart!F53/10^6</f>
        <v>166303.13171700001</v>
      </c>
      <c r="I266" s="25">
        <f>dart!D53/10^6</f>
        <v>181205.387327</v>
      </c>
      <c r="J266" s="25">
        <f>dart!R53/10^6</f>
        <v>184688.31035399999</v>
      </c>
      <c r="K266" s="26"/>
      <c r="L266" s="27"/>
      <c r="M266" s="26"/>
      <c r="N266" s="25"/>
      <c r="O266" s="25"/>
      <c r="P266" s="25"/>
      <c r="Q266" s="25"/>
      <c r="R266" s="25"/>
      <c r="S266" s="25"/>
    </row>
    <row r="267" spans="4:19" s="18" customFormat="1" x14ac:dyDescent="0.3">
      <c r="D267" s="25" t="s">
        <v>127</v>
      </c>
      <c r="E267" s="25"/>
      <c r="F267" s="25"/>
      <c r="G267" s="25"/>
      <c r="H267" s="25">
        <f>dart!E55/10^6</f>
        <v>57401.502101999999</v>
      </c>
      <c r="I267" s="25">
        <f>dart!C55/10^6</f>
        <v>57012.606885000001</v>
      </c>
      <c r="J267" s="25">
        <f>dart!Q55/10^6</f>
        <v>54652.445309000002</v>
      </c>
      <c r="K267" s="26"/>
      <c r="L267" s="27"/>
      <c r="M267" s="26"/>
      <c r="N267" s="25"/>
      <c r="O267" s="25"/>
      <c r="P267" s="25"/>
      <c r="Q267" s="25"/>
      <c r="R267" s="25"/>
      <c r="S267" s="25"/>
    </row>
    <row r="268" spans="4:19" s="18" customFormat="1" x14ac:dyDescent="0.3">
      <c r="D268" s="25" t="s">
        <v>137</v>
      </c>
      <c r="E268" s="25"/>
      <c r="F268" s="25"/>
      <c r="G268" s="25"/>
      <c r="H268" s="25">
        <f>dart!F56/10^6</f>
        <v>-26743.471135</v>
      </c>
      <c r="I268" s="25">
        <f>dart!D56/10^6</f>
        <v>-11888.921989</v>
      </c>
      <c r="J268" s="25">
        <f>dart!R56/10^6</f>
        <v>4848.5088390000001</v>
      </c>
      <c r="K268" s="26"/>
      <c r="L268" s="27"/>
      <c r="M268" s="26"/>
      <c r="N268" s="25"/>
      <c r="O268" s="25"/>
      <c r="P268" s="25"/>
      <c r="Q268" s="25"/>
      <c r="R268" s="25"/>
      <c r="S268" s="25"/>
    </row>
    <row r="269" spans="4:19" s="18" customFormat="1" x14ac:dyDescent="0.3">
      <c r="D269" s="1470" t="s">
        <v>56</v>
      </c>
      <c r="E269" s="25"/>
      <c r="F269" s="25"/>
      <c r="G269" s="25"/>
      <c r="H269" s="25">
        <f>H8-H265</f>
        <v>0.83731599999009632</v>
      </c>
      <c r="I269" s="25">
        <f>I8-I265</f>
        <v>2.9277770000044256</v>
      </c>
      <c r="J269" s="25">
        <f>J8-J265</f>
        <v>-0.2645020000054501</v>
      </c>
      <c r="K269" s="26"/>
      <c r="L269" s="27"/>
      <c r="M269" s="26"/>
      <c r="N269" s="25"/>
      <c r="O269" s="25"/>
      <c r="P269" s="25"/>
      <c r="Q269" s="25"/>
      <c r="R269" s="25"/>
      <c r="S269" s="25"/>
    </row>
    <row r="270" spans="4:19" s="18" customFormat="1" x14ac:dyDescent="0.3">
      <c r="D270" s="1470" t="s">
        <v>56</v>
      </c>
      <c r="E270" s="25"/>
      <c r="F270" s="25"/>
      <c r="G270" s="25"/>
      <c r="H270" s="25">
        <f>H68-H266</f>
        <v>0.86828299998887815</v>
      </c>
      <c r="I270" s="25">
        <f>I68-I266</f>
        <v>1.6126729999959935</v>
      </c>
      <c r="J270" s="25">
        <f>J68-J266</f>
        <v>-0.31035399998654611</v>
      </c>
      <c r="K270" s="26"/>
      <c r="L270" s="27"/>
      <c r="M270" s="26"/>
      <c r="N270" s="25"/>
      <c r="O270" s="25"/>
      <c r="P270" s="25"/>
      <c r="Q270" s="25"/>
      <c r="R270" s="25"/>
      <c r="S270" s="25"/>
    </row>
    <row r="271" spans="4:19" s="18" customFormat="1" x14ac:dyDescent="0.3">
      <c r="D271" s="1470" t="s">
        <v>56</v>
      </c>
      <c r="E271" s="25"/>
      <c r="F271" s="25"/>
      <c r="G271" s="25"/>
      <c r="H271" s="25">
        <f>H171-H267</f>
        <v>-0.50210199999855831</v>
      </c>
      <c r="I271" s="25">
        <f>I171-I267</f>
        <v>-0.60688500000105705</v>
      </c>
      <c r="J271" s="25">
        <f>J171-J267</f>
        <v>-0.4453090000024531</v>
      </c>
      <c r="K271" s="26"/>
      <c r="L271" s="27"/>
      <c r="M271" s="26"/>
      <c r="N271" s="25"/>
      <c r="O271" s="25"/>
      <c r="P271" s="25"/>
      <c r="Q271" s="25"/>
      <c r="R271" s="25"/>
      <c r="S271" s="25"/>
    </row>
    <row r="272" spans="4:19" s="18" customFormat="1" x14ac:dyDescent="0.3">
      <c r="D272" s="1470" t="s">
        <v>56</v>
      </c>
      <c r="E272" s="25"/>
      <c r="F272" s="25"/>
      <c r="G272" s="25"/>
      <c r="H272" s="25">
        <f>H189-H268</f>
        <v>0.47113499999977648</v>
      </c>
      <c r="I272" s="25">
        <f>I189-I268</f>
        <v>1.9219890000003943</v>
      </c>
      <c r="J272" s="25">
        <f>J189-J268</f>
        <v>0.49116099999992002</v>
      </c>
      <c r="K272" s="26"/>
      <c r="L272" s="27"/>
      <c r="M272" s="26"/>
      <c r="N272" s="25"/>
      <c r="O272" s="25"/>
      <c r="P272" s="25"/>
      <c r="Q272" s="25"/>
      <c r="R272" s="25"/>
      <c r="S272" s="25"/>
    </row>
    <row r="273" spans="4:19" s="18" customFormat="1" x14ac:dyDescent="0.3">
      <c r="K273" s="19"/>
      <c r="L273" s="20"/>
      <c r="M273" s="19"/>
    </row>
    <row r="274" spans="4:19" s="18" customFormat="1" x14ac:dyDescent="0.3">
      <c r="K274" s="19"/>
      <c r="L274" s="20"/>
      <c r="M274" s="19"/>
    </row>
    <row r="275" spans="4:19" s="18" customFormat="1" x14ac:dyDescent="0.3">
      <c r="K275" s="19"/>
      <c r="L275" s="20"/>
      <c r="M275" s="19"/>
    </row>
    <row r="276" spans="4:19" s="18" customFormat="1" x14ac:dyDescent="0.3">
      <c r="D276" s="15" t="s">
        <v>162</v>
      </c>
      <c r="K276" s="19"/>
      <c r="L276" s="20"/>
      <c r="M276" s="19"/>
    </row>
    <row r="277" spans="4:19" s="18" customFormat="1" x14ac:dyDescent="0.3">
      <c r="D277" s="15" t="s">
        <v>163</v>
      </c>
      <c r="E277" s="18" t="s">
        <v>164</v>
      </c>
      <c r="K277" s="19"/>
      <c r="L277" s="20"/>
      <c r="M277" s="19"/>
    </row>
    <row r="278" spans="4:19" s="18" customFormat="1" x14ac:dyDescent="0.3">
      <c r="K278" s="19"/>
      <c r="L278" s="20"/>
      <c r="M278" s="19"/>
    </row>
    <row r="279" spans="4:19" s="18" customFormat="1" x14ac:dyDescent="0.3">
      <c r="K279" s="19"/>
      <c r="L279" s="20"/>
      <c r="M279" s="19"/>
    </row>
    <row r="280" spans="4:19" s="18" customFormat="1" x14ac:dyDescent="0.3">
      <c r="K280" s="19"/>
      <c r="L280" s="20"/>
      <c r="M280" s="19"/>
    </row>
    <row r="281" spans="4:19" s="18" customFormat="1" x14ac:dyDescent="0.3">
      <c r="D281" s="21"/>
      <c r="E281" s="21"/>
      <c r="F281" s="21"/>
      <c r="G281" s="21"/>
      <c r="H281" s="6" t="s">
        <v>52</v>
      </c>
      <c r="I281" s="6" t="s">
        <v>52</v>
      </c>
      <c r="J281" s="6" t="s">
        <v>52</v>
      </c>
      <c r="K281" s="6" t="s">
        <v>52</v>
      </c>
      <c r="L281" s="7" t="s">
        <v>53</v>
      </c>
      <c r="M281" s="7" t="s">
        <v>53</v>
      </c>
      <c r="N281" s="7" t="s">
        <v>53</v>
      </c>
      <c r="O281" s="7" t="s">
        <v>53</v>
      </c>
      <c r="P281" s="7" t="s">
        <v>53</v>
      </c>
      <c r="Q281" s="7" t="s">
        <v>53</v>
      </c>
      <c r="R281" s="7" t="s">
        <v>53</v>
      </c>
      <c r="S281" s="7"/>
    </row>
    <row r="282" spans="4:19" s="18" customFormat="1" ht="15.75" x14ac:dyDescent="0.3">
      <c r="D282" s="4" t="s">
        <v>54</v>
      </c>
      <c r="E282" s="72"/>
      <c r="F282" s="4"/>
      <c r="G282" s="4"/>
      <c r="H282" s="5">
        <v>2019</v>
      </c>
      <c r="I282" s="5">
        <f>H282+1</f>
        <v>2020</v>
      </c>
      <c r="J282" s="5">
        <f t="shared" ref="J282:K282" si="228">I282+1</f>
        <v>2021</v>
      </c>
      <c r="K282" s="8">
        <f t="shared" si="228"/>
        <v>2022</v>
      </c>
      <c r="L282" s="9">
        <f>K282</f>
        <v>2022</v>
      </c>
      <c r="M282" s="10">
        <v>2022</v>
      </c>
      <c r="N282" s="3">
        <f>L282+1</f>
        <v>2023</v>
      </c>
      <c r="O282" s="3">
        <f t="shared" ref="O282:R282" si="229">N282+1</f>
        <v>2024</v>
      </c>
      <c r="P282" s="3">
        <f t="shared" si="229"/>
        <v>2025</v>
      </c>
      <c r="Q282" s="3">
        <f t="shared" si="229"/>
        <v>2026</v>
      </c>
      <c r="R282" s="3">
        <f t="shared" si="229"/>
        <v>2027</v>
      </c>
      <c r="S282" s="3"/>
    </row>
    <row r="283" spans="4:19" s="18" customFormat="1" x14ac:dyDescent="0.3">
      <c r="D283" s="11" t="s">
        <v>57</v>
      </c>
      <c r="E283" s="75" t="s">
        <v>58</v>
      </c>
      <c r="F283" s="11"/>
      <c r="G283" s="11"/>
      <c r="H283" s="12" t="s">
        <v>59</v>
      </c>
      <c r="I283" s="12" t="s">
        <v>59</v>
      </c>
      <c r="J283" s="12" t="s">
        <v>59</v>
      </c>
      <c r="K283" s="13" t="s">
        <v>19</v>
      </c>
      <c r="L283" s="14" t="s">
        <v>20</v>
      </c>
      <c r="M283" s="13" t="s">
        <v>59</v>
      </c>
      <c r="N283" s="12" t="s">
        <v>59</v>
      </c>
      <c r="O283" s="12" t="s">
        <v>59</v>
      </c>
      <c r="P283" s="12" t="s">
        <v>59</v>
      </c>
      <c r="Q283" s="12" t="s">
        <v>59</v>
      </c>
      <c r="R283" s="12" t="s">
        <v>59</v>
      </c>
      <c r="S283" s="972"/>
    </row>
    <row r="284" spans="4:19" s="15" customFormat="1" x14ac:dyDescent="0.3">
      <c r="D284" s="28" t="s">
        <v>149</v>
      </c>
      <c r="E284" s="28"/>
      <c r="F284" s="242" t="s">
        <v>165</v>
      </c>
      <c r="G284" s="28"/>
      <c r="H284" s="28">
        <f>H285+H286</f>
        <v>5661.6465849999995</v>
      </c>
      <c r="I284" s="28">
        <f t="shared" ref="I284:R284" si="230">I285+I286</f>
        <v>3003.8977279999999</v>
      </c>
      <c r="J284" s="28">
        <f t="shared" si="230"/>
        <v>3951.2364820000003</v>
      </c>
      <c r="K284" s="29">
        <f t="shared" si="230"/>
        <v>3225.53449</v>
      </c>
      <c r="L284" s="30">
        <f t="shared" si="230"/>
        <v>825</v>
      </c>
      <c r="M284" s="29">
        <f t="shared" si="230"/>
        <v>4050.53449</v>
      </c>
      <c r="N284" s="28">
        <f t="shared" si="230"/>
        <v>5068</v>
      </c>
      <c r="O284" s="28">
        <f t="shared" si="230"/>
        <v>4276</v>
      </c>
      <c r="P284" s="28">
        <f t="shared" si="230"/>
        <v>3804</v>
      </c>
      <c r="Q284" s="28">
        <f t="shared" si="230"/>
        <v>3554</v>
      </c>
      <c r="R284" s="28">
        <f t="shared" si="230"/>
        <v>3812</v>
      </c>
      <c r="S284" s="28"/>
    </row>
    <row r="285" spans="4:19" s="18" customFormat="1" x14ac:dyDescent="0.3">
      <c r="D285" s="18" t="s">
        <v>166</v>
      </c>
      <c r="F285" s="25">
        <f>dart!AG163/10^6</f>
        <v>645.296381</v>
      </c>
      <c r="H285" s="18">
        <f>dart!D169/10^6</f>
        <v>957.01565400000004</v>
      </c>
      <c r="I285" s="18">
        <f>dart!B169/10^6</f>
        <v>1030.872652</v>
      </c>
      <c r="J285" s="18">
        <f>dart!Q165/10^6</f>
        <v>2139.025545</v>
      </c>
      <c r="K285" s="243">
        <f>F285/9*10</f>
        <v>716.99597888888889</v>
      </c>
      <c r="L285" s="20">
        <f>보고서!G92</f>
        <v>232</v>
      </c>
      <c r="M285" s="19">
        <f>K285+L285</f>
        <v>948.99597888888889</v>
      </c>
      <c r="N285" s="18">
        <f>보고서!H92</f>
        <v>1441</v>
      </c>
      <c r="O285" s="18">
        <f>보고서!I92</f>
        <v>1412</v>
      </c>
      <c r="P285" s="18">
        <f>보고서!J92</f>
        <v>1304</v>
      </c>
      <c r="Q285" s="18">
        <f>보고서!K92</f>
        <v>1351</v>
      </c>
      <c r="R285" s="18">
        <f>보고서!L92</f>
        <v>1343</v>
      </c>
    </row>
    <row r="286" spans="4:19" s="18" customFormat="1" x14ac:dyDescent="0.3">
      <c r="D286" s="18" t="s">
        <v>167</v>
      </c>
      <c r="F286" s="25">
        <f>dart!AG164/10^6</f>
        <v>2257.6846599999999</v>
      </c>
      <c r="H286" s="18">
        <f>dart!D170/10^6</f>
        <v>4704.6309309999997</v>
      </c>
      <c r="I286" s="18">
        <f>dart!B170/10^6</f>
        <v>1973.0250759999999</v>
      </c>
      <c r="J286" s="18">
        <f>dart!Q166/10^6</f>
        <v>1812.2109370000001</v>
      </c>
      <c r="K286" s="243">
        <f>F286/9*10</f>
        <v>2508.5385111111109</v>
      </c>
      <c r="L286" s="20">
        <f>보고서!G93</f>
        <v>593</v>
      </c>
      <c r="M286" s="19">
        <f>K286+L286</f>
        <v>3101.5385111111109</v>
      </c>
      <c r="N286" s="18">
        <f>보고서!H93</f>
        <v>3627</v>
      </c>
      <c r="O286" s="18">
        <f>보고서!I93</f>
        <v>2864</v>
      </c>
      <c r="P286" s="18">
        <f>보고서!J93</f>
        <v>2500</v>
      </c>
      <c r="Q286" s="18">
        <f>보고서!K93</f>
        <v>2203</v>
      </c>
      <c r="R286" s="18">
        <f>보고서!L93</f>
        <v>2469</v>
      </c>
    </row>
    <row r="287" spans="4:19" s="18" customFormat="1" x14ac:dyDescent="0.3">
      <c r="K287" s="19"/>
      <c r="L287" s="20"/>
      <c r="M287" s="19"/>
    </row>
    <row r="288" spans="4:19" s="15" customFormat="1" x14ac:dyDescent="0.3">
      <c r="D288" s="28" t="s">
        <v>148</v>
      </c>
      <c r="E288" s="28"/>
      <c r="F288" s="242" t="s">
        <v>165</v>
      </c>
      <c r="G288" s="28"/>
      <c r="H288" s="28">
        <f>H289+H290</f>
        <v>11554.770664</v>
      </c>
      <c r="I288" s="28">
        <f t="shared" ref="I288" si="231">I289+I290</f>
        <v>9871.4112679999998</v>
      </c>
      <c r="J288" s="28">
        <f t="shared" ref="J288" si="232">J289+J290</f>
        <v>7854.5967689999998</v>
      </c>
      <c r="K288" s="29">
        <f t="shared" ref="K288" si="233">K289+K290</f>
        <v>6550.6736277777782</v>
      </c>
      <c r="L288" s="30">
        <f t="shared" ref="L288" si="234">L289+L290</f>
        <v>954</v>
      </c>
      <c r="M288" s="29">
        <f t="shared" ref="M288" si="235">M289+M290</f>
        <v>7504.6736277777782</v>
      </c>
      <c r="N288" s="28">
        <f t="shared" ref="N288" si="236">N289+N290</f>
        <v>4332</v>
      </c>
      <c r="O288" s="28">
        <f t="shared" ref="O288" si="237">O289+O290</f>
        <v>3852</v>
      </c>
      <c r="P288" s="28">
        <f t="shared" ref="P288" si="238">P289+P290</f>
        <v>3596</v>
      </c>
      <c r="Q288" s="28">
        <f t="shared" ref="Q288" si="239">Q289+Q290</f>
        <v>3845</v>
      </c>
      <c r="R288" s="28">
        <f t="shared" ref="R288" si="240">R289+R290</f>
        <v>4113</v>
      </c>
      <c r="S288" s="28"/>
    </row>
    <row r="289" spans="4:20" s="18" customFormat="1" x14ac:dyDescent="0.3">
      <c r="D289" s="18" t="s">
        <v>166</v>
      </c>
      <c r="F289" s="25">
        <f>dart!AG115/10^6</f>
        <v>3181.367765</v>
      </c>
      <c r="H289" s="18">
        <f>dart!D120/10^6</f>
        <v>3630.891654</v>
      </c>
      <c r="I289" s="18">
        <f>dart!B120/10^6</f>
        <v>3307.3312850000002</v>
      </c>
      <c r="J289" s="18">
        <f>dart!Q117/10^6</f>
        <v>3981.628346</v>
      </c>
      <c r="K289" s="243">
        <f>F289/9*10</f>
        <v>3534.8530722222222</v>
      </c>
      <c r="L289" s="20">
        <f>보고서!G99</f>
        <v>281</v>
      </c>
      <c r="M289" s="19">
        <f>K289+L289</f>
        <v>3815.8530722222222</v>
      </c>
      <c r="N289" s="18">
        <f>보고서!H99</f>
        <v>1412</v>
      </c>
      <c r="O289" s="18">
        <f>보고서!I99</f>
        <v>1304</v>
      </c>
      <c r="P289" s="18">
        <f>보고서!J99</f>
        <v>1351</v>
      </c>
      <c r="Q289" s="18">
        <f>보고서!K99</f>
        <v>1343</v>
      </c>
      <c r="R289" s="18">
        <f>보고서!L99</f>
        <v>1369</v>
      </c>
    </row>
    <row r="290" spans="4:20" s="18" customFormat="1" x14ac:dyDescent="0.3">
      <c r="D290" s="18" t="s">
        <v>167</v>
      </c>
      <c r="F290" s="25">
        <f>dart!AG116/10^6</f>
        <v>2714.2384999999999</v>
      </c>
      <c r="H290" s="18">
        <f>dart!D121/10^6</f>
        <v>7923.8790099999997</v>
      </c>
      <c r="I290" s="66">
        <f>dart!B121/10^6</f>
        <v>6564.0799829999996</v>
      </c>
      <c r="J290" s="66">
        <f>dart!Q118/10^6</f>
        <v>3872.9684229999998</v>
      </c>
      <c r="K290" s="243">
        <f>F290/9*10</f>
        <v>3015.8205555555555</v>
      </c>
      <c r="L290" s="20">
        <f>보고서!G100</f>
        <v>673</v>
      </c>
      <c r="M290" s="19">
        <f>K290+L290</f>
        <v>3688.8205555555555</v>
      </c>
      <c r="N290" s="18">
        <f>보고서!H100</f>
        <v>2920</v>
      </c>
      <c r="O290" s="18">
        <f>보고서!I100</f>
        <v>2548</v>
      </c>
      <c r="P290" s="18">
        <f>보고서!J100</f>
        <v>2245</v>
      </c>
      <c r="Q290" s="18">
        <f>보고서!K100</f>
        <v>2502</v>
      </c>
      <c r="R290" s="18">
        <f>보고서!L100</f>
        <v>2744</v>
      </c>
      <c r="T290" s="18" t="s">
        <v>168</v>
      </c>
    </row>
    <row r="291" spans="4:20" s="18" customFormat="1" x14ac:dyDescent="0.3">
      <c r="K291" s="19"/>
      <c r="L291" s="20"/>
      <c r="M291" s="19"/>
      <c r="T291" s="18" t="s">
        <v>169</v>
      </c>
    </row>
    <row r="292" spans="4:20" s="18" customFormat="1" x14ac:dyDescent="0.3">
      <c r="D292" s="244" t="s">
        <v>170</v>
      </c>
      <c r="E292" s="244" t="s">
        <v>171</v>
      </c>
      <c r="F292" s="247" t="s">
        <v>165</v>
      </c>
      <c r="G292" s="244"/>
      <c r="H292" s="244"/>
      <c r="I292" s="244"/>
      <c r="J292" s="244"/>
      <c r="K292" s="245"/>
      <c r="L292" s="246"/>
      <c r="M292" s="245"/>
      <c r="N292" s="244"/>
      <c r="O292" s="244"/>
      <c r="P292" s="244"/>
      <c r="Q292" s="244"/>
      <c r="R292" s="244"/>
      <c r="S292" s="244"/>
    </row>
    <row r="293" spans="4:20" s="18" customFormat="1" x14ac:dyDescent="0.3">
      <c r="D293" s="18" t="s">
        <v>166</v>
      </c>
      <c r="F293" s="25">
        <f>dart!AG19/10^6</f>
        <v>4868.5667409999996</v>
      </c>
      <c r="H293" s="18">
        <f>dart!E17/10^6</f>
        <v>5328.5053200000002</v>
      </c>
      <c r="I293" s="18">
        <f>dart!C17/10^6</f>
        <v>7654.5820350000004</v>
      </c>
      <c r="J293" s="18">
        <f>dart!Q19/10^6</f>
        <v>6752.244404</v>
      </c>
      <c r="K293" s="19">
        <f>F293-(K289-F289)</f>
        <v>4515.0814337777774</v>
      </c>
      <c r="L293" s="20"/>
      <c r="M293" s="19">
        <f>K293+L285-L289</f>
        <v>4466.0814337777774</v>
      </c>
      <c r="N293" s="18">
        <f>M293+N285-N289</f>
        <v>4495.0814337777774</v>
      </c>
      <c r="O293" s="18">
        <f t="shared" ref="O293:R293" si="241">N293+O285-O289</f>
        <v>4603.0814337777774</v>
      </c>
      <c r="P293" s="18">
        <f t="shared" si="241"/>
        <v>4556.0814337777774</v>
      </c>
      <c r="Q293" s="18">
        <f t="shared" si="241"/>
        <v>4564.0814337777774</v>
      </c>
      <c r="R293" s="18">
        <f t="shared" si="241"/>
        <v>4538.0814337777774</v>
      </c>
    </row>
    <row r="294" spans="4:20" s="18" customFormat="1" x14ac:dyDescent="0.3">
      <c r="D294" s="18" t="s">
        <v>167</v>
      </c>
      <c r="F294" s="25">
        <f>dart!AG20/10^6</f>
        <v>14947.089436</v>
      </c>
      <c r="H294" s="18">
        <f>dart!E18/10^6</f>
        <v>26598.624854999998</v>
      </c>
      <c r="I294" s="18">
        <f>dart!C18/10^6</f>
        <v>16860.524552999999</v>
      </c>
      <c r="J294" s="18">
        <f>dart!Q20/10^6</f>
        <v>15767.310137</v>
      </c>
      <c r="K294" s="19">
        <f>F294-(K290-F290)</f>
        <v>14645.507380444444</v>
      </c>
      <c r="L294" s="20"/>
      <c r="M294" s="19">
        <f>K294+L286-L290</f>
        <v>14565.507380444444</v>
      </c>
      <c r="N294" s="18">
        <f>M294+N286-N290</f>
        <v>15272.507380444444</v>
      </c>
      <c r="O294" s="18">
        <f t="shared" ref="O294:R294" si="242">N294+O286-O290</f>
        <v>15588.507380444444</v>
      </c>
      <c r="P294" s="18">
        <f t="shared" si="242"/>
        <v>15843.507380444444</v>
      </c>
      <c r="Q294" s="18">
        <f t="shared" si="242"/>
        <v>15544.507380444444</v>
      </c>
      <c r="R294" s="18">
        <f t="shared" si="242"/>
        <v>15269.507380444444</v>
      </c>
    </row>
    <row r="295" spans="4:20" s="18" customFormat="1" x14ac:dyDescent="0.3">
      <c r="K295" s="19"/>
      <c r="L295" s="20"/>
      <c r="M295" s="19"/>
    </row>
    <row r="296" spans="4:20" s="18" customFormat="1" x14ac:dyDescent="0.3">
      <c r="K296" s="19"/>
      <c r="L296" s="20"/>
      <c r="M296" s="19"/>
    </row>
    <row r="297" spans="4:20" s="18" customFormat="1" x14ac:dyDescent="0.3">
      <c r="K297" s="19"/>
      <c r="L297" s="20"/>
      <c r="M297" s="19"/>
    </row>
    <row r="298" spans="4:20" s="18" customFormat="1" x14ac:dyDescent="0.3">
      <c r="K298" s="19"/>
      <c r="L298" s="20"/>
      <c r="M298" s="19"/>
    </row>
    <row r="299" spans="4:20" s="18" customFormat="1" x14ac:dyDescent="0.3">
      <c r="K299" s="19"/>
      <c r="L299" s="20"/>
      <c r="M299" s="19"/>
    </row>
    <row r="300" spans="4:20" s="18" customFormat="1" x14ac:dyDescent="0.3">
      <c r="D300" s="21"/>
      <c r="E300" s="21"/>
      <c r="F300" s="21"/>
      <c r="G300" s="21"/>
      <c r="H300" s="6" t="s">
        <v>52</v>
      </c>
      <c r="I300" s="6" t="s">
        <v>52</v>
      </c>
      <c r="J300" s="6" t="s">
        <v>52</v>
      </c>
      <c r="K300" s="6" t="s">
        <v>52</v>
      </c>
      <c r="L300" s="7" t="s">
        <v>53</v>
      </c>
      <c r="M300" s="7" t="s">
        <v>53</v>
      </c>
      <c r="N300" s="7" t="s">
        <v>53</v>
      </c>
      <c r="O300" s="7" t="s">
        <v>53</v>
      </c>
      <c r="P300" s="7" t="s">
        <v>53</v>
      </c>
      <c r="Q300" s="7" t="s">
        <v>53</v>
      </c>
      <c r="R300" s="7" t="s">
        <v>53</v>
      </c>
      <c r="S300" s="7"/>
    </row>
    <row r="301" spans="4:20" s="18" customFormat="1" ht="15.75" x14ac:dyDescent="0.3">
      <c r="D301" s="4" t="s">
        <v>54</v>
      </c>
      <c r="E301" s="72"/>
      <c r="F301" s="4"/>
      <c r="G301" s="4"/>
      <c r="H301" s="5">
        <v>2019</v>
      </c>
      <c r="I301" s="5">
        <f>H301+1</f>
        <v>2020</v>
      </c>
      <c r="J301" s="5">
        <f t="shared" ref="J301:K301" si="243">I301+1</f>
        <v>2021</v>
      </c>
      <c r="K301" s="8">
        <f t="shared" si="243"/>
        <v>2022</v>
      </c>
      <c r="L301" s="9">
        <f>K301</f>
        <v>2022</v>
      </c>
      <c r="M301" s="10">
        <v>2022</v>
      </c>
      <c r="N301" s="3">
        <f>L301+1</f>
        <v>2023</v>
      </c>
      <c r="O301" s="3">
        <f t="shared" ref="O301:R301" si="244">N301+1</f>
        <v>2024</v>
      </c>
      <c r="P301" s="3">
        <f t="shared" si="244"/>
        <v>2025</v>
      </c>
      <c r="Q301" s="3">
        <f t="shared" si="244"/>
        <v>2026</v>
      </c>
      <c r="R301" s="3">
        <f t="shared" si="244"/>
        <v>2027</v>
      </c>
      <c r="S301" s="3"/>
    </row>
    <row r="302" spans="4:20" s="18" customFormat="1" x14ac:dyDescent="0.3">
      <c r="D302" s="11" t="s">
        <v>57</v>
      </c>
      <c r="E302" s="75" t="s">
        <v>58</v>
      </c>
      <c r="F302" s="11"/>
      <c r="G302" s="11"/>
      <c r="H302" s="12" t="s">
        <v>59</v>
      </c>
      <c r="I302" s="12" t="s">
        <v>59</v>
      </c>
      <c r="J302" s="12" t="s">
        <v>59</v>
      </c>
      <c r="K302" s="13" t="s">
        <v>19</v>
      </c>
      <c r="L302" s="14" t="s">
        <v>20</v>
      </c>
      <c r="M302" s="13" t="s">
        <v>59</v>
      </c>
      <c r="N302" s="12" t="s">
        <v>59</v>
      </c>
      <c r="O302" s="12" t="s">
        <v>59</v>
      </c>
      <c r="P302" s="12" t="s">
        <v>59</v>
      </c>
      <c r="Q302" s="12" t="s">
        <v>59</v>
      </c>
      <c r="R302" s="12" t="s">
        <v>59</v>
      </c>
      <c r="S302" s="972"/>
    </row>
    <row r="303" spans="4:20" s="15" customFormat="1" x14ac:dyDescent="0.3">
      <c r="D303" s="28" t="s">
        <v>172</v>
      </c>
      <c r="E303" s="28"/>
      <c r="F303" s="28"/>
      <c r="G303" s="28"/>
      <c r="H303" s="28">
        <f>H304+H305</f>
        <v>32993</v>
      </c>
      <c r="I303" s="28">
        <f t="shared" ref="I303:R303" si="245">I304+I305</f>
        <v>26663</v>
      </c>
      <c r="J303" s="28">
        <f t="shared" si="245"/>
        <v>26602</v>
      </c>
      <c r="K303" s="29">
        <f t="shared" si="245"/>
        <v>35755</v>
      </c>
      <c r="L303" s="30">
        <f t="shared" si="245"/>
        <v>36706</v>
      </c>
      <c r="M303" s="29">
        <f t="shared" si="245"/>
        <v>36706</v>
      </c>
      <c r="N303" s="28">
        <f t="shared" si="245"/>
        <v>38000</v>
      </c>
      <c r="O303" s="28">
        <f t="shared" si="245"/>
        <v>47904</v>
      </c>
      <c r="P303" s="28">
        <f t="shared" si="245"/>
        <v>62197</v>
      </c>
      <c r="Q303" s="28">
        <f t="shared" si="245"/>
        <v>77233</v>
      </c>
      <c r="R303" s="28">
        <f t="shared" si="245"/>
        <v>90551</v>
      </c>
      <c r="S303" s="28"/>
    </row>
    <row r="304" spans="4:20" s="18" customFormat="1" x14ac:dyDescent="0.3">
      <c r="D304" s="18" t="s">
        <v>173</v>
      </c>
      <c r="E304" s="18" t="s">
        <v>174</v>
      </c>
      <c r="H304" s="18">
        <f>보고서!C106</f>
        <v>25863</v>
      </c>
      <c r="I304" s="18">
        <f>보고서!D106</f>
        <v>22027</v>
      </c>
      <c r="J304" s="18">
        <f>보고서!E106</f>
        <v>18944</v>
      </c>
      <c r="K304" s="19">
        <f>보고서!F106</f>
        <v>21378</v>
      </c>
      <c r="L304" s="20">
        <f>보고서!G106</f>
        <v>21698</v>
      </c>
      <c r="M304" s="19">
        <f>L304</f>
        <v>21698</v>
      </c>
      <c r="N304" s="18">
        <f>보고서!H106</f>
        <v>23214</v>
      </c>
      <c r="O304" s="18">
        <f>보고서!I106</f>
        <v>29717</v>
      </c>
      <c r="P304" s="18">
        <f>보고서!J106</f>
        <v>37446</v>
      </c>
      <c r="Q304" s="18">
        <f>보고서!K106</f>
        <v>46386</v>
      </c>
      <c r="R304" s="18">
        <f>보고서!L106</f>
        <v>54341</v>
      </c>
    </row>
    <row r="305" spans="4:19" s="18" customFormat="1" x14ac:dyDescent="0.3">
      <c r="D305" s="18" t="s">
        <v>175</v>
      </c>
      <c r="E305" s="18" t="s">
        <v>176</v>
      </c>
      <c r="H305" s="18">
        <f>보고서!C107</f>
        <v>7130</v>
      </c>
      <c r="I305" s="18">
        <f>보고서!D107</f>
        <v>4636</v>
      </c>
      <c r="J305" s="18">
        <f>보고서!E107</f>
        <v>7658</v>
      </c>
      <c r="K305" s="19">
        <f>보고서!F107</f>
        <v>14377</v>
      </c>
      <c r="L305" s="20">
        <f>보고서!G107</f>
        <v>15008</v>
      </c>
      <c r="M305" s="19">
        <f>L305</f>
        <v>15008</v>
      </c>
      <c r="N305" s="18">
        <f>보고서!H107</f>
        <v>14786</v>
      </c>
      <c r="O305" s="18">
        <f>보고서!I107</f>
        <v>18187</v>
      </c>
      <c r="P305" s="18">
        <f>보고서!J107</f>
        <v>24751</v>
      </c>
      <c r="Q305" s="18">
        <f>보고서!K107</f>
        <v>30847</v>
      </c>
      <c r="R305" s="18">
        <f>보고서!L107</f>
        <v>36210</v>
      </c>
    </row>
    <row r="306" spans="4:19" s="18" customFormat="1" x14ac:dyDescent="0.3">
      <c r="K306" s="19"/>
      <c r="L306" s="20"/>
      <c r="M306" s="19"/>
    </row>
    <row r="307" spans="4:19" s="15" customFormat="1" x14ac:dyDescent="0.3">
      <c r="D307" s="28" t="s">
        <v>177</v>
      </c>
      <c r="E307" s="28"/>
      <c r="F307" s="28"/>
      <c r="G307" s="28"/>
      <c r="H307" s="28">
        <f>H308</f>
        <v>27342</v>
      </c>
      <c r="I307" s="28">
        <f t="shared" ref="I307:R307" si="246">I308</f>
        <v>32669</v>
      </c>
      <c r="J307" s="28">
        <f t="shared" si="246"/>
        <v>34914</v>
      </c>
      <c r="K307" s="29">
        <f t="shared" si="246"/>
        <v>39259</v>
      </c>
      <c r="L307" s="30">
        <f t="shared" si="246"/>
        <v>40453</v>
      </c>
      <c r="M307" s="29">
        <f t="shared" si="246"/>
        <v>40453</v>
      </c>
      <c r="N307" s="28">
        <f t="shared" si="246"/>
        <v>43107</v>
      </c>
      <c r="O307" s="28">
        <f t="shared" si="246"/>
        <v>56031</v>
      </c>
      <c r="P307" s="28">
        <f t="shared" si="246"/>
        <v>70667</v>
      </c>
      <c r="Q307" s="28">
        <f t="shared" si="246"/>
        <v>87291</v>
      </c>
      <c r="R307" s="28">
        <f t="shared" si="246"/>
        <v>102536</v>
      </c>
      <c r="S307" s="28"/>
    </row>
    <row r="308" spans="4:19" s="18" customFormat="1" x14ac:dyDescent="0.3">
      <c r="D308" s="18" t="s">
        <v>178</v>
      </c>
      <c r="E308" s="18" t="s">
        <v>176</v>
      </c>
      <c r="H308" s="18">
        <f>보고서!C109</f>
        <v>27342</v>
      </c>
      <c r="I308" s="18">
        <f>보고서!D109</f>
        <v>32669</v>
      </c>
      <c r="J308" s="18">
        <f>보고서!E109</f>
        <v>34914</v>
      </c>
      <c r="K308" s="19">
        <f>보고서!F109</f>
        <v>39259</v>
      </c>
      <c r="L308" s="20">
        <f>보고서!G109</f>
        <v>40453</v>
      </c>
      <c r="M308" s="19">
        <f>L308</f>
        <v>40453</v>
      </c>
      <c r="N308" s="18">
        <f>보고서!H109</f>
        <v>43107</v>
      </c>
      <c r="O308" s="18">
        <f>보고서!I109</f>
        <v>56031</v>
      </c>
      <c r="P308" s="18">
        <f>보고서!J109</f>
        <v>70667</v>
      </c>
      <c r="Q308" s="18">
        <f>보고서!K109</f>
        <v>87291</v>
      </c>
      <c r="R308" s="18">
        <f>보고서!L109</f>
        <v>102536</v>
      </c>
    </row>
    <row r="309" spans="4:19" s="18" customFormat="1" x14ac:dyDescent="0.3">
      <c r="K309" s="19"/>
      <c r="L309" s="20"/>
      <c r="M309" s="19"/>
    </row>
    <row r="310" spans="4:19" s="18" customFormat="1" x14ac:dyDescent="0.3">
      <c r="K310" s="19"/>
      <c r="L310" s="20"/>
      <c r="M310" s="19"/>
    </row>
    <row r="311" spans="4:19" s="15" customFormat="1" x14ac:dyDescent="0.3">
      <c r="D311" s="28" t="s">
        <v>179</v>
      </c>
      <c r="E311" s="28"/>
      <c r="F311" s="28"/>
      <c r="G311" s="28"/>
      <c r="H311" s="28">
        <f>H303-H307</f>
        <v>5651</v>
      </c>
      <c r="I311" s="28">
        <f t="shared" ref="I311:R311" si="247">I303-I307</f>
        <v>-6006</v>
      </c>
      <c r="J311" s="28">
        <f t="shared" si="247"/>
        <v>-8312</v>
      </c>
      <c r="K311" s="29">
        <f t="shared" si="247"/>
        <v>-3504</v>
      </c>
      <c r="L311" s="30">
        <f t="shared" si="247"/>
        <v>-3747</v>
      </c>
      <c r="M311" s="29">
        <f t="shared" si="247"/>
        <v>-3747</v>
      </c>
      <c r="N311" s="28">
        <f t="shared" si="247"/>
        <v>-5107</v>
      </c>
      <c r="O311" s="28">
        <f t="shared" si="247"/>
        <v>-8127</v>
      </c>
      <c r="P311" s="28">
        <f t="shared" si="247"/>
        <v>-8470</v>
      </c>
      <c r="Q311" s="28">
        <f t="shared" si="247"/>
        <v>-10058</v>
      </c>
      <c r="R311" s="28">
        <f t="shared" si="247"/>
        <v>-11985</v>
      </c>
      <c r="S311" s="28"/>
    </row>
    <row r="312" spans="4:19" s="18" customFormat="1" x14ac:dyDescent="0.3">
      <c r="D312" s="248" t="s">
        <v>150</v>
      </c>
      <c r="E312" s="248"/>
      <c r="F312" s="248"/>
      <c r="G312" s="248"/>
      <c r="H312" s="248"/>
      <c r="I312" s="248">
        <f>-(I311-H311)</f>
        <v>11657</v>
      </c>
      <c r="J312" s="248">
        <f t="shared" ref="J312:N312" si="248">-(J311-I311)</f>
        <v>2306</v>
      </c>
      <c r="K312" s="249">
        <f t="shared" si="248"/>
        <v>-4808</v>
      </c>
      <c r="L312" s="250">
        <f t="shared" si="248"/>
        <v>243</v>
      </c>
      <c r="M312" s="249">
        <f t="shared" si="248"/>
        <v>0</v>
      </c>
      <c r="N312" s="248">
        <f t="shared" si="248"/>
        <v>1360</v>
      </c>
      <c r="O312" s="248">
        <f t="shared" ref="O312" si="249">-(O311-N311)</f>
        <v>3020</v>
      </c>
      <c r="P312" s="248">
        <f t="shared" ref="P312" si="250">-(P311-O311)</f>
        <v>343</v>
      </c>
      <c r="Q312" s="248">
        <f t="shared" ref="Q312" si="251">-(Q311-P311)</f>
        <v>1588</v>
      </c>
      <c r="R312" s="248">
        <f t="shared" ref="R312" si="252">-(R311-Q311)</f>
        <v>1927</v>
      </c>
      <c r="S312" s="248"/>
    </row>
    <row r="313" spans="4:19" s="18" customFormat="1" x14ac:dyDescent="0.3">
      <c r="K313" s="19"/>
      <c r="L313" s="20"/>
      <c r="M313" s="19"/>
    </row>
    <row r="314" spans="4:19" s="18" customFormat="1" x14ac:dyDescent="0.3">
      <c r="K314" s="19"/>
      <c r="L314" s="20"/>
      <c r="M314" s="19"/>
    </row>
    <row r="315" spans="4:19" s="15" customFormat="1" x14ac:dyDescent="0.3">
      <c r="D315" s="244" t="s">
        <v>180</v>
      </c>
      <c r="E315" s="244"/>
      <c r="F315" s="244"/>
      <c r="G315" s="244"/>
      <c r="H315" s="244"/>
      <c r="I315" s="244"/>
      <c r="J315" s="244"/>
      <c r="K315" s="245"/>
      <c r="L315" s="246"/>
      <c r="M315" s="245"/>
      <c r="N315" s="244"/>
      <c r="O315" s="244"/>
      <c r="P315" s="244"/>
      <c r="Q315" s="244"/>
      <c r="R315" s="244"/>
      <c r="S315" s="244"/>
    </row>
    <row r="316" spans="4:19" s="15" customFormat="1" x14ac:dyDescent="0.3">
      <c r="D316" s="28" t="s">
        <v>181</v>
      </c>
      <c r="E316" s="28"/>
      <c r="F316" s="28"/>
      <c r="G316" s="28"/>
      <c r="H316" s="28"/>
      <c r="I316" s="28"/>
      <c r="J316" s="28"/>
      <c r="K316" s="29"/>
      <c r="L316" s="30"/>
      <c r="M316" s="29"/>
      <c r="N316" s="28"/>
      <c r="O316" s="28"/>
      <c r="P316" s="28"/>
      <c r="Q316" s="28"/>
      <c r="R316" s="28"/>
      <c r="S316" s="28"/>
    </row>
    <row r="317" spans="4:19" s="18" customFormat="1" x14ac:dyDescent="0.3">
      <c r="D317" s="18" t="s">
        <v>24</v>
      </c>
      <c r="H317" s="18">
        <f t="shared" ref="H317:R317" si="253">H8</f>
        <v>196962</v>
      </c>
      <c r="I317" s="18">
        <f t="shared" si="253"/>
        <v>226332</v>
      </c>
      <c r="J317" s="18">
        <f t="shared" si="253"/>
        <v>244189</v>
      </c>
      <c r="K317" s="19">
        <f t="shared" si="253"/>
        <v>222555</v>
      </c>
      <c r="L317" s="20">
        <f t="shared" si="253"/>
        <v>48658</v>
      </c>
      <c r="M317" s="19">
        <f t="shared" si="253"/>
        <v>271213</v>
      </c>
      <c r="N317" s="18">
        <f t="shared" si="253"/>
        <v>290154</v>
      </c>
      <c r="O317" s="18">
        <f t="shared" si="253"/>
        <v>371439</v>
      </c>
      <c r="P317" s="18">
        <f t="shared" si="253"/>
        <v>468038</v>
      </c>
      <c r="Q317" s="18">
        <f t="shared" si="253"/>
        <v>579777</v>
      </c>
      <c r="R317" s="18">
        <f t="shared" si="253"/>
        <v>679207</v>
      </c>
    </row>
    <row r="318" spans="4:19" s="18" customFormat="1" x14ac:dyDescent="0.3">
      <c r="D318" s="18" t="s">
        <v>44</v>
      </c>
      <c r="H318" s="18">
        <f t="shared" ref="H318:R318" si="254">H68</f>
        <v>166304</v>
      </c>
      <c r="I318" s="18">
        <f t="shared" si="254"/>
        <v>181207</v>
      </c>
      <c r="J318" s="18">
        <f t="shared" si="254"/>
        <v>184688</v>
      </c>
      <c r="K318" s="19">
        <f t="shared" si="254"/>
        <v>172448</v>
      </c>
      <c r="L318" s="20">
        <f t="shared" si="254"/>
        <v>40899</v>
      </c>
      <c r="M318" s="19">
        <f t="shared" si="254"/>
        <v>213347</v>
      </c>
      <c r="N318" s="18">
        <f t="shared" si="254"/>
        <v>227344</v>
      </c>
      <c r="O318" s="18">
        <f t="shared" si="254"/>
        <v>295505</v>
      </c>
      <c r="P318" s="18">
        <f t="shared" si="254"/>
        <v>372696</v>
      </c>
      <c r="Q318" s="18">
        <f t="shared" si="254"/>
        <v>460367</v>
      </c>
      <c r="R318" s="18">
        <f t="shared" si="254"/>
        <v>540769</v>
      </c>
    </row>
    <row r="319" spans="4:19" s="18" customFormat="1" x14ac:dyDescent="0.3">
      <c r="K319" s="19"/>
      <c r="L319" s="20"/>
      <c r="M319" s="19"/>
    </row>
    <row r="320" spans="4:19" s="15" customFormat="1" x14ac:dyDescent="0.3">
      <c r="D320" s="28" t="s">
        <v>182</v>
      </c>
      <c r="E320" s="28"/>
      <c r="F320" s="28"/>
      <c r="G320" s="28"/>
      <c r="H320" s="28"/>
      <c r="I320" s="28"/>
      <c r="J320" s="28"/>
      <c r="K320" s="29"/>
      <c r="L320" s="30"/>
      <c r="M320" s="29"/>
      <c r="N320" s="28"/>
      <c r="O320" s="28"/>
      <c r="P320" s="28"/>
      <c r="Q320" s="28"/>
      <c r="R320" s="28"/>
      <c r="S320" s="28"/>
    </row>
    <row r="321" spans="4:20" s="18" customFormat="1" x14ac:dyDescent="0.3">
      <c r="D321" s="18" t="s">
        <v>173</v>
      </c>
      <c r="E321" s="45" t="s">
        <v>24</v>
      </c>
      <c r="H321" s="251"/>
      <c r="I321" s="251">
        <f>I317/AVERAGE(H304:I304)</f>
        <v>9.4521612027563169</v>
      </c>
      <c r="J321" s="251">
        <f t="shared" ref="J321" si="255">J317/AVERAGE(I304:J304)</f>
        <v>11.920089819628517</v>
      </c>
      <c r="K321" s="252">
        <f>(K317*1.2)/AVERAGE(J304:K304)</f>
        <v>13.246664351966668</v>
      </c>
      <c r="L321" s="253"/>
      <c r="M321" s="252"/>
      <c r="N321" s="251">
        <f t="shared" ref="N321:R321" si="256">N317/AVERAGE(M304:N304)</f>
        <v>12.921001068756679</v>
      </c>
      <c r="O321" s="251">
        <f t="shared" si="256"/>
        <v>14.034837807711927</v>
      </c>
      <c r="P321" s="251">
        <f t="shared" si="256"/>
        <v>13.937376233938329</v>
      </c>
      <c r="Q321" s="251">
        <f t="shared" si="256"/>
        <v>13.831878041797882</v>
      </c>
      <c r="R321" s="251">
        <f t="shared" si="256"/>
        <v>13.486096081487585</v>
      </c>
      <c r="S321" s="251"/>
    </row>
    <row r="322" spans="4:20" s="18" customFormat="1" x14ac:dyDescent="0.3">
      <c r="D322" s="18" t="s">
        <v>175</v>
      </c>
      <c r="E322" s="45" t="s">
        <v>44</v>
      </c>
      <c r="H322" s="251"/>
      <c r="I322" s="251">
        <f>I318/AVERAGE(H305:I305)</f>
        <v>30.801801801801801</v>
      </c>
      <c r="J322" s="251">
        <f t="shared" ref="J322" si="257">J318/AVERAGE(I305:J305)</f>
        <v>30.045225313160891</v>
      </c>
      <c r="K322" s="254">
        <f>(K318*1.2)/AVERAGE(J305:K305)</f>
        <v>18.782627637848876</v>
      </c>
      <c r="L322" s="253"/>
      <c r="M322" s="252"/>
      <c r="N322" s="251">
        <f t="shared" ref="N322:R322" si="258">N318/AVERAGE(M305:N305)</f>
        <v>15.261059273679264</v>
      </c>
      <c r="O322" s="251">
        <f t="shared" si="258"/>
        <v>17.924059078640099</v>
      </c>
      <c r="P322" s="251">
        <f t="shared" si="258"/>
        <v>17.359727979877963</v>
      </c>
      <c r="Q322" s="251">
        <f t="shared" si="258"/>
        <v>16.560559732364474</v>
      </c>
      <c r="R322" s="251">
        <f t="shared" si="258"/>
        <v>16.128636831352431</v>
      </c>
      <c r="S322" s="251"/>
      <c r="T322" s="18" t="s">
        <v>183</v>
      </c>
    </row>
    <row r="323" spans="4:20" s="18" customFormat="1" x14ac:dyDescent="0.3">
      <c r="D323" s="18" t="s">
        <v>178</v>
      </c>
      <c r="E323" s="45" t="s">
        <v>44</v>
      </c>
      <c r="H323" s="251"/>
      <c r="I323" s="251">
        <f>I318/AVERAGE(H308:I308)</f>
        <v>6.0391261602039625</v>
      </c>
      <c r="J323" s="251">
        <f t="shared" ref="J323" si="259">J318/AVERAGE(I308:J308)</f>
        <v>5.4655164760368731</v>
      </c>
      <c r="K323" s="252">
        <f>(K318*1.2)/AVERAGE(J308:K308)</f>
        <v>5.5798632925727691</v>
      </c>
      <c r="L323" s="253"/>
      <c r="M323" s="252"/>
      <c r="N323" s="251">
        <f t="shared" ref="N323:R323" si="260">N318/AVERAGE(M308:N308)</f>
        <v>5.4414552417424602</v>
      </c>
      <c r="O323" s="251">
        <f t="shared" si="260"/>
        <v>5.9614880267909376</v>
      </c>
      <c r="P323" s="251">
        <f t="shared" si="260"/>
        <v>5.8832183617736664</v>
      </c>
      <c r="Q323" s="251">
        <f t="shared" si="260"/>
        <v>5.8289798554046008</v>
      </c>
      <c r="R323" s="251">
        <f t="shared" si="260"/>
        <v>5.6974929804506207</v>
      </c>
      <c r="S323" s="251"/>
    </row>
    <row r="324" spans="4:20" s="18" customFormat="1" x14ac:dyDescent="0.3">
      <c r="H324" s="251"/>
      <c r="I324" s="251"/>
      <c r="J324" s="251"/>
      <c r="K324" s="252"/>
      <c r="L324" s="253"/>
      <c r="M324" s="252"/>
      <c r="N324" s="251"/>
      <c r="O324" s="251"/>
      <c r="P324" s="251"/>
      <c r="Q324" s="251"/>
      <c r="R324" s="251"/>
      <c r="S324" s="251"/>
    </row>
    <row r="325" spans="4:20" s="18" customFormat="1" x14ac:dyDescent="0.3">
      <c r="K325" s="19"/>
      <c r="L325" s="20"/>
      <c r="M325" s="19"/>
    </row>
    <row r="326" spans="4:20" s="18" customFormat="1" x14ac:dyDescent="0.3">
      <c r="D326" s="28" t="s">
        <v>160</v>
      </c>
      <c r="E326" s="25"/>
      <c r="F326" s="25"/>
      <c r="G326" s="25"/>
      <c r="H326" s="25"/>
      <c r="I326" s="25"/>
      <c r="J326" s="25"/>
      <c r="K326" s="19"/>
      <c r="L326" s="20"/>
      <c r="M326" s="19"/>
    </row>
    <row r="327" spans="4:20" s="18" customFormat="1" x14ac:dyDescent="0.3">
      <c r="D327" s="25" t="s">
        <v>173</v>
      </c>
      <c r="E327" s="25"/>
      <c r="F327" s="25"/>
      <c r="G327" s="25"/>
      <c r="H327" s="25">
        <f>dart!E845/1000</f>
        <v>25863.205999999998</v>
      </c>
      <c r="I327" s="25">
        <f>dart!C825/10^3</f>
        <v>22027.083999999999</v>
      </c>
      <c r="J327" s="25">
        <f>dart!S848/1000</f>
        <v>18943.519</v>
      </c>
      <c r="K327" s="19"/>
      <c r="L327" s="20"/>
      <c r="M327" s="19"/>
    </row>
    <row r="328" spans="4:20" s="18" customFormat="1" x14ac:dyDescent="0.3">
      <c r="D328" s="25" t="s">
        <v>175</v>
      </c>
      <c r="E328" s="25"/>
      <c r="F328" s="25"/>
      <c r="G328" s="25"/>
      <c r="H328" s="25">
        <f>dart!E11/10^6</f>
        <v>7130.2146860000003</v>
      </c>
      <c r="I328" s="25">
        <f>dart!C11/10^6</f>
        <v>4636.1970579999997</v>
      </c>
      <c r="J328" s="25">
        <f>dart!Q12/10^6</f>
        <v>7658.4428239999997</v>
      </c>
      <c r="K328" s="19"/>
      <c r="L328" s="20"/>
      <c r="M328" s="19"/>
    </row>
    <row r="329" spans="4:20" s="18" customFormat="1" x14ac:dyDescent="0.3">
      <c r="D329" s="25" t="s">
        <v>178</v>
      </c>
      <c r="E329" s="25"/>
      <c r="F329" s="25"/>
      <c r="G329" s="25"/>
      <c r="H329" s="25">
        <f>dart!E849/10^3</f>
        <v>27341.940999999999</v>
      </c>
      <c r="I329" s="25">
        <f>dart!D829/1000</f>
        <v>32668.528999999999</v>
      </c>
      <c r="J329" s="25">
        <f>dart!S853/1000</f>
        <v>34914.087</v>
      </c>
      <c r="K329" s="19"/>
      <c r="L329" s="20"/>
      <c r="M329" s="19"/>
    </row>
    <row r="330" spans="4:20" s="18" customFormat="1" x14ac:dyDescent="0.3">
      <c r="K330" s="19"/>
      <c r="L330" s="20"/>
      <c r="M330" s="19"/>
    </row>
    <row r="331" spans="4:20" s="18" customFormat="1" x14ac:dyDescent="0.3">
      <c r="K331" s="19"/>
      <c r="L331" s="20"/>
      <c r="M331" s="19"/>
    </row>
    <row r="332" spans="4:20" s="18" customFormat="1" x14ac:dyDescent="0.3">
      <c r="K332" s="19"/>
      <c r="L332" s="20"/>
      <c r="M332" s="19"/>
    </row>
    <row r="333" spans="4:20" s="18" customFormat="1" x14ac:dyDescent="0.3">
      <c r="K333" s="19"/>
      <c r="L333" s="20"/>
      <c r="M333" s="19"/>
    </row>
    <row r="334" spans="4:20" s="18" customFormat="1" x14ac:dyDescent="0.3">
      <c r="K334" s="19"/>
      <c r="L334" s="20"/>
      <c r="M334" s="19"/>
    </row>
    <row r="335" spans="4:20" s="18" customFormat="1" x14ac:dyDescent="0.3">
      <c r="K335" s="19"/>
      <c r="L335" s="20"/>
      <c r="M335" s="19"/>
    </row>
    <row r="336" spans="4:20" s="18" customFormat="1" x14ac:dyDescent="0.3">
      <c r="K336" s="19"/>
      <c r="L336" s="20"/>
      <c r="M336" s="19"/>
    </row>
  </sheetData>
  <phoneticPr fontId="2" type="noConversion"/>
  <conditionalFormatting sqref="J240:J241">
    <cfRule type="containsText" dxfId="1" priority="2" operator="containsText" text="true">
      <formula>NOT(ISERROR(SEARCH("true",J240)))</formula>
    </cfRule>
    <cfRule type="containsText" dxfId="0" priority="1" operator="containsText" text="false">
      <formula>NOT(ISERROR(SEARCH("false",J240)))</formula>
    </cfRule>
  </conditionalFormatting>
  <pageMargins left="0.7" right="0.7" top="0.75" bottom="0.75" header="0.3" footer="0.3"/>
  <pageSetup paperSize="9" orientation="portrait"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C4BF3-BB94-477D-AFAB-73D6FE05A98E}">
  <sheetPr>
    <tabColor theme="5" tint="-0.249977111117893"/>
  </sheetPr>
  <dimension ref="B3:S110"/>
  <sheetViews>
    <sheetView workbookViewId="0">
      <selection activeCell="Q17" sqref="Q17"/>
    </sheetView>
  </sheetViews>
  <sheetFormatPr defaultColWidth="12.625" defaultRowHeight="13.5" x14ac:dyDescent="0.3"/>
  <cols>
    <col min="1" max="1" width="9" style="1382" customWidth="1"/>
    <col min="2" max="2" width="25.125" style="1382" customWidth="1"/>
    <col min="3" max="14" width="10.625" style="1382" customWidth="1"/>
    <col min="15" max="15" width="12.625" style="1382"/>
    <col min="16" max="16" width="22.625" style="1382" customWidth="1"/>
    <col min="17" max="16384" width="12.625" style="1382"/>
  </cols>
  <sheetData>
    <row r="3" spans="2:19" ht="13.5" customHeight="1" x14ac:dyDescent="0.3">
      <c r="B3" s="1544" t="s">
        <v>3786</v>
      </c>
      <c r="C3" s="1641">
        <v>2019</v>
      </c>
      <c r="D3" s="1641">
        <v>2020</v>
      </c>
      <c r="E3" s="1641">
        <v>2021</v>
      </c>
      <c r="F3" s="1542">
        <v>2022</v>
      </c>
      <c r="G3" s="1543">
        <v>2022</v>
      </c>
      <c r="H3" s="1641">
        <v>2022</v>
      </c>
      <c r="I3" s="1641">
        <v>2023</v>
      </c>
      <c r="J3" s="1641">
        <v>2024</v>
      </c>
      <c r="K3" s="1641">
        <v>2025</v>
      </c>
      <c r="L3" s="1641">
        <v>2026</v>
      </c>
      <c r="M3" s="1641">
        <v>2027</v>
      </c>
      <c r="N3" s="1641" t="s">
        <v>184</v>
      </c>
      <c r="P3" s="1521" t="s">
        <v>3784</v>
      </c>
      <c r="Q3" s="1521"/>
      <c r="R3" s="1521"/>
      <c r="S3" s="1521"/>
    </row>
    <row r="4" spans="2:19" ht="15" x14ac:dyDescent="0.3">
      <c r="B4" s="1544"/>
      <c r="C4" s="1641"/>
      <c r="D4" s="1641"/>
      <c r="E4" s="1641"/>
      <c r="F4" s="1544" t="s">
        <v>3790</v>
      </c>
      <c r="G4" s="1545" t="s">
        <v>3791</v>
      </c>
      <c r="H4" s="1641"/>
      <c r="I4" s="1641"/>
      <c r="J4" s="1641"/>
      <c r="K4" s="1641"/>
      <c r="L4" s="1641"/>
      <c r="M4" s="1641"/>
      <c r="N4" s="1641"/>
      <c r="P4" s="1522" t="s">
        <v>3786</v>
      </c>
      <c r="Q4" s="1523" t="s">
        <v>3780</v>
      </c>
      <c r="R4" s="1521"/>
      <c r="S4" s="1521"/>
    </row>
    <row r="5" spans="2:19" ht="15" x14ac:dyDescent="0.3">
      <c r="B5" s="1546" t="s">
        <v>185</v>
      </c>
      <c r="C5" s="1547">
        <v>196961</v>
      </c>
      <c r="D5" s="1547">
        <v>226329</v>
      </c>
      <c r="E5" s="1547">
        <v>244189</v>
      </c>
      <c r="F5" s="1548">
        <v>222552</v>
      </c>
      <c r="G5" s="1549">
        <v>48657</v>
      </c>
      <c r="H5" s="1547">
        <v>271210</v>
      </c>
      <c r="I5" s="1547">
        <v>290154</v>
      </c>
      <c r="J5" s="1547">
        <v>371438</v>
      </c>
      <c r="K5" s="1547">
        <v>468037</v>
      </c>
      <c r="L5" s="1547">
        <v>579776</v>
      </c>
      <c r="M5" s="1547">
        <v>679208</v>
      </c>
      <c r="N5" s="1547">
        <v>686000</v>
      </c>
      <c r="P5" s="1524" t="s">
        <v>3787</v>
      </c>
      <c r="Q5" s="1525">
        <v>239275</v>
      </c>
      <c r="R5" s="1521"/>
      <c r="S5" s="1521"/>
    </row>
    <row r="6" spans="2:19" x14ac:dyDescent="0.3">
      <c r="B6" s="1550" t="s">
        <v>186</v>
      </c>
      <c r="C6" s="1551">
        <v>166303</v>
      </c>
      <c r="D6" s="1551">
        <v>181205</v>
      </c>
      <c r="E6" s="1551">
        <v>184688</v>
      </c>
      <c r="F6" s="1552">
        <v>172449</v>
      </c>
      <c r="G6" s="1553">
        <v>40899</v>
      </c>
      <c r="H6" s="1551">
        <v>213348</v>
      </c>
      <c r="I6" s="1551">
        <v>227345</v>
      </c>
      <c r="J6" s="1551">
        <v>295504</v>
      </c>
      <c r="K6" s="1551">
        <v>372695</v>
      </c>
      <c r="L6" s="1551">
        <v>460367</v>
      </c>
      <c r="M6" s="1551">
        <v>540768</v>
      </c>
      <c r="N6" s="1551">
        <v>546176</v>
      </c>
      <c r="P6" s="1526" t="s">
        <v>3778</v>
      </c>
      <c r="Q6" s="1527">
        <v>52732</v>
      </c>
      <c r="R6" s="1521"/>
      <c r="S6" s="1521"/>
    </row>
    <row r="7" spans="2:19" x14ac:dyDescent="0.3">
      <c r="B7" s="1554" t="s">
        <v>187</v>
      </c>
      <c r="C7" s="1555">
        <v>30658</v>
      </c>
      <c r="D7" s="1555">
        <v>45124</v>
      </c>
      <c r="E7" s="1555">
        <v>59501</v>
      </c>
      <c r="F7" s="1556">
        <v>50104</v>
      </c>
      <c r="G7" s="1557">
        <v>7758</v>
      </c>
      <c r="H7" s="1555">
        <v>57862</v>
      </c>
      <c r="I7" s="1555">
        <v>62809</v>
      </c>
      <c r="J7" s="1555">
        <v>75934</v>
      </c>
      <c r="K7" s="1555">
        <v>95342</v>
      </c>
      <c r="L7" s="1555">
        <v>119409</v>
      </c>
      <c r="M7" s="1555">
        <v>138440</v>
      </c>
      <c r="N7" s="1555">
        <v>139825</v>
      </c>
      <c r="P7" s="1528" t="s">
        <v>3779</v>
      </c>
      <c r="Q7" s="1529">
        <v>186543</v>
      </c>
      <c r="R7" s="1521"/>
      <c r="S7" s="1521"/>
    </row>
    <row r="8" spans="2:19" x14ac:dyDescent="0.3">
      <c r="B8" s="1558" t="s">
        <v>188</v>
      </c>
      <c r="C8" s="1559">
        <v>0.15570000000000001</v>
      </c>
      <c r="D8" s="1559">
        <v>0.19939999999999999</v>
      </c>
      <c r="E8" s="1559">
        <v>0.2437</v>
      </c>
      <c r="F8" s="1560">
        <v>0.22509999999999999</v>
      </c>
      <c r="G8" s="1561">
        <v>0.15939999999999999</v>
      </c>
      <c r="H8" s="1559">
        <v>0.21329999999999999</v>
      </c>
      <c r="I8" s="1559">
        <v>0.2165</v>
      </c>
      <c r="J8" s="1559">
        <v>0.2044</v>
      </c>
      <c r="K8" s="1559">
        <v>0.20369999999999999</v>
      </c>
      <c r="L8" s="1559">
        <v>0.20599999999999999</v>
      </c>
      <c r="M8" s="1559">
        <v>0.20380000000000001</v>
      </c>
      <c r="N8" s="1559">
        <v>0.20380000000000001</v>
      </c>
      <c r="P8" s="1521"/>
      <c r="Q8" s="1530"/>
      <c r="R8" s="1521"/>
      <c r="S8" s="1521"/>
    </row>
    <row r="9" spans="2:19" x14ac:dyDescent="0.3">
      <c r="B9" s="1550" t="s">
        <v>189</v>
      </c>
      <c r="C9" s="1551">
        <v>57402</v>
      </c>
      <c r="D9" s="1551">
        <v>57013</v>
      </c>
      <c r="E9" s="1551">
        <v>54652</v>
      </c>
      <c r="F9" s="1552">
        <v>52133</v>
      </c>
      <c r="G9" s="1553">
        <v>14918</v>
      </c>
      <c r="H9" s="1551">
        <v>67051</v>
      </c>
      <c r="I9" s="1551">
        <v>69604</v>
      </c>
      <c r="J9" s="1551">
        <v>73106</v>
      </c>
      <c r="K9" s="1551">
        <v>77772</v>
      </c>
      <c r="L9" s="1551">
        <v>84098</v>
      </c>
      <c r="M9" s="1551">
        <v>90072</v>
      </c>
      <c r="N9" s="1551">
        <v>90972</v>
      </c>
      <c r="P9" s="1521" t="s">
        <v>3785</v>
      </c>
      <c r="Q9" s="1530"/>
      <c r="R9" s="1521"/>
      <c r="S9" s="1521"/>
    </row>
    <row r="10" spans="2:19" ht="15" x14ac:dyDescent="0.3">
      <c r="B10" s="1554" t="s">
        <v>190</v>
      </c>
      <c r="C10" s="1555">
        <v>-26743</v>
      </c>
      <c r="D10" s="1555">
        <v>-11889</v>
      </c>
      <c r="E10" s="1555">
        <v>4849</v>
      </c>
      <c r="F10" s="1556">
        <v>-2030</v>
      </c>
      <c r="G10" s="1557">
        <v>-7160</v>
      </c>
      <c r="H10" s="1555">
        <v>-9189</v>
      </c>
      <c r="I10" s="1555">
        <v>-6795</v>
      </c>
      <c r="J10" s="1555">
        <v>2827</v>
      </c>
      <c r="K10" s="1555">
        <v>17570</v>
      </c>
      <c r="L10" s="1555">
        <v>35310</v>
      </c>
      <c r="M10" s="1555">
        <v>48368</v>
      </c>
      <c r="N10" s="1555">
        <v>48852</v>
      </c>
      <c r="P10" s="1522" t="s">
        <v>3786</v>
      </c>
      <c r="Q10" s="1531" t="s">
        <v>3780</v>
      </c>
      <c r="R10" s="1521"/>
      <c r="S10" s="1521"/>
    </row>
    <row r="11" spans="2:19" x14ac:dyDescent="0.3">
      <c r="B11" s="1558" t="s">
        <v>191</v>
      </c>
      <c r="C11" s="1562" t="s">
        <v>192</v>
      </c>
      <c r="D11" s="1562" t="s">
        <v>193</v>
      </c>
      <c r="E11" s="1559">
        <v>1.9900000000000001E-2</v>
      </c>
      <c r="F11" s="1563" t="s">
        <v>194</v>
      </c>
      <c r="G11" s="1564" t="s">
        <v>195</v>
      </c>
      <c r="H11" s="1562" t="s">
        <v>196</v>
      </c>
      <c r="I11" s="1562" t="s">
        <v>197</v>
      </c>
      <c r="J11" s="1559">
        <v>7.6E-3</v>
      </c>
      <c r="K11" s="1559">
        <v>3.7499999999999999E-2</v>
      </c>
      <c r="L11" s="1559">
        <v>6.0900000000000003E-2</v>
      </c>
      <c r="M11" s="1559">
        <v>7.1199999999999999E-2</v>
      </c>
      <c r="N11" s="1559">
        <v>7.1199999999999999E-2</v>
      </c>
      <c r="P11" s="1532" t="s">
        <v>3781</v>
      </c>
      <c r="Q11" s="1533">
        <v>239275</v>
      </c>
      <c r="R11" s="1521"/>
      <c r="S11" s="1521"/>
    </row>
    <row r="12" spans="2:19" x14ac:dyDescent="0.3">
      <c r="B12" s="1550" t="s">
        <v>198</v>
      </c>
      <c r="C12" s="1653">
        <v>315</v>
      </c>
      <c r="D12" s="1653"/>
      <c r="E12" s="1653"/>
      <c r="F12" s="1654"/>
      <c r="G12" s="1565">
        <v>-315</v>
      </c>
      <c r="H12" s="1566" t="s">
        <v>199</v>
      </c>
      <c r="I12" s="1566" t="s">
        <v>199</v>
      </c>
      <c r="J12" s="1566">
        <v>214</v>
      </c>
      <c r="K12" s="1551">
        <v>1447</v>
      </c>
      <c r="L12" s="1551">
        <v>2930</v>
      </c>
      <c r="M12" s="1551">
        <v>4022</v>
      </c>
      <c r="N12" s="1551">
        <v>10823</v>
      </c>
      <c r="P12" s="1526" t="s">
        <v>3778</v>
      </c>
      <c r="Q12" s="1527">
        <v>52732</v>
      </c>
      <c r="R12" s="1521"/>
      <c r="S12" s="1521"/>
    </row>
    <row r="13" spans="2:19" x14ac:dyDescent="0.3">
      <c r="B13" s="1554" t="s">
        <v>200</v>
      </c>
      <c r="C13" s="1642"/>
      <c r="D13" s="1642"/>
      <c r="E13" s="1642"/>
      <c r="F13" s="1643"/>
      <c r="G13" s="1557">
        <v>-6844</v>
      </c>
      <c r="H13" s="1555">
        <v>-9189</v>
      </c>
      <c r="I13" s="1555">
        <v>-6795</v>
      </c>
      <c r="J13" s="1555">
        <v>2613</v>
      </c>
      <c r="K13" s="1555">
        <v>16123</v>
      </c>
      <c r="L13" s="1555">
        <v>32381</v>
      </c>
      <c r="M13" s="1555">
        <v>44347</v>
      </c>
      <c r="N13" s="1555">
        <v>38029</v>
      </c>
      <c r="P13" s="1528" t="s">
        <v>3779</v>
      </c>
      <c r="Q13" s="1529">
        <v>186543</v>
      </c>
      <c r="R13" s="1521"/>
      <c r="S13" s="1521"/>
    </row>
    <row r="14" spans="2:19" ht="15" x14ac:dyDescent="0.3">
      <c r="B14" s="1567" t="s">
        <v>201</v>
      </c>
      <c r="C14" s="1644"/>
      <c r="D14" s="1644"/>
      <c r="E14" s="1644"/>
      <c r="F14" s="1645"/>
      <c r="G14" s="1568">
        <v>954</v>
      </c>
      <c r="H14" s="1569">
        <v>5132</v>
      </c>
      <c r="I14" s="1569">
        <v>4332</v>
      </c>
      <c r="J14" s="1569">
        <v>3852</v>
      </c>
      <c r="K14" s="1569">
        <v>3596</v>
      </c>
      <c r="L14" s="1569">
        <v>3845</v>
      </c>
      <c r="M14" s="1569">
        <v>4113</v>
      </c>
      <c r="N14" s="1570" t="s">
        <v>199</v>
      </c>
      <c r="P14" s="1534" t="s">
        <v>3788</v>
      </c>
      <c r="Q14" s="1535">
        <v>34648</v>
      </c>
      <c r="R14" s="1521"/>
      <c r="S14" s="1521"/>
    </row>
    <row r="15" spans="2:19" x14ac:dyDescent="0.3">
      <c r="B15" s="1567" t="s">
        <v>202</v>
      </c>
      <c r="C15" s="1644"/>
      <c r="D15" s="1644"/>
      <c r="E15" s="1644"/>
      <c r="F15" s="1645"/>
      <c r="G15" s="1568">
        <v>-825</v>
      </c>
      <c r="H15" s="1570">
        <v>-825</v>
      </c>
      <c r="I15" s="1569">
        <v>-5069</v>
      </c>
      <c r="J15" s="1569">
        <v>-4276</v>
      </c>
      <c r="K15" s="1569">
        <v>-3804</v>
      </c>
      <c r="L15" s="1569">
        <v>-3554</v>
      </c>
      <c r="M15" s="1569">
        <v>-3812</v>
      </c>
      <c r="N15" s="1570" t="s">
        <v>199</v>
      </c>
      <c r="P15" s="1521"/>
      <c r="Q15" s="1530"/>
      <c r="R15" s="1521"/>
      <c r="S15" s="1521"/>
    </row>
    <row r="16" spans="2:19" x14ac:dyDescent="0.3">
      <c r="B16" s="1550" t="s">
        <v>203</v>
      </c>
      <c r="C16" s="1646"/>
      <c r="D16" s="1646"/>
      <c r="E16" s="1646"/>
      <c r="F16" s="1647"/>
      <c r="G16" s="1565">
        <v>242</v>
      </c>
      <c r="H16" s="1551">
        <v>-4566</v>
      </c>
      <c r="I16" s="1551">
        <v>1361</v>
      </c>
      <c r="J16" s="1551">
        <v>3020</v>
      </c>
      <c r="K16" s="1566">
        <v>344</v>
      </c>
      <c r="L16" s="1551">
        <v>1588</v>
      </c>
      <c r="M16" s="1551">
        <v>1927</v>
      </c>
      <c r="N16" s="1566">
        <v>120</v>
      </c>
      <c r="P16" s="1536" t="s">
        <v>3782</v>
      </c>
      <c r="Q16" s="1537">
        <v>273923</v>
      </c>
      <c r="R16" s="1521"/>
      <c r="S16" s="1521"/>
    </row>
    <row r="17" spans="2:19" x14ac:dyDescent="0.3">
      <c r="B17" s="1571" t="s">
        <v>204</v>
      </c>
      <c r="C17" s="1648"/>
      <c r="D17" s="1648"/>
      <c r="E17" s="1648"/>
      <c r="F17" s="1649"/>
      <c r="G17" s="1572">
        <v>-6473</v>
      </c>
      <c r="H17" s="1573">
        <v>-9448</v>
      </c>
      <c r="I17" s="1573">
        <v>-6171</v>
      </c>
      <c r="J17" s="1573">
        <v>5209</v>
      </c>
      <c r="K17" s="1573">
        <v>16259</v>
      </c>
      <c r="L17" s="1573">
        <v>34260</v>
      </c>
      <c r="M17" s="1573">
        <v>46574</v>
      </c>
      <c r="N17" s="1573">
        <v>38149</v>
      </c>
      <c r="P17" s="1538" t="s">
        <v>3783</v>
      </c>
      <c r="Q17" s="1539">
        <v>150101</v>
      </c>
      <c r="R17" s="1521"/>
      <c r="S17" s="1521"/>
    </row>
    <row r="18" spans="2:19" ht="15" x14ac:dyDescent="0.3">
      <c r="B18" s="1574" t="s">
        <v>205</v>
      </c>
      <c r="C18" s="1650"/>
      <c r="D18" s="1650"/>
      <c r="E18" s="1650"/>
      <c r="F18" s="1650"/>
      <c r="G18" s="1575">
        <v>0.99</v>
      </c>
      <c r="H18" s="1576"/>
      <c r="I18" s="1575">
        <v>0.92</v>
      </c>
      <c r="J18" s="1575">
        <v>0.82</v>
      </c>
      <c r="K18" s="1575">
        <v>0.73</v>
      </c>
      <c r="L18" s="1575">
        <v>0.64</v>
      </c>
      <c r="M18" s="1575">
        <v>0.56999999999999995</v>
      </c>
      <c r="N18" s="1575">
        <v>0.56999999999999995</v>
      </c>
      <c r="P18" s="1524" t="s">
        <v>3789</v>
      </c>
      <c r="Q18" s="1525">
        <v>424024</v>
      </c>
      <c r="R18" s="1521"/>
      <c r="S18" s="1521"/>
    </row>
    <row r="19" spans="2:19" x14ac:dyDescent="0.3">
      <c r="B19" s="1571" t="s">
        <v>206</v>
      </c>
      <c r="C19" s="1651"/>
      <c r="D19" s="1651"/>
      <c r="E19" s="1651"/>
      <c r="F19" s="1651"/>
      <c r="G19" s="1577">
        <v>-6409</v>
      </c>
      <c r="H19" s="1578"/>
      <c r="I19" s="1577">
        <v>-5698</v>
      </c>
      <c r="J19" s="1577">
        <v>4267</v>
      </c>
      <c r="K19" s="1577">
        <v>11819</v>
      </c>
      <c r="L19" s="1577">
        <v>22097</v>
      </c>
      <c r="M19" s="1577">
        <v>26654</v>
      </c>
      <c r="N19" s="1577">
        <v>186543</v>
      </c>
      <c r="P19" s="1521"/>
      <c r="Q19" s="1530"/>
      <c r="R19" s="1521"/>
      <c r="S19" s="1521"/>
    </row>
    <row r="20" spans="2:19" x14ac:dyDescent="0.3">
      <c r="P20" s="1521"/>
      <c r="Q20" s="1521"/>
      <c r="R20" s="1521"/>
      <c r="S20" s="1521"/>
    </row>
    <row r="24" spans="2:19" x14ac:dyDescent="0.3">
      <c r="B24" s="1382" t="s">
        <v>207</v>
      </c>
      <c r="C24" s="1579">
        <f>C30+C35+C40</f>
        <v>150592</v>
      </c>
      <c r="D24" s="1579">
        <f t="shared" ref="D24:F24" si="0">D30+D35+D40</f>
        <v>184212</v>
      </c>
      <c r="E24" s="1579">
        <f t="shared" si="0"/>
        <v>199453</v>
      </c>
      <c r="F24" s="1579">
        <f t="shared" si="0"/>
        <v>188867</v>
      </c>
    </row>
    <row r="25" spans="2:19" x14ac:dyDescent="0.3">
      <c r="B25" s="1382" t="s">
        <v>208</v>
      </c>
      <c r="C25" s="1580">
        <f>C40/C24</f>
        <v>4.8747609434764132E-2</v>
      </c>
      <c r="D25" s="1580">
        <f t="shared" ref="D25:F25" si="1">D40/D24</f>
        <v>2.2626104705448069E-2</v>
      </c>
      <c r="E25" s="1580">
        <f t="shared" si="1"/>
        <v>4.4140724882553786E-2</v>
      </c>
      <c r="F25" s="1580">
        <f t="shared" si="1"/>
        <v>2.6886645099461527E-2</v>
      </c>
    </row>
    <row r="26" spans="2:19" x14ac:dyDescent="0.3">
      <c r="B26" s="1382" t="s">
        <v>209</v>
      </c>
      <c r="C26" s="1580">
        <f>(C38+C39+C40)/C24</f>
        <v>0.25899782192945175</v>
      </c>
      <c r="D26" s="1580">
        <f t="shared" ref="D26:F26" si="2">(D38+D39+D40)/D24</f>
        <v>8.1655918181225973E-2</v>
      </c>
      <c r="E26" s="1580">
        <f t="shared" si="2"/>
        <v>8.2971928223691802E-2</v>
      </c>
      <c r="F26" s="1580">
        <f t="shared" si="2"/>
        <v>0.20132685964197028</v>
      </c>
    </row>
    <row r="27" spans="2:19" x14ac:dyDescent="0.3">
      <c r="B27" s="1581" t="s">
        <v>210</v>
      </c>
    </row>
    <row r="28" spans="2:19" ht="13.5" customHeight="1" x14ac:dyDescent="0.3">
      <c r="B28" s="1544" t="s">
        <v>3786</v>
      </c>
      <c r="C28" s="1641">
        <v>2019</v>
      </c>
      <c r="D28" s="1641">
        <v>2020</v>
      </c>
      <c r="E28" s="1641">
        <v>2021</v>
      </c>
      <c r="F28" s="1542">
        <v>2022</v>
      </c>
      <c r="G28" s="1543">
        <v>2022</v>
      </c>
      <c r="H28" s="1641">
        <v>2023</v>
      </c>
      <c r="I28" s="1641">
        <v>2024</v>
      </c>
      <c r="J28" s="1641">
        <v>2025</v>
      </c>
      <c r="K28" s="1641">
        <v>2026</v>
      </c>
      <c r="L28" s="1641">
        <v>2027</v>
      </c>
    </row>
    <row r="29" spans="2:19" ht="15" x14ac:dyDescent="0.3">
      <c r="B29" s="1544"/>
      <c r="C29" s="1641"/>
      <c r="D29" s="1641"/>
      <c r="E29" s="1641"/>
      <c r="F29" s="1544" t="s">
        <v>3790</v>
      </c>
      <c r="G29" s="1545" t="s">
        <v>3791</v>
      </c>
      <c r="H29" s="1641"/>
      <c r="I29" s="1641"/>
      <c r="J29" s="1641"/>
      <c r="K29" s="1641"/>
      <c r="L29" s="1641"/>
    </row>
    <row r="30" spans="2:19" x14ac:dyDescent="0.3">
      <c r="B30" s="1546" t="s">
        <v>63</v>
      </c>
      <c r="C30" s="1582">
        <v>63804</v>
      </c>
      <c r="D30" s="1582">
        <v>103763</v>
      </c>
      <c r="E30" s="1582">
        <v>129895</v>
      </c>
      <c r="F30" s="1583">
        <v>98887</v>
      </c>
      <c r="G30" s="1584">
        <v>19247</v>
      </c>
      <c r="H30" s="1582">
        <v>130692</v>
      </c>
      <c r="I30" s="1582">
        <v>171458</v>
      </c>
      <c r="J30" s="1582">
        <v>205804</v>
      </c>
      <c r="K30" s="1582">
        <v>255252</v>
      </c>
      <c r="L30" s="1582">
        <v>299255</v>
      </c>
    </row>
    <row r="31" spans="2:19" x14ac:dyDescent="0.3">
      <c r="B31" s="1567" t="s">
        <v>211</v>
      </c>
      <c r="C31" s="1585">
        <v>62742</v>
      </c>
      <c r="D31" s="1585">
        <v>103081</v>
      </c>
      <c r="E31" s="1585">
        <v>126627</v>
      </c>
      <c r="F31" s="1586">
        <v>97089</v>
      </c>
      <c r="G31" s="1587">
        <v>18652</v>
      </c>
      <c r="H31" s="1585">
        <v>125063</v>
      </c>
      <c r="I31" s="1585">
        <v>162904</v>
      </c>
      <c r="J31" s="1585">
        <v>188730</v>
      </c>
      <c r="K31" s="1585">
        <v>218902</v>
      </c>
      <c r="L31" s="1585">
        <v>255166</v>
      </c>
    </row>
    <row r="32" spans="2:19" x14ac:dyDescent="0.3">
      <c r="B32" s="1567" t="s">
        <v>212</v>
      </c>
      <c r="C32" s="1585">
        <v>0</v>
      </c>
      <c r="D32" s="1585">
        <v>0</v>
      </c>
      <c r="E32" s="1585">
        <v>0</v>
      </c>
      <c r="F32" s="1586">
        <v>0</v>
      </c>
      <c r="G32" s="1587">
        <v>0</v>
      </c>
      <c r="H32" s="1585">
        <v>2105</v>
      </c>
      <c r="I32" s="1585">
        <v>4497</v>
      </c>
      <c r="J32" s="1585">
        <v>11528</v>
      </c>
      <c r="K32" s="1585">
        <v>29549</v>
      </c>
      <c r="L32" s="1585">
        <v>35459</v>
      </c>
    </row>
    <row r="33" spans="2:12" x14ac:dyDescent="0.3">
      <c r="B33" s="1567" t="s">
        <v>213</v>
      </c>
      <c r="C33" s="1585">
        <v>1063</v>
      </c>
      <c r="D33" s="1585">
        <v>683</v>
      </c>
      <c r="E33" s="1585">
        <v>2986</v>
      </c>
      <c r="F33" s="1586">
        <v>1667</v>
      </c>
      <c r="G33" s="1587">
        <v>323</v>
      </c>
      <c r="H33" s="1585">
        <v>1901</v>
      </c>
      <c r="I33" s="1585">
        <v>2004</v>
      </c>
      <c r="J33" s="1585">
        <v>2112</v>
      </c>
      <c r="K33" s="1585">
        <v>2226</v>
      </c>
      <c r="L33" s="1585">
        <v>2346</v>
      </c>
    </row>
    <row r="34" spans="2:12" ht="15" x14ac:dyDescent="0.3">
      <c r="B34" s="1588" t="s">
        <v>3792</v>
      </c>
      <c r="C34" s="1589">
        <v>0</v>
      </c>
      <c r="D34" s="1589">
        <v>0</v>
      </c>
      <c r="E34" s="1589">
        <v>282</v>
      </c>
      <c r="F34" s="1590">
        <v>131</v>
      </c>
      <c r="G34" s="1591">
        <v>272</v>
      </c>
      <c r="H34" s="1589">
        <v>1623</v>
      </c>
      <c r="I34" s="1589">
        <v>2054</v>
      </c>
      <c r="J34" s="1589">
        <v>3435</v>
      </c>
      <c r="K34" s="1589">
        <v>4575</v>
      </c>
      <c r="L34" s="1589">
        <v>6284</v>
      </c>
    </row>
    <row r="35" spans="2:12" x14ac:dyDescent="0.3">
      <c r="B35" s="1592" t="s">
        <v>76</v>
      </c>
      <c r="C35" s="1593">
        <v>79447</v>
      </c>
      <c r="D35" s="1593">
        <v>76281</v>
      </c>
      <c r="E35" s="1593">
        <v>60754</v>
      </c>
      <c r="F35" s="1594">
        <v>84902</v>
      </c>
      <c r="G35" s="1595">
        <v>19975</v>
      </c>
      <c r="H35" s="1593">
        <v>92336</v>
      </c>
      <c r="I35" s="1593">
        <v>106207</v>
      </c>
      <c r="J35" s="1593">
        <v>151145</v>
      </c>
      <c r="K35" s="1593">
        <v>187621</v>
      </c>
      <c r="L35" s="1593">
        <v>222883</v>
      </c>
    </row>
    <row r="36" spans="2:12" x14ac:dyDescent="0.3">
      <c r="B36" s="1567" t="s">
        <v>214</v>
      </c>
      <c r="C36" s="1585">
        <v>6902</v>
      </c>
      <c r="D36" s="1585">
        <v>10568</v>
      </c>
      <c r="E36" s="1585">
        <v>12630</v>
      </c>
      <c r="F36" s="1586">
        <v>10946</v>
      </c>
      <c r="G36" s="1587">
        <v>1364</v>
      </c>
      <c r="H36" s="1585">
        <v>7013</v>
      </c>
      <c r="I36" s="1585">
        <v>6068</v>
      </c>
      <c r="J36" s="1585">
        <v>8332</v>
      </c>
      <c r="K36" s="1585">
        <v>9371</v>
      </c>
      <c r="L36" s="1585">
        <v>10637</v>
      </c>
    </row>
    <row r="37" spans="2:12" x14ac:dyDescent="0.3">
      <c r="B37" s="1567" t="s">
        <v>215</v>
      </c>
      <c r="C37" s="1585">
        <v>40883</v>
      </c>
      <c r="D37" s="1585">
        <v>54840</v>
      </c>
      <c r="E37" s="1585">
        <v>40379</v>
      </c>
      <c r="F37" s="1586">
        <v>41012</v>
      </c>
      <c r="G37" s="1587">
        <v>12819</v>
      </c>
      <c r="H37" s="1585">
        <v>57179</v>
      </c>
      <c r="I37" s="1585">
        <v>72719</v>
      </c>
      <c r="J37" s="1585">
        <v>105960</v>
      </c>
      <c r="K37" s="1585">
        <v>134877</v>
      </c>
      <c r="L37" s="1585">
        <v>163905</v>
      </c>
    </row>
    <row r="38" spans="2:12" x14ac:dyDescent="0.3">
      <c r="B38" s="1567" t="s">
        <v>216</v>
      </c>
      <c r="C38" s="1585">
        <v>15584</v>
      </c>
      <c r="D38" s="1585">
        <v>6212</v>
      </c>
      <c r="E38" s="1585">
        <v>3528</v>
      </c>
      <c r="F38" s="1586">
        <v>19974</v>
      </c>
      <c r="G38" s="1587">
        <v>3359</v>
      </c>
      <c r="H38" s="1585">
        <v>9433</v>
      </c>
      <c r="I38" s="1585">
        <v>4080</v>
      </c>
      <c r="J38" s="1585">
        <v>9928</v>
      </c>
      <c r="K38" s="1585">
        <v>13600</v>
      </c>
      <c r="L38" s="1585">
        <v>14960</v>
      </c>
    </row>
    <row r="39" spans="2:12" x14ac:dyDescent="0.3">
      <c r="B39" s="1588" t="s">
        <v>217</v>
      </c>
      <c r="C39" s="1589">
        <v>16078</v>
      </c>
      <c r="D39" s="1589">
        <v>4662</v>
      </c>
      <c r="E39" s="1589">
        <v>4217</v>
      </c>
      <c r="F39" s="1590">
        <v>12972</v>
      </c>
      <c r="G39" s="1591">
        <v>2433</v>
      </c>
      <c r="H39" s="1589">
        <v>18710</v>
      </c>
      <c r="I39" s="1589">
        <v>23340</v>
      </c>
      <c r="J39" s="1589">
        <v>26926</v>
      </c>
      <c r="K39" s="1589">
        <v>29774</v>
      </c>
      <c r="L39" s="1589">
        <v>33380</v>
      </c>
    </row>
    <row r="40" spans="2:12" x14ac:dyDescent="0.3">
      <c r="B40" s="1592" t="s">
        <v>88</v>
      </c>
      <c r="C40" s="1593">
        <v>7341</v>
      </c>
      <c r="D40" s="1593">
        <v>4168</v>
      </c>
      <c r="E40" s="1593">
        <v>8804</v>
      </c>
      <c r="F40" s="1594">
        <v>5078</v>
      </c>
      <c r="G40" s="1595">
        <v>2178</v>
      </c>
      <c r="H40" s="1593">
        <v>14467</v>
      </c>
      <c r="I40" s="1593">
        <v>27415</v>
      </c>
      <c r="J40" s="1593">
        <v>29833</v>
      </c>
      <c r="K40" s="1593">
        <v>36799</v>
      </c>
      <c r="L40" s="1593">
        <v>44670</v>
      </c>
    </row>
    <row r="41" spans="2:12" x14ac:dyDescent="0.3">
      <c r="B41" s="1567" t="s">
        <v>218</v>
      </c>
      <c r="C41" s="1585">
        <v>7341</v>
      </c>
      <c r="D41" s="1585">
        <v>4168</v>
      </c>
      <c r="E41" s="1585">
        <v>8804</v>
      </c>
      <c r="F41" s="1586">
        <v>5078</v>
      </c>
      <c r="G41" s="1587">
        <v>2178</v>
      </c>
      <c r="H41" s="1585">
        <v>8732</v>
      </c>
      <c r="I41" s="1585">
        <v>14365</v>
      </c>
      <c r="J41" s="1585">
        <v>18333</v>
      </c>
      <c r="K41" s="1585">
        <v>22399</v>
      </c>
      <c r="L41" s="1585">
        <v>26570</v>
      </c>
    </row>
    <row r="42" spans="2:12" x14ac:dyDescent="0.3">
      <c r="B42" s="1588" t="s">
        <v>219</v>
      </c>
      <c r="C42" s="1589">
        <v>0</v>
      </c>
      <c r="D42" s="1589">
        <v>0</v>
      </c>
      <c r="E42" s="1589">
        <v>0</v>
      </c>
      <c r="F42" s="1590">
        <v>0</v>
      </c>
      <c r="G42" s="1591">
        <v>0</v>
      </c>
      <c r="H42" s="1589">
        <v>5735</v>
      </c>
      <c r="I42" s="1589">
        <v>13050</v>
      </c>
      <c r="J42" s="1589">
        <v>11500</v>
      </c>
      <c r="K42" s="1589">
        <v>14400</v>
      </c>
      <c r="L42" s="1589">
        <v>18100</v>
      </c>
    </row>
    <row r="43" spans="2:12" x14ac:dyDescent="0.3">
      <c r="B43" s="1592" t="s">
        <v>94</v>
      </c>
      <c r="C43" s="1593">
        <v>46370</v>
      </c>
      <c r="D43" s="1593">
        <v>42117</v>
      </c>
      <c r="E43" s="1593">
        <v>44735</v>
      </c>
      <c r="F43" s="1594">
        <v>33685</v>
      </c>
      <c r="G43" s="1595">
        <v>7258</v>
      </c>
      <c r="H43" s="1593">
        <v>52660</v>
      </c>
      <c r="I43" s="1593">
        <v>66358</v>
      </c>
      <c r="J43" s="1593">
        <v>81254</v>
      </c>
      <c r="K43" s="1593">
        <v>100104</v>
      </c>
      <c r="L43" s="1593">
        <v>112400</v>
      </c>
    </row>
    <row r="44" spans="2:12" x14ac:dyDescent="0.3">
      <c r="B44" s="1567" t="s">
        <v>220</v>
      </c>
      <c r="C44" s="1585">
        <v>20516</v>
      </c>
      <c r="D44" s="1585">
        <v>17520</v>
      </c>
      <c r="E44" s="1585">
        <v>18194</v>
      </c>
      <c r="F44" s="1586">
        <v>18552</v>
      </c>
      <c r="G44" s="1587">
        <v>3586</v>
      </c>
      <c r="H44" s="1585">
        <v>31196</v>
      </c>
      <c r="I44" s="1585">
        <v>44652</v>
      </c>
      <c r="J44" s="1585">
        <v>58107</v>
      </c>
      <c r="K44" s="1585">
        <v>73859</v>
      </c>
      <c r="L44" s="1585">
        <v>84524</v>
      </c>
    </row>
    <row r="45" spans="2:12" x14ac:dyDescent="0.3">
      <c r="B45" s="1567" t="s">
        <v>221</v>
      </c>
      <c r="C45" s="1585">
        <v>20030</v>
      </c>
      <c r="D45" s="1585">
        <v>21356</v>
      </c>
      <c r="E45" s="1585">
        <v>17415</v>
      </c>
      <c r="F45" s="1586">
        <v>10656</v>
      </c>
      <c r="G45" s="1587">
        <v>2125</v>
      </c>
      <c r="H45" s="1585">
        <v>13281</v>
      </c>
      <c r="I45" s="1585">
        <v>13364</v>
      </c>
      <c r="J45" s="1585">
        <v>15428</v>
      </c>
      <c r="K45" s="1585">
        <v>17404</v>
      </c>
      <c r="L45" s="1585">
        <v>18698</v>
      </c>
    </row>
    <row r="46" spans="2:12" x14ac:dyDescent="0.3">
      <c r="B46" s="1567" t="s">
        <v>222</v>
      </c>
      <c r="C46" s="1585">
        <v>4438</v>
      </c>
      <c r="D46" s="1585">
        <v>3066</v>
      </c>
      <c r="E46" s="1585">
        <v>8916</v>
      </c>
      <c r="F46" s="1586">
        <v>4382</v>
      </c>
      <c r="G46" s="1587">
        <v>1547</v>
      </c>
      <c r="H46" s="1585">
        <v>8183</v>
      </c>
      <c r="I46" s="1585">
        <v>8342</v>
      </c>
      <c r="J46" s="1585">
        <v>7719</v>
      </c>
      <c r="K46" s="1585">
        <v>8841</v>
      </c>
      <c r="L46" s="1585">
        <v>9178</v>
      </c>
    </row>
    <row r="47" spans="2:12" x14ac:dyDescent="0.3">
      <c r="B47" s="1588" t="s">
        <v>223</v>
      </c>
      <c r="C47" s="1589">
        <v>1385</v>
      </c>
      <c r="D47" s="1589">
        <v>176</v>
      </c>
      <c r="E47" s="1589">
        <v>211</v>
      </c>
      <c r="F47" s="1590">
        <v>96</v>
      </c>
      <c r="G47" s="1591">
        <v>0</v>
      </c>
      <c r="H47" s="1589">
        <v>0</v>
      </c>
      <c r="I47" s="1589">
        <v>0</v>
      </c>
      <c r="J47" s="1589">
        <v>0</v>
      </c>
      <c r="K47" s="1589">
        <v>0</v>
      </c>
      <c r="L47" s="1589">
        <v>0</v>
      </c>
    </row>
    <row r="48" spans="2:12" x14ac:dyDescent="0.3">
      <c r="B48" s="1596" t="s">
        <v>224</v>
      </c>
      <c r="C48" s="1597">
        <v>196961</v>
      </c>
      <c r="D48" s="1597">
        <v>226329</v>
      </c>
      <c r="E48" s="1597">
        <v>244189</v>
      </c>
      <c r="F48" s="1598">
        <v>222552</v>
      </c>
      <c r="G48" s="1599">
        <v>48657</v>
      </c>
      <c r="H48" s="1600">
        <v>290154</v>
      </c>
      <c r="I48" s="1600">
        <v>371438</v>
      </c>
      <c r="J48" s="1600">
        <v>468037</v>
      </c>
      <c r="K48" s="1600">
        <v>579776</v>
      </c>
      <c r="L48" s="1600">
        <v>679208</v>
      </c>
    </row>
    <row r="51" spans="2:18" x14ac:dyDescent="0.3">
      <c r="B51" s="1581" t="s">
        <v>225</v>
      </c>
    </row>
    <row r="52" spans="2:18" ht="13.5" customHeight="1" x14ac:dyDescent="0.3">
      <c r="B52" s="1544" t="s">
        <v>3786</v>
      </c>
      <c r="C52" s="1641">
        <v>2019</v>
      </c>
      <c r="D52" s="1641">
        <v>2020</v>
      </c>
      <c r="E52" s="1641">
        <v>2021</v>
      </c>
      <c r="F52" s="1542">
        <v>2022</v>
      </c>
      <c r="G52" s="1543">
        <v>2022</v>
      </c>
      <c r="H52" s="1641">
        <v>2023</v>
      </c>
      <c r="I52" s="1641">
        <v>2024</v>
      </c>
      <c r="J52" s="1641">
        <v>2025</v>
      </c>
      <c r="K52" s="1641">
        <v>2026</v>
      </c>
      <c r="L52" s="1641">
        <v>2027</v>
      </c>
    </row>
    <row r="53" spans="2:18" ht="15" x14ac:dyDescent="0.3">
      <c r="B53" s="1544"/>
      <c r="C53" s="1641"/>
      <c r="D53" s="1641"/>
      <c r="E53" s="1641"/>
      <c r="F53" s="1544" t="s">
        <v>3790</v>
      </c>
      <c r="G53" s="1545" t="s">
        <v>3791</v>
      </c>
      <c r="H53" s="1641"/>
      <c r="I53" s="1641"/>
      <c r="J53" s="1641"/>
      <c r="K53" s="1641"/>
      <c r="L53" s="1641"/>
    </row>
    <row r="54" spans="2:18" x14ac:dyDescent="0.3">
      <c r="B54" s="1546" t="s">
        <v>63</v>
      </c>
      <c r="C54" s="1579">
        <v>48755</v>
      </c>
      <c r="D54" s="1579">
        <v>83217</v>
      </c>
      <c r="E54" s="1579">
        <v>98001</v>
      </c>
      <c r="F54" s="1579">
        <v>77166</v>
      </c>
      <c r="G54" s="1579">
        <v>15525</v>
      </c>
      <c r="H54" s="1579">
        <v>101721</v>
      </c>
      <c r="I54" s="1579">
        <v>133874</v>
      </c>
      <c r="J54" s="1579">
        <v>159783</v>
      </c>
      <c r="K54" s="1579">
        <v>195716</v>
      </c>
      <c r="L54" s="1579">
        <v>229726</v>
      </c>
      <c r="M54" s="1540"/>
      <c r="N54" s="1540"/>
      <c r="O54" s="1540"/>
      <c r="P54" s="1540"/>
      <c r="Q54" s="1540"/>
      <c r="R54" s="1540"/>
    </row>
    <row r="55" spans="2:18" x14ac:dyDescent="0.3">
      <c r="B55" s="1567" t="s">
        <v>211</v>
      </c>
      <c r="C55" s="1579"/>
      <c r="D55" s="1579">
        <v>82005</v>
      </c>
      <c r="E55" s="1579">
        <v>97412</v>
      </c>
      <c r="F55" s="1579">
        <v>75780</v>
      </c>
      <c r="G55" s="1579">
        <v>15166</v>
      </c>
      <c r="H55" s="1579">
        <v>98734</v>
      </c>
      <c r="I55" s="1579">
        <v>129282</v>
      </c>
      <c r="J55" s="1579">
        <v>150202</v>
      </c>
      <c r="K55" s="1579">
        <v>174692</v>
      </c>
      <c r="L55" s="1579">
        <v>204174</v>
      </c>
      <c r="M55" s="1540"/>
      <c r="N55" s="1540"/>
      <c r="O55" s="1540"/>
      <c r="P55" s="1540"/>
      <c r="Q55" s="1540"/>
      <c r="R55" s="1540"/>
    </row>
    <row r="56" spans="2:18" x14ac:dyDescent="0.3">
      <c r="B56" s="1567" t="s">
        <v>212</v>
      </c>
      <c r="C56" s="1579"/>
      <c r="D56" s="1579">
        <v>0</v>
      </c>
      <c r="E56" s="1579">
        <v>0</v>
      </c>
      <c r="F56" s="1579">
        <v>0</v>
      </c>
      <c r="G56" s="1579">
        <v>0</v>
      </c>
      <c r="H56" s="1579">
        <v>1263</v>
      </c>
      <c r="I56" s="1579">
        <v>2698</v>
      </c>
      <c r="J56" s="1579">
        <v>6917</v>
      </c>
      <c r="K56" s="1579">
        <v>17729</v>
      </c>
      <c r="L56" s="1579">
        <v>21275</v>
      </c>
      <c r="N56" s="1540"/>
      <c r="O56" s="1540"/>
      <c r="P56" s="1540"/>
      <c r="Q56" s="1540"/>
      <c r="R56" s="1540"/>
    </row>
    <row r="57" spans="2:18" x14ac:dyDescent="0.3">
      <c r="B57" s="1567" t="s">
        <v>213</v>
      </c>
      <c r="C57" s="1579"/>
      <c r="D57" s="1579">
        <v>1212</v>
      </c>
      <c r="E57" s="1579">
        <v>0</v>
      </c>
      <c r="F57" s="1579">
        <v>1</v>
      </c>
      <c r="G57" s="1579"/>
      <c r="H57" s="1579"/>
      <c r="I57" s="1579"/>
      <c r="J57" s="1579"/>
      <c r="K57" s="1579"/>
      <c r="L57" s="1579"/>
    </row>
    <row r="58" spans="2:18" ht="15" x14ac:dyDescent="0.3">
      <c r="B58" s="1588" t="s">
        <v>3792</v>
      </c>
      <c r="C58" s="1579"/>
      <c r="D58" s="1579">
        <v>0</v>
      </c>
      <c r="E58" s="1579">
        <v>589</v>
      </c>
      <c r="F58" s="1579">
        <v>1385</v>
      </c>
      <c r="G58" s="1579">
        <v>359</v>
      </c>
      <c r="H58" s="1579">
        <v>1723</v>
      </c>
      <c r="I58" s="1579">
        <v>1895</v>
      </c>
      <c r="J58" s="1579">
        <v>2665</v>
      </c>
      <c r="K58" s="1579">
        <v>3295</v>
      </c>
      <c r="L58" s="1579">
        <v>4277</v>
      </c>
      <c r="N58" s="1540"/>
      <c r="O58" s="1540"/>
      <c r="P58" s="1540"/>
      <c r="Q58" s="1540"/>
      <c r="R58" s="1540"/>
    </row>
    <row r="59" spans="2:18" x14ac:dyDescent="0.3">
      <c r="B59" s="1592" t="s">
        <v>76</v>
      </c>
      <c r="C59" s="1579">
        <v>69999</v>
      </c>
      <c r="D59" s="1579">
        <v>63348</v>
      </c>
      <c r="E59" s="1579">
        <v>46158</v>
      </c>
      <c r="F59" s="1579">
        <v>66340</v>
      </c>
      <c r="G59" s="1579">
        <v>17437</v>
      </c>
      <c r="H59" s="1579">
        <v>73438</v>
      </c>
      <c r="I59" s="1579">
        <v>88922</v>
      </c>
      <c r="J59" s="1579">
        <v>127405</v>
      </c>
      <c r="K59" s="1579">
        <v>159859</v>
      </c>
      <c r="L59" s="1579">
        <v>191275</v>
      </c>
      <c r="M59" s="1540"/>
      <c r="N59" s="1540"/>
      <c r="O59" s="1540"/>
      <c r="P59" s="1540"/>
      <c r="Q59" s="1540"/>
      <c r="R59" s="1540"/>
    </row>
    <row r="60" spans="2:18" x14ac:dyDescent="0.3">
      <c r="B60" s="1567" t="s">
        <v>214</v>
      </c>
      <c r="C60" s="1579">
        <v>3343</v>
      </c>
      <c r="D60" s="1579">
        <v>3476</v>
      </c>
      <c r="E60" s="1579">
        <v>3586</v>
      </c>
      <c r="F60" s="1579">
        <v>3152</v>
      </c>
      <c r="G60" s="1579">
        <v>576</v>
      </c>
      <c r="H60" s="1579">
        <v>2654</v>
      </c>
      <c r="I60" s="1579">
        <v>1934</v>
      </c>
      <c r="J60" s="1579">
        <v>2501</v>
      </c>
      <c r="K60" s="1579">
        <v>2907</v>
      </c>
      <c r="L60" s="1579">
        <v>3393</v>
      </c>
      <c r="N60" s="1540"/>
      <c r="O60" s="1540"/>
      <c r="P60" s="1540"/>
      <c r="Q60" s="1540"/>
      <c r="R60" s="1540"/>
    </row>
    <row r="61" spans="2:18" x14ac:dyDescent="0.3">
      <c r="B61" s="1567" t="s">
        <v>215</v>
      </c>
      <c r="C61" s="1579">
        <v>37480</v>
      </c>
      <c r="D61" s="1579">
        <v>49825</v>
      </c>
      <c r="E61" s="1579">
        <v>36516</v>
      </c>
      <c r="F61" s="1579">
        <v>36361</v>
      </c>
      <c r="G61" s="1579">
        <v>11589</v>
      </c>
      <c r="H61" s="1579">
        <v>47681</v>
      </c>
      <c r="I61" s="1579">
        <v>64332</v>
      </c>
      <c r="J61" s="1579">
        <v>94582</v>
      </c>
      <c r="K61" s="1579">
        <v>121321</v>
      </c>
      <c r="L61" s="1579">
        <v>148161</v>
      </c>
      <c r="M61" s="1540"/>
      <c r="N61" s="1540"/>
      <c r="O61" s="1540"/>
      <c r="P61" s="1540"/>
      <c r="Q61" s="1540"/>
      <c r="R61" s="1540"/>
    </row>
    <row r="62" spans="2:18" x14ac:dyDescent="0.3">
      <c r="B62" s="1567" t="s">
        <v>216</v>
      </c>
      <c r="C62" s="1579">
        <v>15512</v>
      </c>
      <c r="D62" s="1579">
        <v>5926</v>
      </c>
      <c r="E62" s="1579">
        <v>2931</v>
      </c>
      <c r="F62" s="1579">
        <v>16590</v>
      </c>
      <c r="G62" s="1579">
        <v>2944</v>
      </c>
      <c r="H62" s="1579">
        <v>7575</v>
      </c>
      <c r="I62" s="1579">
        <v>3266</v>
      </c>
      <c r="J62" s="1579">
        <v>7946</v>
      </c>
      <c r="K62" s="1579">
        <v>10885</v>
      </c>
      <c r="L62" s="1579">
        <v>11974</v>
      </c>
      <c r="M62" s="1540"/>
      <c r="N62" s="1540"/>
      <c r="O62" s="1540"/>
      <c r="P62" s="1540"/>
      <c r="Q62" s="1540"/>
      <c r="R62" s="1540"/>
    </row>
    <row r="63" spans="2:18" x14ac:dyDescent="0.3">
      <c r="B63" s="1588" t="s">
        <v>217</v>
      </c>
      <c r="C63" s="1579">
        <v>13664</v>
      </c>
      <c r="D63" s="1579">
        <v>4121</v>
      </c>
      <c r="E63" s="1579">
        <v>3125</v>
      </c>
      <c r="F63" s="1579">
        <v>10237</v>
      </c>
      <c r="G63" s="1579">
        <v>2329</v>
      </c>
      <c r="H63" s="1579">
        <v>15527</v>
      </c>
      <c r="I63" s="1579">
        <v>19391</v>
      </c>
      <c r="J63" s="1579">
        <v>22376</v>
      </c>
      <c r="K63" s="1579">
        <v>24745</v>
      </c>
      <c r="L63" s="1579">
        <v>27747</v>
      </c>
      <c r="M63" s="1540"/>
      <c r="N63" s="1540"/>
      <c r="O63" s="1540"/>
      <c r="P63" s="1540"/>
      <c r="Q63" s="1540"/>
      <c r="R63" s="1540"/>
    </row>
    <row r="64" spans="2:18" x14ac:dyDescent="0.3">
      <c r="B64" s="1592" t="s">
        <v>88</v>
      </c>
      <c r="C64" s="1579">
        <v>6535</v>
      </c>
      <c r="D64" s="1579">
        <v>3906</v>
      </c>
      <c r="E64" s="1579">
        <v>7702</v>
      </c>
      <c r="F64" s="1579">
        <v>5145</v>
      </c>
      <c r="G64" s="1579">
        <v>2532</v>
      </c>
      <c r="H64" s="1579">
        <v>14321</v>
      </c>
      <c r="I64" s="1579">
        <v>24725</v>
      </c>
      <c r="J64" s="1579">
        <v>26594</v>
      </c>
      <c r="K64" s="1579">
        <v>32443</v>
      </c>
      <c r="L64" s="1579">
        <v>38460</v>
      </c>
      <c r="M64" s="1540"/>
      <c r="N64" s="1540"/>
      <c r="O64" s="1540"/>
      <c r="P64" s="1540"/>
      <c r="Q64" s="1540"/>
      <c r="R64" s="1540"/>
    </row>
    <row r="65" spans="2:18" x14ac:dyDescent="0.3">
      <c r="B65" s="1567" t="s">
        <v>218</v>
      </c>
      <c r="C65" s="1579">
        <v>6535</v>
      </c>
      <c r="D65" s="1579">
        <v>3906</v>
      </c>
      <c r="E65" s="1579">
        <v>7702</v>
      </c>
      <c r="F65" s="1579">
        <v>5145</v>
      </c>
      <c r="G65" s="1579">
        <v>2532</v>
      </c>
      <c r="H65" s="1579">
        <v>7122</v>
      </c>
      <c r="I65" s="1579">
        <v>12306</v>
      </c>
      <c r="J65" s="1579">
        <v>15701</v>
      </c>
      <c r="K65" s="1579">
        <v>19142</v>
      </c>
      <c r="L65" s="1579">
        <v>22636</v>
      </c>
      <c r="M65" s="1540"/>
      <c r="N65" s="1540"/>
      <c r="O65" s="1540"/>
      <c r="P65" s="1540"/>
      <c r="Q65" s="1540"/>
      <c r="R65" s="1540"/>
    </row>
    <row r="66" spans="2:18" x14ac:dyDescent="0.3">
      <c r="B66" s="1588" t="s">
        <v>219</v>
      </c>
      <c r="C66" s="1579">
        <v>0</v>
      </c>
      <c r="D66" s="1579">
        <v>0</v>
      </c>
      <c r="E66" s="1579">
        <v>0</v>
      </c>
      <c r="F66" s="1579">
        <v>0</v>
      </c>
      <c r="G66" s="1579">
        <v>0</v>
      </c>
      <c r="H66" s="1579">
        <v>7199</v>
      </c>
      <c r="I66" s="1579">
        <v>12419</v>
      </c>
      <c r="J66" s="1579">
        <v>10893</v>
      </c>
      <c r="K66" s="1579">
        <v>13302</v>
      </c>
      <c r="L66" s="1579">
        <v>15825</v>
      </c>
      <c r="N66" s="1540"/>
      <c r="O66" s="1540"/>
      <c r="P66" s="1540"/>
      <c r="Q66" s="1540"/>
      <c r="R66" s="1540"/>
    </row>
    <row r="67" spans="2:18" x14ac:dyDescent="0.3">
      <c r="B67" s="1592" t="s">
        <v>94</v>
      </c>
      <c r="C67" s="1579">
        <v>41014</v>
      </c>
      <c r="D67" s="1579">
        <v>30735</v>
      </c>
      <c r="E67" s="1579">
        <v>32827</v>
      </c>
      <c r="F67" s="1579">
        <v>23797</v>
      </c>
      <c r="G67" s="1579">
        <v>5404</v>
      </c>
      <c r="H67" s="1579">
        <v>37865</v>
      </c>
      <c r="I67" s="1579">
        <v>47983</v>
      </c>
      <c r="J67" s="1579">
        <v>58913</v>
      </c>
      <c r="K67" s="1579">
        <v>72349</v>
      </c>
      <c r="L67" s="1579">
        <v>81307</v>
      </c>
      <c r="M67" s="1540"/>
      <c r="N67" s="1540"/>
      <c r="O67" s="1540"/>
      <c r="P67" s="1540"/>
      <c r="Q67" s="1540"/>
      <c r="R67" s="1540"/>
    </row>
    <row r="68" spans="2:18" x14ac:dyDescent="0.3">
      <c r="B68" s="1567" t="s">
        <v>220</v>
      </c>
      <c r="C68" s="1579">
        <v>16811</v>
      </c>
      <c r="D68" s="1579">
        <v>10359</v>
      </c>
      <c r="E68" s="1579">
        <v>11792</v>
      </c>
      <c r="F68" s="1579">
        <v>11859</v>
      </c>
      <c r="G68" s="1579">
        <v>2736</v>
      </c>
      <c r="H68" s="1579">
        <v>21299</v>
      </c>
      <c r="I68" s="1579">
        <v>31223</v>
      </c>
      <c r="J68" s="1579">
        <v>41148</v>
      </c>
      <c r="K68" s="1579">
        <v>52197</v>
      </c>
      <c r="L68" s="1579">
        <v>59922</v>
      </c>
      <c r="M68" s="1540"/>
      <c r="N68" s="1540"/>
      <c r="O68" s="1540"/>
      <c r="P68" s="1540"/>
      <c r="Q68" s="1540"/>
      <c r="R68" s="1540"/>
    </row>
    <row r="69" spans="2:18" x14ac:dyDescent="0.3">
      <c r="B69" s="1567" t="s">
        <v>221</v>
      </c>
      <c r="C69" s="1579">
        <v>21212</v>
      </c>
      <c r="D69" s="1579">
        <v>16700</v>
      </c>
      <c r="E69" s="1579">
        <v>14136</v>
      </c>
      <c r="F69" s="1579">
        <v>8461</v>
      </c>
      <c r="G69" s="1579">
        <v>1458</v>
      </c>
      <c r="H69" s="1579">
        <v>9795</v>
      </c>
      <c r="I69" s="1579">
        <v>9856</v>
      </c>
      <c r="J69" s="1579">
        <v>11378</v>
      </c>
      <c r="K69" s="1579">
        <v>12836</v>
      </c>
      <c r="L69" s="1579">
        <v>13790</v>
      </c>
      <c r="M69" s="1540"/>
      <c r="N69" s="1540"/>
      <c r="O69" s="1540"/>
      <c r="P69" s="1540"/>
      <c r="Q69" s="1540"/>
      <c r="R69" s="1540"/>
    </row>
    <row r="70" spans="2:18" x14ac:dyDescent="0.3">
      <c r="B70" s="1567" t="s">
        <v>222</v>
      </c>
      <c r="C70" s="1579">
        <v>2909</v>
      </c>
      <c r="D70" s="1579">
        <v>2677</v>
      </c>
      <c r="E70" s="1579">
        <v>6733</v>
      </c>
      <c r="F70" s="1579">
        <v>3398</v>
      </c>
      <c r="G70" s="1579">
        <v>1210</v>
      </c>
      <c r="H70" s="1579">
        <v>6772</v>
      </c>
      <c r="I70" s="1579">
        <v>6903</v>
      </c>
      <c r="J70" s="1579">
        <v>6387</v>
      </c>
      <c r="K70" s="1579">
        <v>7316</v>
      </c>
      <c r="L70" s="1579">
        <v>7595</v>
      </c>
      <c r="M70" s="1540"/>
      <c r="N70" s="1540"/>
      <c r="O70" s="1540"/>
      <c r="P70" s="1540"/>
      <c r="Q70" s="1540"/>
      <c r="R70" s="1540"/>
    </row>
    <row r="71" spans="2:18" x14ac:dyDescent="0.3">
      <c r="B71" s="1588" t="s">
        <v>223</v>
      </c>
      <c r="C71" s="1579">
        <v>83</v>
      </c>
      <c r="D71" s="1579">
        <v>1000</v>
      </c>
      <c r="E71" s="1579">
        <v>166</v>
      </c>
      <c r="F71" s="1579">
        <v>79</v>
      </c>
      <c r="G71" s="1579">
        <v>0</v>
      </c>
      <c r="H71" s="1579">
        <v>0</v>
      </c>
      <c r="I71" s="1579">
        <v>0</v>
      </c>
      <c r="J71" s="1579">
        <v>0</v>
      </c>
      <c r="K71" s="1579">
        <v>0</v>
      </c>
      <c r="L71" s="1579">
        <v>0</v>
      </c>
      <c r="O71" s="1540"/>
    </row>
    <row r="72" spans="2:18" x14ac:dyDescent="0.3">
      <c r="B72" s="1382" t="s">
        <v>226</v>
      </c>
      <c r="C72" s="1579">
        <v>166303</v>
      </c>
      <c r="D72" s="1579">
        <v>181205</v>
      </c>
      <c r="E72" s="1579">
        <v>184688</v>
      </c>
      <c r="F72" s="1579">
        <v>172449</v>
      </c>
      <c r="G72" s="1579">
        <v>40899</v>
      </c>
      <c r="H72" s="1579">
        <v>227345</v>
      </c>
      <c r="I72" s="1579">
        <v>295504</v>
      </c>
      <c r="J72" s="1579">
        <v>372695</v>
      </c>
      <c r="K72" s="1579">
        <v>460367</v>
      </c>
      <c r="L72" s="1579">
        <v>540768</v>
      </c>
      <c r="M72" s="1540"/>
      <c r="N72" s="1540"/>
      <c r="O72" s="1540"/>
      <c r="P72" s="1540"/>
      <c r="Q72" s="1540"/>
      <c r="R72" s="1540"/>
    </row>
    <row r="75" spans="2:18" x14ac:dyDescent="0.3">
      <c r="B75" s="1581" t="s">
        <v>227</v>
      </c>
    </row>
    <row r="76" spans="2:18" ht="13.5" customHeight="1" x14ac:dyDescent="0.3">
      <c r="B76" s="1544" t="s">
        <v>3786</v>
      </c>
      <c r="C76" s="1641">
        <v>2019</v>
      </c>
      <c r="D76" s="1641">
        <v>2020</v>
      </c>
      <c r="E76" s="1641">
        <v>2021</v>
      </c>
      <c r="F76" s="1542">
        <v>2022</v>
      </c>
      <c r="G76" s="1543">
        <v>2022</v>
      </c>
      <c r="H76" s="1641">
        <v>2023</v>
      </c>
      <c r="I76" s="1641">
        <v>2024</v>
      </c>
      <c r="J76" s="1641">
        <v>2025</v>
      </c>
      <c r="K76" s="1641">
        <v>2026</v>
      </c>
      <c r="L76" s="1641">
        <v>2027</v>
      </c>
    </row>
    <row r="77" spans="2:18" ht="15" x14ac:dyDescent="0.3">
      <c r="B77" s="1652"/>
      <c r="C77" s="1655"/>
      <c r="D77" s="1655"/>
      <c r="E77" s="1655"/>
      <c r="F77" s="1544" t="s">
        <v>3790</v>
      </c>
      <c r="G77" s="1601" t="s">
        <v>3791</v>
      </c>
      <c r="H77" s="1655"/>
      <c r="I77" s="1655"/>
      <c r="J77" s="1655"/>
      <c r="K77" s="1655"/>
      <c r="L77" s="1655"/>
    </row>
    <row r="78" spans="2:18" x14ac:dyDescent="0.3">
      <c r="B78" s="1596" t="s">
        <v>228</v>
      </c>
      <c r="C78" s="1602">
        <v>196961</v>
      </c>
      <c r="D78" s="1602">
        <v>226329</v>
      </c>
      <c r="E78" s="1602">
        <v>244189</v>
      </c>
      <c r="F78" s="1603">
        <v>222552</v>
      </c>
      <c r="G78" s="1604">
        <v>48657</v>
      </c>
      <c r="H78" s="1602">
        <v>290154</v>
      </c>
      <c r="I78" s="1602">
        <v>371438</v>
      </c>
      <c r="J78" s="1602">
        <v>468037</v>
      </c>
      <c r="K78" s="1602">
        <v>579776</v>
      </c>
      <c r="L78" s="1602">
        <v>679208</v>
      </c>
    </row>
    <row r="79" spans="2:18" x14ac:dyDescent="0.3">
      <c r="B79" s="1605" t="s">
        <v>229</v>
      </c>
      <c r="C79" s="1606">
        <v>14968</v>
      </c>
      <c r="D79" s="1606">
        <v>17679</v>
      </c>
      <c r="E79" s="1606">
        <v>19317</v>
      </c>
      <c r="F79" s="1607">
        <v>17109</v>
      </c>
      <c r="G79" s="1608">
        <v>5195</v>
      </c>
      <c r="H79" s="1606">
        <v>22790</v>
      </c>
      <c r="I79" s="1606">
        <v>23177</v>
      </c>
      <c r="J79" s="1606">
        <v>23687</v>
      </c>
      <c r="K79" s="1606">
        <v>24445</v>
      </c>
      <c r="L79" s="1606">
        <v>25276</v>
      </c>
    </row>
    <row r="80" spans="2:18" x14ac:dyDescent="0.3">
      <c r="B80" s="1567" t="s">
        <v>230</v>
      </c>
      <c r="C80" s="1569">
        <v>6446</v>
      </c>
      <c r="D80" s="1569">
        <v>6956</v>
      </c>
      <c r="E80" s="1569">
        <v>7614</v>
      </c>
      <c r="F80" s="1609">
        <v>5799</v>
      </c>
      <c r="G80" s="1610">
        <v>1551</v>
      </c>
      <c r="H80" s="1569">
        <v>8017</v>
      </c>
      <c r="I80" s="1569">
        <v>8153</v>
      </c>
      <c r="J80" s="1569">
        <v>8333</v>
      </c>
      <c r="K80" s="1569">
        <v>8599</v>
      </c>
      <c r="L80" s="1569">
        <v>8892</v>
      </c>
    </row>
    <row r="81" spans="2:12" x14ac:dyDescent="0.3">
      <c r="B81" s="1567" t="s">
        <v>231</v>
      </c>
      <c r="C81" s="1569">
        <v>17716</v>
      </c>
      <c r="D81" s="1569">
        <v>16703</v>
      </c>
      <c r="E81" s="1569">
        <v>17674</v>
      </c>
      <c r="F81" s="1609">
        <v>16783</v>
      </c>
      <c r="G81" s="1610">
        <v>4908</v>
      </c>
      <c r="H81" s="1569">
        <v>23375</v>
      </c>
      <c r="I81" s="1569">
        <v>23534</v>
      </c>
      <c r="J81" s="1569">
        <v>23982</v>
      </c>
      <c r="K81" s="1569">
        <v>24550</v>
      </c>
      <c r="L81" s="1569">
        <v>25288</v>
      </c>
    </row>
    <row r="82" spans="2:12" x14ac:dyDescent="0.3">
      <c r="B82" s="1567" t="s">
        <v>232</v>
      </c>
      <c r="C82" s="1569">
        <v>9492</v>
      </c>
      <c r="D82" s="1569">
        <v>8643</v>
      </c>
      <c r="E82" s="1569">
        <v>5804</v>
      </c>
      <c r="F82" s="1609">
        <v>8778</v>
      </c>
      <c r="G82" s="1610">
        <v>2428</v>
      </c>
      <c r="H82" s="1569">
        <v>11713</v>
      </c>
      <c r="I82" s="1569">
        <v>14962</v>
      </c>
      <c r="J82" s="1569">
        <v>18780</v>
      </c>
      <c r="K82" s="1569">
        <v>23247</v>
      </c>
      <c r="L82" s="1569">
        <v>27084</v>
      </c>
    </row>
    <row r="83" spans="2:12" x14ac:dyDescent="0.3">
      <c r="B83" s="1567" t="s">
        <v>233</v>
      </c>
      <c r="C83" s="1570">
        <v>370</v>
      </c>
      <c r="D83" s="1570">
        <v>-29</v>
      </c>
      <c r="E83" s="1570">
        <v>-410</v>
      </c>
      <c r="F83" s="1611">
        <v>11</v>
      </c>
      <c r="G83" s="1568">
        <v>2</v>
      </c>
      <c r="H83" s="1570">
        <v>15</v>
      </c>
      <c r="I83" s="1570">
        <v>19</v>
      </c>
      <c r="J83" s="1570">
        <v>23</v>
      </c>
      <c r="K83" s="1570">
        <v>29</v>
      </c>
      <c r="L83" s="1570">
        <v>34</v>
      </c>
    </row>
    <row r="84" spans="2:12" x14ac:dyDescent="0.3">
      <c r="B84" s="1588" t="s">
        <v>234</v>
      </c>
      <c r="C84" s="1612">
        <v>8409</v>
      </c>
      <c r="D84" s="1612">
        <v>7060</v>
      </c>
      <c r="E84" s="1612">
        <v>4653</v>
      </c>
      <c r="F84" s="1613">
        <v>3654</v>
      </c>
      <c r="G84" s="1614">
        <v>833</v>
      </c>
      <c r="H84" s="1612">
        <v>3695</v>
      </c>
      <c r="I84" s="1612">
        <v>3262</v>
      </c>
      <c r="J84" s="1612">
        <v>2968</v>
      </c>
      <c r="K84" s="1612">
        <v>3229</v>
      </c>
      <c r="L84" s="1612">
        <v>3499</v>
      </c>
    </row>
    <row r="85" spans="2:12" x14ac:dyDescent="0.3">
      <c r="B85" s="1596" t="s">
        <v>235</v>
      </c>
      <c r="C85" s="1602">
        <v>57402</v>
      </c>
      <c r="D85" s="1602">
        <v>57013</v>
      </c>
      <c r="E85" s="1602">
        <v>54652</v>
      </c>
      <c r="F85" s="1615">
        <v>52133</v>
      </c>
      <c r="G85" s="1604">
        <v>14918</v>
      </c>
      <c r="H85" s="1602">
        <v>69604</v>
      </c>
      <c r="I85" s="1602">
        <v>73106</v>
      </c>
      <c r="J85" s="1602">
        <v>77772</v>
      </c>
      <c r="K85" s="1602">
        <v>84098</v>
      </c>
      <c r="L85" s="1602">
        <v>90072</v>
      </c>
    </row>
    <row r="86" spans="2:12" x14ac:dyDescent="0.3">
      <c r="B86" s="1541" t="s">
        <v>236</v>
      </c>
      <c r="C86" s="1616">
        <v>0.29139999999999999</v>
      </c>
      <c r="D86" s="1616">
        <v>0.25190000000000001</v>
      </c>
      <c r="E86" s="1616">
        <v>0.2238</v>
      </c>
      <c r="F86" s="1617">
        <v>0.23430000000000001</v>
      </c>
      <c r="G86" s="1618">
        <v>0.30659999999999998</v>
      </c>
      <c r="H86" s="1616">
        <v>0.2399</v>
      </c>
      <c r="I86" s="1616">
        <v>0.1968</v>
      </c>
      <c r="J86" s="1616">
        <v>0.16619999999999999</v>
      </c>
      <c r="K86" s="1616">
        <v>0.14510000000000001</v>
      </c>
      <c r="L86" s="1616">
        <v>0.1326</v>
      </c>
    </row>
    <row r="89" spans="2:12" ht="13.5" customHeight="1" x14ac:dyDescent="0.3">
      <c r="B89" s="1544" t="s">
        <v>3786</v>
      </c>
      <c r="G89" s="1543">
        <v>2022</v>
      </c>
      <c r="H89" s="1619">
        <v>2023</v>
      </c>
      <c r="I89" s="1619">
        <v>2024</v>
      </c>
      <c r="J89" s="1619">
        <v>2025</v>
      </c>
      <c r="K89" s="1619">
        <v>2026</v>
      </c>
      <c r="L89" s="1619">
        <v>2027</v>
      </c>
    </row>
    <row r="90" spans="2:12" ht="15" x14ac:dyDescent="0.3">
      <c r="B90" s="1544"/>
      <c r="G90" s="1545" t="s">
        <v>3791</v>
      </c>
      <c r="H90" s="1619"/>
      <c r="I90" s="1619"/>
      <c r="J90" s="1619"/>
      <c r="K90" s="1619"/>
      <c r="L90" s="1619"/>
    </row>
    <row r="91" spans="2:12" x14ac:dyDescent="0.3">
      <c r="B91" s="1620" t="s">
        <v>202</v>
      </c>
      <c r="G91" s="1621"/>
      <c r="H91" s="1622"/>
      <c r="I91" s="1622"/>
      <c r="J91" s="1622"/>
      <c r="K91" s="1622"/>
      <c r="L91" s="1622"/>
    </row>
    <row r="92" spans="2:12" x14ac:dyDescent="0.3">
      <c r="B92" s="1623" t="s">
        <v>237</v>
      </c>
      <c r="G92" s="1570">
        <v>232</v>
      </c>
      <c r="H92" s="1569">
        <v>1441</v>
      </c>
      <c r="I92" s="1624">
        <v>1412</v>
      </c>
      <c r="J92" s="1569">
        <v>1304</v>
      </c>
      <c r="K92" s="1569">
        <v>1351</v>
      </c>
      <c r="L92" s="1569">
        <v>1343</v>
      </c>
    </row>
    <row r="93" spans="2:12" x14ac:dyDescent="0.3">
      <c r="B93" s="1625" t="s">
        <v>238</v>
      </c>
      <c r="G93" s="1626">
        <v>593</v>
      </c>
      <c r="H93" s="1627">
        <v>3627</v>
      </c>
      <c r="I93" s="1628">
        <v>2864</v>
      </c>
      <c r="J93" s="1627">
        <v>2500</v>
      </c>
      <c r="K93" s="1627">
        <v>2203</v>
      </c>
      <c r="L93" s="1627">
        <v>2469</v>
      </c>
    </row>
    <row r="94" spans="2:12" x14ac:dyDescent="0.3">
      <c r="B94" s="1629" t="s">
        <v>239</v>
      </c>
      <c r="G94" s="1630">
        <v>825</v>
      </c>
      <c r="H94" s="1631">
        <v>5069</v>
      </c>
      <c r="I94" s="1632">
        <v>4276</v>
      </c>
      <c r="J94" s="1631">
        <v>3804</v>
      </c>
      <c r="K94" s="1631">
        <v>3554</v>
      </c>
      <c r="L94" s="1631">
        <v>3812</v>
      </c>
    </row>
    <row r="95" spans="2:12" x14ac:dyDescent="0.3">
      <c r="B95" s="1633" t="s">
        <v>201</v>
      </c>
      <c r="G95" s="1634"/>
      <c r="H95" s="1634"/>
      <c r="I95" s="1634"/>
      <c r="J95" s="1634"/>
      <c r="K95" s="1634"/>
      <c r="L95" s="1634"/>
    </row>
    <row r="96" spans="2:12" x14ac:dyDescent="0.3">
      <c r="B96" s="1623" t="s">
        <v>240</v>
      </c>
      <c r="G96" s="1570">
        <v>937</v>
      </c>
      <c r="H96" s="1569">
        <v>3477</v>
      </c>
      <c r="I96" s="1624">
        <v>1775</v>
      </c>
      <c r="J96" s="1570">
        <v>610</v>
      </c>
      <c r="K96" s="1570">
        <v>249</v>
      </c>
      <c r="L96" s="1570">
        <v>39</v>
      </c>
    </row>
    <row r="97" spans="2:12" x14ac:dyDescent="0.3">
      <c r="B97" s="1625" t="s">
        <v>241</v>
      </c>
      <c r="G97" s="1626">
        <v>17</v>
      </c>
      <c r="H97" s="1626">
        <v>855</v>
      </c>
      <c r="I97" s="1628">
        <v>2077</v>
      </c>
      <c r="J97" s="1627">
        <v>2987</v>
      </c>
      <c r="K97" s="1627">
        <v>3596</v>
      </c>
      <c r="L97" s="1627">
        <v>4074</v>
      </c>
    </row>
    <row r="98" spans="2:12" x14ac:dyDescent="0.3">
      <c r="B98" s="1635" t="s">
        <v>242</v>
      </c>
      <c r="G98" s="1636">
        <v>954</v>
      </c>
      <c r="H98" s="1637">
        <v>4332</v>
      </c>
      <c r="I98" s="1638">
        <v>3852</v>
      </c>
      <c r="J98" s="1637">
        <v>3596</v>
      </c>
      <c r="K98" s="1637">
        <v>3845</v>
      </c>
      <c r="L98" s="1637">
        <v>4113</v>
      </c>
    </row>
    <row r="99" spans="2:12" x14ac:dyDescent="0.3">
      <c r="B99" s="1623" t="s">
        <v>237</v>
      </c>
      <c r="G99" s="1570">
        <v>281</v>
      </c>
      <c r="H99" s="1569">
        <v>1412</v>
      </c>
      <c r="I99" s="1624">
        <v>1304</v>
      </c>
      <c r="J99" s="1569">
        <v>1351</v>
      </c>
      <c r="K99" s="1569">
        <v>1343</v>
      </c>
      <c r="L99" s="1569">
        <v>1369</v>
      </c>
    </row>
    <row r="100" spans="2:12" x14ac:dyDescent="0.3">
      <c r="B100" s="1625" t="s">
        <v>238</v>
      </c>
      <c r="G100" s="1639">
        <v>673</v>
      </c>
      <c r="H100" s="1612">
        <v>2920</v>
      </c>
      <c r="I100" s="1640">
        <v>2548</v>
      </c>
      <c r="J100" s="1612">
        <v>2245</v>
      </c>
      <c r="K100" s="1612">
        <v>2502</v>
      </c>
      <c r="L100" s="1612">
        <v>2744</v>
      </c>
    </row>
    <row r="103" spans="2:12" ht="13.5" customHeight="1" x14ac:dyDescent="0.3">
      <c r="B103" s="1544" t="s">
        <v>3786</v>
      </c>
      <c r="C103" s="1641">
        <v>2019</v>
      </c>
      <c r="D103" s="1641">
        <v>2020</v>
      </c>
      <c r="E103" s="1641">
        <v>2021</v>
      </c>
      <c r="F103" s="1542">
        <v>2022</v>
      </c>
      <c r="G103" s="1543">
        <v>2022</v>
      </c>
      <c r="H103" s="1641">
        <v>2023</v>
      </c>
      <c r="I103" s="1641">
        <v>2024</v>
      </c>
      <c r="J103" s="1641">
        <v>2025</v>
      </c>
      <c r="K103" s="1641">
        <v>2026</v>
      </c>
      <c r="L103" s="1641">
        <v>2027</v>
      </c>
    </row>
    <row r="104" spans="2:12" ht="15" x14ac:dyDescent="0.3">
      <c r="B104" s="1652"/>
      <c r="C104" s="1655"/>
      <c r="D104" s="1655"/>
      <c r="E104" s="1655"/>
      <c r="F104" s="1544" t="s">
        <v>3790</v>
      </c>
      <c r="G104" s="1601" t="s">
        <v>3791</v>
      </c>
      <c r="H104" s="1655"/>
      <c r="I104" s="1655"/>
      <c r="J104" s="1655"/>
      <c r="K104" s="1655"/>
      <c r="L104" s="1655"/>
    </row>
    <row r="105" spans="2:12" x14ac:dyDescent="0.3">
      <c r="B105" s="1382" t="s">
        <v>243</v>
      </c>
      <c r="C105" s="1579">
        <v>32993</v>
      </c>
      <c r="D105" s="1579">
        <v>26663</v>
      </c>
      <c r="E105" s="1579">
        <v>26602</v>
      </c>
      <c r="F105" s="1579">
        <v>35755</v>
      </c>
      <c r="G105" s="1579">
        <v>36707</v>
      </c>
      <c r="H105" s="1579">
        <v>38000</v>
      </c>
      <c r="I105" s="1579">
        <v>47904</v>
      </c>
      <c r="J105" s="1579">
        <v>62197</v>
      </c>
      <c r="K105" s="1579">
        <v>77233</v>
      </c>
      <c r="L105" s="1579">
        <v>90551</v>
      </c>
    </row>
    <row r="106" spans="2:12" x14ac:dyDescent="0.3">
      <c r="B106" s="1382" t="s">
        <v>244</v>
      </c>
      <c r="C106" s="1579">
        <v>25863</v>
      </c>
      <c r="D106" s="1579">
        <v>22027</v>
      </c>
      <c r="E106" s="1579">
        <v>18944</v>
      </c>
      <c r="F106" s="1579">
        <v>21378</v>
      </c>
      <c r="G106" s="1579">
        <v>21698</v>
      </c>
      <c r="H106" s="1579">
        <v>23214</v>
      </c>
      <c r="I106" s="1579">
        <v>29717</v>
      </c>
      <c r="J106" s="1579">
        <v>37446</v>
      </c>
      <c r="K106" s="1579">
        <v>46386</v>
      </c>
      <c r="L106" s="1579">
        <v>54341</v>
      </c>
    </row>
    <row r="107" spans="2:12" x14ac:dyDescent="0.3">
      <c r="B107" s="1382" t="s">
        <v>245</v>
      </c>
      <c r="C107" s="1579">
        <v>7130</v>
      </c>
      <c r="D107" s="1579">
        <v>4636</v>
      </c>
      <c r="E107" s="1579">
        <v>7658</v>
      </c>
      <c r="F107" s="1579">
        <v>14377</v>
      </c>
      <c r="G107" s="1579">
        <v>15008</v>
      </c>
      <c r="H107" s="1579">
        <v>14786</v>
      </c>
      <c r="I107" s="1579">
        <v>18187</v>
      </c>
      <c r="J107" s="1579">
        <v>24751</v>
      </c>
      <c r="K107" s="1579">
        <v>30847</v>
      </c>
      <c r="L107" s="1579">
        <v>36210</v>
      </c>
    </row>
    <row r="108" spans="2:12" x14ac:dyDescent="0.3">
      <c r="B108" s="1382" t="s">
        <v>246</v>
      </c>
      <c r="C108" s="1579">
        <v>27342</v>
      </c>
      <c r="D108" s="1579">
        <v>32669</v>
      </c>
      <c r="E108" s="1579">
        <v>34914</v>
      </c>
      <c r="F108" s="1579">
        <v>39259</v>
      </c>
      <c r="G108" s="1579">
        <v>40453</v>
      </c>
      <c r="H108" s="1579">
        <v>43107</v>
      </c>
      <c r="I108" s="1579">
        <v>56031</v>
      </c>
      <c r="J108" s="1579">
        <v>70667</v>
      </c>
      <c r="K108" s="1579">
        <v>87291</v>
      </c>
      <c r="L108" s="1579">
        <v>102536</v>
      </c>
    </row>
    <row r="109" spans="2:12" x14ac:dyDescent="0.3">
      <c r="B109" s="1382" t="s">
        <v>247</v>
      </c>
      <c r="C109" s="1579">
        <v>27342</v>
      </c>
      <c r="D109" s="1579">
        <v>32669</v>
      </c>
      <c r="E109" s="1579">
        <v>34914</v>
      </c>
      <c r="F109" s="1579">
        <v>39259</v>
      </c>
      <c r="G109" s="1579">
        <v>40453</v>
      </c>
      <c r="H109" s="1579">
        <v>43107</v>
      </c>
      <c r="I109" s="1579">
        <v>56031</v>
      </c>
      <c r="J109" s="1579">
        <v>70667</v>
      </c>
      <c r="K109" s="1579">
        <v>87291</v>
      </c>
      <c r="L109" s="1579">
        <v>102536</v>
      </c>
    </row>
    <row r="110" spans="2:12" x14ac:dyDescent="0.3">
      <c r="B110" s="1382" t="s">
        <v>248</v>
      </c>
      <c r="C110" s="1579">
        <v>5651</v>
      </c>
      <c r="D110" s="1579">
        <v>-6005</v>
      </c>
      <c r="E110" s="1579">
        <v>-8312</v>
      </c>
      <c r="F110" s="1579">
        <v>-3504</v>
      </c>
      <c r="G110" s="1579">
        <v>-3746</v>
      </c>
      <c r="H110" s="1579">
        <v>-5107</v>
      </c>
      <c r="I110" s="1579">
        <v>-8127</v>
      </c>
      <c r="J110" s="1579">
        <v>-8471</v>
      </c>
      <c r="K110" s="1579">
        <v>-10058</v>
      </c>
      <c r="L110" s="1579">
        <v>-11985</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4E889-A2BC-4DD7-A2E8-8BEC29E9252D}">
  <sheetPr>
    <tabColor theme="0" tint="-0.499984740745262"/>
  </sheetPr>
  <dimension ref="A1:K2232"/>
  <sheetViews>
    <sheetView workbookViewId="0">
      <pane xSplit="1" ySplit="1" topLeftCell="B1604" activePane="bottomRight" state="frozen"/>
      <selection pane="topRight" activeCell="B1" sqref="B1"/>
      <selection pane="bottomLeft" activeCell="A2" sqref="A2"/>
      <selection pane="bottomRight" activeCell="K1618" sqref="K1618"/>
    </sheetView>
  </sheetViews>
  <sheetFormatPr defaultRowHeight="16.5" x14ac:dyDescent="0.3"/>
  <cols>
    <col min="1" max="1" width="17.875" customWidth="1"/>
    <col min="9" max="10" width="17" customWidth="1"/>
  </cols>
  <sheetData>
    <row r="1" spans="1:11" x14ac:dyDescent="0.3">
      <c r="A1" s="1656" t="s">
        <v>3795</v>
      </c>
      <c r="B1" s="1656" t="s">
        <v>3796</v>
      </c>
      <c r="C1" s="1656" t="s">
        <v>3797</v>
      </c>
      <c r="D1" s="1656" t="s">
        <v>3798</v>
      </c>
      <c r="E1" s="1656" t="s">
        <v>3799</v>
      </c>
      <c r="F1" s="1656" t="s">
        <v>3800</v>
      </c>
      <c r="G1" s="1656" t="s">
        <v>3801</v>
      </c>
      <c r="H1" s="1656" t="s">
        <v>3802</v>
      </c>
      <c r="I1" s="1656" t="s">
        <v>3803</v>
      </c>
      <c r="J1" s="1656" t="s">
        <v>3804</v>
      </c>
      <c r="K1" s="1656" t="s">
        <v>3805</v>
      </c>
    </row>
    <row r="2" spans="1:11" x14ac:dyDescent="0.3">
      <c r="A2" s="1657">
        <v>41641</v>
      </c>
      <c r="B2" s="1658">
        <v>1450</v>
      </c>
      <c r="C2" s="1658">
        <v>-25</v>
      </c>
      <c r="D2" s="1659">
        <v>-1.69</v>
      </c>
      <c r="E2" s="1658">
        <v>1450</v>
      </c>
      <c r="F2" s="1658">
        <v>1485</v>
      </c>
      <c r="G2" s="1658">
        <v>1435</v>
      </c>
      <c r="H2" s="1658">
        <v>26434</v>
      </c>
      <c r="I2" s="1658">
        <v>38379860</v>
      </c>
      <c r="J2" s="1658">
        <v>37461589550</v>
      </c>
      <c r="K2" s="1658">
        <v>25835579</v>
      </c>
    </row>
    <row r="3" spans="1:11" x14ac:dyDescent="0.3">
      <c r="A3" s="1657">
        <v>41642</v>
      </c>
      <c r="B3" s="1658">
        <v>1490</v>
      </c>
      <c r="C3" s="1658">
        <v>40</v>
      </c>
      <c r="D3" s="1659">
        <v>2.76</v>
      </c>
      <c r="E3" s="1658">
        <v>1460</v>
      </c>
      <c r="F3" s="1658">
        <v>1495</v>
      </c>
      <c r="G3" s="1658">
        <v>1445</v>
      </c>
      <c r="H3" s="1658">
        <v>23958</v>
      </c>
      <c r="I3" s="1658">
        <v>35238185</v>
      </c>
      <c r="J3" s="1658">
        <v>38495012710</v>
      </c>
      <c r="K3" s="1658">
        <v>25835579</v>
      </c>
    </row>
    <row r="4" spans="1:11" x14ac:dyDescent="0.3">
      <c r="A4" s="1657">
        <v>41645</v>
      </c>
      <c r="B4" s="1658">
        <v>1515</v>
      </c>
      <c r="C4" s="1658">
        <v>25</v>
      </c>
      <c r="D4" s="1659">
        <v>1.68</v>
      </c>
      <c r="E4" s="1658">
        <v>1485</v>
      </c>
      <c r="F4" s="1658">
        <v>1515</v>
      </c>
      <c r="G4" s="1658">
        <v>1465</v>
      </c>
      <c r="H4" s="1658">
        <v>25878</v>
      </c>
      <c r="I4" s="1658">
        <v>38618395</v>
      </c>
      <c r="J4" s="1658">
        <v>39140902185</v>
      </c>
      <c r="K4" s="1658">
        <v>25835579</v>
      </c>
    </row>
    <row r="5" spans="1:11" x14ac:dyDescent="0.3">
      <c r="A5" s="1657">
        <v>41646</v>
      </c>
      <c r="B5" s="1658">
        <v>1550</v>
      </c>
      <c r="C5" s="1658">
        <v>35</v>
      </c>
      <c r="D5" s="1659">
        <v>2.31</v>
      </c>
      <c r="E5" s="1658">
        <v>1495</v>
      </c>
      <c r="F5" s="1658">
        <v>1595</v>
      </c>
      <c r="G5" s="1658">
        <v>1495</v>
      </c>
      <c r="H5" s="1658">
        <v>107332</v>
      </c>
      <c r="I5" s="1658">
        <v>167484025</v>
      </c>
      <c r="J5" s="1658">
        <v>40045147450</v>
      </c>
      <c r="K5" s="1658">
        <v>25835579</v>
      </c>
    </row>
    <row r="6" spans="1:11" x14ac:dyDescent="0.3">
      <c r="A6" s="1657">
        <v>41647</v>
      </c>
      <c r="B6" s="1658">
        <v>1505</v>
      </c>
      <c r="C6" s="1658">
        <v>-45</v>
      </c>
      <c r="D6" s="1659">
        <v>-2.9</v>
      </c>
      <c r="E6" s="1658">
        <v>1550</v>
      </c>
      <c r="F6" s="1658">
        <v>1585</v>
      </c>
      <c r="G6" s="1658">
        <v>1495</v>
      </c>
      <c r="H6" s="1658">
        <v>85681</v>
      </c>
      <c r="I6" s="1658">
        <v>130785185</v>
      </c>
      <c r="J6" s="1658">
        <v>38882546395</v>
      </c>
      <c r="K6" s="1658">
        <v>25835579</v>
      </c>
    </row>
    <row r="7" spans="1:11" x14ac:dyDescent="0.3">
      <c r="A7" s="1657">
        <v>41648</v>
      </c>
      <c r="B7" s="1658">
        <v>1505</v>
      </c>
      <c r="C7" s="1658">
        <v>0</v>
      </c>
      <c r="D7" s="1659">
        <v>0</v>
      </c>
      <c r="E7" s="1658">
        <v>1505</v>
      </c>
      <c r="F7" s="1658">
        <v>1510</v>
      </c>
      <c r="G7" s="1658">
        <v>1480</v>
      </c>
      <c r="H7" s="1658">
        <v>47745</v>
      </c>
      <c r="I7" s="1658">
        <v>71268550</v>
      </c>
      <c r="J7" s="1658">
        <v>38882546395</v>
      </c>
      <c r="K7" s="1658">
        <v>25835579</v>
      </c>
    </row>
    <row r="8" spans="1:11" x14ac:dyDescent="0.3">
      <c r="A8" s="1657">
        <v>41649</v>
      </c>
      <c r="B8" s="1658">
        <v>1515</v>
      </c>
      <c r="C8" s="1658">
        <v>10</v>
      </c>
      <c r="D8" s="1659">
        <v>0.66</v>
      </c>
      <c r="E8" s="1658">
        <v>1505</v>
      </c>
      <c r="F8" s="1658">
        <v>1520</v>
      </c>
      <c r="G8" s="1658">
        <v>1490</v>
      </c>
      <c r="H8" s="1658">
        <v>34084</v>
      </c>
      <c r="I8" s="1658">
        <v>51245180</v>
      </c>
      <c r="J8" s="1658">
        <v>39140902185</v>
      </c>
      <c r="K8" s="1658">
        <v>25835579</v>
      </c>
    </row>
    <row r="9" spans="1:11" x14ac:dyDescent="0.3">
      <c r="A9" s="1657">
        <v>41652</v>
      </c>
      <c r="B9" s="1658">
        <v>1525</v>
      </c>
      <c r="C9" s="1658">
        <v>10</v>
      </c>
      <c r="D9" s="1659">
        <v>0.66</v>
      </c>
      <c r="E9" s="1658">
        <v>1500</v>
      </c>
      <c r="F9" s="1658">
        <v>1535</v>
      </c>
      <c r="G9" s="1658">
        <v>1490</v>
      </c>
      <c r="H9" s="1658">
        <v>74241</v>
      </c>
      <c r="I9" s="1658">
        <v>111995150</v>
      </c>
      <c r="J9" s="1658">
        <v>39399257975</v>
      </c>
      <c r="K9" s="1658">
        <v>25835579</v>
      </c>
    </row>
    <row r="10" spans="1:11" x14ac:dyDescent="0.3">
      <c r="A10" s="1657">
        <v>41653</v>
      </c>
      <c r="B10" s="1658">
        <v>1510</v>
      </c>
      <c r="C10" s="1658">
        <v>-15</v>
      </c>
      <c r="D10" s="1659">
        <v>-0.98</v>
      </c>
      <c r="E10" s="1658">
        <v>1525</v>
      </c>
      <c r="F10" s="1658">
        <v>1530</v>
      </c>
      <c r="G10" s="1658">
        <v>1490</v>
      </c>
      <c r="H10" s="1658">
        <v>40863</v>
      </c>
      <c r="I10" s="1658">
        <v>61422735</v>
      </c>
      <c r="J10" s="1658">
        <v>39011724290</v>
      </c>
      <c r="K10" s="1658">
        <v>25835579</v>
      </c>
    </row>
    <row r="11" spans="1:11" x14ac:dyDescent="0.3">
      <c r="A11" s="1657">
        <v>41654</v>
      </c>
      <c r="B11" s="1658">
        <v>1515</v>
      </c>
      <c r="C11" s="1658">
        <v>5</v>
      </c>
      <c r="D11" s="1659">
        <v>0.33</v>
      </c>
      <c r="E11" s="1658">
        <v>1520</v>
      </c>
      <c r="F11" s="1658">
        <v>1535</v>
      </c>
      <c r="G11" s="1658">
        <v>1495</v>
      </c>
      <c r="H11" s="1658">
        <v>47819</v>
      </c>
      <c r="I11" s="1658">
        <v>71878890</v>
      </c>
      <c r="J11" s="1658">
        <v>39140902185</v>
      </c>
      <c r="K11" s="1658">
        <v>25835579</v>
      </c>
    </row>
    <row r="12" spans="1:11" x14ac:dyDescent="0.3">
      <c r="A12" s="1657">
        <v>41655</v>
      </c>
      <c r="B12" s="1658">
        <v>1570</v>
      </c>
      <c r="C12" s="1658">
        <v>55</v>
      </c>
      <c r="D12" s="1659">
        <v>3.63</v>
      </c>
      <c r="E12" s="1658">
        <v>1510</v>
      </c>
      <c r="F12" s="1658">
        <v>1580</v>
      </c>
      <c r="G12" s="1658">
        <v>1505</v>
      </c>
      <c r="H12" s="1658">
        <v>121050</v>
      </c>
      <c r="I12" s="1658">
        <v>188476905</v>
      </c>
      <c r="J12" s="1658">
        <v>40561859030</v>
      </c>
      <c r="K12" s="1658">
        <v>25835579</v>
      </c>
    </row>
    <row r="13" spans="1:11" x14ac:dyDescent="0.3">
      <c r="A13" s="1657">
        <v>41656</v>
      </c>
      <c r="B13" s="1658">
        <v>1620</v>
      </c>
      <c r="C13" s="1658">
        <v>50</v>
      </c>
      <c r="D13" s="1659">
        <v>3.18</v>
      </c>
      <c r="E13" s="1658">
        <v>1570</v>
      </c>
      <c r="F13" s="1658">
        <v>1650</v>
      </c>
      <c r="G13" s="1658">
        <v>1545</v>
      </c>
      <c r="H13" s="1658">
        <v>170088</v>
      </c>
      <c r="I13" s="1658">
        <v>272283690</v>
      </c>
      <c r="J13" s="1658">
        <v>41853637980</v>
      </c>
      <c r="K13" s="1658">
        <v>25835579</v>
      </c>
    </row>
    <row r="14" spans="1:11" x14ac:dyDescent="0.3">
      <c r="A14" s="1657">
        <v>41659</v>
      </c>
      <c r="B14" s="1658">
        <v>1600</v>
      </c>
      <c r="C14" s="1658">
        <v>-20</v>
      </c>
      <c r="D14" s="1659">
        <v>-1.23</v>
      </c>
      <c r="E14" s="1658">
        <v>1620</v>
      </c>
      <c r="F14" s="1658">
        <v>1620</v>
      </c>
      <c r="G14" s="1658">
        <v>1585</v>
      </c>
      <c r="H14" s="1658">
        <v>40780</v>
      </c>
      <c r="I14" s="1658">
        <v>65178860</v>
      </c>
      <c r="J14" s="1658">
        <v>41336926400</v>
      </c>
      <c r="K14" s="1658">
        <v>25835579</v>
      </c>
    </row>
    <row r="15" spans="1:11" x14ac:dyDescent="0.3">
      <c r="A15" s="1657">
        <v>41660</v>
      </c>
      <c r="B15" s="1658">
        <v>1610</v>
      </c>
      <c r="C15" s="1658">
        <v>10</v>
      </c>
      <c r="D15" s="1659">
        <v>0.63</v>
      </c>
      <c r="E15" s="1658">
        <v>1580</v>
      </c>
      <c r="F15" s="1658">
        <v>1620</v>
      </c>
      <c r="G15" s="1658">
        <v>1580</v>
      </c>
      <c r="H15" s="1658">
        <v>36577</v>
      </c>
      <c r="I15" s="1658">
        <v>58514885</v>
      </c>
      <c r="J15" s="1658">
        <v>41595282190</v>
      </c>
      <c r="K15" s="1658">
        <v>25835579</v>
      </c>
    </row>
    <row r="16" spans="1:11" x14ac:dyDescent="0.3">
      <c r="A16" s="1657">
        <v>41661</v>
      </c>
      <c r="B16" s="1658">
        <v>1635</v>
      </c>
      <c r="C16" s="1658">
        <v>25</v>
      </c>
      <c r="D16" s="1659">
        <v>1.55</v>
      </c>
      <c r="E16" s="1658">
        <v>1620</v>
      </c>
      <c r="F16" s="1658">
        <v>1660</v>
      </c>
      <c r="G16" s="1658">
        <v>1605</v>
      </c>
      <c r="H16" s="1658">
        <v>37712</v>
      </c>
      <c r="I16" s="1658">
        <v>61616880</v>
      </c>
      <c r="J16" s="1658">
        <v>42241171665</v>
      </c>
      <c r="K16" s="1658">
        <v>25835579</v>
      </c>
    </row>
    <row r="17" spans="1:11" x14ac:dyDescent="0.3">
      <c r="A17" s="1657">
        <v>41662</v>
      </c>
      <c r="B17" s="1658">
        <v>1610</v>
      </c>
      <c r="C17" s="1658">
        <v>-25</v>
      </c>
      <c r="D17" s="1659">
        <v>-1.53</v>
      </c>
      <c r="E17" s="1658">
        <v>1660</v>
      </c>
      <c r="F17" s="1658">
        <v>1660</v>
      </c>
      <c r="G17" s="1658">
        <v>1570</v>
      </c>
      <c r="H17" s="1658">
        <v>49654</v>
      </c>
      <c r="I17" s="1658">
        <v>79475290</v>
      </c>
      <c r="J17" s="1658">
        <v>41595282190</v>
      </c>
      <c r="K17" s="1658">
        <v>25835579</v>
      </c>
    </row>
    <row r="18" spans="1:11" x14ac:dyDescent="0.3">
      <c r="A18" s="1657">
        <v>41663</v>
      </c>
      <c r="B18" s="1658">
        <v>1555</v>
      </c>
      <c r="C18" s="1658">
        <v>-55</v>
      </c>
      <c r="D18" s="1659">
        <v>-3.42</v>
      </c>
      <c r="E18" s="1658">
        <v>1610</v>
      </c>
      <c r="F18" s="1658">
        <v>1610</v>
      </c>
      <c r="G18" s="1658">
        <v>1555</v>
      </c>
      <c r="H18" s="1658">
        <v>43811</v>
      </c>
      <c r="I18" s="1658">
        <v>69092875</v>
      </c>
      <c r="J18" s="1658">
        <v>40174325345</v>
      </c>
      <c r="K18" s="1658">
        <v>25835579</v>
      </c>
    </row>
    <row r="19" spans="1:11" x14ac:dyDescent="0.3">
      <c r="A19" s="1657">
        <v>41666</v>
      </c>
      <c r="B19" s="1658">
        <v>1510</v>
      </c>
      <c r="C19" s="1658">
        <v>-45</v>
      </c>
      <c r="D19" s="1659">
        <v>-2.89</v>
      </c>
      <c r="E19" s="1658">
        <v>1540</v>
      </c>
      <c r="F19" s="1658">
        <v>1545</v>
      </c>
      <c r="G19" s="1658">
        <v>1480</v>
      </c>
      <c r="H19" s="1658">
        <v>63459</v>
      </c>
      <c r="I19" s="1658">
        <v>96012820</v>
      </c>
      <c r="J19" s="1658">
        <v>39011724290</v>
      </c>
      <c r="K19" s="1658">
        <v>25835579</v>
      </c>
    </row>
    <row r="20" spans="1:11" x14ac:dyDescent="0.3">
      <c r="A20" s="1657">
        <v>41667</v>
      </c>
      <c r="B20" s="1658">
        <v>1555</v>
      </c>
      <c r="C20" s="1658">
        <v>45</v>
      </c>
      <c r="D20" s="1659">
        <v>2.98</v>
      </c>
      <c r="E20" s="1658">
        <v>1500</v>
      </c>
      <c r="F20" s="1658">
        <v>1560</v>
      </c>
      <c r="G20" s="1658">
        <v>1480</v>
      </c>
      <c r="H20" s="1658">
        <v>28529</v>
      </c>
      <c r="I20" s="1658">
        <v>43609590</v>
      </c>
      <c r="J20" s="1658">
        <v>40174325345</v>
      </c>
      <c r="K20" s="1658">
        <v>25835579</v>
      </c>
    </row>
    <row r="21" spans="1:11" x14ac:dyDescent="0.3">
      <c r="A21" s="1657">
        <v>41668</v>
      </c>
      <c r="B21" s="1658">
        <v>1570</v>
      </c>
      <c r="C21" s="1658">
        <v>15</v>
      </c>
      <c r="D21" s="1659">
        <v>0.96</v>
      </c>
      <c r="E21" s="1658">
        <v>1555</v>
      </c>
      <c r="F21" s="1658">
        <v>1570</v>
      </c>
      <c r="G21" s="1658">
        <v>1530</v>
      </c>
      <c r="H21" s="1658">
        <v>40832</v>
      </c>
      <c r="I21" s="1658">
        <v>63302165</v>
      </c>
      <c r="J21" s="1658">
        <v>40561859030</v>
      </c>
      <c r="K21" s="1658">
        <v>25835579</v>
      </c>
    </row>
    <row r="22" spans="1:11" x14ac:dyDescent="0.3">
      <c r="A22" s="1657">
        <v>41673</v>
      </c>
      <c r="B22" s="1658">
        <v>1570</v>
      </c>
      <c r="C22" s="1658">
        <v>0</v>
      </c>
      <c r="D22" s="1659">
        <v>0</v>
      </c>
      <c r="E22" s="1658">
        <v>1580</v>
      </c>
      <c r="F22" s="1658">
        <v>1595</v>
      </c>
      <c r="G22" s="1658">
        <v>1550</v>
      </c>
      <c r="H22" s="1658">
        <v>20044</v>
      </c>
      <c r="I22" s="1658">
        <v>31367975</v>
      </c>
      <c r="J22" s="1658">
        <v>40561859030</v>
      </c>
      <c r="K22" s="1658">
        <v>25835579</v>
      </c>
    </row>
    <row r="23" spans="1:11" x14ac:dyDescent="0.3">
      <c r="A23" s="1657">
        <v>41674</v>
      </c>
      <c r="B23" s="1658">
        <v>1535</v>
      </c>
      <c r="C23" s="1658">
        <v>-35</v>
      </c>
      <c r="D23" s="1659">
        <v>-2.23</v>
      </c>
      <c r="E23" s="1658">
        <v>1530</v>
      </c>
      <c r="F23" s="1658">
        <v>1555</v>
      </c>
      <c r="G23" s="1658">
        <v>1470</v>
      </c>
      <c r="H23" s="1658">
        <v>23070</v>
      </c>
      <c r="I23" s="1658">
        <v>34932630</v>
      </c>
      <c r="J23" s="1658">
        <v>39657613765</v>
      </c>
      <c r="K23" s="1658">
        <v>25835579</v>
      </c>
    </row>
    <row r="24" spans="1:11" x14ac:dyDescent="0.3">
      <c r="A24" s="1657">
        <v>41675</v>
      </c>
      <c r="B24" s="1658">
        <v>1510</v>
      </c>
      <c r="C24" s="1658">
        <v>-25</v>
      </c>
      <c r="D24" s="1659">
        <v>-1.63</v>
      </c>
      <c r="E24" s="1658">
        <v>1535</v>
      </c>
      <c r="F24" s="1658">
        <v>1545</v>
      </c>
      <c r="G24" s="1658">
        <v>1490</v>
      </c>
      <c r="H24" s="1658">
        <v>35076</v>
      </c>
      <c r="I24" s="1658">
        <v>53269415</v>
      </c>
      <c r="J24" s="1658">
        <v>39011724290</v>
      </c>
      <c r="K24" s="1658">
        <v>25835579</v>
      </c>
    </row>
    <row r="25" spans="1:11" x14ac:dyDescent="0.3">
      <c r="A25" s="1657">
        <v>41676</v>
      </c>
      <c r="B25" s="1658">
        <v>1490</v>
      </c>
      <c r="C25" s="1658">
        <v>-20</v>
      </c>
      <c r="D25" s="1659">
        <v>-1.32</v>
      </c>
      <c r="E25" s="1658">
        <v>1550</v>
      </c>
      <c r="F25" s="1658">
        <v>1550</v>
      </c>
      <c r="G25" s="1658">
        <v>1490</v>
      </c>
      <c r="H25" s="1658">
        <v>40186</v>
      </c>
      <c r="I25" s="1658">
        <v>60279620</v>
      </c>
      <c r="J25" s="1658">
        <v>38495012710</v>
      </c>
      <c r="K25" s="1658">
        <v>25835579</v>
      </c>
    </row>
    <row r="26" spans="1:11" x14ac:dyDescent="0.3">
      <c r="A26" s="1657">
        <v>41677</v>
      </c>
      <c r="B26" s="1658">
        <v>1525</v>
      </c>
      <c r="C26" s="1658">
        <v>35</v>
      </c>
      <c r="D26" s="1659">
        <v>2.35</v>
      </c>
      <c r="E26" s="1658">
        <v>1505</v>
      </c>
      <c r="F26" s="1658">
        <v>1555</v>
      </c>
      <c r="G26" s="1658">
        <v>1505</v>
      </c>
      <c r="H26" s="1658">
        <v>45760</v>
      </c>
      <c r="I26" s="1658">
        <v>69682815</v>
      </c>
      <c r="J26" s="1658">
        <v>39399257975</v>
      </c>
      <c r="K26" s="1658">
        <v>25835579</v>
      </c>
    </row>
    <row r="27" spans="1:11" x14ac:dyDescent="0.3">
      <c r="A27" s="1657">
        <v>41680</v>
      </c>
      <c r="B27" s="1658">
        <v>1505</v>
      </c>
      <c r="C27" s="1658">
        <v>-20</v>
      </c>
      <c r="D27" s="1659">
        <v>-1.31</v>
      </c>
      <c r="E27" s="1658">
        <v>1540</v>
      </c>
      <c r="F27" s="1658">
        <v>1540</v>
      </c>
      <c r="G27" s="1658">
        <v>1450</v>
      </c>
      <c r="H27" s="1658">
        <v>55959</v>
      </c>
      <c r="I27" s="1658">
        <v>83623625</v>
      </c>
      <c r="J27" s="1658">
        <v>38882546395</v>
      </c>
      <c r="K27" s="1658">
        <v>25835579</v>
      </c>
    </row>
    <row r="28" spans="1:11" x14ac:dyDescent="0.3">
      <c r="A28" s="1657">
        <v>41681</v>
      </c>
      <c r="B28" s="1658">
        <v>1505</v>
      </c>
      <c r="C28" s="1658">
        <v>0</v>
      </c>
      <c r="D28" s="1659">
        <v>0</v>
      </c>
      <c r="E28" s="1658">
        <v>1505</v>
      </c>
      <c r="F28" s="1658">
        <v>1520</v>
      </c>
      <c r="G28" s="1658">
        <v>1465</v>
      </c>
      <c r="H28" s="1658">
        <v>52850</v>
      </c>
      <c r="I28" s="1658">
        <v>78597125</v>
      </c>
      <c r="J28" s="1658">
        <v>38882546395</v>
      </c>
      <c r="K28" s="1658">
        <v>25835579</v>
      </c>
    </row>
    <row r="29" spans="1:11" x14ac:dyDescent="0.3">
      <c r="A29" s="1657">
        <v>41682</v>
      </c>
      <c r="B29" s="1658">
        <v>1500</v>
      </c>
      <c r="C29" s="1658">
        <v>-5</v>
      </c>
      <c r="D29" s="1659">
        <v>-0.33</v>
      </c>
      <c r="E29" s="1658">
        <v>1505</v>
      </c>
      <c r="F29" s="1658">
        <v>1510</v>
      </c>
      <c r="G29" s="1658">
        <v>1470</v>
      </c>
      <c r="H29" s="1658">
        <v>49927</v>
      </c>
      <c r="I29" s="1658">
        <v>74523145</v>
      </c>
      <c r="J29" s="1658">
        <v>38753368500</v>
      </c>
      <c r="K29" s="1658">
        <v>25835579</v>
      </c>
    </row>
    <row r="30" spans="1:11" x14ac:dyDescent="0.3">
      <c r="A30" s="1657">
        <v>41683</v>
      </c>
      <c r="B30" s="1658">
        <v>1500</v>
      </c>
      <c r="C30" s="1658">
        <v>0</v>
      </c>
      <c r="D30" s="1659">
        <v>0</v>
      </c>
      <c r="E30" s="1658">
        <v>1500</v>
      </c>
      <c r="F30" s="1658">
        <v>1505</v>
      </c>
      <c r="G30" s="1658">
        <v>1480</v>
      </c>
      <c r="H30" s="1658">
        <v>18232</v>
      </c>
      <c r="I30" s="1658">
        <v>27100935</v>
      </c>
      <c r="J30" s="1658">
        <v>38753368500</v>
      </c>
      <c r="K30" s="1658">
        <v>25835579</v>
      </c>
    </row>
    <row r="31" spans="1:11" x14ac:dyDescent="0.3">
      <c r="A31" s="1657">
        <v>41684</v>
      </c>
      <c r="B31" s="1658">
        <v>1500</v>
      </c>
      <c r="C31" s="1658">
        <v>0</v>
      </c>
      <c r="D31" s="1659">
        <v>0</v>
      </c>
      <c r="E31" s="1658">
        <v>1500</v>
      </c>
      <c r="F31" s="1658">
        <v>1505</v>
      </c>
      <c r="G31" s="1658">
        <v>1490</v>
      </c>
      <c r="H31" s="1658">
        <v>16306</v>
      </c>
      <c r="I31" s="1658">
        <v>24380260</v>
      </c>
      <c r="J31" s="1658">
        <v>38753368500</v>
      </c>
      <c r="K31" s="1658">
        <v>25835579</v>
      </c>
    </row>
    <row r="32" spans="1:11" x14ac:dyDescent="0.3">
      <c r="A32" s="1657">
        <v>41687</v>
      </c>
      <c r="B32" s="1658">
        <v>1490</v>
      </c>
      <c r="C32" s="1658">
        <v>-10</v>
      </c>
      <c r="D32" s="1659">
        <v>-0.67</v>
      </c>
      <c r="E32" s="1658">
        <v>1520</v>
      </c>
      <c r="F32" s="1658">
        <v>1520</v>
      </c>
      <c r="G32" s="1658">
        <v>1480</v>
      </c>
      <c r="H32" s="1658">
        <v>42764</v>
      </c>
      <c r="I32" s="1658">
        <v>63648845</v>
      </c>
      <c r="J32" s="1658">
        <v>38495012710</v>
      </c>
      <c r="K32" s="1658">
        <v>25835579</v>
      </c>
    </row>
    <row r="33" spans="1:11" x14ac:dyDescent="0.3">
      <c r="A33" s="1657">
        <v>41688</v>
      </c>
      <c r="B33" s="1658">
        <v>1490</v>
      </c>
      <c r="C33" s="1658">
        <v>0</v>
      </c>
      <c r="D33" s="1659">
        <v>0</v>
      </c>
      <c r="E33" s="1658">
        <v>1480</v>
      </c>
      <c r="F33" s="1658">
        <v>1500</v>
      </c>
      <c r="G33" s="1658">
        <v>1475</v>
      </c>
      <c r="H33" s="1658">
        <v>38420</v>
      </c>
      <c r="I33" s="1658">
        <v>57052690</v>
      </c>
      <c r="J33" s="1658">
        <v>38495012710</v>
      </c>
      <c r="K33" s="1658">
        <v>25835579</v>
      </c>
    </row>
    <row r="34" spans="1:11" x14ac:dyDescent="0.3">
      <c r="A34" s="1657">
        <v>41689</v>
      </c>
      <c r="B34" s="1658">
        <v>1470</v>
      </c>
      <c r="C34" s="1658">
        <v>-20</v>
      </c>
      <c r="D34" s="1659">
        <v>-1.34</v>
      </c>
      <c r="E34" s="1658">
        <v>1475</v>
      </c>
      <c r="F34" s="1658">
        <v>1490</v>
      </c>
      <c r="G34" s="1658">
        <v>1455</v>
      </c>
      <c r="H34" s="1658">
        <v>73459</v>
      </c>
      <c r="I34" s="1658">
        <v>108176495</v>
      </c>
      <c r="J34" s="1658">
        <v>37978301130</v>
      </c>
      <c r="K34" s="1658">
        <v>25835579</v>
      </c>
    </row>
    <row r="35" spans="1:11" x14ac:dyDescent="0.3">
      <c r="A35" s="1657">
        <v>41690</v>
      </c>
      <c r="B35" s="1658">
        <v>1485</v>
      </c>
      <c r="C35" s="1658">
        <v>15</v>
      </c>
      <c r="D35" s="1659">
        <v>1.02</v>
      </c>
      <c r="E35" s="1658">
        <v>1480</v>
      </c>
      <c r="F35" s="1658">
        <v>1490</v>
      </c>
      <c r="G35" s="1658">
        <v>1460</v>
      </c>
      <c r="H35" s="1658">
        <v>34808</v>
      </c>
      <c r="I35" s="1658">
        <v>51314625</v>
      </c>
      <c r="J35" s="1658">
        <v>38365834815</v>
      </c>
      <c r="K35" s="1658">
        <v>25835579</v>
      </c>
    </row>
    <row r="36" spans="1:11" x14ac:dyDescent="0.3">
      <c r="A36" s="1657">
        <v>41691</v>
      </c>
      <c r="B36" s="1658">
        <v>1485</v>
      </c>
      <c r="C36" s="1658">
        <v>0</v>
      </c>
      <c r="D36" s="1659">
        <v>0</v>
      </c>
      <c r="E36" s="1658">
        <v>1490</v>
      </c>
      <c r="F36" s="1658">
        <v>1515</v>
      </c>
      <c r="G36" s="1658">
        <v>1470</v>
      </c>
      <c r="H36" s="1658">
        <v>17725</v>
      </c>
      <c r="I36" s="1658">
        <v>26400755</v>
      </c>
      <c r="J36" s="1658">
        <v>38365834815</v>
      </c>
      <c r="K36" s="1658">
        <v>25835579</v>
      </c>
    </row>
    <row r="37" spans="1:11" x14ac:dyDescent="0.3">
      <c r="A37" s="1657">
        <v>41694</v>
      </c>
      <c r="B37" s="1658">
        <v>1485</v>
      </c>
      <c r="C37" s="1658">
        <v>0</v>
      </c>
      <c r="D37" s="1659">
        <v>0</v>
      </c>
      <c r="E37" s="1658">
        <v>1500</v>
      </c>
      <c r="F37" s="1658">
        <v>1500</v>
      </c>
      <c r="G37" s="1658">
        <v>1475</v>
      </c>
      <c r="H37" s="1658">
        <v>45193</v>
      </c>
      <c r="I37" s="1658">
        <v>67009475</v>
      </c>
      <c r="J37" s="1658">
        <v>38365834815</v>
      </c>
      <c r="K37" s="1658">
        <v>25835579</v>
      </c>
    </row>
    <row r="38" spans="1:11" x14ac:dyDescent="0.3">
      <c r="A38" s="1657">
        <v>41695</v>
      </c>
      <c r="B38" s="1658">
        <v>1495</v>
      </c>
      <c r="C38" s="1658">
        <v>10</v>
      </c>
      <c r="D38" s="1659">
        <v>0.67</v>
      </c>
      <c r="E38" s="1658">
        <v>1485</v>
      </c>
      <c r="F38" s="1658">
        <v>1520</v>
      </c>
      <c r="G38" s="1658">
        <v>1475</v>
      </c>
      <c r="H38" s="1658">
        <v>23719</v>
      </c>
      <c r="I38" s="1658">
        <v>35313120</v>
      </c>
      <c r="J38" s="1658">
        <v>38624190605</v>
      </c>
      <c r="K38" s="1658">
        <v>25835579</v>
      </c>
    </row>
    <row r="39" spans="1:11" x14ac:dyDescent="0.3">
      <c r="A39" s="1657">
        <v>41696</v>
      </c>
      <c r="B39" s="1658">
        <v>1475</v>
      </c>
      <c r="C39" s="1658">
        <v>-20</v>
      </c>
      <c r="D39" s="1659">
        <v>-1.34</v>
      </c>
      <c r="E39" s="1658">
        <v>1500</v>
      </c>
      <c r="F39" s="1658">
        <v>1505</v>
      </c>
      <c r="G39" s="1658">
        <v>1465</v>
      </c>
      <c r="H39" s="1658">
        <v>129628</v>
      </c>
      <c r="I39" s="1658">
        <v>193146985</v>
      </c>
      <c r="J39" s="1658">
        <v>38107479025</v>
      </c>
      <c r="K39" s="1658">
        <v>25835579</v>
      </c>
    </row>
    <row r="40" spans="1:11" x14ac:dyDescent="0.3">
      <c r="A40" s="1657">
        <v>41697</v>
      </c>
      <c r="B40" s="1658">
        <v>1470</v>
      </c>
      <c r="C40" s="1658">
        <v>-5</v>
      </c>
      <c r="D40" s="1659">
        <v>-0.34</v>
      </c>
      <c r="E40" s="1658">
        <v>1485</v>
      </c>
      <c r="F40" s="1658">
        <v>1490</v>
      </c>
      <c r="G40" s="1658">
        <v>1440</v>
      </c>
      <c r="H40" s="1658">
        <v>115941</v>
      </c>
      <c r="I40" s="1658">
        <v>169213765</v>
      </c>
      <c r="J40" s="1658">
        <v>37978301130</v>
      </c>
      <c r="K40" s="1658">
        <v>25835579</v>
      </c>
    </row>
    <row r="41" spans="1:11" x14ac:dyDescent="0.3">
      <c r="A41" s="1657">
        <v>41698</v>
      </c>
      <c r="B41" s="1658">
        <v>1490</v>
      </c>
      <c r="C41" s="1658">
        <v>20</v>
      </c>
      <c r="D41" s="1659">
        <v>1.36</v>
      </c>
      <c r="E41" s="1658">
        <v>1470</v>
      </c>
      <c r="F41" s="1658">
        <v>1515</v>
      </c>
      <c r="G41" s="1658">
        <v>1390</v>
      </c>
      <c r="H41" s="1658">
        <v>337427</v>
      </c>
      <c r="I41" s="1658">
        <v>494204100</v>
      </c>
      <c r="J41" s="1658">
        <v>38495012710</v>
      </c>
      <c r="K41" s="1658">
        <v>25835579</v>
      </c>
    </row>
    <row r="42" spans="1:11" x14ac:dyDescent="0.3">
      <c r="A42" s="1657">
        <v>41701</v>
      </c>
      <c r="B42" s="1658">
        <v>1490</v>
      </c>
      <c r="C42" s="1658">
        <v>0</v>
      </c>
      <c r="D42" s="1659">
        <v>0</v>
      </c>
      <c r="E42" s="1658">
        <v>1505</v>
      </c>
      <c r="F42" s="1658">
        <v>1505</v>
      </c>
      <c r="G42" s="1658">
        <v>1440</v>
      </c>
      <c r="H42" s="1658">
        <v>84889</v>
      </c>
      <c r="I42" s="1658">
        <v>124334400</v>
      </c>
      <c r="J42" s="1658">
        <v>38495012710</v>
      </c>
      <c r="K42" s="1658">
        <v>25835579</v>
      </c>
    </row>
    <row r="43" spans="1:11" x14ac:dyDescent="0.3">
      <c r="A43" s="1657">
        <v>41702</v>
      </c>
      <c r="B43" s="1658">
        <v>1480</v>
      </c>
      <c r="C43" s="1658">
        <v>-10</v>
      </c>
      <c r="D43" s="1659">
        <v>-0.67</v>
      </c>
      <c r="E43" s="1658">
        <v>1485</v>
      </c>
      <c r="F43" s="1658">
        <v>1505</v>
      </c>
      <c r="G43" s="1658">
        <v>1465</v>
      </c>
      <c r="H43" s="1658">
        <v>89390</v>
      </c>
      <c r="I43" s="1658">
        <v>132244745</v>
      </c>
      <c r="J43" s="1658">
        <v>38236656920</v>
      </c>
      <c r="K43" s="1658">
        <v>25835579</v>
      </c>
    </row>
    <row r="44" spans="1:11" x14ac:dyDescent="0.3">
      <c r="A44" s="1657">
        <v>41703</v>
      </c>
      <c r="B44" s="1658">
        <v>1485</v>
      </c>
      <c r="C44" s="1658">
        <v>5</v>
      </c>
      <c r="D44" s="1659">
        <v>0.34</v>
      </c>
      <c r="E44" s="1658">
        <v>1475</v>
      </c>
      <c r="F44" s="1658">
        <v>1495</v>
      </c>
      <c r="G44" s="1658">
        <v>1460</v>
      </c>
      <c r="H44" s="1658">
        <v>67966</v>
      </c>
      <c r="I44" s="1658">
        <v>100851490</v>
      </c>
      <c r="J44" s="1658">
        <v>38365834815</v>
      </c>
      <c r="K44" s="1658">
        <v>25835579</v>
      </c>
    </row>
    <row r="45" spans="1:11" x14ac:dyDescent="0.3">
      <c r="A45" s="1657">
        <v>41704</v>
      </c>
      <c r="B45" s="1658">
        <v>1490</v>
      </c>
      <c r="C45" s="1658">
        <v>5</v>
      </c>
      <c r="D45" s="1659">
        <v>0.34</v>
      </c>
      <c r="E45" s="1658">
        <v>1485</v>
      </c>
      <c r="F45" s="1658">
        <v>1500</v>
      </c>
      <c r="G45" s="1658">
        <v>1480</v>
      </c>
      <c r="H45" s="1658">
        <v>37470</v>
      </c>
      <c r="I45" s="1658">
        <v>55819590</v>
      </c>
      <c r="J45" s="1658">
        <v>38495012710</v>
      </c>
      <c r="K45" s="1658">
        <v>25835579</v>
      </c>
    </row>
    <row r="46" spans="1:11" x14ac:dyDescent="0.3">
      <c r="A46" s="1657">
        <v>41705</v>
      </c>
      <c r="B46" s="1658">
        <v>1540</v>
      </c>
      <c r="C46" s="1658">
        <v>50</v>
      </c>
      <c r="D46" s="1659">
        <v>3.36</v>
      </c>
      <c r="E46" s="1658">
        <v>1500</v>
      </c>
      <c r="F46" s="1658">
        <v>1555</v>
      </c>
      <c r="G46" s="1658">
        <v>1495</v>
      </c>
      <c r="H46" s="1658">
        <v>151377</v>
      </c>
      <c r="I46" s="1658">
        <v>231096610</v>
      </c>
      <c r="J46" s="1658">
        <v>39786791660</v>
      </c>
      <c r="K46" s="1658">
        <v>25835579</v>
      </c>
    </row>
    <row r="47" spans="1:11" x14ac:dyDescent="0.3">
      <c r="A47" s="1657">
        <v>41708</v>
      </c>
      <c r="B47" s="1658">
        <v>1545</v>
      </c>
      <c r="C47" s="1658">
        <v>5</v>
      </c>
      <c r="D47" s="1659">
        <v>0.32</v>
      </c>
      <c r="E47" s="1658">
        <v>1575</v>
      </c>
      <c r="F47" s="1658">
        <v>1575</v>
      </c>
      <c r="G47" s="1658">
        <v>1530</v>
      </c>
      <c r="H47" s="1658">
        <v>108202</v>
      </c>
      <c r="I47" s="1658">
        <v>167696465</v>
      </c>
      <c r="J47" s="1658">
        <v>39915969555</v>
      </c>
      <c r="K47" s="1658">
        <v>25835579</v>
      </c>
    </row>
    <row r="48" spans="1:11" x14ac:dyDescent="0.3">
      <c r="A48" s="1657">
        <v>41709</v>
      </c>
      <c r="B48" s="1658">
        <v>1775</v>
      </c>
      <c r="C48" s="1658">
        <v>230</v>
      </c>
      <c r="D48" s="1659">
        <v>14.89</v>
      </c>
      <c r="E48" s="1658">
        <v>1595</v>
      </c>
      <c r="F48" s="1658">
        <v>1775</v>
      </c>
      <c r="G48" s="1658">
        <v>1590</v>
      </c>
      <c r="H48" s="1658">
        <v>402747</v>
      </c>
      <c r="I48" s="1658">
        <v>700355630</v>
      </c>
      <c r="J48" s="1658">
        <v>45858152725</v>
      </c>
      <c r="K48" s="1658">
        <v>25835579</v>
      </c>
    </row>
    <row r="49" spans="1:11" x14ac:dyDescent="0.3">
      <c r="A49" s="1657">
        <v>41710</v>
      </c>
      <c r="B49" s="1658">
        <v>1665</v>
      </c>
      <c r="C49" s="1658">
        <v>-110</v>
      </c>
      <c r="D49" s="1659">
        <v>-6.2</v>
      </c>
      <c r="E49" s="1658">
        <v>2040</v>
      </c>
      <c r="F49" s="1658">
        <v>2040</v>
      </c>
      <c r="G49" s="1658">
        <v>1665</v>
      </c>
      <c r="H49" s="1658">
        <v>3402162</v>
      </c>
      <c r="I49" s="1658">
        <v>6474239970</v>
      </c>
      <c r="J49" s="1658">
        <v>43016239035</v>
      </c>
      <c r="K49" s="1658">
        <v>25835579</v>
      </c>
    </row>
    <row r="50" spans="1:11" x14ac:dyDescent="0.3">
      <c r="A50" s="1657">
        <v>41711</v>
      </c>
      <c r="B50" s="1658">
        <v>1815</v>
      </c>
      <c r="C50" s="1658">
        <v>150</v>
      </c>
      <c r="D50" s="1659">
        <v>9.01</v>
      </c>
      <c r="E50" s="1658">
        <v>1695</v>
      </c>
      <c r="F50" s="1658">
        <v>1895</v>
      </c>
      <c r="G50" s="1658">
        <v>1675</v>
      </c>
      <c r="H50" s="1658">
        <v>1619841</v>
      </c>
      <c r="I50" s="1658">
        <v>2942889065</v>
      </c>
      <c r="J50" s="1658">
        <v>46891575885</v>
      </c>
      <c r="K50" s="1658">
        <v>25835579</v>
      </c>
    </row>
    <row r="51" spans="1:11" x14ac:dyDescent="0.3">
      <c r="A51" s="1657">
        <v>41712</v>
      </c>
      <c r="B51" s="1658">
        <v>1895</v>
      </c>
      <c r="C51" s="1658">
        <v>80</v>
      </c>
      <c r="D51" s="1659">
        <v>4.41</v>
      </c>
      <c r="E51" s="1658">
        <v>1820</v>
      </c>
      <c r="F51" s="1658">
        <v>1950</v>
      </c>
      <c r="G51" s="1658">
        <v>1770</v>
      </c>
      <c r="H51" s="1658">
        <v>669768</v>
      </c>
      <c r="I51" s="1658">
        <v>1248687550</v>
      </c>
      <c r="J51" s="1658">
        <v>48958422205</v>
      </c>
      <c r="K51" s="1658">
        <v>25835579</v>
      </c>
    </row>
    <row r="52" spans="1:11" x14ac:dyDescent="0.3">
      <c r="A52" s="1657">
        <v>41715</v>
      </c>
      <c r="B52" s="1658">
        <v>1900</v>
      </c>
      <c r="C52" s="1658">
        <v>5</v>
      </c>
      <c r="D52" s="1659">
        <v>0.26</v>
      </c>
      <c r="E52" s="1658">
        <v>1870</v>
      </c>
      <c r="F52" s="1658">
        <v>1905</v>
      </c>
      <c r="G52" s="1658">
        <v>1840</v>
      </c>
      <c r="H52" s="1658">
        <v>298308</v>
      </c>
      <c r="I52" s="1658">
        <v>559655750</v>
      </c>
      <c r="J52" s="1658">
        <v>49087600100</v>
      </c>
      <c r="K52" s="1658">
        <v>25835579</v>
      </c>
    </row>
    <row r="53" spans="1:11" x14ac:dyDescent="0.3">
      <c r="A53" s="1657">
        <v>41716</v>
      </c>
      <c r="B53" s="1658">
        <v>2185</v>
      </c>
      <c r="C53" s="1658">
        <v>285</v>
      </c>
      <c r="D53" s="1659">
        <v>15</v>
      </c>
      <c r="E53" s="1658">
        <v>1900</v>
      </c>
      <c r="F53" s="1658">
        <v>2185</v>
      </c>
      <c r="G53" s="1658">
        <v>1850</v>
      </c>
      <c r="H53" s="1658">
        <v>1076646</v>
      </c>
      <c r="I53" s="1658">
        <v>2250567475</v>
      </c>
      <c r="J53" s="1658">
        <v>56450740115</v>
      </c>
      <c r="K53" s="1658">
        <v>25835579</v>
      </c>
    </row>
    <row r="54" spans="1:11" x14ac:dyDescent="0.3">
      <c r="A54" s="1657">
        <v>41717</v>
      </c>
      <c r="B54" s="1658">
        <v>1945</v>
      </c>
      <c r="C54" s="1658">
        <v>-240</v>
      </c>
      <c r="D54" s="1659">
        <v>-10.98</v>
      </c>
      <c r="E54" s="1658">
        <v>2510</v>
      </c>
      <c r="F54" s="1658">
        <v>2510</v>
      </c>
      <c r="G54" s="1658">
        <v>1920</v>
      </c>
      <c r="H54" s="1658">
        <v>4667009</v>
      </c>
      <c r="I54" s="1658">
        <v>9977032075</v>
      </c>
      <c r="J54" s="1658">
        <v>50250201155</v>
      </c>
      <c r="K54" s="1658">
        <v>25835579</v>
      </c>
    </row>
    <row r="55" spans="1:11" x14ac:dyDescent="0.3">
      <c r="A55" s="1657">
        <v>41718</v>
      </c>
      <c r="B55" s="1658">
        <v>1840</v>
      </c>
      <c r="C55" s="1658">
        <v>-105</v>
      </c>
      <c r="D55" s="1659">
        <v>-5.4</v>
      </c>
      <c r="E55" s="1658">
        <v>1995</v>
      </c>
      <c r="F55" s="1658">
        <v>2000</v>
      </c>
      <c r="G55" s="1658">
        <v>1820</v>
      </c>
      <c r="H55" s="1658">
        <v>868162</v>
      </c>
      <c r="I55" s="1658">
        <v>1645336375</v>
      </c>
      <c r="J55" s="1658">
        <v>47537465360</v>
      </c>
      <c r="K55" s="1658">
        <v>25835579</v>
      </c>
    </row>
    <row r="56" spans="1:11" x14ac:dyDescent="0.3">
      <c r="A56" s="1657">
        <v>41719</v>
      </c>
      <c r="B56" s="1658">
        <v>1835</v>
      </c>
      <c r="C56" s="1658">
        <v>-5</v>
      </c>
      <c r="D56" s="1659">
        <v>-0.27</v>
      </c>
      <c r="E56" s="1658">
        <v>1865</v>
      </c>
      <c r="F56" s="1658">
        <v>1880</v>
      </c>
      <c r="G56" s="1658">
        <v>1800</v>
      </c>
      <c r="H56" s="1658">
        <v>378862</v>
      </c>
      <c r="I56" s="1658">
        <v>695117920</v>
      </c>
      <c r="J56" s="1658">
        <v>47408287465</v>
      </c>
      <c r="K56" s="1658">
        <v>25835579</v>
      </c>
    </row>
    <row r="57" spans="1:11" x14ac:dyDescent="0.3">
      <c r="A57" s="1657">
        <v>41722</v>
      </c>
      <c r="B57" s="1658">
        <v>1775</v>
      </c>
      <c r="C57" s="1658">
        <v>-60</v>
      </c>
      <c r="D57" s="1659">
        <v>-3.27</v>
      </c>
      <c r="E57" s="1658">
        <v>1840</v>
      </c>
      <c r="F57" s="1658">
        <v>1880</v>
      </c>
      <c r="G57" s="1658">
        <v>1760</v>
      </c>
      <c r="H57" s="1658">
        <v>271377</v>
      </c>
      <c r="I57" s="1658">
        <v>490802940</v>
      </c>
      <c r="J57" s="1658">
        <v>45858152725</v>
      </c>
      <c r="K57" s="1658">
        <v>25835579</v>
      </c>
    </row>
    <row r="58" spans="1:11" x14ac:dyDescent="0.3">
      <c r="A58" s="1657">
        <v>41723</v>
      </c>
      <c r="B58" s="1658">
        <v>1755</v>
      </c>
      <c r="C58" s="1658">
        <v>-20</v>
      </c>
      <c r="D58" s="1659">
        <v>-1.1299999999999999</v>
      </c>
      <c r="E58" s="1658">
        <v>1795</v>
      </c>
      <c r="F58" s="1658">
        <v>1800</v>
      </c>
      <c r="G58" s="1658">
        <v>1745</v>
      </c>
      <c r="H58" s="1658">
        <v>136304</v>
      </c>
      <c r="I58" s="1658">
        <v>240913300</v>
      </c>
      <c r="J58" s="1658">
        <v>45341441145</v>
      </c>
      <c r="K58" s="1658">
        <v>25835579</v>
      </c>
    </row>
    <row r="59" spans="1:11" x14ac:dyDescent="0.3">
      <c r="A59" s="1657">
        <v>41724</v>
      </c>
      <c r="B59" s="1658">
        <v>1770</v>
      </c>
      <c r="C59" s="1658">
        <v>15</v>
      </c>
      <c r="D59" s="1659">
        <v>0.85</v>
      </c>
      <c r="E59" s="1658">
        <v>1770</v>
      </c>
      <c r="F59" s="1658">
        <v>1795</v>
      </c>
      <c r="G59" s="1658">
        <v>1725</v>
      </c>
      <c r="H59" s="1658">
        <v>134096</v>
      </c>
      <c r="I59" s="1658">
        <v>235775150</v>
      </c>
      <c r="J59" s="1658">
        <v>45728974830</v>
      </c>
      <c r="K59" s="1658">
        <v>25835579</v>
      </c>
    </row>
    <row r="60" spans="1:11" x14ac:dyDescent="0.3">
      <c r="A60" s="1657">
        <v>41725</v>
      </c>
      <c r="B60" s="1658">
        <v>1795</v>
      </c>
      <c r="C60" s="1658">
        <v>25</v>
      </c>
      <c r="D60" s="1659">
        <v>1.41</v>
      </c>
      <c r="E60" s="1658">
        <v>1770</v>
      </c>
      <c r="F60" s="1658">
        <v>1860</v>
      </c>
      <c r="G60" s="1658">
        <v>1765</v>
      </c>
      <c r="H60" s="1658">
        <v>338930</v>
      </c>
      <c r="I60" s="1658">
        <v>616182790</v>
      </c>
      <c r="J60" s="1658">
        <v>46374864305</v>
      </c>
      <c r="K60" s="1658">
        <v>25835579</v>
      </c>
    </row>
    <row r="61" spans="1:11" x14ac:dyDescent="0.3">
      <c r="A61" s="1657">
        <v>41726</v>
      </c>
      <c r="B61" s="1658">
        <v>1810</v>
      </c>
      <c r="C61" s="1658">
        <v>15</v>
      </c>
      <c r="D61" s="1659">
        <v>0.84</v>
      </c>
      <c r="E61" s="1658">
        <v>1770</v>
      </c>
      <c r="F61" s="1658">
        <v>1830</v>
      </c>
      <c r="G61" s="1658">
        <v>1770</v>
      </c>
      <c r="H61" s="1658">
        <v>178602</v>
      </c>
      <c r="I61" s="1658">
        <v>322088860</v>
      </c>
      <c r="J61" s="1658">
        <v>46762397990</v>
      </c>
      <c r="K61" s="1658">
        <v>25835579</v>
      </c>
    </row>
    <row r="62" spans="1:11" x14ac:dyDescent="0.3">
      <c r="A62" s="1657">
        <v>41729</v>
      </c>
      <c r="B62" s="1658">
        <v>1705</v>
      </c>
      <c r="C62" s="1658">
        <v>-105</v>
      </c>
      <c r="D62" s="1659">
        <v>-5.8</v>
      </c>
      <c r="E62" s="1658">
        <v>1820</v>
      </c>
      <c r="F62" s="1658">
        <v>1820</v>
      </c>
      <c r="G62" s="1658">
        <v>1705</v>
      </c>
      <c r="H62" s="1658">
        <v>197939</v>
      </c>
      <c r="I62" s="1658">
        <v>344780015</v>
      </c>
      <c r="J62" s="1658">
        <v>44049662195</v>
      </c>
      <c r="K62" s="1658">
        <v>25835579</v>
      </c>
    </row>
    <row r="63" spans="1:11" x14ac:dyDescent="0.3">
      <c r="A63" s="1657">
        <v>41730</v>
      </c>
      <c r="B63" s="1658">
        <v>1785</v>
      </c>
      <c r="C63" s="1658">
        <v>80</v>
      </c>
      <c r="D63" s="1659">
        <v>4.6900000000000004</v>
      </c>
      <c r="E63" s="1658">
        <v>1695</v>
      </c>
      <c r="F63" s="1658">
        <v>1840</v>
      </c>
      <c r="G63" s="1658">
        <v>1695</v>
      </c>
      <c r="H63" s="1658">
        <v>274529</v>
      </c>
      <c r="I63" s="1658">
        <v>487881715</v>
      </c>
      <c r="J63" s="1658">
        <v>46116508515</v>
      </c>
      <c r="K63" s="1658">
        <v>25835579</v>
      </c>
    </row>
    <row r="64" spans="1:11" x14ac:dyDescent="0.3">
      <c r="A64" s="1657">
        <v>41731</v>
      </c>
      <c r="B64" s="1658">
        <v>1845</v>
      </c>
      <c r="C64" s="1658">
        <v>60</v>
      </c>
      <c r="D64" s="1659">
        <v>3.36</v>
      </c>
      <c r="E64" s="1658">
        <v>1820</v>
      </c>
      <c r="F64" s="1658">
        <v>1920</v>
      </c>
      <c r="G64" s="1658">
        <v>1815</v>
      </c>
      <c r="H64" s="1658">
        <v>802260</v>
      </c>
      <c r="I64" s="1658">
        <v>1506342175</v>
      </c>
      <c r="J64" s="1658">
        <v>47666643255</v>
      </c>
      <c r="K64" s="1658">
        <v>25835579</v>
      </c>
    </row>
    <row r="65" spans="1:11" x14ac:dyDescent="0.3">
      <c r="A65" s="1657">
        <v>41732</v>
      </c>
      <c r="B65" s="1658">
        <v>1775</v>
      </c>
      <c r="C65" s="1658">
        <v>-70</v>
      </c>
      <c r="D65" s="1659">
        <v>-3.79</v>
      </c>
      <c r="E65" s="1658">
        <v>1820</v>
      </c>
      <c r="F65" s="1658">
        <v>1850</v>
      </c>
      <c r="G65" s="1658">
        <v>1765</v>
      </c>
      <c r="H65" s="1658">
        <v>231376</v>
      </c>
      <c r="I65" s="1658">
        <v>416555710</v>
      </c>
      <c r="J65" s="1658">
        <v>45858152725</v>
      </c>
      <c r="K65" s="1658">
        <v>25835579</v>
      </c>
    </row>
    <row r="66" spans="1:11" x14ac:dyDescent="0.3">
      <c r="A66" s="1657">
        <v>41733</v>
      </c>
      <c r="B66" s="1658">
        <v>1795</v>
      </c>
      <c r="C66" s="1658">
        <v>20</v>
      </c>
      <c r="D66" s="1659">
        <v>1.1299999999999999</v>
      </c>
      <c r="E66" s="1658">
        <v>1765</v>
      </c>
      <c r="F66" s="1658">
        <v>1805</v>
      </c>
      <c r="G66" s="1658">
        <v>1740</v>
      </c>
      <c r="H66" s="1658">
        <v>121898</v>
      </c>
      <c r="I66" s="1658">
        <v>215806220</v>
      </c>
      <c r="J66" s="1658">
        <v>46374864305</v>
      </c>
      <c r="K66" s="1658">
        <v>25835579</v>
      </c>
    </row>
    <row r="67" spans="1:11" x14ac:dyDescent="0.3">
      <c r="A67" s="1657">
        <v>41736</v>
      </c>
      <c r="B67" s="1658">
        <v>1920</v>
      </c>
      <c r="C67" s="1658">
        <v>125</v>
      </c>
      <c r="D67" s="1659">
        <v>6.96</v>
      </c>
      <c r="E67" s="1658">
        <v>1800</v>
      </c>
      <c r="F67" s="1658">
        <v>1960</v>
      </c>
      <c r="G67" s="1658">
        <v>1755</v>
      </c>
      <c r="H67" s="1658">
        <v>633652</v>
      </c>
      <c r="I67" s="1658">
        <v>1179415185</v>
      </c>
      <c r="J67" s="1658">
        <v>49604311680</v>
      </c>
      <c r="K67" s="1658">
        <v>25835579</v>
      </c>
    </row>
    <row r="68" spans="1:11" x14ac:dyDescent="0.3">
      <c r="A68" s="1657">
        <v>41737</v>
      </c>
      <c r="B68" s="1658">
        <v>1800</v>
      </c>
      <c r="C68" s="1658">
        <v>-120</v>
      </c>
      <c r="D68" s="1659">
        <v>-6.25</v>
      </c>
      <c r="E68" s="1658">
        <v>1980</v>
      </c>
      <c r="F68" s="1658">
        <v>2060</v>
      </c>
      <c r="G68" s="1658">
        <v>1760</v>
      </c>
      <c r="H68" s="1658">
        <v>1217806</v>
      </c>
      <c r="I68" s="1658">
        <v>2308548010</v>
      </c>
      <c r="J68" s="1658">
        <v>46504042200</v>
      </c>
      <c r="K68" s="1658">
        <v>25835579</v>
      </c>
    </row>
    <row r="69" spans="1:11" x14ac:dyDescent="0.3">
      <c r="A69" s="1657">
        <v>41738</v>
      </c>
      <c r="B69" s="1658">
        <v>1920</v>
      </c>
      <c r="C69" s="1658">
        <v>120</v>
      </c>
      <c r="D69" s="1659">
        <v>6.67</v>
      </c>
      <c r="E69" s="1658">
        <v>1825</v>
      </c>
      <c r="F69" s="1658">
        <v>1980</v>
      </c>
      <c r="G69" s="1658">
        <v>1780</v>
      </c>
      <c r="H69" s="1658">
        <v>739224</v>
      </c>
      <c r="I69" s="1658">
        <v>1403367065</v>
      </c>
      <c r="J69" s="1658">
        <v>49604311680</v>
      </c>
      <c r="K69" s="1658">
        <v>25835579</v>
      </c>
    </row>
    <row r="70" spans="1:11" x14ac:dyDescent="0.3">
      <c r="A70" s="1657">
        <v>41739</v>
      </c>
      <c r="B70" s="1658">
        <v>2015</v>
      </c>
      <c r="C70" s="1658">
        <v>95</v>
      </c>
      <c r="D70" s="1659">
        <v>4.95</v>
      </c>
      <c r="E70" s="1658">
        <v>1950</v>
      </c>
      <c r="F70" s="1658">
        <v>2080</v>
      </c>
      <c r="G70" s="1658">
        <v>1885</v>
      </c>
      <c r="H70" s="1658">
        <v>966350</v>
      </c>
      <c r="I70" s="1658">
        <v>1892579560</v>
      </c>
      <c r="J70" s="1658">
        <v>52058691685</v>
      </c>
      <c r="K70" s="1658">
        <v>25835579</v>
      </c>
    </row>
    <row r="71" spans="1:11" x14ac:dyDescent="0.3">
      <c r="A71" s="1657">
        <v>41740</v>
      </c>
      <c r="B71" s="1658">
        <v>1910</v>
      </c>
      <c r="C71" s="1658">
        <v>-105</v>
      </c>
      <c r="D71" s="1659">
        <v>-5.21</v>
      </c>
      <c r="E71" s="1658">
        <v>1865</v>
      </c>
      <c r="F71" s="1658">
        <v>1970</v>
      </c>
      <c r="G71" s="1658">
        <v>1855</v>
      </c>
      <c r="H71" s="1658">
        <v>435647</v>
      </c>
      <c r="I71" s="1658">
        <v>833206360</v>
      </c>
      <c r="J71" s="1658">
        <v>49345955890</v>
      </c>
      <c r="K71" s="1658">
        <v>25835579</v>
      </c>
    </row>
    <row r="72" spans="1:11" x14ac:dyDescent="0.3">
      <c r="A72" s="1657">
        <v>41743</v>
      </c>
      <c r="B72" s="1658">
        <v>1950</v>
      </c>
      <c r="C72" s="1658">
        <v>40</v>
      </c>
      <c r="D72" s="1659">
        <v>2.09</v>
      </c>
      <c r="E72" s="1658">
        <v>1900</v>
      </c>
      <c r="F72" s="1658">
        <v>2030</v>
      </c>
      <c r="G72" s="1658">
        <v>1855</v>
      </c>
      <c r="H72" s="1658">
        <v>362452</v>
      </c>
      <c r="I72" s="1658">
        <v>708982760</v>
      </c>
      <c r="J72" s="1658">
        <v>50379379050</v>
      </c>
      <c r="K72" s="1658">
        <v>25835579</v>
      </c>
    </row>
    <row r="73" spans="1:11" x14ac:dyDescent="0.3">
      <c r="A73" s="1657">
        <v>41744</v>
      </c>
      <c r="B73" s="1658">
        <v>1920</v>
      </c>
      <c r="C73" s="1658">
        <v>-30</v>
      </c>
      <c r="D73" s="1659">
        <v>-1.54</v>
      </c>
      <c r="E73" s="1658">
        <v>1930</v>
      </c>
      <c r="F73" s="1658">
        <v>1960</v>
      </c>
      <c r="G73" s="1658">
        <v>1905</v>
      </c>
      <c r="H73" s="1658">
        <v>161837</v>
      </c>
      <c r="I73" s="1658">
        <v>312054855</v>
      </c>
      <c r="J73" s="1658">
        <v>49604311680</v>
      </c>
      <c r="K73" s="1658">
        <v>25835579</v>
      </c>
    </row>
    <row r="74" spans="1:11" x14ac:dyDescent="0.3">
      <c r="A74" s="1657">
        <v>41745</v>
      </c>
      <c r="B74" s="1658">
        <v>1885</v>
      </c>
      <c r="C74" s="1658">
        <v>-35</v>
      </c>
      <c r="D74" s="1659">
        <v>-1.82</v>
      </c>
      <c r="E74" s="1658">
        <v>1985</v>
      </c>
      <c r="F74" s="1658">
        <v>1985</v>
      </c>
      <c r="G74" s="1658">
        <v>1870</v>
      </c>
      <c r="H74" s="1658">
        <v>225579</v>
      </c>
      <c r="I74" s="1658">
        <v>431024460</v>
      </c>
      <c r="J74" s="1658">
        <v>48700066415</v>
      </c>
      <c r="K74" s="1658">
        <v>25835579</v>
      </c>
    </row>
    <row r="75" spans="1:11" x14ac:dyDescent="0.3">
      <c r="A75" s="1657">
        <v>41746</v>
      </c>
      <c r="B75" s="1658">
        <v>1880</v>
      </c>
      <c r="C75" s="1658">
        <v>-5</v>
      </c>
      <c r="D75" s="1659">
        <v>-0.27</v>
      </c>
      <c r="E75" s="1658">
        <v>1920</v>
      </c>
      <c r="F75" s="1658">
        <v>1930</v>
      </c>
      <c r="G75" s="1658">
        <v>1880</v>
      </c>
      <c r="H75" s="1658">
        <v>87431</v>
      </c>
      <c r="I75" s="1658">
        <v>166092255</v>
      </c>
      <c r="J75" s="1658">
        <v>48570888520</v>
      </c>
      <c r="K75" s="1658">
        <v>25835579</v>
      </c>
    </row>
    <row r="76" spans="1:11" x14ac:dyDescent="0.3">
      <c r="A76" s="1657">
        <v>41747</v>
      </c>
      <c r="B76" s="1658">
        <v>1880</v>
      </c>
      <c r="C76" s="1658">
        <v>0</v>
      </c>
      <c r="D76" s="1659">
        <v>0</v>
      </c>
      <c r="E76" s="1658">
        <v>1900</v>
      </c>
      <c r="F76" s="1658">
        <v>1900</v>
      </c>
      <c r="G76" s="1658">
        <v>1860</v>
      </c>
      <c r="H76" s="1658">
        <v>82272</v>
      </c>
      <c r="I76" s="1658">
        <v>154357080</v>
      </c>
      <c r="J76" s="1658">
        <v>48570888520</v>
      </c>
      <c r="K76" s="1658">
        <v>25835579</v>
      </c>
    </row>
    <row r="77" spans="1:11" x14ac:dyDescent="0.3">
      <c r="A77" s="1657">
        <v>41750</v>
      </c>
      <c r="B77" s="1658">
        <v>1820</v>
      </c>
      <c r="C77" s="1658">
        <v>-60</v>
      </c>
      <c r="D77" s="1659">
        <v>-3.19</v>
      </c>
      <c r="E77" s="1658">
        <v>1880</v>
      </c>
      <c r="F77" s="1658">
        <v>1900</v>
      </c>
      <c r="G77" s="1658">
        <v>1800</v>
      </c>
      <c r="H77" s="1658">
        <v>122237</v>
      </c>
      <c r="I77" s="1658">
        <v>225064900</v>
      </c>
      <c r="J77" s="1658">
        <v>47020753780</v>
      </c>
      <c r="K77" s="1658">
        <v>25835579</v>
      </c>
    </row>
    <row r="78" spans="1:11" x14ac:dyDescent="0.3">
      <c r="A78" s="1657">
        <v>41751</v>
      </c>
      <c r="B78" s="1658">
        <v>1810</v>
      </c>
      <c r="C78" s="1658">
        <v>-10</v>
      </c>
      <c r="D78" s="1659">
        <v>-0.55000000000000004</v>
      </c>
      <c r="E78" s="1658">
        <v>1810</v>
      </c>
      <c r="F78" s="1658">
        <v>1850</v>
      </c>
      <c r="G78" s="1658">
        <v>1785</v>
      </c>
      <c r="H78" s="1658">
        <v>58233</v>
      </c>
      <c r="I78" s="1658">
        <v>105808655</v>
      </c>
      <c r="J78" s="1658">
        <v>46762397990</v>
      </c>
      <c r="K78" s="1658">
        <v>25835579</v>
      </c>
    </row>
    <row r="79" spans="1:11" x14ac:dyDescent="0.3">
      <c r="A79" s="1657">
        <v>41752</v>
      </c>
      <c r="B79" s="1658">
        <v>1760</v>
      </c>
      <c r="C79" s="1658">
        <v>-50</v>
      </c>
      <c r="D79" s="1659">
        <v>-2.76</v>
      </c>
      <c r="E79" s="1658">
        <v>1810</v>
      </c>
      <c r="F79" s="1658">
        <v>1810</v>
      </c>
      <c r="G79" s="1658">
        <v>1760</v>
      </c>
      <c r="H79" s="1658">
        <v>196696</v>
      </c>
      <c r="I79" s="1658">
        <v>349270950</v>
      </c>
      <c r="J79" s="1658">
        <v>45470619040</v>
      </c>
      <c r="K79" s="1658">
        <v>25835579</v>
      </c>
    </row>
    <row r="80" spans="1:11" x14ac:dyDescent="0.3">
      <c r="A80" s="1657">
        <v>41753</v>
      </c>
      <c r="B80" s="1658">
        <v>1735</v>
      </c>
      <c r="C80" s="1658">
        <v>-25</v>
      </c>
      <c r="D80" s="1659">
        <v>-1.42</v>
      </c>
      <c r="E80" s="1658">
        <v>1755</v>
      </c>
      <c r="F80" s="1658">
        <v>1765</v>
      </c>
      <c r="G80" s="1658">
        <v>1705</v>
      </c>
      <c r="H80" s="1658">
        <v>107532</v>
      </c>
      <c r="I80" s="1658">
        <v>185992810</v>
      </c>
      <c r="J80" s="1658">
        <v>44824729565</v>
      </c>
      <c r="K80" s="1658">
        <v>25835579</v>
      </c>
    </row>
    <row r="81" spans="1:11" x14ac:dyDescent="0.3">
      <c r="A81" s="1657">
        <v>41754</v>
      </c>
      <c r="B81" s="1658">
        <v>1715</v>
      </c>
      <c r="C81" s="1658">
        <v>-20</v>
      </c>
      <c r="D81" s="1659">
        <v>-1.1499999999999999</v>
      </c>
      <c r="E81" s="1658">
        <v>1725</v>
      </c>
      <c r="F81" s="1658">
        <v>1750</v>
      </c>
      <c r="G81" s="1658">
        <v>1710</v>
      </c>
      <c r="H81" s="1658">
        <v>55256</v>
      </c>
      <c r="I81" s="1658">
        <v>95314695</v>
      </c>
      <c r="J81" s="1658">
        <v>44308017985</v>
      </c>
      <c r="K81" s="1658">
        <v>25835579</v>
      </c>
    </row>
    <row r="82" spans="1:11" x14ac:dyDescent="0.3">
      <c r="A82" s="1657">
        <v>41757</v>
      </c>
      <c r="B82" s="1658">
        <v>1780</v>
      </c>
      <c r="C82" s="1658">
        <v>65</v>
      </c>
      <c r="D82" s="1659">
        <v>3.79</v>
      </c>
      <c r="E82" s="1658">
        <v>1705</v>
      </c>
      <c r="F82" s="1658">
        <v>1790</v>
      </c>
      <c r="G82" s="1658">
        <v>1700</v>
      </c>
      <c r="H82" s="1658">
        <v>67360</v>
      </c>
      <c r="I82" s="1658">
        <v>117823660</v>
      </c>
      <c r="J82" s="1658">
        <v>45987330620</v>
      </c>
      <c r="K82" s="1658">
        <v>25835579</v>
      </c>
    </row>
    <row r="83" spans="1:11" x14ac:dyDescent="0.3">
      <c r="A83" s="1657">
        <v>41758</v>
      </c>
      <c r="B83" s="1658">
        <v>1730</v>
      </c>
      <c r="C83" s="1658">
        <v>-50</v>
      </c>
      <c r="D83" s="1659">
        <v>-2.81</v>
      </c>
      <c r="E83" s="1658">
        <v>1805</v>
      </c>
      <c r="F83" s="1658">
        <v>1805</v>
      </c>
      <c r="G83" s="1658">
        <v>1715</v>
      </c>
      <c r="H83" s="1658">
        <v>35356</v>
      </c>
      <c r="I83" s="1658">
        <v>61894385</v>
      </c>
      <c r="J83" s="1658">
        <v>44695551670</v>
      </c>
      <c r="K83" s="1658">
        <v>25835579</v>
      </c>
    </row>
    <row r="84" spans="1:11" x14ac:dyDescent="0.3">
      <c r="A84" s="1657">
        <v>41759</v>
      </c>
      <c r="B84" s="1658">
        <v>1750</v>
      </c>
      <c r="C84" s="1658">
        <v>20</v>
      </c>
      <c r="D84" s="1659">
        <v>1.1599999999999999</v>
      </c>
      <c r="E84" s="1658">
        <v>1750</v>
      </c>
      <c r="F84" s="1658">
        <v>1770</v>
      </c>
      <c r="G84" s="1658">
        <v>1725</v>
      </c>
      <c r="H84" s="1658">
        <v>32992</v>
      </c>
      <c r="I84" s="1658">
        <v>57491300</v>
      </c>
      <c r="J84" s="1658">
        <v>45212263250</v>
      </c>
      <c r="K84" s="1658">
        <v>25835579</v>
      </c>
    </row>
    <row r="85" spans="1:11" x14ac:dyDescent="0.3">
      <c r="A85" s="1657">
        <v>41761</v>
      </c>
      <c r="B85" s="1658">
        <v>1750</v>
      </c>
      <c r="C85" s="1658">
        <v>0</v>
      </c>
      <c r="D85" s="1659">
        <v>0</v>
      </c>
      <c r="E85" s="1658">
        <v>1755</v>
      </c>
      <c r="F85" s="1658">
        <v>1785</v>
      </c>
      <c r="G85" s="1658">
        <v>1745</v>
      </c>
      <c r="H85" s="1658">
        <v>26800</v>
      </c>
      <c r="I85" s="1658">
        <v>47311565</v>
      </c>
      <c r="J85" s="1658">
        <v>45212263250</v>
      </c>
      <c r="K85" s="1658">
        <v>25835579</v>
      </c>
    </row>
    <row r="86" spans="1:11" x14ac:dyDescent="0.3">
      <c r="A86" s="1657">
        <v>41766</v>
      </c>
      <c r="B86" s="1658">
        <v>1680</v>
      </c>
      <c r="C86" s="1658">
        <v>-70</v>
      </c>
      <c r="D86" s="1659">
        <v>-4</v>
      </c>
      <c r="E86" s="1658">
        <v>1750</v>
      </c>
      <c r="F86" s="1658">
        <v>1760</v>
      </c>
      <c r="G86" s="1658">
        <v>1655</v>
      </c>
      <c r="H86" s="1658">
        <v>71511</v>
      </c>
      <c r="I86" s="1658">
        <v>120909855</v>
      </c>
      <c r="J86" s="1658">
        <v>43403772720</v>
      </c>
      <c r="K86" s="1658">
        <v>25835579</v>
      </c>
    </row>
    <row r="87" spans="1:11" x14ac:dyDescent="0.3">
      <c r="A87" s="1657">
        <v>41767</v>
      </c>
      <c r="B87" s="1658">
        <v>1690</v>
      </c>
      <c r="C87" s="1658">
        <v>10</v>
      </c>
      <c r="D87" s="1659">
        <v>0.6</v>
      </c>
      <c r="E87" s="1658">
        <v>1680</v>
      </c>
      <c r="F87" s="1658">
        <v>1745</v>
      </c>
      <c r="G87" s="1658">
        <v>1665</v>
      </c>
      <c r="H87" s="1658">
        <v>31079</v>
      </c>
      <c r="I87" s="1658">
        <v>52606975</v>
      </c>
      <c r="J87" s="1658">
        <v>43662128510</v>
      </c>
      <c r="K87" s="1658">
        <v>25835579</v>
      </c>
    </row>
    <row r="88" spans="1:11" x14ac:dyDescent="0.3">
      <c r="A88" s="1657">
        <v>41768</v>
      </c>
      <c r="B88" s="1658">
        <v>1715</v>
      </c>
      <c r="C88" s="1658">
        <v>25</v>
      </c>
      <c r="D88" s="1659">
        <v>1.48</v>
      </c>
      <c r="E88" s="1658">
        <v>1700</v>
      </c>
      <c r="F88" s="1658">
        <v>1740</v>
      </c>
      <c r="G88" s="1658">
        <v>1690</v>
      </c>
      <c r="H88" s="1658">
        <v>48831</v>
      </c>
      <c r="I88" s="1658">
        <v>83463250</v>
      </c>
      <c r="J88" s="1658">
        <v>44308017985</v>
      </c>
      <c r="K88" s="1658">
        <v>25835579</v>
      </c>
    </row>
    <row r="89" spans="1:11" x14ac:dyDescent="0.3">
      <c r="A89" s="1657">
        <v>41771</v>
      </c>
      <c r="B89" s="1658">
        <v>1785</v>
      </c>
      <c r="C89" s="1658">
        <v>70</v>
      </c>
      <c r="D89" s="1659">
        <v>4.08</v>
      </c>
      <c r="E89" s="1658">
        <v>1735</v>
      </c>
      <c r="F89" s="1658">
        <v>1790</v>
      </c>
      <c r="G89" s="1658">
        <v>1680</v>
      </c>
      <c r="H89" s="1658">
        <v>103469</v>
      </c>
      <c r="I89" s="1658">
        <v>180824760</v>
      </c>
      <c r="J89" s="1658">
        <v>46116508515</v>
      </c>
      <c r="K89" s="1658">
        <v>25835579</v>
      </c>
    </row>
    <row r="90" spans="1:11" x14ac:dyDescent="0.3">
      <c r="A90" s="1657">
        <v>41772</v>
      </c>
      <c r="B90" s="1658">
        <v>1805</v>
      </c>
      <c r="C90" s="1658">
        <v>20</v>
      </c>
      <c r="D90" s="1659">
        <v>1.1200000000000001</v>
      </c>
      <c r="E90" s="1658">
        <v>1795</v>
      </c>
      <c r="F90" s="1658">
        <v>1830</v>
      </c>
      <c r="G90" s="1658">
        <v>1790</v>
      </c>
      <c r="H90" s="1658">
        <v>75090</v>
      </c>
      <c r="I90" s="1658">
        <v>135666570</v>
      </c>
      <c r="J90" s="1658">
        <v>46633220095</v>
      </c>
      <c r="K90" s="1658">
        <v>25835579</v>
      </c>
    </row>
    <row r="91" spans="1:11" x14ac:dyDescent="0.3">
      <c r="A91" s="1657">
        <v>41773</v>
      </c>
      <c r="B91" s="1658">
        <v>1785</v>
      </c>
      <c r="C91" s="1658">
        <v>-20</v>
      </c>
      <c r="D91" s="1659">
        <v>-1.1100000000000001</v>
      </c>
      <c r="E91" s="1658">
        <v>1810</v>
      </c>
      <c r="F91" s="1658">
        <v>1825</v>
      </c>
      <c r="G91" s="1658">
        <v>1780</v>
      </c>
      <c r="H91" s="1658">
        <v>23325</v>
      </c>
      <c r="I91" s="1658">
        <v>41827010</v>
      </c>
      <c r="J91" s="1658">
        <v>46116508515</v>
      </c>
      <c r="K91" s="1658">
        <v>25835579</v>
      </c>
    </row>
    <row r="92" spans="1:11" x14ac:dyDescent="0.3">
      <c r="A92" s="1657">
        <v>41774</v>
      </c>
      <c r="B92" s="1658">
        <v>1785</v>
      </c>
      <c r="C92" s="1658">
        <v>0</v>
      </c>
      <c r="D92" s="1659">
        <v>0</v>
      </c>
      <c r="E92" s="1658">
        <v>1810</v>
      </c>
      <c r="F92" s="1658">
        <v>1810</v>
      </c>
      <c r="G92" s="1658">
        <v>1750</v>
      </c>
      <c r="H92" s="1658">
        <v>57625</v>
      </c>
      <c r="I92" s="1658">
        <v>102756345</v>
      </c>
      <c r="J92" s="1658">
        <v>46116508515</v>
      </c>
      <c r="K92" s="1658">
        <v>25835579</v>
      </c>
    </row>
    <row r="93" spans="1:11" x14ac:dyDescent="0.3">
      <c r="A93" s="1657">
        <v>41775</v>
      </c>
      <c r="B93" s="1658">
        <v>1890</v>
      </c>
      <c r="C93" s="1658">
        <v>105</v>
      </c>
      <c r="D93" s="1659">
        <v>5.88</v>
      </c>
      <c r="E93" s="1658">
        <v>1815</v>
      </c>
      <c r="F93" s="1658">
        <v>1900</v>
      </c>
      <c r="G93" s="1658">
        <v>1795</v>
      </c>
      <c r="H93" s="1658">
        <v>186340</v>
      </c>
      <c r="I93" s="1658">
        <v>345437195</v>
      </c>
      <c r="J93" s="1658">
        <v>48829244310</v>
      </c>
      <c r="K93" s="1658">
        <v>25835579</v>
      </c>
    </row>
    <row r="94" spans="1:11" x14ac:dyDescent="0.3">
      <c r="A94" s="1657">
        <v>41778</v>
      </c>
      <c r="B94" s="1658">
        <v>2055</v>
      </c>
      <c r="C94" s="1658">
        <v>165</v>
      </c>
      <c r="D94" s="1659">
        <v>8.73</v>
      </c>
      <c r="E94" s="1658">
        <v>1900</v>
      </c>
      <c r="F94" s="1658">
        <v>2160</v>
      </c>
      <c r="G94" s="1658">
        <v>1900</v>
      </c>
      <c r="H94" s="1658">
        <v>1399660</v>
      </c>
      <c r="I94" s="1658">
        <v>2887525260</v>
      </c>
      <c r="J94" s="1658">
        <v>53092114845</v>
      </c>
      <c r="K94" s="1658">
        <v>25835579</v>
      </c>
    </row>
    <row r="95" spans="1:11" x14ac:dyDescent="0.3">
      <c r="A95" s="1657">
        <v>41779</v>
      </c>
      <c r="B95" s="1658">
        <v>2045</v>
      </c>
      <c r="C95" s="1658">
        <v>-10</v>
      </c>
      <c r="D95" s="1659">
        <v>-0.49</v>
      </c>
      <c r="E95" s="1658">
        <v>2020</v>
      </c>
      <c r="F95" s="1658">
        <v>2050</v>
      </c>
      <c r="G95" s="1658">
        <v>1930</v>
      </c>
      <c r="H95" s="1658">
        <v>291955</v>
      </c>
      <c r="I95" s="1658">
        <v>584035085</v>
      </c>
      <c r="J95" s="1658">
        <v>52833759055</v>
      </c>
      <c r="K95" s="1658">
        <v>25835579</v>
      </c>
    </row>
    <row r="96" spans="1:11" x14ac:dyDescent="0.3">
      <c r="A96" s="1657">
        <v>41780</v>
      </c>
      <c r="B96" s="1658">
        <v>1965</v>
      </c>
      <c r="C96" s="1658">
        <v>-80</v>
      </c>
      <c r="D96" s="1659">
        <v>-3.91</v>
      </c>
      <c r="E96" s="1658">
        <v>2045</v>
      </c>
      <c r="F96" s="1658">
        <v>2245</v>
      </c>
      <c r="G96" s="1658">
        <v>1945</v>
      </c>
      <c r="H96" s="1658">
        <v>1043559</v>
      </c>
      <c r="I96" s="1658">
        <v>2217990570</v>
      </c>
      <c r="J96" s="1658">
        <v>50766912735</v>
      </c>
      <c r="K96" s="1658">
        <v>25835579</v>
      </c>
    </row>
    <row r="97" spans="1:11" x14ac:dyDescent="0.3">
      <c r="A97" s="1657">
        <v>41781</v>
      </c>
      <c r="B97" s="1658">
        <v>2030</v>
      </c>
      <c r="C97" s="1658">
        <v>65</v>
      </c>
      <c r="D97" s="1659">
        <v>3.31</v>
      </c>
      <c r="E97" s="1658">
        <v>1990</v>
      </c>
      <c r="F97" s="1658">
        <v>2110</v>
      </c>
      <c r="G97" s="1658">
        <v>1990</v>
      </c>
      <c r="H97" s="1658">
        <v>328945</v>
      </c>
      <c r="I97" s="1658">
        <v>671550680</v>
      </c>
      <c r="J97" s="1658">
        <v>52446225370</v>
      </c>
      <c r="K97" s="1658">
        <v>25835579</v>
      </c>
    </row>
    <row r="98" spans="1:11" x14ac:dyDescent="0.3">
      <c r="A98" s="1657">
        <v>41782</v>
      </c>
      <c r="B98" s="1658">
        <v>1990</v>
      </c>
      <c r="C98" s="1658">
        <v>-40</v>
      </c>
      <c r="D98" s="1659">
        <v>-1.97</v>
      </c>
      <c r="E98" s="1658">
        <v>1970</v>
      </c>
      <c r="F98" s="1658">
        <v>2040</v>
      </c>
      <c r="G98" s="1658">
        <v>1970</v>
      </c>
      <c r="H98" s="1658">
        <v>191305</v>
      </c>
      <c r="I98" s="1658">
        <v>382104360</v>
      </c>
      <c r="J98" s="1658">
        <v>51412802210</v>
      </c>
      <c r="K98" s="1658">
        <v>25835579</v>
      </c>
    </row>
    <row r="99" spans="1:11" x14ac:dyDescent="0.3">
      <c r="A99" s="1657">
        <v>41785</v>
      </c>
      <c r="B99" s="1658">
        <v>1995</v>
      </c>
      <c r="C99" s="1658">
        <v>5</v>
      </c>
      <c r="D99" s="1659">
        <v>0.25</v>
      </c>
      <c r="E99" s="1658">
        <v>2000</v>
      </c>
      <c r="F99" s="1658">
        <v>2060</v>
      </c>
      <c r="G99" s="1658">
        <v>1945</v>
      </c>
      <c r="H99" s="1658">
        <v>213710</v>
      </c>
      <c r="I99" s="1658">
        <v>427064265</v>
      </c>
      <c r="J99" s="1658">
        <v>51541980105</v>
      </c>
      <c r="K99" s="1658">
        <v>25835579</v>
      </c>
    </row>
    <row r="100" spans="1:11" x14ac:dyDescent="0.3">
      <c r="A100" s="1657">
        <v>41786</v>
      </c>
      <c r="B100" s="1658">
        <v>1985</v>
      </c>
      <c r="C100" s="1658">
        <v>-10</v>
      </c>
      <c r="D100" s="1659">
        <v>-0.5</v>
      </c>
      <c r="E100" s="1658">
        <v>2030</v>
      </c>
      <c r="F100" s="1658">
        <v>2045</v>
      </c>
      <c r="G100" s="1658">
        <v>1940</v>
      </c>
      <c r="H100" s="1658">
        <v>168784</v>
      </c>
      <c r="I100" s="1658">
        <v>332775170</v>
      </c>
      <c r="J100" s="1658">
        <v>51283624315</v>
      </c>
      <c r="K100" s="1658">
        <v>25835579</v>
      </c>
    </row>
    <row r="101" spans="1:11" x14ac:dyDescent="0.3">
      <c r="A101" s="1657">
        <v>41787</v>
      </c>
      <c r="B101" s="1658">
        <v>2070</v>
      </c>
      <c r="C101" s="1658">
        <v>85</v>
      </c>
      <c r="D101" s="1659">
        <v>4.28</v>
      </c>
      <c r="E101" s="1658">
        <v>1995</v>
      </c>
      <c r="F101" s="1658">
        <v>2070</v>
      </c>
      <c r="G101" s="1658">
        <v>1950</v>
      </c>
      <c r="H101" s="1658">
        <v>184927</v>
      </c>
      <c r="I101" s="1658">
        <v>375135780</v>
      </c>
      <c r="J101" s="1658">
        <v>53479648530</v>
      </c>
      <c r="K101" s="1658">
        <v>25835579</v>
      </c>
    </row>
    <row r="102" spans="1:11" x14ac:dyDescent="0.3">
      <c r="A102" s="1657">
        <v>41788</v>
      </c>
      <c r="B102" s="1658">
        <v>2250</v>
      </c>
      <c r="C102" s="1658">
        <v>180</v>
      </c>
      <c r="D102" s="1659">
        <v>8.6999999999999993</v>
      </c>
      <c r="E102" s="1658">
        <v>2115</v>
      </c>
      <c r="F102" s="1658">
        <v>2380</v>
      </c>
      <c r="G102" s="1658">
        <v>2115</v>
      </c>
      <c r="H102" s="1658">
        <v>1608228</v>
      </c>
      <c r="I102" s="1658">
        <v>3664214305</v>
      </c>
      <c r="J102" s="1658">
        <v>58130052750</v>
      </c>
      <c r="K102" s="1658">
        <v>25835579</v>
      </c>
    </row>
    <row r="103" spans="1:11" x14ac:dyDescent="0.3">
      <c r="A103" s="1657">
        <v>41789</v>
      </c>
      <c r="B103" s="1658">
        <v>2495</v>
      </c>
      <c r="C103" s="1658">
        <v>245</v>
      </c>
      <c r="D103" s="1659">
        <v>10.89</v>
      </c>
      <c r="E103" s="1658">
        <v>2400</v>
      </c>
      <c r="F103" s="1658">
        <v>2570</v>
      </c>
      <c r="G103" s="1658">
        <v>2310</v>
      </c>
      <c r="H103" s="1658">
        <v>1485202</v>
      </c>
      <c r="I103" s="1658">
        <v>3658714685</v>
      </c>
      <c r="J103" s="1658">
        <v>64459769605</v>
      </c>
      <c r="K103" s="1658">
        <v>25835579</v>
      </c>
    </row>
    <row r="104" spans="1:11" x14ac:dyDescent="0.3">
      <c r="A104" s="1657">
        <v>41792</v>
      </c>
      <c r="B104" s="1658">
        <v>2865</v>
      </c>
      <c r="C104" s="1658">
        <v>370</v>
      </c>
      <c r="D104" s="1659">
        <v>14.83</v>
      </c>
      <c r="E104" s="1658">
        <v>2865</v>
      </c>
      <c r="F104" s="1658">
        <v>2865</v>
      </c>
      <c r="G104" s="1658">
        <v>2550</v>
      </c>
      <c r="H104" s="1658">
        <v>4998426</v>
      </c>
      <c r="I104" s="1658">
        <v>13942192110</v>
      </c>
      <c r="J104" s="1658">
        <v>74018933835</v>
      </c>
      <c r="K104" s="1658">
        <v>25835579</v>
      </c>
    </row>
    <row r="105" spans="1:11" x14ac:dyDescent="0.3">
      <c r="A105" s="1657">
        <v>41793</v>
      </c>
      <c r="B105" s="1658">
        <v>3290</v>
      </c>
      <c r="C105" s="1658">
        <v>425</v>
      </c>
      <c r="D105" s="1659">
        <v>14.83</v>
      </c>
      <c r="E105" s="1658">
        <v>2865</v>
      </c>
      <c r="F105" s="1658">
        <v>3290</v>
      </c>
      <c r="G105" s="1658">
        <v>2700</v>
      </c>
      <c r="H105" s="1658">
        <v>6170540</v>
      </c>
      <c r="I105" s="1658">
        <v>18158523145</v>
      </c>
      <c r="J105" s="1658">
        <v>84999054910</v>
      </c>
      <c r="K105" s="1658">
        <v>25835579</v>
      </c>
    </row>
    <row r="106" spans="1:11" x14ac:dyDescent="0.3">
      <c r="A106" s="1657">
        <v>41795</v>
      </c>
      <c r="B106" s="1658">
        <v>3780</v>
      </c>
      <c r="C106" s="1658">
        <v>490</v>
      </c>
      <c r="D106" s="1659">
        <v>14.89</v>
      </c>
      <c r="E106" s="1658">
        <v>3480</v>
      </c>
      <c r="F106" s="1658">
        <v>3780</v>
      </c>
      <c r="G106" s="1658">
        <v>3395</v>
      </c>
      <c r="H106" s="1658">
        <v>7604723</v>
      </c>
      <c r="I106" s="1658">
        <v>27766866150</v>
      </c>
      <c r="J106" s="1658">
        <v>97658488620</v>
      </c>
      <c r="K106" s="1658">
        <v>25835579</v>
      </c>
    </row>
    <row r="107" spans="1:11" x14ac:dyDescent="0.3">
      <c r="A107" s="1657">
        <v>41799</v>
      </c>
      <c r="B107" s="1658">
        <v>3780</v>
      </c>
      <c r="C107" s="1658">
        <v>0</v>
      </c>
      <c r="D107" s="1659">
        <v>0</v>
      </c>
      <c r="E107" s="1658">
        <v>0</v>
      </c>
      <c r="F107" s="1658">
        <v>0</v>
      </c>
      <c r="G107" s="1658">
        <v>0</v>
      </c>
      <c r="H107" s="1658">
        <v>0</v>
      </c>
      <c r="I107" s="1658">
        <v>0</v>
      </c>
      <c r="J107" s="1658">
        <v>97658488620</v>
      </c>
      <c r="K107" s="1658">
        <v>25835579</v>
      </c>
    </row>
    <row r="108" spans="1:11" x14ac:dyDescent="0.3">
      <c r="A108" s="1657">
        <v>41800</v>
      </c>
      <c r="B108" s="1658">
        <v>4345</v>
      </c>
      <c r="C108" s="1658">
        <v>565</v>
      </c>
      <c r="D108" s="1659">
        <v>14.95</v>
      </c>
      <c r="E108" s="1658">
        <v>4040</v>
      </c>
      <c r="F108" s="1658">
        <v>4345</v>
      </c>
      <c r="G108" s="1658">
        <v>4040</v>
      </c>
      <c r="H108" s="1658">
        <v>1252340</v>
      </c>
      <c r="I108" s="1658">
        <v>5286526830</v>
      </c>
      <c r="J108" s="1658">
        <v>112255590755</v>
      </c>
      <c r="K108" s="1658">
        <v>25835579</v>
      </c>
    </row>
    <row r="109" spans="1:11" x14ac:dyDescent="0.3">
      <c r="A109" s="1657">
        <v>41801</v>
      </c>
      <c r="B109" s="1658">
        <v>4500</v>
      </c>
      <c r="C109" s="1658">
        <v>155</v>
      </c>
      <c r="D109" s="1659">
        <v>3.57</v>
      </c>
      <c r="E109" s="1658">
        <v>4135</v>
      </c>
      <c r="F109" s="1658">
        <v>4780</v>
      </c>
      <c r="G109" s="1658">
        <v>4135</v>
      </c>
      <c r="H109" s="1658">
        <v>1594922</v>
      </c>
      <c r="I109" s="1658">
        <v>7009591385</v>
      </c>
      <c r="J109" s="1658">
        <v>116260105500</v>
      </c>
      <c r="K109" s="1658">
        <v>25835579</v>
      </c>
    </row>
    <row r="110" spans="1:11" x14ac:dyDescent="0.3">
      <c r="A110" s="1657">
        <v>41802</v>
      </c>
      <c r="B110" s="1658">
        <v>4430</v>
      </c>
      <c r="C110" s="1658">
        <v>-70</v>
      </c>
      <c r="D110" s="1659">
        <v>-1.56</v>
      </c>
      <c r="E110" s="1658">
        <v>4430</v>
      </c>
      <c r="F110" s="1658">
        <v>4640</v>
      </c>
      <c r="G110" s="1658">
        <v>4255</v>
      </c>
      <c r="H110" s="1658">
        <v>1039284</v>
      </c>
      <c r="I110" s="1658">
        <v>4605264535</v>
      </c>
      <c r="J110" s="1658">
        <v>114451614970</v>
      </c>
      <c r="K110" s="1658">
        <v>25835579</v>
      </c>
    </row>
    <row r="111" spans="1:11" x14ac:dyDescent="0.3">
      <c r="A111" s="1657">
        <v>41803</v>
      </c>
      <c r="B111" s="1658">
        <v>4625</v>
      </c>
      <c r="C111" s="1658">
        <v>195</v>
      </c>
      <c r="D111" s="1659">
        <v>4.4000000000000004</v>
      </c>
      <c r="E111" s="1658">
        <v>4490</v>
      </c>
      <c r="F111" s="1658">
        <v>5090</v>
      </c>
      <c r="G111" s="1658">
        <v>4090</v>
      </c>
      <c r="H111" s="1658">
        <v>9641242</v>
      </c>
      <c r="I111" s="1658">
        <v>44684378395</v>
      </c>
      <c r="J111" s="1658">
        <v>119489552875</v>
      </c>
      <c r="K111" s="1658">
        <v>25835579</v>
      </c>
    </row>
    <row r="112" spans="1:11" x14ac:dyDescent="0.3">
      <c r="A112" s="1657">
        <v>41806</v>
      </c>
      <c r="B112" s="1658">
        <v>4200</v>
      </c>
      <c r="C112" s="1658">
        <v>-425</v>
      </c>
      <c r="D112" s="1659">
        <v>-9.19</v>
      </c>
      <c r="E112" s="1658">
        <v>4500</v>
      </c>
      <c r="F112" s="1658">
        <v>4785</v>
      </c>
      <c r="G112" s="1658">
        <v>4015</v>
      </c>
      <c r="H112" s="1658">
        <v>7206809</v>
      </c>
      <c r="I112" s="1658">
        <v>31577459930</v>
      </c>
      <c r="J112" s="1658">
        <v>108509431800</v>
      </c>
      <c r="K112" s="1658">
        <v>25835579</v>
      </c>
    </row>
    <row r="113" spans="1:11" x14ac:dyDescent="0.3">
      <c r="A113" s="1657">
        <v>41807</v>
      </c>
      <c r="B113" s="1658">
        <v>3905</v>
      </c>
      <c r="C113" s="1658">
        <v>-295</v>
      </c>
      <c r="D113" s="1659">
        <v>-7.02</v>
      </c>
      <c r="E113" s="1658">
        <v>4085</v>
      </c>
      <c r="F113" s="1658">
        <v>4400</v>
      </c>
      <c r="G113" s="1658">
        <v>3800</v>
      </c>
      <c r="H113" s="1658">
        <v>4883058</v>
      </c>
      <c r="I113" s="1658">
        <v>20046983920</v>
      </c>
      <c r="J113" s="1658">
        <v>100887935995</v>
      </c>
      <c r="K113" s="1658">
        <v>25835579</v>
      </c>
    </row>
    <row r="114" spans="1:11" x14ac:dyDescent="0.3">
      <c r="A114" s="1657">
        <v>41808</v>
      </c>
      <c r="B114" s="1658">
        <v>3780</v>
      </c>
      <c r="C114" s="1658">
        <v>-125</v>
      </c>
      <c r="D114" s="1659">
        <v>-3.2</v>
      </c>
      <c r="E114" s="1658">
        <v>3930</v>
      </c>
      <c r="F114" s="1658">
        <v>4005</v>
      </c>
      <c r="G114" s="1658">
        <v>3635</v>
      </c>
      <c r="H114" s="1658">
        <v>3550992</v>
      </c>
      <c r="I114" s="1658">
        <v>13586892805</v>
      </c>
      <c r="J114" s="1658">
        <v>97658488620</v>
      </c>
      <c r="K114" s="1658">
        <v>25835579</v>
      </c>
    </row>
    <row r="115" spans="1:11" x14ac:dyDescent="0.3">
      <c r="A115" s="1657">
        <v>41809</v>
      </c>
      <c r="B115" s="1658">
        <v>3795</v>
      </c>
      <c r="C115" s="1658">
        <v>15</v>
      </c>
      <c r="D115" s="1659">
        <v>0.4</v>
      </c>
      <c r="E115" s="1658">
        <v>3780</v>
      </c>
      <c r="F115" s="1658">
        <v>3930</v>
      </c>
      <c r="G115" s="1658">
        <v>3650</v>
      </c>
      <c r="H115" s="1658">
        <v>3873652</v>
      </c>
      <c r="I115" s="1658">
        <v>14660600460</v>
      </c>
      <c r="J115" s="1658">
        <v>98046022305</v>
      </c>
      <c r="K115" s="1658">
        <v>25835579</v>
      </c>
    </row>
    <row r="116" spans="1:11" x14ac:dyDescent="0.3">
      <c r="A116" s="1657">
        <v>41810</v>
      </c>
      <c r="B116" s="1658">
        <v>3890</v>
      </c>
      <c r="C116" s="1658">
        <v>95</v>
      </c>
      <c r="D116" s="1659">
        <v>2.5</v>
      </c>
      <c r="E116" s="1658">
        <v>3795</v>
      </c>
      <c r="F116" s="1658">
        <v>3920</v>
      </c>
      <c r="G116" s="1658">
        <v>3710</v>
      </c>
      <c r="H116" s="1658">
        <v>2002485</v>
      </c>
      <c r="I116" s="1658">
        <v>7666048970</v>
      </c>
      <c r="J116" s="1658">
        <v>100500402310</v>
      </c>
      <c r="K116" s="1658">
        <v>25835579</v>
      </c>
    </row>
    <row r="117" spans="1:11" x14ac:dyDescent="0.3">
      <c r="A117" s="1657">
        <v>41813</v>
      </c>
      <c r="B117" s="1658">
        <v>3700</v>
      </c>
      <c r="C117" s="1658">
        <v>-190</v>
      </c>
      <c r="D117" s="1659">
        <v>-4.88</v>
      </c>
      <c r="E117" s="1658">
        <v>3905</v>
      </c>
      <c r="F117" s="1658">
        <v>3970</v>
      </c>
      <c r="G117" s="1658">
        <v>3500</v>
      </c>
      <c r="H117" s="1658">
        <v>2010004</v>
      </c>
      <c r="I117" s="1658">
        <v>7455881805</v>
      </c>
      <c r="J117" s="1658">
        <v>95591642300</v>
      </c>
      <c r="K117" s="1658">
        <v>25835579</v>
      </c>
    </row>
    <row r="118" spans="1:11" x14ac:dyDescent="0.3">
      <c r="A118" s="1657">
        <v>41814</v>
      </c>
      <c r="B118" s="1658">
        <v>3465</v>
      </c>
      <c r="C118" s="1658">
        <v>-235</v>
      </c>
      <c r="D118" s="1659">
        <v>-6.35</v>
      </c>
      <c r="E118" s="1658">
        <v>3680</v>
      </c>
      <c r="F118" s="1658">
        <v>3700</v>
      </c>
      <c r="G118" s="1658">
        <v>3465</v>
      </c>
      <c r="H118" s="1658">
        <v>1329264</v>
      </c>
      <c r="I118" s="1658">
        <v>4741495060</v>
      </c>
      <c r="J118" s="1658">
        <v>89520281235</v>
      </c>
      <c r="K118" s="1658">
        <v>25835579</v>
      </c>
    </row>
    <row r="119" spans="1:11" x14ac:dyDescent="0.3">
      <c r="A119" s="1657">
        <v>41815</v>
      </c>
      <c r="B119" s="1658">
        <v>3980</v>
      </c>
      <c r="C119" s="1658">
        <v>515</v>
      </c>
      <c r="D119" s="1659">
        <v>14.86</v>
      </c>
      <c r="E119" s="1658">
        <v>3980</v>
      </c>
      <c r="F119" s="1658">
        <v>3980</v>
      </c>
      <c r="G119" s="1658">
        <v>3815</v>
      </c>
      <c r="H119" s="1658">
        <v>1419441</v>
      </c>
      <c r="I119" s="1658">
        <v>5626164750</v>
      </c>
      <c r="J119" s="1658">
        <v>102825604420</v>
      </c>
      <c r="K119" s="1658">
        <v>25835579</v>
      </c>
    </row>
    <row r="120" spans="1:11" x14ac:dyDescent="0.3">
      <c r="A120" s="1657">
        <v>41816</v>
      </c>
      <c r="B120" s="1658">
        <v>4575</v>
      </c>
      <c r="C120" s="1658">
        <v>595</v>
      </c>
      <c r="D120" s="1659">
        <v>14.95</v>
      </c>
      <c r="E120" s="1658">
        <v>4575</v>
      </c>
      <c r="F120" s="1658">
        <v>4575</v>
      </c>
      <c r="G120" s="1658">
        <v>4450</v>
      </c>
      <c r="H120" s="1658">
        <v>3465242</v>
      </c>
      <c r="I120" s="1658">
        <v>15825918985</v>
      </c>
      <c r="J120" s="1658">
        <v>118197773925</v>
      </c>
      <c r="K120" s="1658">
        <v>25835579</v>
      </c>
    </row>
    <row r="121" spans="1:11" x14ac:dyDescent="0.3">
      <c r="A121" s="1657">
        <v>41817</v>
      </c>
      <c r="B121" s="1658">
        <v>4880</v>
      </c>
      <c r="C121" s="1658">
        <v>305</v>
      </c>
      <c r="D121" s="1659">
        <v>6.67</v>
      </c>
      <c r="E121" s="1658">
        <v>4740</v>
      </c>
      <c r="F121" s="1658">
        <v>5050</v>
      </c>
      <c r="G121" s="1658">
        <v>4700</v>
      </c>
      <c r="H121" s="1658">
        <v>5953081</v>
      </c>
      <c r="I121" s="1658">
        <v>29064522265</v>
      </c>
      <c r="J121" s="1658">
        <v>126077625520</v>
      </c>
      <c r="K121" s="1658">
        <v>25835579</v>
      </c>
    </row>
    <row r="122" spans="1:11" x14ac:dyDescent="0.3">
      <c r="A122" s="1657">
        <v>41820</v>
      </c>
      <c r="B122" s="1658">
        <v>4500</v>
      </c>
      <c r="C122" s="1658">
        <v>-380</v>
      </c>
      <c r="D122" s="1659">
        <v>-7.79</v>
      </c>
      <c r="E122" s="1658">
        <v>4780</v>
      </c>
      <c r="F122" s="1658">
        <v>4885</v>
      </c>
      <c r="G122" s="1658">
        <v>4235</v>
      </c>
      <c r="H122" s="1658">
        <v>4132612</v>
      </c>
      <c r="I122" s="1658">
        <v>18627802665</v>
      </c>
      <c r="J122" s="1658">
        <v>116474305500</v>
      </c>
      <c r="K122" s="1658">
        <v>25883179</v>
      </c>
    </row>
    <row r="123" spans="1:11" x14ac:dyDescent="0.3">
      <c r="A123" s="1657">
        <v>41821</v>
      </c>
      <c r="B123" s="1658">
        <v>5170</v>
      </c>
      <c r="C123" s="1658">
        <v>670</v>
      </c>
      <c r="D123" s="1659">
        <v>14.89</v>
      </c>
      <c r="E123" s="1658">
        <v>4430</v>
      </c>
      <c r="F123" s="1658">
        <v>5170</v>
      </c>
      <c r="G123" s="1658">
        <v>4240</v>
      </c>
      <c r="H123" s="1658">
        <v>6668925</v>
      </c>
      <c r="I123" s="1658">
        <v>31540506195</v>
      </c>
      <c r="J123" s="1658">
        <v>133816035430</v>
      </c>
      <c r="K123" s="1658">
        <v>25883179</v>
      </c>
    </row>
    <row r="124" spans="1:11" x14ac:dyDescent="0.3">
      <c r="A124" s="1657">
        <v>41822</v>
      </c>
      <c r="B124" s="1658">
        <v>5640</v>
      </c>
      <c r="C124" s="1658">
        <v>470</v>
      </c>
      <c r="D124" s="1659">
        <v>9.09</v>
      </c>
      <c r="E124" s="1658">
        <v>5500</v>
      </c>
      <c r="F124" s="1658">
        <v>5830</v>
      </c>
      <c r="G124" s="1658">
        <v>5360</v>
      </c>
      <c r="H124" s="1658">
        <v>7288887</v>
      </c>
      <c r="I124" s="1658">
        <v>40733584940</v>
      </c>
      <c r="J124" s="1658">
        <v>145981129560</v>
      </c>
      <c r="K124" s="1658">
        <v>25883179</v>
      </c>
    </row>
    <row r="125" spans="1:11" x14ac:dyDescent="0.3">
      <c r="A125" s="1657">
        <v>41823</v>
      </c>
      <c r="B125" s="1658">
        <v>5940</v>
      </c>
      <c r="C125" s="1658">
        <v>300</v>
      </c>
      <c r="D125" s="1659">
        <v>5.32</v>
      </c>
      <c r="E125" s="1658">
        <v>5560</v>
      </c>
      <c r="F125" s="1658">
        <v>6140</v>
      </c>
      <c r="G125" s="1658">
        <v>5420</v>
      </c>
      <c r="H125" s="1658">
        <v>5839713</v>
      </c>
      <c r="I125" s="1658">
        <v>34395440420</v>
      </c>
      <c r="J125" s="1658">
        <v>153746083260</v>
      </c>
      <c r="K125" s="1658">
        <v>25883179</v>
      </c>
    </row>
    <row r="126" spans="1:11" x14ac:dyDescent="0.3">
      <c r="A126" s="1657">
        <v>41824</v>
      </c>
      <c r="B126" s="1658">
        <v>6060</v>
      </c>
      <c r="C126" s="1658">
        <v>120</v>
      </c>
      <c r="D126" s="1659">
        <v>2.02</v>
      </c>
      <c r="E126" s="1658">
        <v>5860</v>
      </c>
      <c r="F126" s="1658">
        <v>6200</v>
      </c>
      <c r="G126" s="1658">
        <v>5720</v>
      </c>
      <c r="H126" s="1658">
        <v>4502687</v>
      </c>
      <c r="I126" s="1658">
        <v>26921846570</v>
      </c>
      <c r="J126" s="1658">
        <v>156852064740</v>
      </c>
      <c r="K126" s="1658">
        <v>25883179</v>
      </c>
    </row>
    <row r="127" spans="1:11" x14ac:dyDescent="0.3">
      <c r="A127" s="1657">
        <v>41827</v>
      </c>
      <c r="B127" s="1658">
        <v>6000</v>
      </c>
      <c r="C127" s="1658">
        <v>-60</v>
      </c>
      <c r="D127" s="1659">
        <v>-0.99</v>
      </c>
      <c r="E127" s="1658">
        <v>5990</v>
      </c>
      <c r="F127" s="1658">
        <v>6160</v>
      </c>
      <c r="G127" s="1658">
        <v>5920</v>
      </c>
      <c r="H127" s="1658">
        <v>1731015</v>
      </c>
      <c r="I127" s="1658">
        <v>10487467100</v>
      </c>
      <c r="J127" s="1658">
        <v>155299074000</v>
      </c>
      <c r="K127" s="1658">
        <v>25883179</v>
      </c>
    </row>
    <row r="128" spans="1:11" x14ac:dyDescent="0.3">
      <c r="A128" s="1657">
        <v>41828</v>
      </c>
      <c r="B128" s="1658">
        <v>6900</v>
      </c>
      <c r="C128" s="1658">
        <v>900</v>
      </c>
      <c r="D128" s="1659">
        <v>15</v>
      </c>
      <c r="E128" s="1658">
        <v>6560</v>
      </c>
      <c r="F128" s="1658">
        <v>6900</v>
      </c>
      <c r="G128" s="1658">
        <v>6560</v>
      </c>
      <c r="H128" s="1658">
        <v>1018193</v>
      </c>
      <c r="I128" s="1658">
        <v>6944261850</v>
      </c>
      <c r="J128" s="1658">
        <v>178593935100</v>
      </c>
      <c r="K128" s="1658">
        <v>25883179</v>
      </c>
    </row>
    <row r="129" spans="1:11" x14ac:dyDescent="0.3">
      <c r="A129" s="1657">
        <v>41829</v>
      </c>
      <c r="B129" s="1658">
        <v>7930</v>
      </c>
      <c r="C129" s="1658">
        <v>1030</v>
      </c>
      <c r="D129" s="1659">
        <v>14.93</v>
      </c>
      <c r="E129" s="1658">
        <v>7300</v>
      </c>
      <c r="F129" s="1658">
        <v>7930</v>
      </c>
      <c r="G129" s="1658">
        <v>7230</v>
      </c>
      <c r="H129" s="1658">
        <v>5374845</v>
      </c>
      <c r="I129" s="1658">
        <v>41048012140</v>
      </c>
      <c r="J129" s="1658">
        <v>205253609470</v>
      </c>
      <c r="K129" s="1658">
        <v>25883179</v>
      </c>
    </row>
    <row r="130" spans="1:11" x14ac:dyDescent="0.3">
      <c r="A130" s="1657">
        <v>41830</v>
      </c>
      <c r="B130" s="1658">
        <v>8380</v>
      </c>
      <c r="C130" s="1658">
        <v>450</v>
      </c>
      <c r="D130" s="1659">
        <v>5.67</v>
      </c>
      <c r="E130" s="1658">
        <v>7810</v>
      </c>
      <c r="F130" s="1658">
        <v>8900</v>
      </c>
      <c r="G130" s="1658">
        <v>7600</v>
      </c>
      <c r="H130" s="1658">
        <v>7730217</v>
      </c>
      <c r="I130" s="1658">
        <v>64773559770</v>
      </c>
      <c r="J130" s="1658">
        <v>216901040020</v>
      </c>
      <c r="K130" s="1658">
        <v>25883179</v>
      </c>
    </row>
    <row r="131" spans="1:11" x14ac:dyDescent="0.3">
      <c r="A131" s="1657">
        <v>41831</v>
      </c>
      <c r="B131" s="1658">
        <v>8450</v>
      </c>
      <c r="C131" s="1658">
        <v>70</v>
      </c>
      <c r="D131" s="1659">
        <v>0.84</v>
      </c>
      <c r="E131" s="1658">
        <v>8300</v>
      </c>
      <c r="F131" s="1658">
        <v>8870</v>
      </c>
      <c r="G131" s="1658">
        <v>8170</v>
      </c>
      <c r="H131" s="1658">
        <v>3256222</v>
      </c>
      <c r="I131" s="1658">
        <v>27671486800</v>
      </c>
      <c r="J131" s="1658">
        <v>218712862550</v>
      </c>
      <c r="K131" s="1658">
        <v>25883179</v>
      </c>
    </row>
    <row r="132" spans="1:11" x14ac:dyDescent="0.3">
      <c r="A132" s="1657">
        <v>41834</v>
      </c>
      <c r="B132" s="1658">
        <v>8460</v>
      </c>
      <c r="C132" s="1658">
        <v>10</v>
      </c>
      <c r="D132" s="1659">
        <v>0.12</v>
      </c>
      <c r="E132" s="1658">
        <v>8700</v>
      </c>
      <c r="F132" s="1658">
        <v>8790</v>
      </c>
      <c r="G132" s="1658">
        <v>8330</v>
      </c>
      <c r="H132" s="1658">
        <v>1424710</v>
      </c>
      <c r="I132" s="1658">
        <v>12087197600</v>
      </c>
      <c r="J132" s="1658">
        <v>218971694340</v>
      </c>
      <c r="K132" s="1658">
        <v>25883179</v>
      </c>
    </row>
    <row r="133" spans="1:11" x14ac:dyDescent="0.3">
      <c r="A133" s="1657">
        <v>41835</v>
      </c>
      <c r="B133" s="1658">
        <v>8300</v>
      </c>
      <c r="C133" s="1658">
        <v>-160</v>
      </c>
      <c r="D133" s="1659">
        <v>-1.89</v>
      </c>
      <c r="E133" s="1658">
        <v>8350</v>
      </c>
      <c r="F133" s="1658">
        <v>8440</v>
      </c>
      <c r="G133" s="1658">
        <v>7700</v>
      </c>
      <c r="H133" s="1658">
        <v>3530228</v>
      </c>
      <c r="I133" s="1658">
        <v>28417358800</v>
      </c>
      <c r="J133" s="1658">
        <v>214830385700</v>
      </c>
      <c r="K133" s="1658">
        <v>25883179</v>
      </c>
    </row>
    <row r="134" spans="1:11" x14ac:dyDescent="0.3">
      <c r="A134" s="1657">
        <v>41836</v>
      </c>
      <c r="B134" s="1658">
        <v>7990</v>
      </c>
      <c r="C134" s="1658">
        <v>-310</v>
      </c>
      <c r="D134" s="1659">
        <v>-3.73</v>
      </c>
      <c r="E134" s="1658">
        <v>8330</v>
      </c>
      <c r="F134" s="1658">
        <v>8330</v>
      </c>
      <c r="G134" s="1658">
        <v>7730</v>
      </c>
      <c r="H134" s="1658">
        <v>1948868</v>
      </c>
      <c r="I134" s="1658">
        <v>15630958740</v>
      </c>
      <c r="J134" s="1658">
        <v>207046300210</v>
      </c>
      <c r="K134" s="1658">
        <v>25913179</v>
      </c>
    </row>
    <row r="135" spans="1:11" x14ac:dyDescent="0.3">
      <c r="A135" s="1657">
        <v>41837</v>
      </c>
      <c r="B135" s="1658">
        <v>8320</v>
      </c>
      <c r="C135" s="1658">
        <v>330</v>
      </c>
      <c r="D135" s="1659">
        <v>4.13</v>
      </c>
      <c r="E135" s="1658">
        <v>7820</v>
      </c>
      <c r="F135" s="1658">
        <v>9170</v>
      </c>
      <c r="G135" s="1658">
        <v>7700</v>
      </c>
      <c r="H135" s="1658">
        <v>5834734</v>
      </c>
      <c r="I135" s="1658">
        <v>48788174210</v>
      </c>
      <c r="J135" s="1658">
        <v>215597649280</v>
      </c>
      <c r="K135" s="1658">
        <v>25913179</v>
      </c>
    </row>
    <row r="136" spans="1:11" x14ac:dyDescent="0.3">
      <c r="A136" s="1657">
        <v>41838</v>
      </c>
      <c r="B136" s="1658">
        <v>8450</v>
      </c>
      <c r="C136" s="1658">
        <v>130</v>
      </c>
      <c r="D136" s="1659">
        <v>1.56</v>
      </c>
      <c r="E136" s="1658">
        <v>8150</v>
      </c>
      <c r="F136" s="1658">
        <v>8790</v>
      </c>
      <c r="G136" s="1658">
        <v>8000</v>
      </c>
      <c r="H136" s="1658">
        <v>3396890</v>
      </c>
      <c r="I136" s="1658">
        <v>28994355040</v>
      </c>
      <c r="J136" s="1658">
        <v>218966362550</v>
      </c>
      <c r="K136" s="1658">
        <v>25913179</v>
      </c>
    </row>
    <row r="137" spans="1:11" x14ac:dyDescent="0.3">
      <c r="A137" s="1657">
        <v>41841</v>
      </c>
      <c r="B137" s="1658">
        <v>8410</v>
      </c>
      <c r="C137" s="1658">
        <v>-40</v>
      </c>
      <c r="D137" s="1659">
        <v>-0.47</v>
      </c>
      <c r="E137" s="1658">
        <v>8390</v>
      </c>
      <c r="F137" s="1658">
        <v>8710</v>
      </c>
      <c r="G137" s="1658">
        <v>8330</v>
      </c>
      <c r="H137" s="1658">
        <v>1263163</v>
      </c>
      <c r="I137" s="1658">
        <v>10724819690</v>
      </c>
      <c r="J137" s="1658">
        <v>217929835390</v>
      </c>
      <c r="K137" s="1658">
        <v>25913179</v>
      </c>
    </row>
    <row r="138" spans="1:11" x14ac:dyDescent="0.3">
      <c r="A138" s="1657">
        <v>41842</v>
      </c>
      <c r="B138" s="1658">
        <v>8330</v>
      </c>
      <c r="C138" s="1658">
        <v>-80</v>
      </c>
      <c r="D138" s="1659">
        <v>-0.95</v>
      </c>
      <c r="E138" s="1658">
        <v>8490</v>
      </c>
      <c r="F138" s="1658">
        <v>8540</v>
      </c>
      <c r="G138" s="1658">
        <v>8230</v>
      </c>
      <c r="H138" s="1658">
        <v>1049000</v>
      </c>
      <c r="I138" s="1658">
        <v>8776417030</v>
      </c>
      <c r="J138" s="1658">
        <v>215856781070</v>
      </c>
      <c r="K138" s="1658">
        <v>25913179</v>
      </c>
    </row>
    <row r="139" spans="1:11" x14ac:dyDescent="0.3">
      <c r="A139" s="1657">
        <v>41843</v>
      </c>
      <c r="B139" s="1658">
        <v>8340</v>
      </c>
      <c r="C139" s="1658">
        <v>10</v>
      </c>
      <c r="D139" s="1659">
        <v>0.12</v>
      </c>
      <c r="E139" s="1658">
        <v>8300</v>
      </c>
      <c r="F139" s="1658">
        <v>8800</v>
      </c>
      <c r="G139" s="1658">
        <v>8030</v>
      </c>
      <c r="H139" s="1658">
        <v>2078363</v>
      </c>
      <c r="I139" s="1658">
        <v>17469842740</v>
      </c>
      <c r="J139" s="1658">
        <v>216115912860</v>
      </c>
      <c r="K139" s="1658">
        <v>25913179</v>
      </c>
    </row>
    <row r="140" spans="1:11" x14ac:dyDescent="0.3">
      <c r="A140" s="1657">
        <v>41844</v>
      </c>
      <c r="B140" s="1658">
        <v>8450</v>
      </c>
      <c r="C140" s="1658">
        <v>110</v>
      </c>
      <c r="D140" s="1659">
        <v>1.32</v>
      </c>
      <c r="E140" s="1658">
        <v>8250</v>
      </c>
      <c r="F140" s="1658">
        <v>8510</v>
      </c>
      <c r="G140" s="1658">
        <v>8190</v>
      </c>
      <c r="H140" s="1658">
        <v>1154817</v>
      </c>
      <c r="I140" s="1658">
        <v>9632749220</v>
      </c>
      <c r="J140" s="1658">
        <v>218966362550</v>
      </c>
      <c r="K140" s="1658">
        <v>25913179</v>
      </c>
    </row>
    <row r="141" spans="1:11" x14ac:dyDescent="0.3">
      <c r="A141" s="1657">
        <v>41845</v>
      </c>
      <c r="B141" s="1658">
        <v>8650</v>
      </c>
      <c r="C141" s="1658">
        <v>200</v>
      </c>
      <c r="D141" s="1659">
        <v>2.37</v>
      </c>
      <c r="E141" s="1658">
        <v>8380</v>
      </c>
      <c r="F141" s="1658">
        <v>9020</v>
      </c>
      <c r="G141" s="1658">
        <v>8290</v>
      </c>
      <c r="H141" s="1658">
        <v>2578802</v>
      </c>
      <c r="I141" s="1658">
        <v>22310214170</v>
      </c>
      <c r="J141" s="1658">
        <v>224148998350</v>
      </c>
      <c r="K141" s="1658">
        <v>25913179</v>
      </c>
    </row>
    <row r="142" spans="1:11" x14ac:dyDescent="0.3">
      <c r="A142" s="1657">
        <v>41848</v>
      </c>
      <c r="B142" s="1658">
        <v>8100</v>
      </c>
      <c r="C142" s="1658">
        <v>-550</v>
      </c>
      <c r="D142" s="1659">
        <v>-6.36</v>
      </c>
      <c r="E142" s="1658">
        <v>8740</v>
      </c>
      <c r="F142" s="1658">
        <v>8840</v>
      </c>
      <c r="G142" s="1658">
        <v>8100</v>
      </c>
      <c r="H142" s="1658">
        <v>1328617</v>
      </c>
      <c r="I142" s="1658">
        <v>11339528300</v>
      </c>
      <c r="J142" s="1658">
        <v>209896749900</v>
      </c>
      <c r="K142" s="1658">
        <v>25913179</v>
      </c>
    </row>
    <row r="143" spans="1:11" x14ac:dyDescent="0.3">
      <c r="A143" s="1657">
        <v>41849</v>
      </c>
      <c r="B143" s="1658">
        <v>8300</v>
      </c>
      <c r="C143" s="1658">
        <v>200</v>
      </c>
      <c r="D143" s="1659">
        <v>2.4700000000000002</v>
      </c>
      <c r="E143" s="1658">
        <v>7800</v>
      </c>
      <c r="F143" s="1658">
        <v>8670</v>
      </c>
      <c r="G143" s="1658">
        <v>7700</v>
      </c>
      <c r="H143" s="1658">
        <v>2236639</v>
      </c>
      <c r="I143" s="1658">
        <v>18498836560</v>
      </c>
      <c r="J143" s="1658">
        <v>215079385700</v>
      </c>
      <c r="K143" s="1658">
        <v>25913179</v>
      </c>
    </row>
    <row r="144" spans="1:11" x14ac:dyDescent="0.3">
      <c r="A144" s="1657">
        <v>41850</v>
      </c>
      <c r="B144" s="1658">
        <v>8310</v>
      </c>
      <c r="C144" s="1658">
        <v>10</v>
      </c>
      <c r="D144" s="1659">
        <v>0.12</v>
      </c>
      <c r="E144" s="1658">
        <v>8350</v>
      </c>
      <c r="F144" s="1658">
        <v>8550</v>
      </c>
      <c r="G144" s="1658">
        <v>8180</v>
      </c>
      <c r="H144" s="1658">
        <v>914437</v>
      </c>
      <c r="I144" s="1658">
        <v>7620736660</v>
      </c>
      <c r="J144" s="1658">
        <v>215338517490</v>
      </c>
      <c r="K144" s="1658">
        <v>25913179</v>
      </c>
    </row>
    <row r="145" spans="1:11" x14ac:dyDescent="0.3">
      <c r="A145" s="1657">
        <v>41851</v>
      </c>
      <c r="B145" s="1658">
        <v>7540</v>
      </c>
      <c r="C145" s="1658">
        <v>-770</v>
      </c>
      <c r="D145" s="1659">
        <v>-9.27</v>
      </c>
      <c r="E145" s="1658">
        <v>8230</v>
      </c>
      <c r="F145" s="1658">
        <v>8320</v>
      </c>
      <c r="G145" s="1658">
        <v>7540</v>
      </c>
      <c r="H145" s="1658">
        <v>1295859</v>
      </c>
      <c r="I145" s="1658">
        <v>10291452890</v>
      </c>
      <c r="J145" s="1658">
        <v>195385369660</v>
      </c>
      <c r="K145" s="1658">
        <v>25913179</v>
      </c>
    </row>
    <row r="146" spans="1:11" x14ac:dyDescent="0.3">
      <c r="A146" s="1657">
        <v>41852</v>
      </c>
      <c r="B146" s="1658">
        <v>7500</v>
      </c>
      <c r="C146" s="1658">
        <v>-40</v>
      </c>
      <c r="D146" s="1659">
        <v>-0.53</v>
      </c>
      <c r="E146" s="1658">
        <v>7400</v>
      </c>
      <c r="F146" s="1658">
        <v>7900</v>
      </c>
      <c r="G146" s="1658">
        <v>7030</v>
      </c>
      <c r="H146" s="1658">
        <v>1138339</v>
      </c>
      <c r="I146" s="1658">
        <v>8550514420</v>
      </c>
      <c r="J146" s="1658">
        <v>194348842500</v>
      </c>
      <c r="K146" s="1658">
        <v>25913179</v>
      </c>
    </row>
    <row r="147" spans="1:11" x14ac:dyDescent="0.3">
      <c r="A147" s="1657">
        <v>41855</v>
      </c>
      <c r="B147" s="1658">
        <v>8230</v>
      </c>
      <c r="C147" s="1658">
        <v>730</v>
      </c>
      <c r="D147" s="1659">
        <v>9.73</v>
      </c>
      <c r="E147" s="1658">
        <v>7540</v>
      </c>
      <c r="F147" s="1658">
        <v>8400</v>
      </c>
      <c r="G147" s="1658">
        <v>7410</v>
      </c>
      <c r="H147" s="1658">
        <v>2776146</v>
      </c>
      <c r="I147" s="1658">
        <v>22538640830</v>
      </c>
      <c r="J147" s="1658">
        <v>213265463170</v>
      </c>
      <c r="K147" s="1658">
        <v>25913179</v>
      </c>
    </row>
    <row r="148" spans="1:11" x14ac:dyDescent="0.3">
      <c r="A148" s="1657">
        <v>41856</v>
      </c>
      <c r="B148" s="1658">
        <v>8110</v>
      </c>
      <c r="C148" s="1658">
        <v>-120</v>
      </c>
      <c r="D148" s="1659">
        <v>-1.46</v>
      </c>
      <c r="E148" s="1658">
        <v>8350</v>
      </c>
      <c r="F148" s="1658">
        <v>8780</v>
      </c>
      <c r="G148" s="1658">
        <v>8110</v>
      </c>
      <c r="H148" s="1658">
        <v>1570727</v>
      </c>
      <c r="I148" s="1658">
        <v>13333857680</v>
      </c>
      <c r="J148" s="1658">
        <v>210155881690</v>
      </c>
      <c r="K148" s="1658">
        <v>25913179</v>
      </c>
    </row>
    <row r="149" spans="1:11" x14ac:dyDescent="0.3">
      <c r="A149" s="1657">
        <v>41857</v>
      </c>
      <c r="B149" s="1658">
        <v>7920</v>
      </c>
      <c r="C149" s="1658">
        <v>-190</v>
      </c>
      <c r="D149" s="1659">
        <v>-2.34</v>
      </c>
      <c r="E149" s="1658">
        <v>8090</v>
      </c>
      <c r="F149" s="1658">
        <v>8320</v>
      </c>
      <c r="G149" s="1658">
        <v>7850</v>
      </c>
      <c r="H149" s="1658">
        <v>980231</v>
      </c>
      <c r="I149" s="1658">
        <v>7872880560</v>
      </c>
      <c r="J149" s="1658">
        <v>205232377680</v>
      </c>
      <c r="K149" s="1658">
        <v>25913179</v>
      </c>
    </row>
    <row r="150" spans="1:11" x14ac:dyDescent="0.3">
      <c r="A150" s="1657">
        <v>41858</v>
      </c>
      <c r="B150" s="1658">
        <v>7700</v>
      </c>
      <c r="C150" s="1658">
        <v>-220</v>
      </c>
      <c r="D150" s="1659">
        <v>-2.78</v>
      </c>
      <c r="E150" s="1658">
        <v>7940</v>
      </c>
      <c r="F150" s="1658">
        <v>7980</v>
      </c>
      <c r="G150" s="1658">
        <v>7500</v>
      </c>
      <c r="H150" s="1658">
        <v>1097766</v>
      </c>
      <c r="I150" s="1658">
        <v>8480752420</v>
      </c>
      <c r="J150" s="1658">
        <v>199531478300</v>
      </c>
      <c r="K150" s="1658">
        <v>25913179</v>
      </c>
    </row>
    <row r="151" spans="1:11" x14ac:dyDescent="0.3">
      <c r="A151" s="1657">
        <v>41859</v>
      </c>
      <c r="B151" s="1658">
        <v>7270</v>
      </c>
      <c r="C151" s="1658">
        <v>-430</v>
      </c>
      <c r="D151" s="1659">
        <v>-5.58</v>
      </c>
      <c r="E151" s="1658">
        <v>7700</v>
      </c>
      <c r="F151" s="1658">
        <v>7730</v>
      </c>
      <c r="G151" s="1658">
        <v>7160</v>
      </c>
      <c r="H151" s="1658">
        <v>1218244</v>
      </c>
      <c r="I151" s="1658">
        <v>8982615130</v>
      </c>
      <c r="J151" s="1658">
        <v>189581091330</v>
      </c>
      <c r="K151" s="1658">
        <v>26077179</v>
      </c>
    </row>
    <row r="152" spans="1:11" x14ac:dyDescent="0.3">
      <c r="A152" s="1657">
        <v>41862</v>
      </c>
      <c r="B152" s="1658">
        <v>7320</v>
      </c>
      <c r="C152" s="1658">
        <v>50</v>
      </c>
      <c r="D152" s="1659">
        <v>0.69</v>
      </c>
      <c r="E152" s="1658">
        <v>7480</v>
      </c>
      <c r="F152" s="1658">
        <v>7670</v>
      </c>
      <c r="G152" s="1658">
        <v>7200</v>
      </c>
      <c r="H152" s="1658">
        <v>813206</v>
      </c>
      <c r="I152" s="1658">
        <v>6005937960</v>
      </c>
      <c r="J152" s="1658">
        <v>190884950280</v>
      </c>
      <c r="K152" s="1658">
        <v>26077179</v>
      </c>
    </row>
    <row r="153" spans="1:11" x14ac:dyDescent="0.3">
      <c r="A153" s="1657">
        <v>41863</v>
      </c>
      <c r="B153" s="1658">
        <v>7860</v>
      </c>
      <c r="C153" s="1658">
        <v>540</v>
      </c>
      <c r="D153" s="1659">
        <v>7.38</v>
      </c>
      <c r="E153" s="1658">
        <v>7350</v>
      </c>
      <c r="F153" s="1658">
        <v>8170</v>
      </c>
      <c r="G153" s="1658">
        <v>7250</v>
      </c>
      <c r="H153" s="1658">
        <v>2894518</v>
      </c>
      <c r="I153" s="1658">
        <v>22526898980</v>
      </c>
      <c r="J153" s="1658">
        <v>204966626940</v>
      </c>
      <c r="K153" s="1658">
        <v>26077179</v>
      </c>
    </row>
    <row r="154" spans="1:11" x14ac:dyDescent="0.3">
      <c r="A154" s="1657">
        <v>41864</v>
      </c>
      <c r="B154" s="1658">
        <v>7400</v>
      </c>
      <c r="C154" s="1658">
        <v>-460</v>
      </c>
      <c r="D154" s="1659">
        <v>-5.85</v>
      </c>
      <c r="E154" s="1658">
        <v>8080</v>
      </c>
      <c r="F154" s="1658">
        <v>8160</v>
      </c>
      <c r="G154" s="1658">
        <v>7330</v>
      </c>
      <c r="H154" s="1658">
        <v>1967969</v>
      </c>
      <c r="I154" s="1658">
        <v>15215176030</v>
      </c>
      <c r="J154" s="1658">
        <v>192971124600</v>
      </c>
      <c r="K154" s="1658">
        <v>26077179</v>
      </c>
    </row>
    <row r="155" spans="1:11" x14ac:dyDescent="0.3">
      <c r="A155" s="1657">
        <v>41865</v>
      </c>
      <c r="B155" s="1658">
        <v>7340</v>
      </c>
      <c r="C155" s="1658">
        <v>-60</v>
      </c>
      <c r="D155" s="1659">
        <v>-0.81</v>
      </c>
      <c r="E155" s="1658">
        <v>7540</v>
      </c>
      <c r="F155" s="1658">
        <v>7540</v>
      </c>
      <c r="G155" s="1658">
        <v>7210</v>
      </c>
      <c r="H155" s="1658">
        <v>861518</v>
      </c>
      <c r="I155" s="1658">
        <v>6343350350</v>
      </c>
      <c r="J155" s="1658">
        <v>191406493860</v>
      </c>
      <c r="K155" s="1658">
        <v>26077179</v>
      </c>
    </row>
    <row r="156" spans="1:11" x14ac:dyDescent="0.3">
      <c r="A156" s="1657">
        <v>41869</v>
      </c>
      <c r="B156" s="1658">
        <v>6520</v>
      </c>
      <c r="C156" s="1658">
        <v>-820</v>
      </c>
      <c r="D156" s="1659">
        <v>-11.17</v>
      </c>
      <c r="E156" s="1658">
        <v>7230</v>
      </c>
      <c r="F156" s="1658">
        <v>7310</v>
      </c>
      <c r="G156" s="1658">
        <v>6440</v>
      </c>
      <c r="H156" s="1658">
        <v>2195530</v>
      </c>
      <c r="I156" s="1658">
        <v>15026875910</v>
      </c>
      <c r="J156" s="1658">
        <v>170023207080</v>
      </c>
      <c r="K156" s="1658">
        <v>26077179</v>
      </c>
    </row>
    <row r="157" spans="1:11" x14ac:dyDescent="0.3">
      <c r="A157" s="1657">
        <v>41870</v>
      </c>
      <c r="B157" s="1658">
        <v>6620</v>
      </c>
      <c r="C157" s="1658">
        <v>100</v>
      </c>
      <c r="D157" s="1659">
        <v>1.53</v>
      </c>
      <c r="E157" s="1658">
        <v>6580</v>
      </c>
      <c r="F157" s="1658">
        <v>6740</v>
      </c>
      <c r="G157" s="1658">
        <v>6210</v>
      </c>
      <c r="H157" s="1658">
        <v>2084963</v>
      </c>
      <c r="I157" s="1658">
        <v>13535088130</v>
      </c>
      <c r="J157" s="1658">
        <v>172630924980</v>
      </c>
      <c r="K157" s="1658">
        <v>26077179</v>
      </c>
    </row>
    <row r="158" spans="1:11" x14ac:dyDescent="0.3">
      <c r="A158" s="1657">
        <v>41871</v>
      </c>
      <c r="B158" s="1658">
        <v>6200</v>
      </c>
      <c r="C158" s="1658">
        <v>-420</v>
      </c>
      <c r="D158" s="1659">
        <v>-6.34</v>
      </c>
      <c r="E158" s="1658">
        <v>6520</v>
      </c>
      <c r="F158" s="1658">
        <v>6600</v>
      </c>
      <c r="G158" s="1658">
        <v>6200</v>
      </c>
      <c r="H158" s="1658">
        <v>1067380</v>
      </c>
      <c r="I158" s="1658">
        <v>6811699300</v>
      </c>
      <c r="J158" s="1658">
        <v>161678509800</v>
      </c>
      <c r="K158" s="1658">
        <v>26077179</v>
      </c>
    </row>
    <row r="159" spans="1:11" x14ac:dyDescent="0.3">
      <c r="A159" s="1657">
        <v>41872</v>
      </c>
      <c r="B159" s="1658">
        <v>6430</v>
      </c>
      <c r="C159" s="1658">
        <v>230</v>
      </c>
      <c r="D159" s="1659">
        <v>3.71</v>
      </c>
      <c r="E159" s="1658">
        <v>6290</v>
      </c>
      <c r="F159" s="1658">
        <v>6850</v>
      </c>
      <c r="G159" s="1658">
        <v>6140</v>
      </c>
      <c r="H159" s="1658">
        <v>2415932</v>
      </c>
      <c r="I159" s="1658">
        <v>15844991370</v>
      </c>
      <c r="J159" s="1658">
        <v>167676260970</v>
      </c>
      <c r="K159" s="1658">
        <v>26077179</v>
      </c>
    </row>
    <row r="160" spans="1:11" x14ac:dyDescent="0.3">
      <c r="A160" s="1657">
        <v>41873</v>
      </c>
      <c r="B160" s="1658">
        <v>6410</v>
      </c>
      <c r="C160" s="1658">
        <v>-20</v>
      </c>
      <c r="D160" s="1659">
        <v>-0.31</v>
      </c>
      <c r="E160" s="1658">
        <v>6460</v>
      </c>
      <c r="F160" s="1658">
        <v>6720</v>
      </c>
      <c r="G160" s="1658">
        <v>6310</v>
      </c>
      <c r="H160" s="1658">
        <v>1011678</v>
      </c>
      <c r="I160" s="1658">
        <v>6580340880</v>
      </c>
      <c r="J160" s="1658">
        <v>167154717390</v>
      </c>
      <c r="K160" s="1658">
        <v>26077179</v>
      </c>
    </row>
    <row r="161" spans="1:11" x14ac:dyDescent="0.3">
      <c r="A161" s="1657">
        <v>41876</v>
      </c>
      <c r="B161" s="1658">
        <v>5810</v>
      </c>
      <c r="C161" s="1658">
        <v>-600</v>
      </c>
      <c r="D161" s="1659">
        <v>-9.36</v>
      </c>
      <c r="E161" s="1658">
        <v>6410</v>
      </c>
      <c r="F161" s="1658">
        <v>6510</v>
      </c>
      <c r="G161" s="1658">
        <v>5770</v>
      </c>
      <c r="H161" s="1658">
        <v>1277964</v>
      </c>
      <c r="I161" s="1658">
        <v>7830454300</v>
      </c>
      <c r="J161" s="1658">
        <v>151508409990</v>
      </c>
      <c r="K161" s="1658">
        <v>26077179</v>
      </c>
    </row>
    <row r="162" spans="1:11" x14ac:dyDescent="0.3">
      <c r="A162" s="1657">
        <v>41877</v>
      </c>
      <c r="B162" s="1658">
        <v>5800</v>
      </c>
      <c r="C162" s="1658">
        <v>-10</v>
      </c>
      <c r="D162" s="1659">
        <v>-0.17</v>
      </c>
      <c r="E162" s="1658">
        <v>5800</v>
      </c>
      <c r="F162" s="1658">
        <v>5980</v>
      </c>
      <c r="G162" s="1658">
        <v>5540</v>
      </c>
      <c r="H162" s="1658">
        <v>1384443</v>
      </c>
      <c r="I162" s="1658">
        <v>8013356640</v>
      </c>
      <c r="J162" s="1658">
        <v>151247638200</v>
      </c>
      <c r="K162" s="1658">
        <v>26077179</v>
      </c>
    </row>
    <row r="163" spans="1:11" x14ac:dyDescent="0.3">
      <c r="A163" s="1657">
        <v>41878</v>
      </c>
      <c r="B163" s="1658">
        <v>5650</v>
      </c>
      <c r="C163" s="1658">
        <v>-150</v>
      </c>
      <c r="D163" s="1659">
        <v>-2.59</v>
      </c>
      <c r="E163" s="1658">
        <v>5960</v>
      </c>
      <c r="F163" s="1658">
        <v>6070</v>
      </c>
      <c r="G163" s="1658">
        <v>5610</v>
      </c>
      <c r="H163" s="1658">
        <v>1072336</v>
      </c>
      <c r="I163" s="1658">
        <v>6212076100</v>
      </c>
      <c r="J163" s="1658">
        <v>147336061350</v>
      </c>
      <c r="K163" s="1658">
        <v>26077179</v>
      </c>
    </row>
    <row r="164" spans="1:11" x14ac:dyDescent="0.3">
      <c r="A164" s="1657">
        <v>41879</v>
      </c>
      <c r="B164" s="1658">
        <v>5550</v>
      </c>
      <c r="C164" s="1658">
        <v>-100</v>
      </c>
      <c r="D164" s="1659">
        <v>-1.77</v>
      </c>
      <c r="E164" s="1658">
        <v>5650</v>
      </c>
      <c r="F164" s="1658">
        <v>5650</v>
      </c>
      <c r="G164" s="1658">
        <v>5320</v>
      </c>
      <c r="H164" s="1658">
        <v>1629912</v>
      </c>
      <c r="I164" s="1658">
        <v>8909606850</v>
      </c>
      <c r="J164" s="1658">
        <v>144728343450</v>
      </c>
      <c r="K164" s="1658">
        <v>26077179</v>
      </c>
    </row>
    <row r="165" spans="1:11" x14ac:dyDescent="0.3">
      <c r="A165" s="1657">
        <v>41880</v>
      </c>
      <c r="B165" s="1658">
        <v>6380</v>
      </c>
      <c r="C165" s="1658">
        <v>830</v>
      </c>
      <c r="D165" s="1659">
        <v>14.95</v>
      </c>
      <c r="E165" s="1658">
        <v>5660</v>
      </c>
      <c r="F165" s="1658">
        <v>6380</v>
      </c>
      <c r="G165" s="1658">
        <v>5660</v>
      </c>
      <c r="H165" s="1658">
        <v>5198203</v>
      </c>
      <c r="I165" s="1658">
        <v>31904646210</v>
      </c>
      <c r="J165" s="1658">
        <v>166372402020</v>
      </c>
      <c r="K165" s="1658">
        <v>26077179</v>
      </c>
    </row>
    <row r="166" spans="1:11" x14ac:dyDescent="0.3">
      <c r="A166" s="1657">
        <v>41883</v>
      </c>
      <c r="B166" s="1658">
        <v>6510</v>
      </c>
      <c r="C166" s="1658">
        <v>130</v>
      </c>
      <c r="D166" s="1659">
        <v>2.04</v>
      </c>
      <c r="E166" s="1658">
        <v>6650</v>
      </c>
      <c r="F166" s="1658">
        <v>6870</v>
      </c>
      <c r="G166" s="1658">
        <v>6400</v>
      </c>
      <c r="H166" s="1658">
        <v>2924130</v>
      </c>
      <c r="I166" s="1658">
        <v>19335842260</v>
      </c>
      <c r="J166" s="1658">
        <v>169762435290</v>
      </c>
      <c r="K166" s="1658">
        <v>26077179</v>
      </c>
    </row>
    <row r="167" spans="1:11" x14ac:dyDescent="0.3">
      <c r="A167" s="1657">
        <v>41884</v>
      </c>
      <c r="B167" s="1658">
        <v>6050</v>
      </c>
      <c r="C167" s="1658">
        <v>-460</v>
      </c>
      <c r="D167" s="1659">
        <v>-7.07</v>
      </c>
      <c r="E167" s="1658">
        <v>6360</v>
      </c>
      <c r="F167" s="1658">
        <v>6500</v>
      </c>
      <c r="G167" s="1658">
        <v>6030</v>
      </c>
      <c r="H167" s="1658">
        <v>1458031</v>
      </c>
      <c r="I167" s="1658">
        <v>8994200850</v>
      </c>
      <c r="J167" s="1658">
        <v>157766932950</v>
      </c>
      <c r="K167" s="1658">
        <v>26077179</v>
      </c>
    </row>
    <row r="168" spans="1:11" x14ac:dyDescent="0.3">
      <c r="A168" s="1657">
        <v>41885</v>
      </c>
      <c r="B168" s="1658">
        <v>5840</v>
      </c>
      <c r="C168" s="1658">
        <v>-210</v>
      </c>
      <c r="D168" s="1659">
        <v>-3.47</v>
      </c>
      <c r="E168" s="1658">
        <v>5990</v>
      </c>
      <c r="F168" s="1658">
        <v>5990</v>
      </c>
      <c r="G168" s="1658">
        <v>5720</v>
      </c>
      <c r="H168" s="1658">
        <v>1178268</v>
      </c>
      <c r="I168" s="1658">
        <v>6845580840</v>
      </c>
      <c r="J168" s="1658">
        <v>152290725360</v>
      </c>
      <c r="K168" s="1658">
        <v>26077179</v>
      </c>
    </row>
    <row r="169" spans="1:11" x14ac:dyDescent="0.3">
      <c r="A169" s="1657">
        <v>41886</v>
      </c>
      <c r="B169" s="1658">
        <v>5500</v>
      </c>
      <c r="C169" s="1658">
        <v>-340</v>
      </c>
      <c r="D169" s="1659">
        <v>-5.82</v>
      </c>
      <c r="E169" s="1658">
        <v>5890</v>
      </c>
      <c r="F169" s="1658">
        <v>6020</v>
      </c>
      <c r="G169" s="1658">
        <v>5470</v>
      </c>
      <c r="H169" s="1658">
        <v>1250849</v>
      </c>
      <c r="I169" s="1658">
        <v>7108432810</v>
      </c>
      <c r="J169" s="1658">
        <v>143424484500</v>
      </c>
      <c r="K169" s="1658">
        <v>26077179</v>
      </c>
    </row>
    <row r="170" spans="1:11" x14ac:dyDescent="0.3">
      <c r="A170" s="1657">
        <v>41887</v>
      </c>
      <c r="B170" s="1658">
        <v>5510</v>
      </c>
      <c r="C170" s="1658">
        <v>10</v>
      </c>
      <c r="D170" s="1659">
        <v>0.18</v>
      </c>
      <c r="E170" s="1658">
        <v>5350</v>
      </c>
      <c r="F170" s="1658">
        <v>5830</v>
      </c>
      <c r="G170" s="1658">
        <v>5240</v>
      </c>
      <c r="H170" s="1658">
        <v>1308078</v>
      </c>
      <c r="I170" s="1658">
        <v>7287704120</v>
      </c>
      <c r="J170" s="1658">
        <v>143685256290</v>
      </c>
      <c r="K170" s="1658">
        <v>26077179</v>
      </c>
    </row>
    <row r="171" spans="1:11" x14ac:dyDescent="0.3">
      <c r="A171" s="1657">
        <v>41893</v>
      </c>
      <c r="B171" s="1658">
        <v>5480</v>
      </c>
      <c r="C171" s="1658">
        <v>-30</v>
      </c>
      <c r="D171" s="1659">
        <v>-0.54</v>
      </c>
      <c r="E171" s="1658">
        <v>5510</v>
      </c>
      <c r="F171" s="1658">
        <v>5670</v>
      </c>
      <c r="G171" s="1658">
        <v>5390</v>
      </c>
      <c r="H171" s="1658">
        <v>729203</v>
      </c>
      <c r="I171" s="1658">
        <v>4016228030</v>
      </c>
      <c r="J171" s="1658">
        <v>142902940920</v>
      </c>
      <c r="K171" s="1658">
        <v>26077179</v>
      </c>
    </row>
    <row r="172" spans="1:11" x14ac:dyDescent="0.3">
      <c r="A172" s="1657">
        <v>41894</v>
      </c>
      <c r="B172" s="1658">
        <v>5490</v>
      </c>
      <c r="C172" s="1658">
        <v>10</v>
      </c>
      <c r="D172" s="1659">
        <v>0.18</v>
      </c>
      <c r="E172" s="1658">
        <v>5460</v>
      </c>
      <c r="F172" s="1658">
        <v>5720</v>
      </c>
      <c r="G172" s="1658">
        <v>5450</v>
      </c>
      <c r="H172" s="1658">
        <v>805678</v>
      </c>
      <c r="I172" s="1658">
        <v>4489480950</v>
      </c>
      <c r="J172" s="1658">
        <v>143163712710</v>
      </c>
      <c r="K172" s="1658">
        <v>26077179</v>
      </c>
    </row>
    <row r="173" spans="1:11" x14ac:dyDescent="0.3">
      <c r="A173" s="1657">
        <v>41897</v>
      </c>
      <c r="B173" s="1658">
        <v>5090</v>
      </c>
      <c r="C173" s="1658">
        <v>-400</v>
      </c>
      <c r="D173" s="1659">
        <v>-7.29</v>
      </c>
      <c r="E173" s="1658">
        <v>5470</v>
      </c>
      <c r="F173" s="1658">
        <v>5470</v>
      </c>
      <c r="G173" s="1658">
        <v>4980</v>
      </c>
      <c r="H173" s="1658">
        <v>1263731</v>
      </c>
      <c r="I173" s="1658">
        <v>6520453290</v>
      </c>
      <c r="J173" s="1658">
        <v>132732841110</v>
      </c>
      <c r="K173" s="1658">
        <v>26077179</v>
      </c>
    </row>
    <row r="174" spans="1:11" x14ac:dyDescent="0.3">
      <c r="A174" s="1657">
        <v>41898</v>
      </c>
      <c r="B174" s="1658">
        <v>5190</v>
      </c>
      <c r="C174" s="1658">
        <v>100</v>
      </c>
      <c r="D174" s="1659">
        <v>1.96</v>
      </c>
      <c r="E174" s="1658">
        <v>5230</v>
      </c>
      <c r="F174" s="1658">
        <v>5460</v>
      </c>
      <c r="G174" s="1658">
        <v>5120</v>
      </c>
      <c r="H174" s="1658">
        <v>1037339</v>
      </c>
      <c r="I174" s="1658">
        <v>5480255590</v>
      </c>
      <c r="J174" s="1658">
        <v>135340559010</v>
      </c>
      <c r="K174" s="1658">
        <v>26077179</v>
      </c>
    </row>
    <row r="175" spans="1:11" x14ac:dyDescent="0.3">
      <c r="A175" s="1657">
        <v>41899</v>
      </c>
      <c r="B175" s="1658">
        <v>5460</v>
      </c>
      <c r="C175" s="1658">
        <v>270</v>
      </c>
      <c r="D175" s="1659">
        <v>5.2</v>
      </c>
      <c r="E175" s="1658">
        <v>5250</v>
      </c>
      <c r="F175" s="1658">
        <v>5590</v>
      </c>
      <c r="G175" s="1658">
        <v>5140</v>
      </c>
      <c r="H175" s="1658">
        <v>1276095</v>
      </c>
      <c r="I175" s="1658">
        <v>6882067820</v>
      </c>
      <c r="J175" s="1658">
        <v>142425077340</v>
      </c>
      <c r="K175" s="1658">
        <v>26085179</v>
      </c>
    </row>
    <row r="176" spans="1:11" x14ac:dyDescent="0.3">
      <c r="A176" s="1657">
        <v>41900</v>
      </c>
      <c r="B176" s="1658">
        <v>5250</v>
      </c>
      <c r="C176" s="1658">
        <v>-210</v>
      </c>
      <c r="D176" s="1659">
        <v>-3.85</v>
      </c>
      <c r="E176" s="1658">
        <v>5600</v>
      </c>
      <c r="F176" s="1658">
        <v>5620</v>
      </c>
      <c r="G176" s="1658">
        <v>5250</v>
      </c>
      <c r="H176" s="1658">
        <v>716997</v>
      </c>
      <c r="I176" s="1658">
        <v>3829553680</v>
      </c>
      <c r="J176" s="1658">
        <v>136947189750</v>
      </c>
      <c r="K176" s="1658">
        <v>26085179</v>
      </c>
    </row>
    <row r="177" spans="1:11" x14ac:dyDescent="0.3">
      <c r="A177" s="1657">
        <v>41901</v>
      </c>
      <c r="B177" s="1658">
        <v>5370</v>
      </c>
      <c r="C177" s="1658">
        <v>120</v>
      </c>
      <c r="D177" s="1659">
        <v>2.29</v>
      </c>
      <c r="E177" s="1658">
        <v>5320</v>
      </c>
      <c r="F177" s="1658">
        <v>5450</v>
      </c>
      <c r="G177" s="1658">
        <v>5250</v>
      </c>
      <c r="H177" s="1658">
        <v>493719</v>
      </c>
      <c r="I177" s="1658">
        <v>2630830730</v>
      </c>
      <c r="J177" s="1658">
        <v>140077411230</v>
      </c>
      <c r="K177" s="1658">
        <v>26085179</v>
      </c>
    </row>
    <row r="178" spans="1:11" x14ac:dyDescent="0.3">
      <c r="A178" s="1657">
        <v>41904</v>
      </c>
      <c r="B178" s="1658">
        <v>6170</v>
      </c>
      <c r="C178" s="1658">
        <v>800</v>
      </c>
      <c r="D178" s="1659">
        <v>14.9</v>
      </c>
      <c r="E178" s="1658">
        <v>5380</v>
      </c>
      <c r="F178" s="1658">
        <v>6170</v>
      </c>
      <c r="G178" s="1658">
        <v>5350</v>
      </c>
      <c r="H178" s="1658">
        <v>4594854</v>
      </c>
      <c r="I178" s="1658">
        <v>27058746250</v>
      </c>
      <c r="J178" s="1658">
        <v>160945554430</v>
      </c>
      <c r="K178" s="1658">
        <v>26085179</v>
      </c>
    </row>
    <row r="179" spans="1:11" x14ac:dyDescent="0.3">
      <c r="A179" s="1657">
        <v>41905</v>
      </c>
      <c r="B179" s="1658">
        <v>5720</v>
      </c>
      <c r="C179" s="1658">
        <v>-450</v>
      </c>
      <c r="D179" s="1659">
        <v>-7.29</v>
      </c>
      <c r="E179" s="1658">
        <v>6170</v>
      </c>
      <c r="F179" s="1658">
        <v>6180</v>
      </c>
      <c r="G179" s="1658">
        <v>5700</v>
      </c>
      <c r="H179" s="1658">
        <v>2664883</v>
      </c>
      <c r="I179" s="1658">
        <v>15817764430</v>
      </c>
      <c r="J179" s="1658">
        <v>149207223880</v>
      </c>
      <c r="K179" s="1658">
        <v>26085179</v>
      </c>
    </row>
    <row r="180" spans="1:11" x14ac:dyDescent="0.3">
      <c r="A180" s="1657">
        <v>41906</v>
      </c>
      <c r="B180" s="1658">
        <v>5900</v>
      </c>
      <c r="C180" s="1658">
        <v>180</v>
      </c>
      <c r="D180" s="1659">
        <v>3.15</v>
      </c>
      <c r="E180" s="1658">
        <v>5770</v>
      </c>
      <c r="F180" s="1658">
        <v>6000</v>
      </c>
      <c r="G180" s="1658">
        <v>5740</v>
      </c>
      <c r="H180" s="1658">
        <v>1202146</v>
      </c>
      <c r="I180" s="1658">
        <v>7077066480</v>
      </c>
      <c r="J180" s="1658">
        <v>153902556100</v>
      </c>
      <c r="K180" s="1658">
        <v>26085179</v>
      </c>
    </row>
    <row r="181" spans="1:11" x14ac:dyDescent="0.3">
      <c r="A181" s="1657">
        <v>41907</v>
      </c>
      <c r="B181" s="1658">
        <v>5530</v>
      </c>
      <c r="C181" s="1658">
        <v>-370</v>
      </c>
      <c r="D181" s="1659">
        <v>-6.27</v>
      </c>
      <c r="E181" s="1658">
        <v>5920</v>
      </c>
      <c r="F181" s="1658">
        <v>5960</v>
      </c>
      <c r="G181" s="1658">
        <v>5530</v>
      </c>
      <c r="H181" s="1658">
        <v>1147034</v>
      </c>
      <c r="I181" s="1658">
        <v>6560397200</v>
      </c>
      <c r="J181" s="1658">
        <v>144251039870</v>
      </c>
      <c r="K181" s="1658">
        <v>26085179</v>
      </c>
    </row>
    <row r="182" spans="1:11" x14ac:dyDescent="0.3">
      <c r="A182" s="1657">
        <v>41908</v>
      </c>
      <c r="B182" s="1658">
        <v>5530</v>
      </c>
      <c r="C182" s="1658">
        <v>0</v>
      </c>
      <c r="D182" s="1659">
        <v>0</v>
      </c>
      <c r="E182" s="1658">
        <v>5450</v>
      </c>
      <c r="F182" s="1658">
        <v>5690</v>
      </c>
      <c r="G182" s="1658">
        <v>5310</v>
      </c>
      <c r="H182" s="1658">
        <v>706486</v>
      </c>
      <c r="I182" s="1658">
        <v>3916453620</v>
      </c>
      <c r="J182" s="1658">
        <v>144251039870</v>
      </c>
      <c r="K182" s="1658">
        <v>26085179</v>
      </c>
    </row>
    <row r="183" spans="1:11" x14ac:dyDescent="0.3">
      <c r="A183" s="1657">
        <v>41911</v>
      </c>
      <c r="B183" s="1658">
        <v>5730</v>
      </c>
      <c r="C183" s="1658">
        <v>200</v>
      </c>
      <c r="D183" s="1659">
        <v>3.62</v>
      </c>
      <c r="E183" s="1658">
        <v>5580</v>
      </c>
      <c r="F183" s="1658">
        <v>5840</v>
      </c>
      <c r="G183" s="1658">
        <v>5530</v>
      </c>
      <c r="H183" s="1658">
        <v>913371</v>
      </c>
      <c r="I183" s="1658">
        <v>5212809940</v>
      </c>
      <c r="J183" s="1658">
        <v>149468075670</v>
      </c>
      <c r="K183" s="1658">
        <v>26085179</v>
      </c>
    </row>
    <row r="184" spans="1:11" x14ac:dyDescent="0.3">
      <c r="A184" s="1657">
        <v>41912</v>
      </c>
      <c r="B184" s="1658">
        <v>5970</v>
      </c>
      <c r="C184" s="1658">
        <v>240</v>
      </c>
      <c r="D184" s="1659">
        <v>4.1900000000000004</v>
      </c>
      <c r="E184" s="1658">
        <v>5770</v>
      </c>
      <c r="F184" s="1658">
        <v>6190</v>
      </c>
      <c r="G184" s="1658">
        <v>5680</v>
      </c>
      <c r="H184" s="1658">
        <v>2417183</v>
      </c>
      <c r="I184" s="1658">
        <v>14483256010</v>
      </c>
      <c r="J184" s="1658">
        <v>155728518630</v>
      </c>
      <c r="K184" s="1658">
        <v>26085179</v>
      </c>
    </row>
    <row r="185" spans="1:11" x14ac:dyDescent="0.3">
      <c r="A185" s="1657">
        <v>41913</v>
      </c>
      <c r="B185" s="1658">
        <v>5710</v>
      </c>
      <c r="C185" s="1658">
        <v>-260</v>
      </c>
      <c r="D185" s="1659">
        <v>-4.3600000000000003</v>
      </c>
      <c r="E185" s="1658">
        <v>5910</v>
      </c>
      <c r="F185" s="1658">
        <v>5970</v>
      </c>
      <c r="G185" s="1658">
        <v>5690</v>
      </c>
      <c r="H185" s="1658">
        <v>708189</v>
      </c>
      <c r="I185" s="1658">
        <v>4101979180</v>
      </c>
      <c r="J185" s="1658">
        <v>148946372090</v>
      </c>
      <c r="K185" s="1658">
        <v>26085179</v>
      </c>
    </row>
    <row r="186" spans="1:11" x14ac:dyDescent="0.3">
      <c r="A186" s="1657">
        <v>41914</v>
      </c>
      <c r="B186" s="1658">
        <v>6020</v>
      </c>
      <c r="C186" s="1658">
        <v>310</v>
      </c>
      <c r="D186" s="1659">
        <v>5.43</v>
      </c>
      <c r="E186" s="1658">
        <v>5860</v>
      </c>
      <c r="F186" s="1658">
        <v>6250</v>
      </c>
      <c r="G186" s="1658">
        <v>5860</v>
      </c>
      <c r="H186" s="1658">
        <v>1826349</v>
      </c>
      <c r="I186" s="1658">
        <v>11113117000</v>
      </c>
      <c r="J186" s="1658">
        <v>157032777580</v>
      </c>
      <c r="K186" s="1658">
        <v>26085179</v>
      </c>
    </row>
    <row r="187" spans="1:11" x14ac:dyDescent="0.3">
      <c r="A187" s="1657">
        <v>41918</v>
      </c>
      <c r="B187" s="1658">
        <v>6050</v>
      </c>
      <c r="C187" s="1658">
        <v>30</v>
      </c>
      <c r="D187" s="1659">
        <v>0.5</v>
      </c>
      <c r="E187" s="1658">
        <v>6190</v>
      </c>
      <c r="F187" s="1658">
        <v>6260</v>
      </c>
      <c r="G187" s="1658">
        <v>5950</v>
      </c>
      <c r="H187" s="1658">
        <v>784614</v>
      </c>
      <c r="I187" s="1658">
        <v>4790584620</v>
      </c>
      <c r="J187" s="1658">
        <v>157815332950</v>
      </c>
      <c r="K187" s="1658">
        <v>26085179</v>
      </c>
    </row>
    <row r="188" spans="1:11" x14ac:dyDescent="0.3">
      <c r="A188" s="1657">
        <v>41919</v>
      </c>
      <c r="B188" s="1658">
        <v>6130</v>
      </c>
      <c r="C188" s="1658">
        <v>80</v>
      </c>
      <c r="D188" s="1659">
        <v>1.32</v>
      </c>
      <c r="E188" s="1658">
        <v>6010</v>
      </c>
      <c r="F188" s="1658">
        <v>6160</v>
      </c>
      <c r="G188" s="1658">
        <v>5980</v>
      </c>
      <c r="H188" s="1658">
        <v>581350</v>
      </c>
      <c r="I188" s="1658">
        <v>3528916710</v>
      </c>
      <c r="J188" s="1658">
        <v>159902147270</v>
      </c>
      <c r="K188" s="1658">
        <v>26085179</v>
      </c>
    </row>
    <row r="189" spans="1:11" x14ac:dyDescent="0.3">
      <c r="A189" s="1657">
        <v>41920</v>
      </c>
      <c r="B189" s="1658">
        <v>6090</v>
      </c>
      <c r="C189" s="1658">
        <v>-40</v>
      </c>
      <c r="D189" s="1659">
        <v>-0.65</v>
      </c>
      <c r="E189" s="1658">
        <v>6300</v>
      </c>
      <c r="F189" s="1658">
        <v>6580</v>
      </c>
      <c r="G189" s="1658">
        <v>6080</v>
      </c>
      <c r="H189" s="1658">
        <v>1577692</v>
      </c>
      <c r="I189" s="1658">
        <v>9926790250</v>
      </c>
      <c r="J189" s="1658">
        <v>158858740110</v>
      </c>
      <c r="K189" s="1658">
        <v>26085179</v>
      </c>
    </row>
    <row r="190" spans="1:11" x14ac:dyDescent="0.3">
      <c r="A190" s="1657">
        <v>41922</v>
      </c>
      <c r="B190" s="1658">
        <v>6220</v>
      </c>
      <c r="C190" s="1658">
        <v>130</v>
      </c>
      <c r="D190" s="1659">
        <v>2.13</v>
      </c>
      <c r="E190" s="1658">
        <v>6250</v>
      </c>
      <c r="F190" s="1658">
        <v>6420</v>
      </c>
      <c r="G190" s="1658">
        <v>6080</v>
      </c>
      <c r="H190" s="1658">
        <v>1202686</v>
      </c>
      <c r="I190" s="1658">
        <v>7497118910</v>
      </c>
      <c r="J190" s="1658">
        <v>162249813380</v>
      </c>
      <c r="K190" s="1658">
        <v>26085179</v>
      </c>
    </row>
    <row r="191" spans="1:11" x14ac:dyDescent="0.3">
      <c r="A191" s="1657">
        <v>41925</v>
      </c>
      <c r="B191" s="1658">
        <v>5500</v>
      </c>
      <c r="C191" s="1658">
        <v>-720</v>
      </c>
      <c r="D191" s="1659">
        <v>-11.58</v>
      </c>
      <c r="E191" s="1658">
        <v>6160</v>
      </c>
      <c r="F191" s="1658">
        <v>6170</v>
      </c>
      <c r="G191" s="1658">
        <v>5380</v>
      </c>
      <c r="H191" s="1658">
        <v>1188838</v>
      </c>
      <c r="I191" s="1658">
        <v>6719703910</v>
      </c>
      <c r="J191" s="1658">
        <v>143468484500</v>
      </c>
      <c r="K191" s="1658">
        <v>26085179</v>
      </c>
    </row>
    <row r="192" spans="1:11" x14ac:dyDescent="0.3">
      <c r="A192" s="1657">
        <v>41926</v>
      </c>
      <c r="B192" s="1658">
        <v>5480</v>
      </c>
      <c r="C192" s="1658">
        <v>-20</v>
      </c>
      <c r="D192" s="1659">
        <v>-0.36</v>
      </c>
      <c r="E192" s="1658">
        <v>5390</v>
      </c>
      <c r="F192" s="1658">
        <v>5590</v>
      </c>
      <c r="G192" s="1658">
        <v>5230</v>
      </c>
      <c r="H192" s="1658">
        <v>498606</v>
      </c>
      <c r="I192" s="1658">
        <v>2727067840</v>
      </c>
      <c r="J192" s="1658">
        <v>142946780920</v>
      </c>
      <c r="K192" s="1658">
        <v>26085179</v>
      </c>
    </row>
    <row r="193" spans="1:11" x14ac:dyDescent="0.3">
      <c r="A193" s="1657">
        <v>41927</v>
      </c>
      <c r="B193" s="1658">
        <v>5250</v>
      </c>
      <c r="C193" s="1658">
        <v>-230</v>
      </c>
      <c r="D193" s="1659">
        <v>-4.2</v>
      </c>
      <c r="E193" s="1658">
        <v>5480</v>
      </c>
      <c r="F193" s="1658">
        <v>5520</v>
      </c>
      <c r="G193" s="1658">
        <v>5220</v>
      </c>
      <c r="H193" s="1658">
        <v>610970</v>
      </c>
      <c r="I193" s="1658">
        <v>3251626340</v>
      </c>
      <c r="J193" s="1658">
        <v>136947189750</v>
      </c>
      <c r="K193" s="1658">
        <v>26085179</v>
      </c>
    </row>
    <row r="194" spans="1:11" x14ac:dyDescent="0.3">
      <c r="A194" s="1657">
        <v>41928</v>
      </c>
      <c r="B194" s="1658">
        <v>5300</v>
      </c>
      <c r="C194" s="1658">
        <v>50</v>
      </c>
      <c r="D194" s="1659">
        <v>0.95</v>
      </c>
      <c r="E194" s="1658">
        <v>5190</v>
      </c>
      <c r="F194" s="1658">
        <v>5400</v>
      </c>
      <c r="G194" s="1658">
        <v>5040</v>
      </c>
      <c r="H194" s="1658">
        <v>525509</v>
      </c>
      <c r="I194" s="1658">
        <v>2746501360</v>
      </c>
      <c r="J194" s="1658">
        <v>138251448700</v>
      </c>
      <c r="K194" s="1658">
        <v>26085179</v>
      </c>
    </row>
    <row r="195" spans="1:11" x14ac:dyDescent="0.3">
      <c r="A195" s="1657">
        <v>41929</v>
      </c>
      <c r="B195" s="1658">
        <v>5180</v>
      </c>
      <c r="C195" s="1658">
        <v>-120</v>
      </c>
      <c r="D195" s="1659">
        <v>-2.2599999999999998</v>
      </c>
      <c r="E195" s="1658">
        <v>5300</v>
      </c>
      <c r="F195" s="1658">
        <v>5310</v>
      </c>
      <c r="G195" s="1658">
        <v>4950</v>
      </c>
      <c r="H195" s="1658">
        <v>755574</v>
      </c>
      <c r="I195" s="1658">
        <v>3880431460</v>
      </c>
      <c r="J195" s="1658">
        <v>135121227220</v>
      </c>
      <c r="K195" s="1658">
        <v>26085179</v>
      </c>
    </row>
    <row r="196" spans="1:11" x14ac:dyDescent="0.3">
      <c r="A196" s="1657">
        <v>41932</v>
      </c>
      <c r="B196" s="1658">
        <v>5060</v>
      </c>
      <c r="C196" s="1658">
        <v>-120</v>
      </c>
      <c r="D196" s="1659">
        <v>-2.3199999999999998</v>
      </c>
      <c r="E196" s="1658">
        <v>5100</v>
      </c>
      <c r="F196" s="1658">
        <v>5190</v>
      </c>
      <c r="G196" s="1658">
        <v>5000</v>
      </c>
      <c r="H196" s="1658">
        <v>426512</v>
      </c>
      <c r="I196" s="1658">
        <v>2165289390</v>
      </c>
      <c r="J196" s="1658">
        <v>131991005740</v>
      </c>
      <c r="K196" s="1658">
        <v>26085179</v>
      </c>
    </row>
    <row r="197" spans="1:11" x14ac:dyDescent="0.3">
      <c r="A197" s="1657">
        <v>41933</v>
      </c>
      <c r="B197" s="1658">
        <v>5060</v>
      </c>
      <c r="C197" s="1658">
        <v>0</v>
      </c>
      <c r="D197" s="1659">
        <v>0</v>
      </c>
      <c r="E197" s="1658">
        <v>5050</v>
      </c>
      <c r="F197" s="1658">
        <v>5280</v>
      </c>
      <c r="G197" s="1658">
        <v>4995</v>
      </c>
      <c r="H197" s="1658">
        <v>505792</v>
      </c>
      <c r="I197" s="1658">
        <v>2605191105</v>
      </c>
      <c r="J197" s="1658">
        <v>131991005740</v>
      </c>
      <c r="K197" s="1658">
        <v>26085179</v>
      </c>
    </row>
    <row r="198" spans="1:11" x14ac:dyDescent="0.3">
      <c r="A198" s="1657">
        <v>41934</v>
      </c>
      <c r="B198" s="1658">
        <v>5030</v>
      </c>
      <c r="C198" s="1658">
        <v>-30</v>
      </c>
      <c r="D198" s="1659">
        <v>-0.59</v>
      </c>
      <c r="E198" s="1658">
        <v>5110</v>
      </c>
      <c r="F198" s="1658">
        <v>5150</v>
      </c>
      <c r="G198" s="1658">
        <v>5010</v>
      </c>
      <c r="H198" s="1658">
        <v>368803</v>
      </c>
      <c r="I198" s="1658">
        <v>1864047880</v>
      </c>
      <c r="J198" s="1658">
        <v>131208450370</v>
      </c>
      <c r="K198" s="1658">
        <v>26085179</v>
      </c>
    </row>
    <row r="199" spans="1:11" x14ac:dyDescent="0.3">
      <c r="A199" s="1657">
        <v>41935</v>
      </c>
      <c r="B199" s="1658">
        <v>4940</v>
      </c>
      <c r="C199" s="1658">
        <v>-90</v>
      </c>
      <c r="D199" s="1659">
        <v>-1.79</v>
      </c>
      <c r="E199" s="1658">
        <v>5010</v>
      </c>
      <c r="F199" s="1658">
        <v>5200</v>
      </c>
      <c r="G199" s="1658">
        <v>4930</v>
      </c>
      <c r="H199" s="1658">
        <v>488858</v>
      </c>
      <c r="I199" s="1658">
        <v>2461348690</v>
      </c>
      <c r="J199" s="1658">
        <v>128860784260</v>
      </c>
      <c r="K199" s="1658">
        <v>26085179</v>
      </c>
    </row>
    <row r="200" spans="1:11" x14ac:dyDescent="0.3">
      <c r="A200" s="1657">
        <v>41936</v>
      </c>
      <c r="B200" s="1658">
        <v>4745</v>
      </c>
      <c r="C200" s="1658">
        <v>-195</v>
      </c>
      <c r="D200" s="1659">
        <v>-3.95</v>
      </c>
      <c r="E200" s="1658">
        <v>4880</v>
      </c>
      <c r="F200" s="1658">
        <v>4940</v>
      </c>
      <c r="G200" s="1658">
        <v>4560</v>
      </c>
      <c r="H200" s="1658">
        <v>571350</v>
      </c>
      <c r="I200" s="1658">
        <v>2711544710</v>
      </c>
      <c r="J200" s="1658">
        <v>123774174355</v>
      </c>
      <c r="K200" s="1658">
        <v>26085179</v>
      </c>
    </row>
    <row r="201" spans="1:11" x14ac:dyDescent="0.3">
      <c r="A201" s="1657">
        <v>41939</v>
      </c>
      <c r="B201" s="1658">
        <v>4700</v>
      </c>
      <c r="C201" s="1658">
        <v>-45</v>
      </c>
      <c r="D201" s="1659">
        <v>-0.95</v>
      </c>
      <c r="E201" s="1658">
        <v>4715</v>
      </c>
      <c r="F201" s="1658">
        <v>4870</v>
      </c>
      <c r="G201" s="1658">
        <v>4580</v>
      </c>
      <c r="H201" s="1658">
        <v>368512</v>
      </c>
      <c r="I201" s="1658">
        <v>1736680005</v>
      </c>
      <c r="J201" s="1658">
        <v>122600341300</v>
      </c>
      <c r="K201" s="1658">
        <v>26085179</v>
      </c>
    </row>
    <row r="202" spans="1:11" x14ac:dyDescent="0.3">
      <c r="A202" s="1657">
        <v>41940</v>
      </c>
      <c r="B202" s="1658">
        <v>4710</v>
      </c>
      <c r="C202" s="1658">
        <v>10</v>
      </c>
      <c r="D202" s="1659">
        <v>0.21</v>
      </c>
      <c r="E202" s="1658">
        <v>4725</v>
      </c>
      <c r="F202" s="1658">
        <v>4965</v>
      </c>
      <c r="G202" s="1658">
        <v>4665</v>
      </c>
      <c r="H202" s="1658">
        <v>363006</v>
      </c>
      <c r="I202" s="1658">
        <v>1739379145</v>
      </c>
      <c r="J202" s="1658">
        <v>122861193090</v>
      </c>
      <c r="K202" s="1658">
        <v>26085179</v>
      </c>
    </row>
    <row r="203" spans="1:11" x14ac:dyDescent="0.3">
      <c r="A203" s="1657">
        <v>41941</v>
      </c>
      <c r="B203" s="1658">
        <v>4850</v>
      </c>
      <c r="C203" s="1658">
        <v>140</v>
      </c>
      <c r="D203" s="1659">
        <v>2.97</v>
      </c>
      <c r="E203" s="1658">
        <v>4760</v>
      </c>
      <c r="F203" s="1658">
        <v>4920</v>
      </c>
      <c r="G203" s="1658">
        <v>4655</v>
      </c>
      <c r="H203" s="1658">
        <v>411956</v>
      </c>
      <c r="I203" s="1658">
        <v>1967124760</v>
      </c>
      <c r="J203" s="1658">
        <v>126513118150</v>
      </c>
      <c r="K203" s="1658">
        <v>26085179</v>
      </c>
    </row>
    <row r="204" spans="1:11" x14ac:dyDescent="0.3">
      <c r="A204" s="1657">
        <v>41942</v>
      </c>
      <c r="B204" s="1658">
        <v>4655</v>
      </c>
      <c r="C204" s="1658">
        <v>-195</v>
      </c>
      <c r="D204" s="1659">
        <v>-4.0199999999999996</v>
      </c>
      <c r="E204" s="1658">
        <v>4905</v>
      </c>
      <c r="F204" s="1658">
        <v>4910</v>
      </c>
      <c r="G204" s="1658">
        <v>4600</v>
      </c>
      <c r="H204" s="1658">
        <v>314393</v>
      </c>
      <c r="I204" s="1658">
        <v>1487214860</v>
      </c>
      <c r="J204" s="1658">
        <v>121426508245</v>
      </c>
      <c r="K204" s="1658">
        <v>26085179</v>
      </c>
    </row>
    <row r="205" spans="1:11" x14ac:dyDescent="0.3">
      <c r="A205" s="1657">
        <v>41943</v>
      </c>
      <c r="B205" s="1658">
        <v>4620</v>
      </c>
      <c r="C205" s="1658">
        <v>-35</v>
      </c>
      <c r="D205" s="1659">
        <v>-0.75</v>
      </c>
      <c r="E205" s="1658">
        <v>4750</v>
      </c>
      <c r="F205" s="1658">
        <v>4750</v>
      </c>
      <c r="G205" s="1658">
        <v>4280</v>
      </c>
      <c r="H205" s="1658">
        <v>414367</v>
      </c>
      <c r="I205" s="1658">
        <v>1895704505</v>
      </c>
      <c r="J205" s="1658">
        <v>120513526980</v>
      </c>
      <c r="K205" s="1658">
        <v>26085179</v>
      </c>
    </row>
    <row r="206" spans="1:11" x14ac:dyDescent="0.3">
      <c r="A206" s="1657">
        <v>41946</v>
      </c>
      <c r="B206" s="1658">
        <v>4440</v>
      </c>
      <c r="C206" s="1658">
        <v>-180</v>
      </c>
      <c r="D206" s="1659">
        <v>-3.9</v>
      </c>
      <c r="E206" s="1658">
        <v>4600</v>
      </c>
      <c r="F206" s="1658">
        <v>4685</v>
      </c>
      <c r="G206" s="1658">
        <v>4410</v>
      </c>
      <c r="H206" s="1658">
        <v>240644</v>
      </c>
      <c r="I206" s="1658">
        <v>1083668810</v>
      </c>
      <c r="J206" s="1658">
        <v>115818194760</v>
      </c>
      <c r="K206" s="1658">
        <v>26085179</v>
      </c>
    </row>
    <row r="207" spans="1:11" x14ac:dyDescent="0.3">
      <c r="A207" s="1657">
        <v>41947</v>
      </c>
      <c r="B207" s="1658">
        <v>4260</v>
      </c>
      <c r="C207" s="1658">
        <v>-180</v>
      </c>
      <c r="D207" s="1659">
        <v>-4.05</v>
      </c>
      <c r="E207" s="1658">
        <v>4500</v>
      </c>
      <c r="F207" s="1658">
        <v>4530</v>
      </c>
      <c r="G207" s="1658">
        <v>4095</v>
      </c>
      <c r="H207" s="1658">
        <v>378522</v>
      </c>
      <c r="I207" s="1658">
        <v>1601422945</v>
      </c>
      <c r="J207" s="1658">
        <v>111122862540</v>
      </c>
      <c r="K207" s="1658">
        <v>26085179</v>
      </c>
    </row>
    <row r="208" spans="1:11" x14ac:dyDescent="0.3">
      <c r="A208" s="1657">
        <v>41948</v>
      </c>
      <c r="B208" s="1658">
        <v>4410</v>
      </c>
      <c r="C208" s="1658">
        <v>150</v>
      </c>
      <c r="D208" s="1659">
        <v>3.52</v>
      </c>
      <c r="E208" s="1658">
        <v>4290</v>
      </c>
      <c r="F208" s="1658">
        <v>4895</v>
      </c>
      <c r="G208" s="1658">
        <v>4205</v>
      </c>
      <c r="H208" s="1658">
        <v>1085011</v>
      </c>
      <c r="I208" s="1658">
        <v>5028014845</v>
      </c>
      <c r="J208" s="1658">
        <v>115035639390</v>
      </c>
      <c r="K208" s="1658">
        <v>26085179</v>
      </c>
    </row>
    <row r="209" spans="1:11" x14ac:dyDescent="0.3">
      <c r="A209" s="1657">
        <v>41949</v>
      </c>
      <c r="B209" s="1658">
        <v>4180</v>
      </c>
      <c r="C209" s="1658">
        <v>-230</v>
      </c>
      <c r="D209" s="1659">
        <v>-5.22</v>
      </c>
      <c r="E209" s="1658">
        <v>4430</v>
      </c>
      <c r="F209" s="1658">
        <v>4450</v>
      </c>
      <c r="G209" s="1658">
        <v>4180</v>
      </c>
      <c r="H209" s="1658">
        <v>302787</v>
      </c>
      <c r="I209" s="1658">
        <v>1302527070</v>
      </c>
      <c r="J209" s="1658">
        <v>109036048220</v>
      </c>
      <c r="K209" s="1658">
        <v>26085179</v>
      </c>
    </row>
    <row r="210" spans="1:11" x14ac:dyDescent="0.3">
      <c r="A210" s="1657">
        <v>41950</v>
      </c>
      <c r="B210" s="1658">
        <v>4670</v>
      </c>
      <c r="C210" s="1658">
        <v>490</v>
      </c>
      <c r="D210" s="1659">
        <v>11.72</v>
      </c>
      <c r="E210" s="1658">
        <v>4255</v>
      </c>
      <c r="F210" s="1658">
        <v>4770</v>
      </c>
      <c r="G210" s="1658">
        <v>4180</v>
      </c>
      <c r="H210" s="1658">
        <v>553263</v>
      </c>
      <c r="I210" s="1658">
        <v>2529692415</v>
      </c>
      <c r="J210" s="1658">
        <v>121817785930</v>
      </c>
      <c r="K210" s="1658">
        <v>26085179</v>
      </c>
    </row>
    <row r="211" spans="1:11" x14ac:dyDescent="0.3">
      <c r="A211" s="1657">
        <v>41953</v>
      </c>
      <c r="B211" s="1658">
        <v>4520</v>
      </c>
      <c r="C211" s="1658">
        <v>-150</v>
      </c>
      <c r="D211" s="1659">
        <v>-3.21</v>
      </c>
      <c r="E211" s="1658">
        <v>4750</v>
      </c>
      <c r="F211" s="1658">
        <v>4770</v>
      </c>
      <c r="G211" s="1658">
        <v>4510</v>
      </c>
      <c r="H211" s="1658">
        <v>228645</v>
      </c>
      <c r="I211" s="1658">
        <v>1046682700</v>
      </c>
      <c r="J211" s="1658">
        <v>117905009080</v>
      </c>
      <c r="K211" s="1658">
        <v>26085179</v>
      </c>
    </row>
    <row r="212" spans="1:11" x14ac:dyDescent="0.3">
      <c r="A212" s="1657">
        <v>41954</v>
      </c>
      <c r="B212" s="1658">
        <v>4630</v>
      </c>
      <c r="C212" s="1658">
        <v>110</v>
      </c>
      <c r="D212" s="1659">
        <v>2.4300000000000002</v>
      </c>
      <c r="E212" s="1658">
        <v>4510</v>
      </c>
      <c r="F212" s="1658">
        <v>4745</v>
      </c>
      <c r="G212" s="1658">
        <v>4510</v>
      </c>
      <c r="H212" s="1658">
        <v>255542</v>
      </c>
      <c r="I212" s="1658">
        <v>1188400365</v>
      </c>
      <c r="J212" s="1658">
        <v>120774378770</v>
      </c>
      <c r="K212" s="1658">
        <v>26085179</v>
      </c>
    </row>
    <row r="213" spans="1:11" x14ac:dyDescent="0.3">
      <c r="A213" s="1657">
        <v>41955</v>
      </c>
      <c r="B213" s="1658">
        <v>4935</v>
      </c>
      <c r="C213" s="1658">
        <v>305</v>
      </c>
      <c r="D213" s="1659">
        <v>6.59</v>
      </c>
      <c r="E213" s="1658">
        <v>4710</v>
      </c>
      <c r="F213" s="1658">
        <v>5150</v>
      </c>
      <c r="G213" s="1658">
        <v>4630</v>
      </c>
      <c r="H213" s="1658">
        <v>874717</v>
      </c>
      <c r="I213" s="1658">
        <v>4327765770</v>
      </c>
      <c r="J213" s="1658">
        <v>128730358365</v>
      </c>
      <c r="K213" s="1658">
        <v>26085179</v>
      </c>
    </row>
    <row r="214" spans="1:11" x14ac:dyDescent="0.3">
      <c r="A214" s="1657">
        <v>41956</v>
      </c>
      <c r="B214" s="1658">
        <v>4960</v>
      </c>
      <c r="C214" s="1658">
        <v>25</v>
      </c>
      <c r="D214" s="1659">
        <v>0.51</v>
      </c>
      <c r="E214" s="1658">
        <v>4950</v>
      </c>
      <c r="F214" s="1658">
        <v>5100</v>
      </c>
      <c r="G214" s="1658">
        <v>4780</v>
      </c>
      <c r="H214" s="1658">
        <v>281261</v>
      </c>
      <c r="I214" s="1658">
        <v>1377551475</v>
      </c>
      <c r="J214" s="1658">
        <v>129382487840</v>
      </c>
      <c r="K214" s="1658">
        <v>26085179</v>
      </c>
    </row>
    <row r="215" spans="1:11" x14ac:dyDescent="0.3">
      <c r="A215" s="1657">
        <v>41957</v>
      </c>
      <c r="B215" s="1658">
        <v>5380</v>
      </c>
      <c r="C215" s="1658">
        <v>420</v>
      </c>
      <c r="D215" s="1659">
        <v>8.4700000000000006</v>
      </c>
      <c r="E215" s="1658">
        <v>5070</v>
      </c>
      <c r="F215" s="1658">
        <v>5650</v>
      </c>
      <c r="G215" s="1658">
        <v>4900</v>
      </c>
      <c r="H215" s="1658">
        <v>1664021</v>
      </c>
      <c r="I215" s="1658">
        <v>8986917815</v>
      </c>
      <c r="J215" s="1658">
        <v>140338263020</v>
      </c>
      <c r="K215" s="1658">
        <v>26085179</v>
      </c>
    </row>
    <row r="216" spans="1:11" x14ac:dyDescent="0.3">
      <c r="A216" s="1657">
        <v>41960</v>
      </c>
      <c r="B216" s="1658">
        <v>5360</v>
      </c>
      <c r="C216" s="1658">
        <v>-20</v>
      </c>
      <c r="D216" s="1659">
        <v>-0.37</v>
      </c>
      <c r="E216" s="1658">
        <v>5440</v>
      </c>
      <c r="F216" s="1658">
        <v>5770</v>
      </c>
      <c r="G216" s="1658">
        <v>5250</v>
      </c>
      <c r="H216" s="1658">
        <v>893251</v>
      </c>
      <c r="I216" s="1658">
        <v>4863732740</v>
      </c>
      <c r="J216" s="1658">
        <v>139816559440</v>
      </c>
      <c r="K216" s="1658">
        <v>26085179</v>
      </c>
    </row>
    <row r="217" spans="1:11" x14ac:dyDescent="0.3">
      <c r="A217" s="1657">
        <v>41961</v>
      </c>
      <c r="B217" s="1658">
        <v>5360</v>
      </c>
      <c r="C217" s="1658">
        <v>0</v>
      </c>
      <c r="D217" s="1659">
        <v>0</v>
      </c>
      <c r="E217" s="1658">
        <v>5380</v>
      </c>
      <c r="F217" s="1658">
        <v>5740</v>
      </c>
      <c r="G217" s="1658">
        <v>5210</v>
      </c>
      <c r="H217" s="1658">
        <v>1310458</v>
      </c>
      <c r="I217" s="1658">
        <v>7129750080</v>
      </c>
      <c r="J217" s="1658">
        <v>139816559440</v>
      </c>
      <c r="K217" s="1658">
        <v>26085179</v>
      </c>
    </row>
    <row r="218" spans="1:11" x14ac:dyDescent="0.3">
      <c r="A218" s="1657">
        <v>41962</v>
      </c>
      <c r="B218" s="1658">
        <v>5160</v>
      </c>
      <c r="C218" s="1658">
        <v>-200</v>
      </c>
      <c r="D218" s="1659">
        <v>-3.73</v>
      </c>
      <c r="E218" s="1658">
        <v>5370</v>
      </c>
      <c r="F218" s="1658">
        <v>5380</v>
      </c>
      <c r="G218" s="1658">
        <v>5150</v>
      </c>
      <c r="H218" s="1658">
        <v>412993</v>
      </c>
      <c r="I218" s="1658">
        <v>2174134410</v>
      </c>
      <c r="J218" s="1658">
        <v>134599523640</v>
      </c>
      <c r="K218" s="1658">
        <v>26085179</v>
      </c>
    </row>
    <row r="219" spans="1:11" x14ac:dyDescent="0.3">
      <c r="A219" s="1657">
        <v>41963</v>
      </c>
      <c r="B219" s="1658">
        <v>5300</v>
      </c>
      <c r="C219" s="1658">
        <v>140</v>
      </c>
      <c r="D219" s="1659">
        <v>2.71</v>
      </c>
      <c r="E219" s="1658">
        <v>5170</v>
      </c>
      <c r="F219" s="1658">
        <v>5390</v>
      </c>
      <c r="G219" s="1658">
        <v>4980</v>
      </c>
      <c r="H219" s="1658">
        <v>523795</v>
      </c>
      <c r="I219" s="1658">
        <v>2712164150</v>
      </c>
      <c r="J219" s="1658">
        <v>138251448700</v>
      </c>
      <c r="K219" s="1658">
        <v>26085179</v>
      </c>
    </row>
    <row r="220" spans="1:11" x14ac:dyDescent="0.3">
      <c r="A220" s="1657">
        <v>41964</v>
      </c>
      <c r="B220" s="1658">
        <v>5000</v>
      </c>
      <c r="C220" s="1658">
        <v>-300</v>
      </c>
      <c r="D220" s="1659">
        <v>-5.66</v>
      </c>
      <c r="E220" s="1658">
        <v>5200</v>
      </c>
      <c r="F220" s="1658">
        <v>5250</v>
      </c>
      <c r="G220" s="1658">
        <v>5000</v>
      </c>
      <c r="H220" s="1658">
        <v>424984</v>
      </c>
      <c r="I220" s="1658">
        <v>2159389940</v>
      </c>
      <c r="J220" s="1658">
        <v>130425895000</v>
      </c>
      <c r="K220" s="1658">
        <v>26085179</v>
      </c>
    </row>
    <row r="221" spans="1:11" x14ac:dyDescent="0.3">
      <c r="A221" s="1657">
        <v>41967</v>
      </c>
      <c r="B221" s="1658">
        <v>4840</v>
      </c>
      <c r="C221" s="1658">
        <v>-160</v>
      </c>
      <c r="D221" s="1659">
        <v>-3.2</v>
      </c>
      <c r="E221" s="1658">
        <v>4900</v>
      </c>
      <c r="F221" s="1658">
        <v>4980</v>
      </c>
      <c r="G221" s="1658">
        <v>4780</v>
      </c>
      <c r="H221" s="1658">
        <v>428217</v>
      </c>
      <c r="I221" s="1658">
        <v>2075900490</v>
      </c>
      <c r="J221" s="1658">
        <v>126252266360</v>
      </c>
      <c r="K221" s="1658">
        <v>26085179</v>
      </c>
    </row>
    <row r="222" spans="1:11" x14ac:dyDescent="0.3">
      <c r="A222" s="1657">
        <v>41968</v>
      </c>
      <c r="B222" s="1658">
        <v>4825</v>
      </c>
      <c r="C222" s="1658">
        <v>-15</v>
      </c>
      <c r="D222" s="1659">
        <v>-0.31</v>
      </c>
      <c r="E222" s="1658">
        <v>4850</v>
      </c>
      <c r="F222" s="1658">
        <v>4935</v>
      </c>
      <c r="G222" s="1658">
        <v>4820</v>
      </c>
      <c r="H222" s="1658">
        <v>222657</v>
      </c>
      <c r="I222" s="1658">
        <v>1084704490</v>
      </c>
      <c r="J222" s="1658">
        <v>125860988675</v>
      </c>
      <c r="K222" s="1658">
        <v>26085179</v>
      </c>
    </row>
    <row r="223" spans="1:11" x14ac:dyDescent="0.3">
      <c r="A223" s="1657">
        <v>41969</v>
      </c>
      <c r="B223" s="1658">
        <v>4755</v>
      </c>
      <c r="C223" s="1658">
        <v>-70</v>
      </c>
      <c r="D223" s="1659">
        <v>-1.45</v>
      </c>
      <c r="E223" s="1658">
        <v>4830</v>
      </c>
      <c r="F223" s="1658">
        <v>4885</v>
      </c>
      <c r="G223" s="1658">
        <v>4755</v>
      </c>
      <c r="H223" s="1658">
        <v>167345</v>
      </c>
      <c r="I223" s="1658">
        <v>803128425</v>
      </c>
      <c r="J223" s="1658">
        <v>124035026145</v>
      </c>
      <c r="K223" s="1658">
        <v>26085179</v>
      </c>
    </row>
    <row r="224" spans="1:11" x14ac:dyDescent="0.3">
      <c r="A224" s="1657">
        <v>41970</v>
      </c>
      <c r="B224" s="1658">
        <v>4685</v>
      </c>
      <c r="C224" s="1658">
        <v>-70</v>
      </c>
      <c r="D224" s="1659">
        <v>-1.47</v>
      </c>
      <c r="E224" s="1658">
        <v>4870</v>
      </c>
      <c r="F224" s="1658">
        <v>4870</v>
      </c>
      <c r="G224" s="1658">
        <v>4550</v>
      </c>
      <c r="H224" s="1658">
        <v>245332</v>
      </c>
      <c r="I224" s="1658">
        <v>1149703410</v>
      </c>
      <c r="J224" s="1658">
        <v>122209063615</v>
      </c>
      <c r="K224" s="1658">
        <v>26085179</v>
      </c>
    </row>
    <row r="225" spans="1:11" x14ac:dyDescent="0.3">
      <c r="A225" s="1657">
        <v>41971</v>
      </c>
      <c r="B225" s="1658">
        <v>4570</v>
      </c>
      <c r="C225" s="1658">
        <v>-115</v>
      </c>
      <c r="D225" s="1659">
        <v>-2.4500000000000002</v>
      </c>
      <c r="E225" s="1658">
        <v>4685</v>
      </c>
      <c r="F225" s="1658">
        <v>4740</v>
      </c>
      <c r="G225" s="1658">
        <v>4545</v>
      </c>
      <c r="H225" s="1658">
        <v>156722</v>
      </c>
      <c r="I225" s="1658">
        <v>718416440</v>
      </c>
      <c r="J225" s="1658">
        <v>119209268030</v>
      </c>
      <c r="K225" s="1658">
        <v>26085179</v>
      </c>
    </row>
    <row r="226" spans="1:11" x14ac:dyDescent="0.3">
      <c r="A226" s="1657">
        <v>41974</v>
      </c>
      <c r="B226" s="1658">
        <v>4500</v>
      </c>
      <c r="C226" s="1658">
        <v>-70</v>
      </c>
      <c r="D226" s="1659">
        <v>-1.53</v>
      </c>
      <c r="E226" s="1658">
        <v>4500</v>
      </c>
      <c r="F226" s="1658">
        <v>4750</v>
      </c>
      <c r="G226" s="1658">
        <v>4335</v>
      </c>
      <c r="H226" s="1658">
        <v>232945</v>
      </c>
      <c r="I226" s="1658">
        <v>1060283300</v>
      </c>
      <c r="J226" s="1658">
        <v>117383305500</v>
      </c>
      <c r="K226" s="1658">
        <v>26085179</v>
      </c>
    </row>
    <row r="227" spans="1:11" x14ac:dyDescent="0.3">
      <c r="A227" s="1657">
        <v>41975</v>
      </c>
      <c r="B227" s="1658">
        <v>4555</v>
      </c>
      <c r="C227" s="1658">
        <v>55</v>
      </c>
      <c r="D227" s="1659">
        <v>1.22</v>
      </c>
      <c r="E227" s="1658">
        <v>4500</v>
      </c>
      <c r="F227" s="1658">
        <v>4695</v>
      </c>
      <c r="G227" s="1658">
        <v>4490</v>
      </c>
      <c r="H227" s="1658">
        <v>117834</v>
      </c>
      <c r="I227" s="1658">
        <v>533047275</v>
      </c>
      <c r="J227" s="1658">
        <v>118817990345</v>
      </c>
      <c r="K227" s="1658">
        <v>26085179</v>
      </c>
    </row>
    <row r="228" spans="1:11" x14ac:dyDescent="0.3">
      <c r="A228" s="1657">
        <v>41976</v>
      </c>
      <c r="B228" s="1658">
        <v>4625</v>
      </c>
      <c r="C228" s="1658">
        <v>70</v>
      </c>
      <c r="D228" s="1659">
        <v>1.54</v>
      </c>
      <c r="E228" s="1658">
        <v>4555</v>
      </c>
      <c r="F228" s="1658">
        <v>4690</v>
      </c>
      <c r="G228" s="1658">
        <v>4520</v>
      </c>
      <c r="H228" s="1658">
        <v>156625</v>
      </c>
      <c r="I228" s="1658">
        <v>722532290</v>
      </c>
      <c r="J228" s="1658">
        <v>120643952875</v>
      </c>
      <c r="K228" s="1658">
        <v>26085179</v>
      </c>
    </row>
    <row r="229" spans="1:11" x14ac:dyDescent="0.3">
      <c r="A229" s="1657">
        <v>41977</v>
      </c>
      <c r="B229" s="1658">
        <v>4560</v>
      </c>
      <c r="C229" s="1658">
        <v>-65</v>
      </c>
      <c r="D229" s="1659">
        <v>-1.41</v>
      </c>
      <c r="E229" s="1658">
        <v>4625</v>
      </c>
      <c r="F229" s="1658">
        <v>4625</v>
      </c>
      <c r="G229" s="1658">
        <v>4450</v>
      </c>
      <c r="H229" s="1658">
        <v>173160</v>
      </c>
      <c r="I229" s="1658">
        <v>785618090</v>
      </c>
      <c r="J229" s="1658">
        <v>118948416240</v>
      </c>
      <c r="K229" s="1658">
        <v>26085179</v>
      </c>
    </row>
    <row r="230" spans="1:11" x14ac:dyDescent="0.3">
      <c r="A230" s="1657">
        <v>41978</v>
      </c>
      <c r="B230" s="1658">
        <v>4580</v>
      </c>
      <c r="C230" s="1658">
        <v>20</v>
      </c>
      <c r="D230" s="1659">
        <v>0.44</v>
      </c>
      <c r="E230" s="1658">
        <v>4565</v>
      </c>
      <c r="F230" s="1658">
        <v>4600</v>
      </c>
      <c r="G230" s="1658">
        <v>4470</v>
      </c>
      <c r="H230" s="1658">
        <v>109134</v>
      </c>
      <c r="I230" s="1658">
        <v>494583980</v>
      </c>
      <c r="J230" s="1658">
        <v>119470119820</v>
      </c>
      <c r="K230" s="1658">
        <v>26085179</v>
      </c>
    </row>
    <row r="231" spans="1:11" x14ac:dyDescent="0.3">
      <c r="A231" s="1657">
        <v>41981</v>
      </c>
      <c r="B231" s="1658">
        <v>4675</v>
      </c>
      <c r="C231" s="1658">
        <v>95</v>
      </c>
      <c r="D231" s="1659">
        <v>2.0699999999999998</v>
      </c>
      <c r="E231" s="1658">
        <v>4680</v>
      </c>
      <c r="F231" s="1658">
        <v>4755</v>
      </c>
      <c r="G231" s="1658">
        <v>4590</v>
      </c>
      <c r="H231" s="1658">
        <v>208047</v>
      </c>
      <c r="I231" s="1658">
        <v>971073680</v>
      </c>
      <c r="J231" s="1658">
        <v>121948211825</v>
      </c>
      <c r="K231" s="1658">
        <v>26085179</v>
      </c>
    </row>
    <row r="232" spans="1:11" x14ac:dyDescent="0.3">
      <c r="A232" s="1657">
        <v>41982</v>
      </c>
      <c r="B232" s="1658">
        <v>5240</v>
      </c>
      <c r="C232" s="1658">
        <v>565</v>
      </c>
      <c r="D232" s="1659">
        <v>12.09</v>
      </c>
      <c r="E232" s="1658">
        <v>4610</v>
      </c>
      <c r="F232" s="1658">
        <v>5350</v>
      </c>
      <c r="G232" s="1658">
        <v>4600</v>
      </c>
      <c r="H232" s="1658">
        <v>1142412</v>
      </c>
      <c r="I232" s="1658">
        <v>5811765050</v>
      </c>
      <c r="J232" s="1658">
        <v>136686337960</v>
      </c>
      <c r="K232" s="1658">
        <v>26085179</v>
      </c>
    </row>
    <row r="233" spans="1:11" x14ac:dyDescent="0.3">
      <c r="A233" s="1657">
        <v>41983</v>
      </c>
      <c r="B233" s="1658">
        <v>5440</v>
      </c>
      <c r="C233" s="1658">
        <v>200</v>
      </c>
      <c r="D233" s="1659">
        <v>3.82</v>
      </c>
      <c r="E233" s="1658">
        <v>5290</v>
      </c>
      <c r="F233" s="1658">
        <v>5610</v>
      </c>
      <c r="G233" s="1658">
        <v>5160</v>
      </c>
      <c r="H233" s="1658">
        <v>1072212</v>
      </c>
      <c r="I233" s="1658">
        <v>5795784130</v>
      </c>
      <c r="J233" s="1658">
        <v>141903373760</v>
      </c>
      <c r="K233" s="1658">
        <v>26085179</v>
      </c>
    </row>
    <row r="234" spans="1:11" x14ac:dyDescent="0.3">
      <c r="A234" s="1657">
        <v>41984</v>
      </c>
      <c r="B234" s="1658">
        <v>5370</v>
      </c>
      <c r="C234" s="1658">
        <v>-70</v>
      </c>
      <c r="D234" s="1659">
        <v>-1.29</v>
      </c>
      <c r="E234" s="1658">
        <v>5410</v>
      </c>
      <c r="F234" s="1658">
        <v>5560</v>
      </c>
      <c r="G234" s="1658">
        <v>5300</v>
      </c>
      <c r="H234" s="1658">
        <v>379861</v>
      </c>
      <c r="I234" s="1658">
        <v>2052664870</v>
      </c>
      <c r="J234" s="1658">
        <v>140077411230</v>
      </c>
      <c r="K234" s="1658">
        <v>26085179</v>
      </c>
    </row>
    <row r="235" spans="1:11" x14ac:dyDescent="0.3">
      <c r="A235" s="1657">
        <v>41985</v>
      </c>
      <c r="B235" s="1658">
        <v>5180</v>
      </c>
      <c r="C235" s="1658">
        <v>-190</v>
      </c>
      <c r="D235" s="1659">
        <v>-3.54</v>
      </c>
      <c r="E235" s="1658">
        <v>5330</v>
      </c>
      <c r="F235" s="1658">
        <v>5380</v>
      </c>
      <c r="G235" s="1658">
        <v>5110</v>
      </c>
      <c r="H235" s="1658">
        <v>300432</v>
      </c>
      <c r="I235" s="1658">
        <v>1563098230</v>
      </c>
      <c r="J235" s="1658">
        <v>135121227220</v>
      </c>
      <c r="K235" s="1658">
        <v>26085179</v>
      </c>
    </row>
    <row r="236" spans="1:11" x14ac:dyDescent="0.3">
      <c r="A236" s="1657">
        <v>41988</v>
      </c>
      <c r="B236" s="1658">
        <v>5350</v>
      </c>
      <c r="C236" s="1658">
        <v>170</v>
      </c>
      <c r="D236" s="1659">
        <v>3.28</v>
      </c>
      <c r="E236" s="1658">
        <v>5180</v>
      </c>
      <c r="F236" s="1658">
        <v>5480</v>
      </c>
      <c r="G236" s="1658">
        <v>4990</v>
      </c>
      <c r="H236" s="1658">
        <v>438015</v>
      </c>
      <c r="I236" s="1658">
        <v>2338523340</v>
      </c>
      <c r="J236" s="1658">
        <v>139555707650</v>
      </c>
      <c r="K236" s="1658">
        <v>26085179</v>
      </c>
    </row>
    <row r="237" spans="1:11" x14ac:dyDescent="0.3">
      <c r="A237" s="1657">
        <v>41989</v>
      </c>
      <c r="B237" s="1658">
        <v>5430</v>
      </c>
      <c r="C237" s="1658">
        <v>80</v>
      </c>
      <c r="D237" s="1659">
        <v>1.5</v>
      </c>
      <c r="E237" s="1658">
        <v>5450</v>
      </c>
      <c r="F237" s="1658">
        <v>5680</v>
      </c>
      <c r="G237" s="1658">
        <v>5190</v>
      </c>
      <c r="H237" s="1658">
        <v>869569</v>
      </c>
      <c r="I237" s="1658">
        <v>4789167770</v>
      </c>
      <c r="J237" s="1658">
        <v>141642521970</v>
      </c>
      <c r="K237" s="1658">
        <v>26085179</v>
      </c>
    </row>
    <row r="238" spans="1:11" x14ac:dyDescent="0.3">
      <c r="A238" s="1657">
        <v>41990</v>
      </c>
      <c r="B238" s="1658">
        <v>5320</v>
      </c>
      <c r="C238" s="1658">
        <v>-110</v>
      </c>
      <c r="D238" s="1659">
        <v>-2.0299999999999998</v>
      </c>
      <c r="E238" s="1658">
        <v>5450</v>
      </c>
      <c r="F238" s="1658">
        <v>5570</v>
      </c>
      <c r="G238" s="1658">
        <v>5320</v>
      </c>
      <c r="H238" s="1658">
        <v>380352</v>
      </c>
      <c r="I238" s="1658">
        <v>2074186890</v>
      </c>
      <c r="J238" s="1658">
        <v>138773152280</v>
      </c>
      <c r="K238" s="1658">
        <v>26085179</v>
      </c>
    </row>
    <row r="239" spans="1:11" x14ac:dyDescent="0.3">
      <c r="A239" s="1657">
        <v>41991</v>
      </c>
      <c r="B239" s="1658">
        <v>5110</v>
      </c>
      <c r="C239" s="1658">
        <v>-210</v>
      </c>
      <c r="D239" s="1659">
        <v>-3.95</v>
      </c>
      <c r="E239" s="1658">
        <v>5320</v>
      </c>
      <c r="F239" s="1658">
        <v>5320</v>
      </c>
      <c r="G239" s="1658">
        <v>4800</v>
      </c>
      <c r="H239" s="1658">
        <v>651090</v>
      </c>
      <c r="I239" s="1658">
        <v>3280877745</v>
      </c>
      <c r="J239" s="1658">
        <v>133295264690</v>
      </c>
      <c r="K239" s="1658">
        <v>26085179</v>
      </c>
    </row>
    <row r="240" spans="1:11" x14ac:dyDescent="0.3">
      <c r="A240" s="1657">
        <v>41992</v>
      </c>
      <c r="B240" s="1658">
        <v>5600</v>
      </c>
      <c r="C240" s="1658">
        <v>490</v>
      </c>
      <c r="D240" s="1659">
        <v>9.59</v>
      </c>
      <c r="E240" s="1658">
        <v>5250</v>
      </c>
      <c r="F240" s="1658">
        <v>5600</v>
      </c>
      <c r="G240" s="1658">
        <v>5110</v>
      </c>
      <c r="H240" s="1658">
        <v>1036755</v>
      </c>
      <c r="I240" s="1658">
        <v>5664319220</v>
      </c>
      <c r="J240" s="1658">
        <v>146077002400</v>
      </c>
      <c r="K240" s="1658">
        <v>26085179</v>
      </c>
    </row>
    <row r="241" spans="1:11" x14ac:dyDescent="0.3">
      <c r="A241" s="1657">
        <v>41995</v>
      </c>
      <c r="B241" s="1658">
        <v>6440</v>
      </c>
      <c r="C241" s="1658">
        <v>840</v>
      </c>
      <c r="D241" s="1659">
        <v>15</v>
      </c>
      <c r="E241" s="1658">
        <v>6180</v>
      </c>
      <c r="F241" s="1658">
        <v>6440</v>
      </c>
      <c r="G241" s="1658">
        <v>5700</v>
      </c>
      <c r="H241" s="1658">
        <v>2539382</v>
      </c>
      <c r="I241" s="1658">
        <v>16016491990</v>
      </c>
      <c r="J241" s="1658">
        <v>167988552760</v>
      </c>
      <c r="K241" s="1658">
        <v>26085179</v>
      </c>
    </row>
    <row r="242" spans="1:11" x14ac:dyDescent="0.3">
      <c r="A242" s="1657">
        <v>41996</v>
      </c>
      <c r="B242" s="1658">
        <v>6210</v>
      </c>
      <c r="C242" s="1658">
        <v>-230</v>
      </c>
      <c r="D242" s="1659">
        <v>-3.57</v>
      </c>
      <c r="E242" s="1658">
        <v>7000</v>
      </c>
      <c r="F242" s="1658">
        <v>7350</v>
      </c>
      <c r="G242" s="1658">
        <v>5980</v>
      </c>
      <c r="H242" s="1658">
        <v>4531760</v>
      </c>
      <c r="I242" s="1658">
        <v>30655625740</v>
      </c>
      <c r="J242" s="1658">
        <v>161988961590</v>
      </c>
      <c r="K242" s="1658">
        <v>26085179</v>
      </c>
    </row>
    <row r="243" spans="1:11" x14ac:dyDescent="0.3">
      <c r="A243" s="1657">
        <v>41997</v>
      </c>
      <c r="B243" s="1658">
        <v>6340</v>
      </c>
      <c r="C243" s="1658">
        <v>130</v>
      </c>
      <c r="D243" s="1659">
        <v>2.09</v>
      </c>
      <c r="E243" s="1658">
        <v>6270</v>
      </c>
      <c r="F243" s="1658">
        <v>6850</v>
      </c>
      <c r="G243" s="1658">
        <v>6100</v>
      </c>
      <c r="H243" s="1658">
        <v>2428075</v>
      </c>
      <c r="I243" s="1658">
        <v>15654585390</v>
      </c>
      <c r="J243" s="1658">
        <v>165380034860</v>
      </c>
      <c r="K243" s="1658">
        <v>26085179</v>
      </c>
    </row>
    <row r="244" spans="1:11" x14ac:dyDescent="0.3">
      <c r="A244" s="1657">
        <v>41999</v>
      </c>
      <c r="B244" s="1658">
        <v>6600</v>
      </c>
      <c r="C244" s="1658">
        <v>260</v>
      </c>
      <c r="D244" s="1659">
        <v>4.0999999999999996</v>
      </c>
      <c r="E244" s="1658">
        <v>6450</v>
      </c>
      <c r="F244" s="1658">
        <v>6750</v>
      </c>
      <c r="G244" s="1658">
        <v>6250</v>
      </c>
      <c r="H244" s="1658">
        <v>1730574</v>
      </c>
      <c r="I244" s="1658">
        <v>11284317840</v>
      </c>
      <c r="J244" s="1658">
        <v>172162181400</v>
      </c>
      <c r="K244" s="1658">
        <v>26085179</v>
      </c>
    </row>
    <row r="245" spans="1:11" x14ac:dyDescent="0.3">
      <c r="A245" s="1657">
        <v>42002</v>
      </c>
      <c r="B245" s="1658">
        <v>6330</v>
      </c>
      <c r="C245" s="1658">
        <v>-270</v>
      </c>
      <c r="D245" s="1659">
        <v>-4.09</v>
      </c>
      <c r="E245" s="1658">
        <v>6850</v>
      </c>
      <c r="F245" s="1658">
        <v>6960</v>
      </c>
      <c r="G245" s="1658">
        <v>6230</v>
      </c>
      <c r="H245" s="1658">
        <v>1335058</v>
      </c>
      <c r="I245" s="1658">
        <v>8889403250</v>
      </c>
      <c r="J245" s="1658">
        <v>165119183070</v>
      </c>
      <c r="K245" s="1658">
        <v>26085179</v>
      </c>
    </row>
    <row r="246" spans="1:11" x14ac:dyDescent="0.3">
      <c r="A246" s="1657">
        <v>42003</v>
      </c>
      <c r="B246" s="1658">
        <v>6370</v>
      </c>
      <c r="C246" s="1658">
        <v>40</v>
      </c>
      <c r="D246" s="1659">
        <v>0.63</v>
      </c>
      <c r="E246" s="1658">
        <v>6300</v>
      </c>
      <c r="F246" s="1658">
        <v>6590</v>
      </c>
      <c r="G246" s="1658">
        <v>6170</v>
      </c>
      <c r="H246" s="1658">
        <v>1136090</v>
      </c>
      <c r="I246" s="1658">
        <v>7239413060</v>
      </c>
      <c r="J246" s="1658">
        <v>166162590230</v>
      </c>
      <c r="K246" s="1658">
        <v>26085179</v>
      </c>
    </row>
    <row r="247" spans="1:11" x14ac:dyDescent="0.3">
      <c r="A247" s="1657">
        <v>42006</v>
      </c>
      <c r="B247" s="1658">
        <v>6420</v>
      </c>
      <c r="C247" s="1658">
        <v>50</v>
      </c>
      <c r="D247" s="1659">
        <v>0.78</v>
      </c>
      <c r="E247" s="1658">
        <v>6440</v>
      </c>
      <c r="F247" s="1658">
        <v>6650</v>
      </c>
      <c r="G247" s="1658">
        <v>6350</v>
      </c>
      <c r="H247" s="1658">
        <v>493828</v>
      </c>
      <c r="I247" s="1658">
        <v>3187906930</v>
      </c>
      <c r="J247" s="1658">
        <v>167466849180</v>
      </c>
      <c r="K247" s="1658">
        <v>26085179</v>
      </c>
    </row>
    <row r="248" spans="1:11" x14ac:dyDescent="0.3">
      <c r="A248" s="1657">
        <v>42009</v>
      </c>
      <c r="B248" s="1658">
        <v>6540</v>
      </c>
      <c r="C248" s="1658">
        <v>120</v>
      </c>
      <c r="D248" s="1659">
        <v>1.87</v>
      </c>
      <c r="E248" s="1658">
        <v>6370</v>
      </c>
      <c r="F248" s="1658">
        <v>6550</v>
      </c>
      <c r="G248" s="1658">
        <v>6170</v>
      </c>
      <c r="H248" s="1658">
        <v>600488</v>
      </c>
      <c r="I248" s="1658">
        <v>3833811870</v>
      </c>
      <c r="J248" s="1658">
        <v>203037543840</v>
      </c>
      <c r="K248" s="1658">
        <v>31045496</v>
      </c>
    </row>
    <row r="249" spans="1:11" x14ac:dyDescent="0.3">
      <c r="A249" s="1657">
        <v>42010</v>
      </c>
      <c r="B249" s="1658">
        <v>6700</v>
      </c>
      <c r="C249" s="1658">
        <v>160</v>
      </c>
      <c r="D249" s="1659">
        <v>2.4500000000000002</v>
      </c>
      <c r="E249" s="1658">
        <v>6610</v>
      </c>
      <c r="F249" s="1658">
        <v>6850</v>
      </c>
      <c r="G249" s="1658">
        <v>6540</v>
      </c>
      <c r="H249" s="1658">
        <v>2012229</v>
      </c>
      <c r="I249" s="1658">
        <v>13485265970</v>
      </c>
      <c r="J249" s="1658">
        <v>208004823200</v>
      </c>
      <c r="K249" s="1658">
        <v>31045496</v>
      </c>
    </row>
    <row r="250" spans="1:11" x14ac:dyDescent="0.3">
      <c r="A250" s="1657">
        <v>42011</v>
      </c>
      <c r="B250" s="1658">
        <v>6410</v>
      </c>
      <c r="C250" s="1658">
        <v>-290</v>
      </c>
      <c r="D250" s="1659">
        <v>-4.33</v>
      </c>
      <c r="E250" s="1658">
        <v>6650</v>
      </c>
      <c r="F250" s="1658">
        <v>6650</v>
      </c>
      <c r="G250" s="1658">
        <v>6370</v>
      </c>
      <c r="H250" s="1658">
        <v>607123</v>
      </c>
      <c r="I250" s="1658">
        <v>3935106850</v>
      </c>
      <c r="J250" s="1658">
        <v>199001629360</v>
      </c>
      <c r="K250" s="1658">
        <v>31045496</v>
      </c>
    </row>
    <row r="251" spans="1:11" x14ac:dyDescent="0.3">
      <c r="A251" s="1657">
        <v>42012</v>
      </c>
      <c r="B251" s="1658">
        <v>6290</v>
      </c>
      <c r="C251" s="1658">
        <v>-120</v>
      </c>
      <c r="D251" s="1659">
        <v>-1.87</v>
      </c>
      <c r="E251" s="1658">
        <v>6410</v>
      </c>
      <c r="F251" s="1658">
        <v>6540</v>
      </c>
      <c r="G251" s="1658">
        <v>6180</v>
      </c>
      <c r="H251" s="1658">
        <v>520032</v>
      </c>
      <c r="I251" s="1658">
        <v>3274661540</v>
      </c>
      <c r="J251" s="1658">
        <v>195276169840</v>
      </c>
      <c r="K251" s="1658">
        <v>31045496</v>
      </c>
    </row>
    <row r="252" spans="1:11" x14ac:dyDescent="0.3">
      <c r="A252" s="1657">
        <v>42013</v>
      </c>
      <c r="B252" s="1658">
        <v>6360</v>
      </c>
      <c r="C252" s="1658">
        <v>70</v>
      </c>
      <c r="D252" s="1659">
        <v>1.1100000000000001</v>
      </c>
      <c r="E252" s="1658">
        <v>6390</v>
      </c>
      <c r="F252" s="1658">
        <v>6510</v>
      </c>
      <c r="G252" s="1658">
        <v>6300</v>
      </c>
      <c r="H252" s="1658">
        <v>591594</v>
      </c>
      <c r="I252" s="1658">
        <v>3773910060</v>
      </c>
      <c r="J252" s="1658">
        <v>197449354560</v>
      </c>
      <c r="K252" s="1658">
        <v>31045496</v>
      </c>
    </row>
    <row r="253" spans="1:11" x14ac:dyDescent="0.3">
      <c r="A253" s="1657">
        <v>42016</v>
      </c>
      <c r="B253" s="1658">
        <v>6150</v>
      </c>
      <c r="C253" s="1658">
        <v>-210</v>
      </c>
      <c r="D253" s="1659">
        <v>-3.3</v>
      </c>
      <c r="E253" s="1658">
        <v>6360</v>
      </c>
      <c r="F253" s="1658">
        <v>6360</v>
      </c>
      <c r="G253" s="1658">
        <v>6110</v>
      </c>
      <c r="H253" s="1658">
        <v>436136</v>
      </c>
      <c r="I253" s="1658">
        <v>2710679280</v>
      </c>
      <c r="J253" s="1658">
        <v>190929800400</v>
      </c>
      <c r="K253" s="1658">
        <v>31045496</v>
      </c>
    </row>
    <row r="254" spans="1:11" x14ac:dyDescent="0.3">
      <c r="A254" s="1657">
        <v>42017</v>
      </c>
      <c r="B254" s="1658">
        <v>5880</v>
      </c>
      <c r="C254" s="1658">
        <v>-270</v>
      </c>
      <c r="D254" s="1659">
        <v>-4.3899999999999997</v>
      </c>
      <c r="E254" s="1658">
        <v>6140</v>
      </c>
      <c r="F254" s="1658">
        <v>6330</v>
      </c>
      <c r="G254" s="1658">
        <v>5690</v>
      </c>
      <c r="H254" s="1658">
        <v>738793</v>
      </c>
      <c r="I254" s="1658">
        <v>4438486650</v>
      </c>
      <c r="J254" s="1658">
        <v>182547516480</v>
      </c>
      <c r="K254" s="1658">
        <v>31045496</v>
      </c>
    </row>
    <row r="255" spans="1:11" x14ac:dyDescent="0.3">
      <c r="A255" s="1657">
        <v>42018</v>
      </c>
      <c r="B255" s="1658">
        <v>5850</v>
      </c>
      <c r="C255" s="1658">
        <v>-30</v>
      </c>
      <c r="D255" s="1659">
        <v>-0.51</v>
      </c>
      <c r="E255" s="1658">
        <v>5910</v>
      </c>
      <c r="F255" s="1658">
        <v>5960</v>
      </c>
      <c r="G255" s="1658">
        <v>5690</v>
      </c>
      <c r="H255" s="1658">
        <v>386668</v>
      </c>
      <c r="I255" s="1658">
        <v>2260890300</v>
      </c>
      <c r="J255" s="1658">
        <v>181616151600</v>
      </c>
      <c r="K255" s="1658">
        <v>31045496</v>
      </c>
    </row>
    <row r="256" spans="1:11" x14ac:dyDescent="0.3">
      <c r="A256" s="1657">
        <v>42019</v>
      </c>
      <c r="B256" s="1658">
        <v>5720</v>
      </c>
      <c r="C256" s="1658">
        <v>-130</v>
      </c>
      <c r="D256" s="1659">
        <v>-2.2200000000000002</v>
      </c>
      <c r="E256" s="1658">
        <v>5950</v>
      </c>
      <c r="F256" s="1658">
        <v>5950</v>
      </c>
      <c r="G256" s="1658">
        <v>5660</v>
      </c>
      <c r="H256" s="1658">
        <v>366828</v>
      </c>
      <c r="I256" s="1658">
        <v>2112136050</v>
      </c>
      <c r="J256" s="1658">
        <v>177580237120</v>
      </c>
      <c r="K256" s="1658">
        <v>31045496</v>
      </c>
    </row>
    <row r="257" spans="1:11" x14ac:dyDescent="0.3">
      <c r="A257" s="1657">
        <v>42020</v>
      </c>
      <c r="B257" s="1658">
        <v>5810</v>
      </c>
      <c r="C257" s="1658">
        <v>90</v>
      </c>
      <c r="D257" s="1659">
        <v>1.57</v>
      </c>
      <c r="E257" s="1658">
        <v>5750</v>
      </c>
      <c r="F257" s="1658">
        <v>5910</v>
      </c>
      <c r="G257" s="1658">
        <v>5550</v>
      </c>
      <c r="H257" s="1658">
        <v>476301</v>
      </c>
      <c r="I257" s="1658">
        <v>2719129410</v>
      </c>
      <c r="J257" s="1658">
        <v>180374331760</v>
      </c>
      <c r="K257" s="1658">
        <v>31045496</v>
      </c>
    </row>
    <row r="258" spans="1:11" x14ac:dyDescent="0.3">
      <c r="A258" s="1657">
        <v>42023</v>
      </c>
      <c r="B258" s="1658">
        <v>5580</v>
      </c>
      <c r="C258" s="1658">
        <v>-230</v>
      </c>
      <c r="D258" s="1659">
        <v>-3.96</v>
      </c>
      <c r="E258" s="1658">
        <v>5800</v>
      </c>
      <c r="F258" s="1658">
        <v>5800</v>
      </c>
      <c r="G258" s="1658">
        <v>5490</v>
      </c>
      <c r="H258" s="1658">
        <v>392168</v>
      </c>
      <c r="I258" s="1658">
        <v>2202464520</v>
      </c>
      <c r="J258" s="1658">
        <v>173281297680</v>
      </c>
      <c r="K258" s="1658">
        <v>31053996</v>
      </c>
    </row>
    <row r="259" spans="1:11" x14ac:dyDescent="0.3">
      <c r="A259" s="1657">
        <v>42024</v>
      </c>
      <c r="B259" s="1658">
        <v>5790</v>
      </c>
      <c r="C259" s="1658">
        <v>210</v>
      </c>
      <c r="D259" s="1659">
        <v>3.76</v>
      </c>
      <c r="E259" s="1658">
        <v>5530</v>
      </c>
      <c r="F259" s="1658">
        <v>6100</v>
      </c>
      <c r="G259" s="1658">
        <v>5520</v>
      </c>
      <c r="H259" s="1658">
        <v>636848</v>
      </c>
      <c r="I259" s="1658">
        <v>3675160900</v>
      </c>
      <c r="J259" s="1658">
        <v>179802636840</v>
      </c>
      <c r="K259" s="1658">
        <v>31053996</v>
      </c>
    </row>
    <row r="260" spans="1:11" x14ac:dyDescent="0.3">
      <c r="A260" s="1657">
        <v>42025</v>
      </c>
      <c r="B260" s="1658">
        <v>5610</v>
      </c>
      <c r="C260" s="1658">
        <v>-180</v>
      </c>
      <c r="D260" s="1659">
        <v>-3.11</v>
      </c>
      <c r="E260" s="1658">
        <v>5740</v>
      </c>
      <c r="F260" s="1658">
        <v>5850</v>
      </c>
      <c r="G260" s="1658">
        <v>5600</v>
      </c>
      <c r="H260" s="1658">
        <v>246536</v>
      </c>
      <c r="I260" s="1658">
        <v>1404523600</v>
      </c>
      <c r="J260" s="1658">
        <v>174212917560</v>
      </c>
      <c r="K260" s="1658">
        <v>31053996</v>
      </c>
    </row>
    <row r="261" spans="1:11" x14ac:dyDescent="0.3">
      <c r="A261" s="1657">
        <v>42026</v>
      </c>
      <c r="B261" s="1658">
        <v>5530</v>
      </c>
      <c r="C261" s="1658">
        <v>-80</v>
      </c>
      <c r="D261" s="1659">
        <v>-1.43</v>
      </c>
      <c r="E261" s="1658">
        <v>5550</v>
      </c>
      <c r="F261" s="1658">
        <v>5750</v>
      </c>
      <c r="G261" s="1658">
        <v>5470</v>
      </c>
      <c r="H261" s="1658">
        <v>249998</v>
      </c>
      <c r="I261" s="1658">
        <v>1397190820</v>
      </c>
      <c r="J261" s="1658">
        <v>171728597880</v>
      </c>
      <c r="K261" s="1658">
        <v>31053996</v>
      </c>
    </row>
    <row r="262" spans="1:11" x14ac:dyDescent="0.3">
      <c r="A262" s="1657">
        <v>42027</v>
      </c>
      <c r="B262" s="1658">
        <v>5450</v>
      </c>
      <c r="C262" s="1658">
        <v>-80</v>
      </c>
      <c r="D262" s="1659">
        <v>-1.45</v>
      </c>
      <c r="E262" s="1658">
        <v>5510</v>
      </c>
      <c r="F262" s="1658">
        <v>5640</v>
      </c>
      <c r="G262" s="1658">
        <v>5410</v>
      </c>
      <c r="H262" s="1658">
        <v>221765</v>
      </c>
      <c r="I262" s="1658">
        <v>1221368430</v>
      </c>
      <c r="J262" s="1658">
        <v>169244278200</v>
      </c>
      <c r="K262" s="1658">
        <v>31053996</v>
      </c>
    </row>
    <row r="263" spans="1:11" x14ac:dyDescent="0.3">
      <c r="A263" s="1657">
        <v>42030</v>
      </c>
      <c r="B263" s="1658">
        <v>5380</v>
      </c>
      <c r="C263" s="1658">
        <v>-70</v>
      </c>
      <c r="D263" s="1659">
        <v>-1.28</v>
      </c>
      <c r="E263" s="1658">
        <v>5510</v>
      </c>
      <c r="F263" s="1658">
        <v>5550</v>
      </c>
      <c r="G263" s="1658">
        <v>5370</v>
      </c>
      <c r="H263" s="1658">
        <v>222951</v>
      </c>
      <c r="I263" s="1658">
        <v>1211860730</v>
      </c>
      <c r="J263" s="1658">
        <v>167070498480</v>
      </c>
      <c r="K263" s="1658">
        <v>31053996</v>
      </c>
    </row>
    <row r="264" spans="1:11" x14ac:dyDescent="0.3">
      <c r="A264" s="1657">
        <v>42031</v>
      </c>
      <c r="B264" s="1658">
        <v>5680</v>
      </c>
      <c r="C264" s="1658">
        <v>300</v>
      </c>
      <c r="D264" s="1659">
        <v>5.58</v>
      </c>
      <c r="E264" s="1658">
        <v>5400</v>
      </c>
      <c r="F264" s="1658">
        <v>5820</v>
      </c>
      <c r="G264" s="1658">
        <v>5330</v>
      </c>
      <c r="H264" s="1658">
        <v>697373</v>
      </c>
      <c r="I264" s="1658">
        <v>3907142160</v>
      </c>
      <c r="J264" s="1658">
        <v>176386697280</v>
      </c>
      <c r="K264" s="1658">
        <v>31053996</v>
      </c>
    </row>
    <row r="265" spans="1:11" x14ac:dyDescent="0.3">
      <c r="A265" s="1657">
        <v>42032</v>
      </c>
      <c r="B265" s="1658">
        <v>5610</v>
      </c>
      <c r="C265" s="1658">
        <v>-70</v>
      </c>
      <c r="D265" s="1659">
        <v>-1.23</v>
      </c>
      <c r="E265" s="1658">
        <v>5590</v>
      </c>
      <c r="F265" s="1658">
        <v>5770</v>
      </c>
      <c r="G265" s="1658">
        <v>5550</v>
      </c>
      <c r="H265" s="1658">
        <v>361563</v>
      </c>
      <c r="I265" s="1658">
        <v>2049984200</v>
      </c>
      <c r="J265" s="1658">
        <v>174212917560</v>
      </c>
      <c r="K265" s="1658">
        <v>31053996</v>
      </c>
    </row>
    <row r="266" spans="1:11" x14ac:dyDescent="0.3">
      <c r="A266" s="1657">
        <v>42033</v>
      </c>
      <c r="B266" s="1658">
        <v>5460</v>
      </c>
      <c r="C266" s="1658">
        <v>-150</v>
      </c>
      <c r="D266" s="1659">
        <v>-2.67</v>
      </c>
      <c r="E266" s="1658">
        <v>5680</v>
      </c>
      <c r="F266" s="1658">
        <v>5680</v>
      </c>
      <c r="G266" s="1658">
        <v>5460</v>
      </c>
      <c r="H266" s="1658">
        <v>181301</v>
      </c>
      <c r="I266" s="1658">
        <v>1000923930</v>
      </c>
      <c r="J266" s="1658">
        <v>169554818160</v>
      </c>
      <c r="K266" s="1658">
        <v>31053996</v>
      </c>
    </row>
    <row r="267" spans="1:11" x14ac:dyDescent="0.3">
      <c r="A267" s="1657">
        <v>42034</v>
      </c>
      <c r="B267" s="1658">
        <v>5680</v>
      </c>
      <c r="C267" s="1658">
        <v>220</v>
      </c>
      <c r="D267" s="1659">
        <v>4.03</v>
      </c>
      <c r="E267" s="1658">
        <v>5480</v>
      </c>
      <c r="F267" s="1658">
        <v>5850</v>
      </c>
      <c r="G267" s="1658">
        <v>5410</v>
      </c>
      <c r="H267" s="1658">
        <v>633630</v>
      </c>
      <c r="I267" s="1658">
        <v>3594115460</v>
      </c>
      <c r="J267" s="1658">
        <v>176386697280</v>
      </c>
      <c r="K267" s="1658">
        <v>31053996</v>
      </c>
    </row>
    <row r="268" spans="1:11" x14ac:dyDescent="0.3">
      <c r="A268" s="1657">
        <v>42037</v>
      </c>
      <c r="B268" s="1658">
        <v>5880</v>
      </c>
      <c r="C268" s="1658">
        <v>200</v>
      </c>
      <c r="D268" s="1659">
        <v>3.52</v>
      </c>
      <c r="E268" s="1658">
        <v>5670</v>
      </c>
      <c r="F268" s="1658">
        <v>5940</v>
      </c>
      <c r="G268" s="1658">
        <v>5550</v>
      </c>
      <c r="H268" s="1658">
        <v>526801</v>
      </c>
      <c r="I268" s="1658">
        <v>3032284820</v>
      </c>
      <c r="J268" s="1658">
        <v>182597496480</v>
      </c>
      <c r="K268" s="1658">
        <v>31053996</v>
      </c>
    </row>
    <row r="269" spans="1:11" x14ac:dyDescent="0.3">
      <c r="A269" s="1657">
        <v>42038</v>
      </c>
      <c r="B269" s="1658">
        <v>5870</v>
      </c>
      <c r="C269" s="1658">
        <v>-10</v>
      </c>
      <c r="D269" s="1659">
        <v>-0.17</v>
      </c>
      <c r="E269" s="1658">
        <v>5970</v>
      </c>
      <c r="F269" s="1658">
        <v>6010</v>
      </c>
      <c r="G269" s="1658">
        <v>5760</v>
      </c>
      <c r="H269" s="1658">
        <v>348070</v>
      </c>
      <c r="I269" s="1658">
        <v>2041394690</v>
      </c>
      <c r="J269" s="1658">
        <v>182286956520</v>
      </c>
      <c r="K269" s="1658">
        <v>31053996</v>
      </c>
    </row>
    <row r="270" spans="1:11" x14ac:dyDescent="0.3">
      <c r="A270" s="1657">
        <v>42039</v>
      </c>
      <c r="B270" s="1658">
        <v>6080</v>
      </c>
      <c r="C270" s="1658">
        <v>210</v>
      </c>
      <c r="D270" s="1659">
        <v>3.58</v>
      </c>
      <c r="E270" s="1658">
        <v>5870</v>
      </c>
      <c r="F270" s="1658">
        <v>6140</v>
      </c>
      <c r="G270" s="1658">
        <v>5800</v>
      </c>
      <c r="H270" s="1658">
        <v>839648</v>
      </c>
      <c r="I270" s="1658">
        <v>5053876920</v>
      </c>
      <c r="J270" s="1658">
        <v>188808295680</v>
      </c>
      <c r="K270" s="1658">
        <v>31053996</v>
      </c>
    </row>
    <row r="271" spans="1:11" x14ac:dyDescent="0.3">
      <c r="A271" s="1657">
        <v>42040</v>
      </c>
      <c r="B271" s="1658">
        <v>6290</v>
      </c>
      <c r="C271" s="1658">
        <v>210</v>
      </c>
      <c r="D271" s="1659">
        <v>3.45</v>
      </c>
      <c r="E271" s="1658">
        <v>6250</v>
      </c>
      <c r="F271" s="1658">
        <v>6520</v>
      </c>
      <c r="G271" s="1658">
        <v>6170</v>
      </c>
      <c r="H271" s="1658">
        <v>2145486</v>
      </c>
      <c r="I271" s="1658">
        <v>13662274230</v>
      </c>
      <c r="J271" s="1658">
        <v>195329634840</v>
      </c>
      <c r="K271" s="1658">
        <v>31053996</v>
      </c>
    </row>
    <row r="272" spans="1:11" x14ac:dyDescent="0.3">
      <c r="A272" s="1657">
        <v>42041</v>
      </c>
      <c r="B272" s="1658">
        <v>6260</v>
      </c>
      <c r="C272" s="1658">
        <v>-30</v>
      </c>
      <c r="D272" s="1659">
        <v>-0.48</v>
      </c>
      <c r="E272" s="1658">
        <v>6290</v>
      </c>
      <c r="F272" s="1658">
        <v>6420</v>
      </c>
      <c r="G272" s="1658">
        <v>6160</v>
      </c>
      <c r="H272" s="1658">
        <v>569171</v>
      </c>
      <c r="I272" s="1658">
        <v>3576105790</v>
      </c>
      <c r="J272" s="1658">
        <v>194398014960</v>
      </c>
      <c r="K272" s="1658">
        <v>31053996</v>
      </c>
    </row>
    <row r="273" spans="1:11" x14ac:dyDescent="0.3">
      <c r="A273" s="1657">
        <v>42044</v>
      </c>
      <c r="B273" s="1658">
        <v>6480</v>
      </c>
      <c r="C273" s="1658">
        <v>220</v>
      </c>
      <c r="D273" s="1659">
        <v>3.51</v>
      </c>
      <c r="E273" s="1658">
        <v>6350</v>
      </c>
      <c r="F273" s="1658">
        <v>6560</v>
      </c>
      <c r="G273" s="1658">
        <v>6160</v>
      </c>
      <c r="H273" s="1658">
        <v>926863</v>
      </c>
      <c r="I273" s="1658">
        <v>5917346820</v>
      </c>
      <c r="J273" s="1658">
        <v>201229894080</v>
      </c>
      <c r="K273" s="1658">
        <v>31053996</v>
      </c>
    </row>
    <row r="274" spans="1:11" x14ac:dyDescent="0.3">
      <c r="A274" s="1657">
        <v>42045</v>
      </c>
      <c r="B274" s="1658">
        <v>6810</v>
      </c>
      <c r="C274" s="1658">
        <v>330</v>
      </c>
      <c r="D274" s="1659">
        <v>5.09</v>
      </c>
      <c r="E274" s="1658">
        <v>6600</v>
      </c>
      <c r="F274" s="1658">
        <v>7040</v>
      </c>
      <c r="G274" s="1658">
        <v>6350</v>
      </c>
      <c r="H274" s="1658">
        <v>2019701</v>
      </c>
      <c r="I274" s="1658">
        <v>13619968780</v>
      </c>
      <c r="J274" s="1658">
        <v>211477712760</v>
      </c>
      <c r="K274" s="1658">
        <v>31053996</v>
      </c>
    </row>
    <row r="275" spans="1:11" x14ac:dyDescent="0.3">
      <c r="A275" s="1657">
        <v>42046</v>
      </c>
      <c r="B275" s="1658">
        <v>6900</v>
      </c>
      <c r="C275" s="1658">
        <v>90</v>
      </c>
      <c r="D275" s="1659">
        <v>1.32</v>
      </c>
      <c r="E275" s="1658">
        <v>6800</v>
      </c>
      <c r="F275" s="1658">
        <v>7080</v>
      </c>
      <c r="G275" s="1658">
        <v>6660</v>
      </c>
      <c r="H275" s="1658">
        <v>1282273</v>
      </c>
      <c r="I275" s="1658">
        <v>8821358850</v>
      </c>
      <c r="J275" s="1658">
        <v>214272572400</v>
      </c>
      <c r="K275" s="1658">
        <v>31053996</v>
      </c>
    </row>
    <row r="276" spans="1:11" x14ac:dyDescent="0.3">
      <c r="A276" s="1657">
        <v>42047</v>
      </c>
      <c r="B276" s="1658">
        <v>6700</v>
      </c>
      <c r="C276" s="1658">
        <v>-200</v>
      </c>
      <c r="D276" s="1659">
        <v>-2.9</v>
      </c>
      <c r="E276" s="1658">
        <v>6900</v>
      </c>
      <c r="F276" s="1658">
        <v>7010</v>
      </c>
      <c r="G276" s="1658">
        <v>6670</v>
      </c>
      <c r="H276" s="1658">
        <v>656059</v>
      </c>
      <c r="I276" s="1658">
        <v>4465579670</v>
      </c>
      <c r="J276" s="1658">
        <v>208061773200</v>
      </c>
      <c r="K276" s="1658">
        <v>31053996</v>
      </c>
    </row>
    <row r="277" spans="1:11" x14ac:dyDescent="0.3">
      <c r="A277" s="1657">
        <v>42048</v>
      </c>
      <c r="B277" s="1658">
        <v>7300</v>
      </c>
      <c r="C277" s="1658">
        <v>600</v>
      </c>
      <c r="D277" s="1659">
        <v>8.9600000000000009</v>
      </c>
      <c r="E277" s="1658">
        <v>6680</v>
      </c>
      <c r="F277" s="1658">
        <v>7550</v>
      </c>
      <c r="G277" s="1658">
        <v>6560</v>
      </c>
      <c r="H277" s="1658">
        <v>1669591</v>
      </c>
      <c r="I277" s="1658">
        <v>11857419900</v>
      </c>
      <c r="J277" s="1658">
        <v>226694170800</v>
      </c>
      <c r="K277" s="1658">
        <v>31053996</v>
      </c>
    </row>
    <row r="278" spans="1:11" x14ac:dyDescent="0.3">
      <c r="A278" s="1657">
        <v>42051</v>
      </c>
      <c r="B278" s="1658">
        <v>7290</v>
      </c>
      <c r="C278" s="1658">
        <v>-10</v>
      </c>
      <c r="D278" s="1659">
        <v>-0.14000000000000001</v>
      </c>
      <c r="E278" s="1658">
        <v>7300</v>
      </c>
      <c r="F278" s="1658">
        <v>7510</v>
      </c>
      <c r="G278" s="1658">
        <v>7100</v>
      </c>
      <c r="H278" s="1658">
        <v>852121</v>
      </c>
      <c r="I278" s="1658">
        <v>6191646600</v>
      </c>
      <c r="J278" s="1658">
        <v>226405500840</v>
      </c>
      <c r="K278" s="1658">
        <v>31056996</v>
      </c>
    </row>
    <row r="279" spans="1:11" x14ac:dyDescent="0.3">
      <c r="A279" s="1657">
        <v>42052</v>
      </c>
      <c r="B279" s="1658">
        <v>6920</v>
      </c>
      <c r="C279" s="1658">
        <v>-370</v>
      </c>
      <c r="D279" s="1659">
        <v>-5.08</v>
      </c>
      <c r="E279" s="1658">
        <v>7290</v>
      </c>
      <c r="F279" s="1658">
        <v>7300</v>
      </c>
      <c r="G279" s="1658">
        <v>6830</v>
      </c>
      <c r="H279" s="1658">
        <v>682298</v>
      </c>
      <c r="I279" s="1658">
        <v>4809008320</v>
      </c>
      <c r="J279" s="1658">
        <v>214914412320</v>
      </c>
      <c r="K279" s="1658">
        <v>31056996</v>
      </c>
    </row>
    <row r="280" spans="1:11" x14ac:dyDescent="0.3">
      <c r="A280" s="1657">
        <v>42058</v>
      </c>
      <c r="B280" s="1658">
        <v>6710</v>
      </c>
      <c r="C280" s="1658">
        <v>-210</v>
      </c>
      <c r="D280" s="1659">
        <v>-3.03</v>
      </c>
      <c r="E280" s="1658">
        <v>6930</v>
      </c>
      <c r="F280" s="1658">
        <v>7080</v>
      </c>
      <c r="G280" s="1658">
        <v>6650</v>
      </c>
      <c r="H280" s="1658">
        <v>630292</v>
      </c>
      <c r="I280" s="1658">
        <v>4295723090</v>
      </c>
      <c r="J280" s="1658">
        <v>208392443160</v>
      </c>
      <c r="K280" s="1658">
        <v>31056996</v>
      </c>
    </row>
    <row r="281" spans="1:11" x14ac:dyDescent="0.3">
      <c r="A281" s="1657">
        <v>42059</v>
      </c>
      <c r="B281" s="1658">
        <v>6790</v>
      </c>
      <c r="C281" s="1658">
        <v>80</v>
      </c>
      <c r="D281" s="1659">
        <v>1.19</v>
      </c>
      <c r="E281" s="1658">
        <v>6760</v>
      </c>
      <c r="F281" s="1658">
        <v>6830</v>
      </c>
      <c r="G281" s="1658">
        <v>6570</v>
      </c>
      <c r="H281" s="1658">
        <v>478081</v>
      </c>
      <c r="I281" s="1658">
        <v>3208051640</v>
      </c>
      <c r="J281" s="1658">
        <v>210877002840</v>
      </c>
      <c r="K281" s="1658">
        <v>31056996</v>
      </c>
    </row>
    <row r="282" spans="1:11" x14ac:dyDescent="0.3">
      <c r="A282" s="1657">
        <v>42060</v>
      </c>
      <c r="B282" s="1658">
        <v>6490</v>
      </c>
      <c r="C282" s="1658">
        <v>-300</v>
      </c>
      <c r="D282" s="1659">
        <v>-4.42</v>
      </c>
      <c r="E282" s="1658">
        <v>6720</v>
      </c>
      <c r="F282" s="1658">
        <v>6930</v>
      </c>
      <c r="G282" s="1658">
        <v>6450</v>
      </c>
      <c r="H282" s="1658">
        <v>689240</v>
      </c>
      <c r="I282" s="1658">
        <v>4577856880</v>
      </c>
      <c r="J282" s="1658">
        <v>201559904040</v>
      </c>
      <c r="K282" s="1658">
        <v>31056996</v>
      </c>
    </row>
    <row r="283" spans="1:11" x14ac:dyDescent="0.3">
      <c r="A283" s="1657">
        <v>42061</v>
      </c>
      <c r="B283" s="1658">
        <v>6360</v>
      </c>
      <c r="C283" s="1658">
        <v>-130</v>
      </c>
      <c r="D283" s="1659">
        <v>-2</v>
      </c>
      <c r="E283" s="1658">
        <v>6550</v>
      </c>
      <c r="F283" s="1658">
        <v>6580</v>
      </c>
      <c r="G283" s="1658">
        <v>6360</v>
      </c>
      <c r="H283" s="1658">
        <v>294465</v>
      </c>
      <c r="I283" s="1658">
        <v>1908169520</v>
      </c>
      <c r="J283" s="1658">
        <v>197522494560</v>
      </c>
      <c r="K283" s="1658">
        <v>31056996</v>
      </c>
    </row>
    <row r="284" spans="1:11" x14ac:dyDescent="0.3">
      <c r="A284" s="1657">
        <v>42062</v>
      </c>
      <c r="B284" s="1658">
        <v>6480</v>
      </c>
      <c r="C284" s="1658">
        <v>120</v>
      </c>
      <c r="D284" s="1659">
        <v>1.89</v>
      </c>
      <c r="E284" s="1658">
        <v>6440</v>
      </c>
      <c r="F284" s="1658">
        <v>6480</v>
      </c>
      <c r="G284" s="1658">
        <v>6240</v>
      </c>
      <c r="H284" s="1658">
        <v>337259</v>
      </c>
      <c r="I284" s="1658">
        <v>2140371400</v>
      </c>
      <c r="J284" s="1658">
        <v>201249334080</v>
      </c>
      <c r="K284" s="1658">
        <v>31056996</v>
      </c>
    </row>
    <row r="285" spans="1:11" x14ac:dyDescent="0.3">
      <c r="A285" s="1657">
        <v>42065</v>
      </c>
      <c r="B285" s="1658">
        <v>6280</v>
      </c>
      <c r="C285" s="1658">
        <v>-200</v>
      </c>
      <c r="D285" s="1659">
        <v>-3.09</v>
      </c>
      <c r="E285" s="1658">
        <v>6550</v>
      </c>
      <c r="F285" s="1658">
        <v>6550</v>
      </c>
      <c r="G285" s="1658">
        <v>6270</v>
      </c>
      <c r="H285" s="1658">
        <v>360167</v>
      </c>
      <c r="I285" s="1658">
        <v>2284134130</v>
      </c>
      <c r="J285" s="1658">
        <v>195037934880</v>
      </c>
      <c r="K285" s="1658">
        <v>31056996</v>
      </c>
    </row>
    <row r="286" spans="1:11" x14ac:dyDescent="0.3">
      <c r="A286" s="1657">
        <v>42066</v>
      </c>
      <c r="B286" s="1658">
        <v>6140</v>
      </c>
      <c r="C286" s="1658">
        <v>-140</v>
      </c>
      <c r="D286" s="1659">
        <v>-2.23</v>
      </c>
      <c r="E286" s="1658">
        <v>6280</v>
      </c>
      <c r="F286" s="1658">
        <v>6330</v>
      </c>
      <c r="G286" s="1658">
        <v>6120</v>
      </c>
      <c r="H286" s="1658">
        <v>347210</v>
      </c>
      <c r="I286" s="1658">
        <v>2144629170</v>
      </c>
      <c r="J286" s="1658">
        <v>190689955440</v>
      </c>
      <c r="K286" s="1658">
        <v>31056996</v>
      </c>
    </row>
    <row r="287" spans="1:11" x14ac:dyDescent="0.3">
      <c r="A287" s="1657">
        <v>42067</v>
      </c>
      <c r="B287" s="1658">
        <v>6490</v>
      </c>
      <c r="C287" s="1658">
        <v>350</v>
      </c>
      <c r="D287" s="1659">
        <v>5.7</v>
      </c>
      <c r="E287" s="1658">
        <v>6180</v>
      </c>
      <c r="F287" s="1658">
        <v>6490</v>
      </c>
      <c r="G287" s="1658">
        <v>6180</v>
      </c>
      <c r="H287" s="1658">
        <v>565946</v>
      </c>
      <c r="I287" s="1658">
        <v>3611447030</v>
      </c>
      <c r="J287" s="1658">
        <v>201559904040</v>
      </c>
      <c r="K287" s="1658">
        <v>31056996</v>
      </c>
    </row>
    <row r="288" spans="1:11" x14ac:dyDescent="0.3">
      <c r="A288" s="1657">
        <v>42068</v>
      </c>
      <c r="B288" s="1658">
        <v>6490</v>
      </c>
      <c r="C288" s="1658">
        <v>0</v>
      </c>
      <c r="D288" s="1659">
        <v>0</v>
      </c>
      <c r="E288" s="1658">
        <v>6490</v>
      </c>
      <c r="F288" s="1658">
        <v>6490</v>
      </c>
      <c r="G288" s="1658">
        <v>6380</v>
      </c>
      <c r="H288" s="1658">
        <v>162905</v>
      </c>
      <c r="I288" s="1658">
        <v>1047282600</v>
      </c>
      <c r="J288" s="1658">
        <v>201559904040</v>
      </c>
      <c r="K288" s="1658">
        <v>31056996</v>
      </c>
    </row>
    <row r="289" spans="1:11" x14ac:dyDescent="0.3">
      <c r="A289" s="1657">
        <v>42069</v>
      </c>
      <c r="B289" s="1658">
        <v>6410</v>
      </c>
      <c r="C289" s="1658">
        <v>-80</v>
      </c>
      <c r="D289" s="1659">
        <v>-1.23</v>
      </c>
      <c r="E289" s="1658">
        <v>6470</v>
      </c>
      <c r="F289" s="1658">
        <v>6490</v>
      </c>
      <c r="G289" s="1658">
        <v>6330</v>
      </c>
      <c r="H289" s="1658">
        <v>240727</v>
      </c>
      <c r="I289" s="1658">
        <v>1539761170</v>
      </c>
      <c r="J289" s="1658">
        <v>199075344360</v>
      </c>
      <c r="K289" s="1658">
        <v>31056996</v>
      </c>
    </row>
    <row r="290" spans="1:11" x14ac:dyDescent="0.3">
      <c r="A290" s="1657">
        <v>42072</v>
      </c>
      <c r="B290" s="1658">
        <v>6690</v>
      </c>
      <c r="C290" s="1658">
        <v>280</v>
      </c>
      <c r="D290" s="1659">
        <v>4.37</v>
      </c>
      <c r="E290" s="1658">
        <v>6480</v>
      </c>
      <c r="F290" s="1658">
        <v>6840</v>
      </c>
      <c r="G290" s="1658">
        <v>6320</v>
      </c>
      <c r="H290" s="1658">
        <v>603831</v>
      </c>
      <c r="I290" s="1658">
        <v>4006810180</v>
      </c>
      <c r="J290" s="1658">
        <v>207771303240</v>
      </c>
      <c r="K290" s="1658">
        <v>31056996</v>
      </c>
    </row>
    <row r="291" spans="1:11" x14ac:dyDescent="0.3">
      <c r="A291" s="1657">
        <v>42073</v>
      </c>
      <c r="B291" s="1658">
        <v>6750</v>
      </c>
      <c r="C291" s="1658">
        <v>60</v>
      </c>
      <c r="D291" s="1659">
        <v>0.9</v>
      </c>
      <c r="E291" s="1658">
        <v>6670</v>
      </c>
      <c r="F291" s="1658">
        <v>6750</v>
      </c>
      <c r="G291" s="1658">
        <v>6590</v>
      </c>
      <c r="H291" s="1658">
        <v>358573</v>
      </c>
      <c r="I291" s="1658">
        <v>2392868280</v>
      </c>
      <c r="J291" s="1658">
        <v>209634723000</v>
      </c>
      <c r="K291" s="1658">
        <v>31056996</v>
      </c>
    </row>
    <row r="292" spans="1:11" x14ac:dyDescent="0.3">
      <c r="A292" s="1657">
        <v>42074</v>
      </c>
      <c r="B292" s="1658">
        <v>6640</v>
      </c>
      <c r="C292" s="1658">
        <v>-110</v>
      </c>
      <c r="D292" s="1659">
        <v>-1.63</v>
      </c>
      <c r="E292" s="1658">
        <v>6670</v>
      </c>
      <c r="F292" s="1658">
        <v>6730</v>
      </c>
      <c r="G292" s="1658">
        <v>6600</v>
      </c>
      <c r="H292" s="1658">
        <v>242726</v>
      </c>
      <c r="I292" s="1658">
        <v>1616359330</v>
      </c>
      <c r="J292" s="1658">
        <v>206218453440</v>
      </c>
      <c r="K292" s="1658">
        <v>31056996</v>
      </c>
    </row>
    <row r="293" spans="1:11" x14ac:dyDescent="0.3">
      <c r="A293" s="1657">
        <v>42075</v>
      </c>
      <c r="B293" s="1658">
        <v>6510</v>
      </c>
      <c r="C293" s="1658">
        <v>-130</v>
      </c>
      <c r="D293" s="1659">
        <v>-1.96</v>
      </c>
      <c r="E293" s="1658">
        <v>6690</v>
      </c>
      <c r="F293" s="1658">
        <v>6690</v>
      </c>
      <c r="G293" s="1658">
        <v>6430</v>
      </c>
      <c r="H293" s="1658">
        <v>332913</v>
      </c>
      <c r="I293" s="1658">
        <v>2166822230</v>
      </c>
      <c r="J293" s="1658">
        <v>202181043960</v>
      </c>
      <c r="K293" s="1658">
        <v>31056996</v>
      </c>
    </row>
    <row r="294" spans="1:11" x14ac:dyDescent="0.3">
      <c r="A294" s="1657">
        <v>42076</v>
      </c>
      <c r="B294" s="1658">
        <v>6480</v>
      </c>
      <c r="C294" s="1658">
        <v>-30</v>
      </c>
      <c r="D294" s="1659">
        <v>-0.46</v>
      </c>
      <c r="E294" s="1658">
        <v>6440</v>
      </c>
      <c r="F294" s="1658">
        <v>6600</v>
      </c>
      <c r="G294" s="1658">
        <v>6300</v>
      </c>
      <c r="H294" s="1658">
        <v>191929</v>
      </c>
      <c r="I294" s="1658">
        <v>1237993840</v>
      </c>
      <c r="J294" s="1658">
        <v>201249334080</v>
      </c>
      <c r="K294" s="1658">
        <v>31056996</v>
      </c>
    </row>
    <row r="295" spans="1:11" x14ac:dyDescent="0.3">
      <c r="A295" s="1657">
        <v>42079</v>
      </c>
      <c r="B295" s="1658">
        <v>6400</v>
      </c>
      <c r="C295" s="1658">
        <v>-80</v>
      </c>
      <c r="D295" s="1659">
        <v>-1.23</v>
      </c>
      <c r="E295" s="1658">
        <v>6460</v>
      </c>
      <c r="F295" s="1658">
        <v>6470</v>
      </c>
      <c r="G295" s="1658">
        <v>6310</v>
      </c>
      <c r="H295" s="1658">
        <v>154169</v>
      </c>
      <c r="I295" s="1658">
        <v>982113700</v>
      </c>
      <c r="J295" s="1658">
        <v>198764774400</v>
      </c>
      <c r="K295" s="1658">
        <v>31056996</v>
      </c>
    </row>
    <row r="296" spans="1:11" x14ac:dyDescent="0.3">
      <c r="A296" s="1657">
        <v>42080</v>
      </c>
      <c r="B296" s="1658">
        <v>6390</v>
      </c>
      <c r="C296" s="1658">
        <v>-10</v>
      </c>
      <c r="D296" s="1659">
        <v>-0.16</v>
      </c>
      <c r="E296" s="1658">
        <v>6410</v>
      </c>
      <c r="F296" s="1658">
        <v>6510</v>
      </c>
      <c r="G296" s="1658">
        <v>6340</v>
      </c>
      <c r="H296" s="1658">
        <v>145517</v>
      </c>
      <c r="I296" s="1658">
        <v>933088110</v>
      </c>
      <c r="J296" s="1658">
        <v>198454204440</v>
      </c>
      <c r="K296" s="1658">
        <v>31056996</v>
      </c>
    </row>
    <row r="297" spans="1:11" x14ac:dyDescent="0.3">
      <c r="A297" s="1657">
        <v>42081</v>
      </c>
      <c r="B297" s="1658">
        <v>6350</v>
      </c>
      <c r="C297" s="1658">
        <v>-40</v>
      </c>
      <c r="D297" s="1659">
        <v>-0.63</v>
      </c>
      <c r="E297" s="1658">
        <v>6360</v>
      </c>
      <c r="F297" s="1658">
        <v>6440</v>
      </c>
      <c r="G297" s="1658">
        <v>6200</v>
      </c>
      <c r="H297" s="1658">
        <v>209342</v>
      </c>
      <c r="I297" s="1658">
        <v>1324800490</v>
      </c>
      <c r="J297" s="1658">
        <v>197211924600</v>
      </c>
      <c r="K297" s="1658">
        <v>31056996</v>
      </c>
    </row>
    <row r="298" spans="1:11" x14ac:dyDescent="0.3">
      <c r="A298" s="1657">
        <v>42082</v>
      </c>
      <c r="B298" s="1658">
        <v>6290</v>
      </c>
      <c r="C298" s="1658">
        <v>-60</v>
      </c>
      <c r="D298" s="1659">
        <v>-0.94</v>
      </c>
      <c r="E298" s="1658">
        <v>6390</v>
      </c>
      <c r="F298" s="1658">
        <v>6390</v>
      </c>
      <c r="G298" s="1658">
        <v>6130</v>
      </c>
      <c r="H298" s="1658">
        <v>270445</v>
      </c>
      <c r="I298" s="1658">
        <v>1683883200</v>
      </c>
      <c r="J298" s="1658">
        <v>195348504840</v>
      </c>
      <c r="K298" s="1658">
        <v>31056996</v>
      </c>
    </row>
    <row r="299" spans="1:11" x14ac:dyDescent="0.3">
      <c r="A299" s="1657">
        <v>42083</v>
      </c>
      <c r="B299" s="1658">
        <v>6490</v>
      </c>
      <c r="C299" s="1658">
        <v>200</v>
      </c>
      <c r="D299" s="1659">
        <v>3.18</v>
      </c>
      <c r="E299" s="1658">
        <v>6260</v>
      </c>
      <c r="F299" s="1658">
        <v>6690</v>
      </c>
      <c r="G299" s="1658">
        <v>6250</v>
      </c>
      <c r="H299" s="1658">
        <v>435176</v>
      </c>
      <c r="I299" s="1658">
        <v>2831357810</v>
      </c>
      <c r="J299" s="1658">
        <v>201559904040</v>
      </c>
      <c r="K299" s="1658">
        <v>31056996</v>
      </c>
    </row>
    <row r="300" spans="1:11" x14ac:dyDescent="0.3">
      <c r="A300" s="1657">
        <v>42086</v>
      </c>
      <c r="B300" s="1658">
        <v>6520</v>
      </c>
      <c r="C300" s="1658">
        <v>30</v>
      </c>
      <c r="D300" s="1659">
        <v>0.46</v>
      </c>
      <c r="E300" s="1658">
        <v>6560</v>
      </c>
      <c r="F300" s="1658">
        <v>6670</v>
      </c>
      <c r="G300" s="1658">
        <v>6470</v>
      </c>
      <c r="H300" s="1658">
        <v>223798</v>
      </c>
      <c r="I300" s="1658">
        <v>1470716620</v>
      </c>
      <c r="J300" s="1658">
        <v>202491613920</v>
      </c>
      <c r="K300" s="1658">
        <v>31056996</v>
      </c>
    </row>
    <row r="301" spans="1:11" x14ac:dyDescent="0.3">
      <c r="A301" s="1657">
        <v>42087</v>
      </c>
      <c r="B301" s="1658">
        <v>6390</v>
      </c>
      <c r="C301" s="1658">
        <v>-130</v>
      </c>
      <c r="D301" s="1659">
        <v>-1.99</v>
      </c>
      <c r="E301" s="1658">
        <v>6490</v>
      </c>
      <c r="F301" s="1658">
        <v>6590</v>
      </c>
      <c r="G301" s="1658">
        <v>6390</v>
      </c>
      <c r="H301" s="1658">
        <v>154068</v>
      </c>
      <c r="I301" s="1658">
        <v>994397340</v>
      </c>
      <c r="J301" s="1658">
        <v>198454204440</v>
      </c>
      <c r="K301" s="1658">
        <v>31056996</v>
      </c>
    </row>
    <row r="302" spans="1:11" x14ac:dyDescent="0.3">
      <c r="A302" s="1657">
        <v>42088</v>
      </c>
      <c r="B302" s="1658">
        <v>6240</v>
      </c>
      <c r="C302" s="1658">
        <v>-150</v>
      </c>
      <c r="D302" s="1659">
        <v>-2.35</v>
      </c>
      <c r="E302" s="1658">
        <v>6390</v>
      </c>
      <c r="F302" s="1658">
        <v>6450</v>
      </c>
      <c r="G302" s="1658">
        <v>6200</v>
      </c>
      <c r="H302" s="1658">
        <v>262860</v>
      </c>
      <c r="I302" s="1658">
        <v>1649910610</v>
      </c>
      <c r="J302" s="1658">
        <v>193795655040</v>
      </c>
      <c r="K302" s="1658">
        <v>31056996</v>
      </c>
    </row>
    <row r="303" spans="1:11" x14ac:dyDescent="0.3">
      <c r="A303" s="1657">
        <v>42089</v>
      </c>
      <c r="B303" s="1658">
        <v>6180</v>
      </c>
      <c r="C303" s="1658">
        <v>-60</v>
      </c>
      <c r="D303" s="1659">
        <v>-0.96</v>
      </c>
      <c r="E303" s="1658">
        <v>6260</v>
      </c>
      <c r="F303" s="1658">
        <v>6280</v>
      </c>
      <c r="G303" s="1658">
        <v>6070</v>
      </c>
      <c r="H303" s="1658">
        <v>194294</v>
      </c>
      <c r="I303" s="1658">
        <v>1201589600</v>
      </c>
      <c r="J303" s="1658">
        <v>191932235280</v>
      </c>
      <c r="K303" s="1658">
        <v>31056996</v>
      </c>
    </row>
    <row r="304" spans="1:11" x14ac:dyDescent="0.3">
      <c r="A304" s="1657">
        <v>42090</v>
      </c>
      <c r="B304" s="1658">
        <v>6000</v>
      </c>
      <c r="C304" s="1658">
        <v>-180</v>
      </c>
      <c r="D304" s="1659">
        <v>-2.91</v>
      </c>
      <c r="E304" s="1658">
        <v>6140</v>
      </c>
      <c r="F304" s="1658">
        <v>6230</v>
      </c>
      <c r="G304" s="1658">
        <v>5930</v>
      </c>
      <c r="H304" s="1658">
        <v>223559</v>
      </c>
      <c r="I304" s="1658">
        <v>1352215450</v>
      </c>
      <c r="J304" s="1658">
        <v>186341976000</v>
      </c>
      <c r="K304" s="1658">
        <v>31056996</v>
      </c>
    </row>
    <row r="305" spans="1:11" x14ac:dyDescent="0.3">
      <c r="A305" s="1657">
        <v>42093</v>
      </c>
      <c r="B305" s="1658">
        <v>6030</v>
      </c>
      <c r="C305" s="1658">
        <v>30</v>
      </c>
      <c r="D305" s="1659">
        <v>0.5</v>
      </c>
      <c r="E305" s="1658">
        <v>5960</v>
      </c>
      <c r="F305" s="1658">
        <v>6170</v>
      </c>
      <c r="G305" s="1658">
        <v>5950</v>
      </c>
      <c r="H305" s="1658">
        <v>137094</v>
      </c>
      <c r="I305" s="1658">
        <v>832004550</v>
      </c>
      <c r="J305" s="1658">
        <v>187273685880</v>
      </c>
      <c r="K305" s="1658">
        <v>31056996</v>
      </c>
    </row>
    <row r="306" spans="1:11" x14ac:dyDescent="0.3">
      <c r="A306" s="1657">
        <v>42094</v>
      </c>
      <c r="B306" s="1658">
        <v>5970</v>
      </c>
      <c r="C306" s="1658">
        <v>-60</v>
      </c>
      <c r="D306" s="1659">
        <v>-1</v>
      </c>
      <c r="E306" s="1658">
        <v>6110</v>
      </c>
      <c r="F306" s="1658">
        <v>6110</v>
      </c>
      <c r="G306" s="1658">
        <v>5920</v>
      </c>
      <c r="H306" s="1658">
        <v>198280</v>
      </c>
      <c r="I306" s="1658">
        <v>1183591410</v>
      </c>
      <c r="J306" s="1658">
        <v>185410266120</v>
      </c>
      <c r="K306" s="1658">
        <v>31056996</v>
      </c>
    </row>
    <row r="307" spans="1:11" x14ac:dyDescent="0.3">
      <c r="A307" s="1657">
        <v>42095</v>
      </c>
      <c r="B307" s="1658">
        <v>5780</v>
      </c>
      <c r="C307" s="1658">
        <v>-190</v>
      </c>
      <c r="D307" s="1659">
        <v>-3.18</v>
      </c>
      <c r="E307" s="1658">
        <v>5910</v>
      </c>
      <c r="F307" s="1658">
        <v>5960</v>
      </c>
      <c r="G307" s="1658">
        <v>5700</v>
      </c>
      <c r="H307" s="1658">
        <v>369787</v>
      </c>
      <c r="I307" s="1658">
        <v>2150951760</v>
      </c>
      <c r="J307" s="1658">
        <v>179509436880</v>
      </c>
      <c r="K307" s="1658">
        <v>31056996</v>
      </c>
    </row>
    <row r="308" spans="1:11" x14ac:dyDescent="0.3">
      <c r="A308" s="1657">
        <v>42096</v>
      </c>
      <c r="B308" s="1658">
        <v>6400</v>
      </c>
      <c r="C308" s="1658">
        <v>620</v>
      </c>
      <c r="D308" s="1659">
        <v>10.73</v>
      </c>
      <c r="E308" s="1658">
        <v>5800</v>
      </c>
      <c r="F308" s="1658">
        <v>6520</v>
      </c>
      <c r="G308" s="1658">
        <v>5800</v>
      </c>
      <c r="H308" s="1658">
        <v>1341402</v>
      </c>
      <c r="I308" s="1658">
        <v>8396926570</v>
      </c>
      <c r="J308" s="1658">
        <v>198764774400</v>
      </c>
      <c r="K308" s="1658">
        <v>31056996</v>
      </c>
    </row>
    <row r="309" spans="1:11" x14ac:dyDescent="0.3">
      <c r="A309" s="1657">
        <v>42097</v>
      </c>
      <c r="B309" s="1658">
        <v>6330</v>
      </c>
      <c r="C309" s="1658">
        <v>-70</v>
      </c>
      <c r="D309" s="1659">
        <v>-1.0900000000000001</v>
      </c>
      <c r="E309" s="1658">
        <v>6520</v>
      </c>
      <c r="F309" s="1658">
        <v>6520</v>
      </c>
      <c r="G309" s="1658">
        <v>6210</v>
      </c>
      <c r="H309" s="1658">
        <v>342487</v>
      </c>
      <c r="I309" s="1658">
        <v>2170303550</v>
      </c>
      <c r="J309" s="1658">
        <v>196590784680</v>
      </c>
      <c r="K309" s="1658">
        <v>31056996</v>
      </c>
    </row>
    <row r="310" spans="1:11" x14ac:dyDescent="0.3">
      <c r="A310" s="1657">
        <v>42100</v>
      </c>
      <c r="B310" s="1658">
        <v>6330</v>
      </c>
      <c r="C310" s="1658">
        <v>0</v>
      </c>
      <c r="D310" s="1659">
        <v>0</v>
      </c>
      <c r="E310" s="1658">
        <v>6410</v>
      </c>
      <c r="F310" s="1658">
        <v>6410</v>
      </c>
      <c r="G310" s="1658">
        <v>6220</v>
      </c>
      <c r="H310" s="1658">
        <v>197454</v>
      </c>
      <c r="I310" s="1658">
        <v>1240814990</v>
      </c>
      <c r="J310" s="1658">
        <v>196590784680</v>
      </c>
      <c r="K310" s="1658">
        <v>31056996</v>
      </c>
    </row>
    <row r="311" spans="1:11" x14ac:dyDescent="0.3">
      <c r="A311" s="1657">
        <v>42101</v>
      </c>
      <c r="B311" s="1658">
        <v>6690</v>
      </c>
      <c r="C311" s="1658">
        <v>360</v>
      </c>
      <c r="D311" s="1659">
        <v>5.69</v>
      </c>
      <c r="E311" s="1658">
        <v>6450</v>
      </c>
      <c r="F311" s="1658">
        <v>6750</v>
      </c>
      <c r="G311" s="1658">
        <v>6340</v>
      </c>
      <c r="H311" s="1658">
        <v>931027</v>
      </c>
      <c r="I311" s="1658">
        <v>6152890860</v>
      </c>
      <c r="J311" s="1658">
        <v>207771303240</v>
      </c>
      <c r="K311" s="1658">
        <v>31056996</v>
      </c>
    </row>
    <row r="312" spans="1:11" x14ac:dyDescent="0.3">
      <c r="A312" s="1657">
        <v>42102</v>
      </c>
      <c r="B312" s="1658">
        <v>6880</v>
      </c>
      <c r="C312" s="1658">
        <v>190</v>
      </c>
      <c r="D312" s="1659">
        <v>2.84</v>
      </c>
      <c r="E312" s="1658">
        <v>6770</v>
      </c>
      <c r="F312" s="1658">
        <v>6900</v>
      </c>
      <c r="G312" s="1658">
        <v>6640</v>
      </c>
      <c r="H312" s="1658">
        <v>747599</v>
      </c>
      <c r="I312" s="1658">
        <v>5078192540</v>
      </c>
      <c r="J312" s="1658">
        <v>213672132480</v>
      </c>
      <c r="K312" s="1658">
        <v>31056996</v>
      </c>
    </row>
    <row r="313" spans="1:11" x14ac:dyDescent="0.3">
      <c r="A313" s="1657">
        <v>42103</v>
      </c>
      <c r="B313" s="1658">
        <v>7910</v>
      </c>
      <c r="C313" s="1658">
        <v>1030</v>
      </c>
      <c r="D313" s="1659">
        <v>14.97</v>
      </c>
      <c r="E313" s="1658">
        <v>6900</v>
      </c>
      <c r="F313" s="1658">
        <v>7910</v>
      </c>
      <c r="G313" s="1658">
        <v>6900</v>
      </c>
      <c r="H313" s="1658">
        <v>3305304</v>
      </c>
      <c r="I313" s="1658">
        <v>25199575820</v>
      </c>
      <c r="J313" s="1658">
        <v>245660838360</v>
      </c>
      <c r="K313" s="1658">
        <v>31056996</v>
      </c>
    </row>
    <row r="314" spans="1:11" x14ac:dyDescent="0.3">
      <c r="A314" s="1657">
        <v>42104</v>
      </c>
      <c r="B314" s="1658">
        <v>7800</v>
      </c>
      <c r="C314" s="1658">
        <v>-110</v>
      </c>
      <c r="D314" s="1659">
        <v>-1.39</v>
      </c>
      <c r="E314" s="1658">
        <v>8300</v>
      </c>
      <c r="F314" s="1658">
        <v>8400</v>
      </c>
      <c r="G314" s="1658">
        <v>7670</v>
      </c>
      <c r="H314" s="1658">
        <v>2817151</v>
      </c>
      <c r="I314" s="1658">
        <v>22565270490</v>
      </c>
      <c r="J314" s="1658">
        <v>242244568800</v>
      </c>
      <c r="K314" s="1658">
        <v>31056996</v>
      </c>
    </row>
    <row r="315" spans="1:11" x14ac:dyDescent="0.3">
      <c r="A315" s="1657">
        <v>42107</v>
      </c>
      <c r="B315" s="1658">
        <v>7790</v>
      </c>
      <c r="C315" s="1658">
        <v>-10</v>
      </c>
      <c r="D315" s="1659">
        <v>-0.13</v>
      </c>
      <c r="E315" s="1658">
        <v>7740</v>
      </c>
      <c r="F315" s="1658">
        <v>7900</v>
      </c>
      <c r="G315" s="1658">
        <v>7660</v>
      </c>
      <c r="H315" s="1658">
        <v>1091800</v>
      </c>
      <c r="I315" s="1658">
        <v>8504955700</v>
      </c>
      <c r="J315" s="1658">
        <v>241933998840</v>
      </c>
      <c r="K315" s="1658">
        <v>31056996</v>
      </c>
    </row>
    <row r="316" spans="1:11" x14ac:dyDescent="0.3">
      <c r="A316" s="1657">
        <v>42108</v>
      </c>
      <c r="B316" s="1658">
        <v>7320</v>
      </c>
      <c r="C316" s="1658">
        <v>-470</v>
      </c>
      <c r="D316" s="1659">
        <v>-6.03</v>
      </c>
      <c r="E316" s="1658">
        <v>7820</v>
      </c>
      <c r="F316" s="1658">
        <v>7820</v>
      </c>
      <c r="G316" s="1658">
        <v>7310</v>
      </c>
      <c r="H316" s="1658">
        <v>1137348</v>
      </c>
      <c r="I316" s="1658">
        <v>8488778870</v>
      </c>
      <c r="J316" s="1658">
        <v>227337210720</v>
      </c>
      <c r="K316" s="1658">
        <v>31056996</v>
      </c>
    </row>
    <row r="317" spans="1:11" x14ac:dyDescent="0.3">
      <c r="A317" s="1657">
        <v>42109</v>
      </c>
      <c r="B317" s="1658">
        <v>7300</v>
      </c>
      <c r="C317" s="1658">
        <v>-20</v>
      </c>
      <c r="D317" s="1659">
        <v>-0.27</v>
      </c>
      <c r="E317" s="1658">
        <v>7400</v>
      </c>
      <c r="F317" s="1658">
        <v>7660</v>
      </c>
      <c r="G317" s="1658">
        <v>7300</v>
      </c>
      <c r="H317" s="1658">
        <v>965953</v>
      </c>
      <c r="I317" s="1658">
        <v>7227764540</v>
      </c>
      <c r="J317" s="1658">
        <v>226716070800</v>
      </c>
      <c r="K317" s="1658">
        <v>31056996</v>
      </c>
    </row>
    <row r="318" spans="1:11" x14ac:dyDescent="0.3">
      <c r="A318" s="1657">
        <v>42110</v>
      </c>
      <c r="B318" s="1658">
        <v>7490</v>
      </c>
      <c r="C318" s="1658">
        <v>190</v>
      </c>
      <c r="D318" s="1659">
        <v>2.6</v>
      </c>
      <c r="E318" s="1658">
        <v>7350</v>
      </c>
      <c r="F318" s="1658">
        <v>7490</v>
      </c>
      <c r="G318" s="1658">
        <v>7200</v>
      </c>
      <c r="H318" s="1658">
        <v>563264</v>
      </c>
      <c r="I318" s="1658">
        <v>4141516830</v>
      </c>
      <c r="J318" s="1658">
        <v>232616900040</v>
      </c>
      <c r="K318" s="1658">
        <v>31056996</v>
      </c>
    </row>
    <row r="319" spans="1:11" x14ac:dyDescent="0.3">
      <c r="A319" s="1657">
        <v>42111</v>
      </c>
      <c r="B319" s="1658">
        <v>7480</v>
      </c>
      <c r="C319" s="1658">
        <v>-10</v>
      </c>
      <c r="D319" s="1659">
        <v>-0.13</v>
      </c>
      <c r="E319" s="1658">
        <v>7600</v>
      </c>
      <c r="F319" s="1658">
        <v>7810</v>
      </c>
      <c r="G319" s="1658">
        <v>7400</v>
      </c>
      <c r="H319" s="1658">
        <v>1050601</v>
      </c>
      <c r="I319" s="1658">
        <v>8000730060</v>
      </c>
      <c r="J319" s="1658">
        <v>232306330080</v>
      </c>
      <c r="K319" s="1658">
        <v>31056996</v>
      </c>
    </row>
    <row r="320" spans="1:11" x14ac:dyDescent="0.3">
      <c r="A320" s="1657">
        <v>42114</v>
      </c>
      <c r="B320" s="1658">
        <v>7310</v>
      </c>
      <c r="C320" s="1658">
        <v>-170</v>
      </c>
      <c r="D320" s="1659">
        <v>-2.27</v>
      </c>
      <c r="E320" s="1658">
        <v>7320</v>
      </c>
      <c r="F320" s="1658">
        <v>7430</v>
      </c>
      <c r="G320" s="1658">
        <v>7100</v>
      </c>
      <c r="H320" s="1658">
        <v>512147</v>
      </c>
      <c r="I320" s="1658">
        <v>3710326710</v>
      </c>
      <c r="J320" s="1658">
        <v>227026640760</v>
      </c>
      <c r="K320" s="1658">
        <v>31056996</v>
      </c>
    </row>
    <row r="321" spans="1:11" x14ac:dyDescent="0.3">
      <c r="A321" s="1657">
        <v>42115</v>
      </c>
      <c r="B321" s="1658">
        <v>7280</v>
      </c>
      <c r="C321" s="1658">
        <v>-30</v>
      </c>
      <c r="D321" s="1659">
        <v>-0.41</v>
      </c>
      <c r="E321" s="1658">
        <v>7380</v>
      </c>
      <c r="F321" s="1658">
        <v>7380</v>
      </c>
      <c r="G321" s="1658">
        <v>7120</v>
      </c>
      <c r="H321" s="1658">
        <v>383500</v>
      </c>
      <c r="I321" s="1658">
        <v>2765325120</v>
      </c>
      <c r="J321" s="1658">
        <v>226094930880</v>
      </c>
      <c r="K321" s="1658">
        <v>31056996</v>
      </c>
    </row>
    <row r="322" spans="1:11" x14ac:dyDescent="0.3">
      <c r="A322" s="1657">
        <v>42116</v>
      </c>
      <c r="B322" s="1658">
        <v>6900</v>
      </c>
      <c r="C322" s="1658">
        <v>-380</v>
      </c>
      <c r="D322" s="1659">
        <v>-5.22</v>
      </c>
      <c r="E322" s="1658">
        <v>7340</v>
      </c>
      <c r="F322" s="1658">
        <v>7340</v>
      </c>
      <c r="G322" s="1658">
        <v>6200</v>
      </c>
      <c r="H322" s="1658">
        <v>914205</v>
      </c>
      <c r="I322" s="1658">
        <v>6406920180</v>
      </c>
      <c r="J322" s="1658">
        <v>214293272400</v>
      </c>
      <c r="K322" s="1658">
        <v>31056996</v>
      </c>
    </row>
    <row r="323" spans="1:11" x14ac:dyDescent="0.3">
      <c r="A323" s="1657">
        <v>42117</v>
      </c>
      <c r="B323" s="1658">
        <v>6680</v>
      </c>
      <c r="C323" s="1658">
        <v>-220</v>
      </c>
      <c r="D323" s="1659">
        <v>-3.19</v>
      </c>
      <c r="E323" s="1658">
        <v>6930</v>
      </c>
      <c r="F323" s="1658">
        <v>6930</v>
      </c>
      <c r="G323" s="1658">
        <v>6500</v>
      </c>
      <c r="H323" s="1658">
        <v>466776</v>
      </c>
      <c r="I323" s="1658">
        <v>3127255580</v>
      </c>
      <c r="J323" s="1658">
        <v>207460733280</v>
      </c>
      <c r="K323" s="1658">
        <v>31056996</v>
      </c>
    </row>
    <row r="324" spans="1:11" x14ac:dyDescent="0.3">
      <c r="A324" s="1657">
        <v>42118</v>
      </c>
      <c r="B324" s="1658">
        <v>6920</v>
      </c>
      <c r="C324" s="1658">
        <v>240</v>
      </c>
      <c r="D324" s="1659">
        <v>3.59</v>
      </c>
      <c r="E324" s="1658">
        <v>6650</v>
      </c>
      <c r="F324" s="1658">
        <v>7070</v>
      </c>
      <c r="G324" s="1658">
        <v>6650</v>
      </c>
      <c r="H324" s="1658">
        <v>527299</v>
      </c>
      <c r="I324" s="1658">
        <v>3652749140</v>
      </c>
      <c r="J324" s="1658">
        <v>214914412320</v>
      </c>
      <c r="K324" s="1658">
        <v>31056996</v>
      </c>
    </row>
    <row r="325" spans="1:11" x14ac:dyDescent="0.3">
      <c r="A325" s="1657">
        <v>42121</v>
      </c>
      <c r="B325" s="1658">
        <v>7090</v>
      </c>
      <c r="C325" s="1658">
        <v>170</v>
      </c>
      <c r="D325" s="1659">
        <v>2.46</v>
      </c>
      <c r="E325" s="1658">
        <v>7000</v>
      </c>
      <c r="F325" s="1658">
        <v>7280</v>
      </c>
      <c r="G325" s="1658">
        <v>6950</v>
      </c>
      <c r="H325" s="1658">
        <v>350085</v>
      </c>
      <c r="I325" s="1658">
        <v>2483263840</v>
      </c>
      <c r="J325" s="1658">
        <v>220194101640</v>
      </c>
      <c r="K325" s="1658">
        <v>31056996</v>
      </c>
    </row>
    <row r="326" spans="1:11" x14ac:dyDescent="0.3">
      <c r="A326" s="1657">
        <v>42122</v>
      </c>
      <c r="B326" s="1658">
        <v>6810</v>
      </c>
      <c r="C326" s="1658">
        <v>-280</v>
      </c>
      <c r="D326" s="1659">
        <v>-3.95</v>
      </c>
      <c r="E326" s="1658">
        <v>7130</v>
      </c>
      <c r="F326" s="1658">
        <v>7160</v>
      </c>
      <c r="G326" s="1658">
        <v>6770</v>
      </c>
      <c r="H326" s="1658">
        <v>324591</v>
      </c>
      <c r="I326" s="1658">
        <v>2231707690</v>
      </c>
      <c r="J326" s="1658">
        <v>211498142760</v>
      </c>
      <c r="K326" s="1658">
        <v>31056996</v>
      </c>
    </row>
    <row r="327" spans="1:11" x14ac:dyDescent="0.3">
      <c r="A327" s="1657">
        <v>42123</v>
      </c>
      <c r="B327" s="1658">
        <v>6920</v>
      </c>
      <c r="C327" s="1658">
        <v>110</v>
      </c>
      <c r="D327" s="1659">
        <v>1.62</v>
      </c>
      <c r="E327" s="1658">
        <v>6810</v>
      </c>
      <c r="F327" s="1658">
        <v>6980</v>
      </c>
      <c r="G327" s="1658">
        <v>6690</v>
      </c>
      <c r="H327" s="1658">
        <v>186970</v>
      </c>
      <c r="I327" s="1658">
        <v>1276883320</v>
      </c>
      <c r="J327" s="1658">
        <v>214914412320</v>
      </c>
      <c r="K327" s="1658">
        <v>31056996</v>
      </c>
    </row>
    <row r="328" spans="1:11" x14ac:dyDescent="0.3">
      <c r="A328" s="1657">
        <v>42124</v>
      </c>
      <c r="B328" s="1658">
        <v>6690</v>
      </c>
      <c r="C328" s="1658">
        <v>-230</v>
      </c>
      <c r="D328" s="1659">
        <v>-3.32</v>
      </c>
      <c r="E328" s="1658">
        <v>6800</v>
      </c>
      <c r="F328" s="1658">
        <v>6970</v>
      </c>
      <c r="G328" s="1658">
        <v>6650</v>
      </c>
      <c r="H328" s="1658">
        <v>202060</v>
      </c>
      <c r="I328" s="1658">
        <v>1364982070</v>
      </c>
      <c r="J328" s="1658">
        <v>207771303240</v>
      </c>
      <c r="K328" s="1658">
        <v>31056996</v>
      </c>
    </row>
    <row r="329" spans="1:11" x14ac:dyDescent="0.3">
      <c r="A329" s="1657">
        <v>42128</v>
      </c>
      <c r="B329" s="1658">
        <v>6670</v>
      </c>
      <c r="C329" s="1658">
        <v>-20</v>
      </c>
      <c r="D329" s="1659">
        <v>-0.3</v>
      </c>
      <c r="E329" s="1658">
        <v>6750</v>
      </c>
      <c r="F329" s="1658">
        <v>6830</v>
      </c>
      <c r="G329" s="1658">
        <v>6520</v>
      </c>
      <c r="H329" s="1658">
        <v>116598</v>
      </c>
      <c r="I329" s="1658">
        <v>774623660</v>
      </c>
      <c r="J329" s="1658">
        <v>207150163320</v>
      </c>
      <c r="K329" s="1658">
        <v>31056996</v>
      </c>
    </row>
    <row r="330" spans="1:11" x14ac:dyDescent="0.3">
      <c r="A330" s="1657">
        <v>42130</v>
      </c>
      <c r="B330" s="1658">
        <v>6670</v>
      </c>
      <c r="C330" s="1658">
        <v>0</v>
      </c>
      <c r="D330" s="1659">
        <v>0</v>
      </c>
      <c r="E330" s="1658">
        <v>6670</v>
      </c>
      <c r="F330" s="1658">
        <v>6730</v>
      </c>
      <c r="G330" s="1658">
        <v>6580</v>
      </c>
      <c r="H330" s="1658">
        <v>118930</v>
      </c>
      <c r="I330" s="1658">
        <v>792299540</v>
      </c>
      <c r="J330" s="1658">
        <v>207150163320</v>
      </c>
      <c r="K330" s="1658">
        <v>31056996</v>
      </c>
    </row>
    <row r="331" spans="1:11" x14ac:dyDescent="0.3">
      <c r="A331" s="1657">
        <v>42131</v>
      </c>
      <c r="B331" s="1658">
        <v>6500</v>
      </c>
      <c r="C331" s="1658">
        <v>-170</v>
      </c>
      <c r="D331" s="1659">
        <v>-2.5499999999999998</v>
      </c>
      <c r="E331" s="1658">
        <v>6580</v>
      </c>
      <c r="F331" s="1658">
        <v>6670</v>
      </c>
      <c r="G331" s="1658">
        <v>6400</v>
      </c>
      <c r="H331" s="1658">
        <v>215634</v>
      </c>
      <c r="I331" s="1658">
        <v>1400690510</v>
      </c>
      <c r="J331" s="1658">
        <v>201870474000</v>
      </c>
      <c r="K331" s="1658">
        <v>31056996</v>
      </c>
    </row>
    <row r="332" spans="1:11" x14ac:dyDescent="0.3">
      <c r="A332" s="1657">
        <v>42132</v>
      </c>
      <c r="B332" s="1658">
        <v>6690</v>
      </c>
      <c r="C332" s="1658">
        <v>190</v>
      </c>
      <c r="D332" s="1659">
        <v>2.92</v>
      </c>
      <c r="E332" s="1658">
        <v>6450</v>
      </c>
      <c r="F332" s="1658">
        <v>6760</v>
      </c>
      <c r="G332" s="1658">
        <v>6450</v>
      </c>
      <c r="H332" s="1658">
        <v>120682</v>
      </c>
      <c r="I332" s="1658">
        <v>805670110</v>
      </c>
      <c r="J332" s="1658">
        <v>207771303240</v>
      </c>
      <c r="K332" s="1658">
        <v>31056996</v>
      </c>
    </row>
    <row r="333" spans="1:11" x14ac:dyDescent="0.3">
      <c r="A333" s="1657">
        <v>42135</v>
      </c>
      <c r="B333" s="1658">
        <v>6760</v>
      </c>
      <c r="C333" s="1658">
        <v>70</v>
      </c>
      <c r="D333" s="1659">
        <v>1.05</v>
      </c>
      <c r="E333" s="1658">
        <v>6750</v>
      </c>
      <c r="F333" s="1658">
        <v>6970</v>
      </c>
      <c r="G333" s="1658">
        <v>6720</v>
      </c>
      <c r="H333" s="1658">
        <v>201049</v>
      </c>
      <c r="I333" s="1658">
        <v>1379003080</v>
      </c>
      <c r="J333" s="1658">
        <v>209945292960</v>
      </c>
      <c r="K333" s="1658">
        <v>31056996</v>
      </c>
    </row>
    <row r="334" spans="1:11" x14ac:dyDescent="0.3">
      <c r="A334" s="1657">
        <v>42136</v>
      </c>
      <c r="B334" s="1658">
        <v>6690</v>
      </c>
      <c r="C334" s="1658">
        <v>-70</v>
      </c>
      <c r="D334" s="1659">
        <v>-1.04</v>
      </c>
      <c r="E334" s="1658">
        <v>6810</v>
      </c>
      <c r="F334" s="1658">
        <v>6850</v>
      </c>
      <c r="G334" s="1658">
        <v>6600</v>
      </c>
      <c r="H334" s="1658">
        <v>125887</v>
      </c>
      <c r="I334" s="1658">
        <v>847811970</v>
      </c>
      <c r="J334" s="1658">
        <v>207771303240</v>
      </c>
      <c r="K334" s="1658">
        <v>31056996</v>
      </c>
    </row>
    <row r="335" spans="1:11" x14ac:dyDescent="0.3">
      <c r="A335" s="1657">
        <v>42137</v>
      </c>
      <c r="B335" s="1658">
        <v>6750</v>
      </c>
      <c r="C335" s="1658">
        <v>60</v>
      </c>
      <c r="D335" s="1659">
        <v>0.9</v>
      </c>
      <c r="E335" s="1658">
        <v>6790</v>
      </c>
      <c r="F335" s="1658">
        <v>6810</v>
      </c>
      <c r="G335" s="1658">
        <v>6540</v>
      </c>
      <c r="H335" s="1658">
        <v>109556</v>
      </c>
      <c r="I335" s="1658">
        <v>733572510</v>
      </c>
      <c r="J335" s="1658">
        <v>209634723000</v>
      </c>
      <c r="K335" s="1658">
        <v>31056996</v>
      </c>
    </row>
    <row r="336" spans="1:11" x14ac:dyDescent="0.3">
      <c r="A336" s="1657">
        <v>42138</v>
      </c>
      <c r="B336" s="1658">
        <v>6690</v>
      </c>
      <c r="C336" s="1658">
        <v>-60</v>
      </c>
      <c r="D336" s="1659">
        <v>-0.89</v>
      </c>
      <c r="E336" s="1658">
        <v>6820</v>
      </c>
      <c r="F336" s="1658">
        <v>6820</v>
      </c>
      <c r="G336" s="1658">
        <v>6600</v>
      </c>
      <c r="H336" s="1658">
        <v>160835</v>
      </c>
      <c r="I336" s="1658">
        <v>1073489860</v>
      </c>
      <c r="J336" s="1658">
        <v>207771303240</v>
      </c>
      <c r="K336" s="1658">
        <v>31056996</v>
      </c>
    </row>
    <row r="337" spans="1:11" x14ac:dyDescent="0.3">
      <c r="A337" s="1657">
        <v>42139</v>
      </c>
      <c r="B337" s="1658">
        <v>7070</v>
      </c>
      <c r="C337" s="1658">
        <v>380</v>
      </c>
      <c r="D337" s="1659">
        <v>5.68</v>
      </c>
      <c r="E337" s="1658">
        <v>6730</v>
      </c>
      <c r="F337" s="1658">
        <v>7150</v>
      </c>
      <c r="G337" s="1658">
        <v>6680</v>
      </c>
      <c r="H337" s="1658">
        <v>460566</v>
      </c>
      <c r="I337" s="1658">
        <v>3190805610</v>
      </c>
      <c r="J337" s="1658">
        <v>219572961720</v>
      </c>
      <c r="K337" s="1658">
        <v>31056996</v>
      </c>
    </row>
    <row r="338" spans="1:11" x14ac:dyDescent="0.3">
      <c r="A338" s="1657">
        <v>42142</v>
      </c>
      <c r="B338" s="1658">
        <v>6500</v>
      </c>
      <c r="C338" s="1658">
        <v>-570</v>
      </c>
      <c r="D338" s="1659">
        <v>-8.06</v>
      </c>
      <c r="E338" s="1658">
        <v>7120</v>
      </c>
      <c r="F338" s="1658">
        <v>7300</v>
      </c>
      <c r="G338" s="1658">
        <v>6500</v>
      </c>
      <c r="H338" s="1658">
        <v>782210</v>
      </c>
      <c r="I338" s="1658">
        <v>5404989820</v>
      </c>
      <c r="J338" s="1658">
        <v>201870474000</v>
      </c>
      <c r="K338" s="1658">
        <v>31056996</v>
      </c>
    </row>
    <row r="339" spans="1:11" x14ac:dyDescent="0.3">
      <c r="A339" s="1657">
        <v>42143</v>
      </c>
      <c r="B339" s="1658">
        <v>6400</v>
      </c>
      <c r="C339" s="1658">
        <v>-100</v>
      </c>
      <c r="D339" s="1659">
        <v>-1.54</v>
      </c>
      <c r="E339" s="1658">
        <v>6500</v>
      </c>
      <c r="F339" s="1658">
        <v>6500</v>
      </c>
      <c r="G339" s="1658">
        <v>6240</v>
      </c>
      <c r="H339" s="1658">
        <v>430529</v>
      </c>
      <c r="I339" s="1658">
        <v>2717217330</v>
      </c>
      <c r="J339" s="1658">
        <v>198764774400</v>
      </c>
      <c r="K339" s="1658">
        <v>31056996</v>
      </c>
    </row>
    <row r="340" spans="1:11" x14ac:dyDescent="0.3">
      <c r="A340" s="1657">
        <v>42144</v>
      </c>
      <c r="B340" s="1658">
        <v>6150</v>
      </c>
      <c r="C340" s="1658">
        <v>-250</v>
      </c>
      <c r="D340" s="1659">
        <v>-3.91</v>
      </c>
      <c r="E340" s="1658">
        <v>6390</v>
      </c>
      <c r="F340" s="1658">
        <v>6400</v>
      </c>
      <c r="G340" s="1658">
        <v>6060</v>
      </c>
      <c r="H340" s="1658">
        <v>477909</v>
      </c>
      <c r="I340" s="1658">
        <v>2954256540</v>
      </c>
      <c r="J340" s="1658">
        <v>191025125400</v>
      </c>
      <c r="K340" s="1658">
        <v>31060996</v>
      </c>
    </row>
    <row r="341" spans="1:11" x14ac:dyDescent="0.3">
      <c r="A341" s="1657">
        <v>42145</v>
      </c>
      <c r="B341" s="1658">
        <v>6130</v>
      </c>
      <c r="C341" s="1658">
        <v>-20</v>
      </c>
      <c r="D341" s="1659">
        <v>-0.33</v>
      </c>
      <c r="E341" s="1658">
        <v>6230</v>
      </c>
      <c r="F341" s="1658">
        <v>6300</v>
      </c>
      <c r="G341" s="1658">
        <v>6080</v>
      </c>
      <c r="H341" s="1658">
        <v>183488</v>
      </c>
      <c r="I341" s="1658">
        <v>1130584350</v>
      </c>
      <c r="J341" s="1658">
        <v>190403905480</v>
      </c>
      <c r="K341" s="1658">
        <v>31060996</v>
      </c>
    </row>
    <row r="342" spans="1:11" x14ac:dyDescent="0.3">
      <c r="A342" s="1657">
        <v>42146</v>
      </c>
      <c r="B342" s="1658">
        <v>6130</v>
      </c>
      <c r="C342" s="1658">
        <v>0</v>
      </c>
      <c r="D342" s="1659">
        <v>0</v>
      </c>
      <c r="E342" s="1658">
        <v>6130</v>
      </c>
      <c r="F342" s="1658">
        <v>6210</v>
      </c>
      <c r="G342" s="1658">
        <v>6000</v>
      </c>
      <c r="H342" s="1658">
        <v>229732</v>
      </c>
      <c r="I342" s="1658">
        <v>1396366600</v>
      </c>
      <c r="J342" s="1658">
        <v>190403905480</v>
      </c>
      <c r="K342" s="1658">
        <v>31060996</v>
      </c>
    </row>
    <row r="343" spans="1:11" x14ac:dyDescent="0.3">
      <c r="A343" s="1657">
        <v>42150</v>
      </c>
      <c r="B343" s="1658">
        <v>6370</v>
      </c>
      <c r="C343" s="1658">
        <v>240</v>
      </c>
      <c r="D343" s="1659">
        <v>3.92</v>
      </c>
      <c r="E343" s="1658">
        <v>6550</v>
      </c>
      <c r="F343" s="1658">
        <v>6650</v>
      </c>
      <c r="G343" s="1658">
        <v>6240</v>
      </c>
      <c r="H343" s="1658">
        <v>380335</v>
      </c>
      <c r="I343" s="1658">
        <v>2447758050</v>
      </c>
      <c r="J343" s="1658">
        <v>197858544520</v>
      </c>
      <c r="K343" s="1658">
        <v>31060996</v>
      </c>
    </row>
    <row r="344" spans="1:11" x14ac:dyDescent="0.3">
      <c r="A344" s="1657">
        <v>42151</v>
      </c>
      <c r="B344" s="1658">
        <v>6190</v>
      </c>
      <c r="C344" s="1658">
        <v>-180</v>
      </c>
      <c r="D344" s="1659">
        <v>-2.83</v>
      </c>
      <c r="E344" s="1658">
        <v>6350</v>
      </c>
      <c r="F344" s="1658">
        <v>6360</v>
      </c>
      <c r="G344" s="1658">
        <v>6160</v>
      </c>
      <c r="H344" s="1658">
        <v>149813</v>
      </c>
      <c r="I344" s="1658">
        <v>930832660</v>
      </c>
      <c r="J344" s="1658">
        <v>192267565240</v>
      </c>
      <c r="K344" s="1658">
        <v>31060996</v>
      </c>
    </row>
    <row r="345" spans="1:11" x14ac:dyDescent="0.3">
      <c r="A345" s="1657">
        <v>42152</v>
      </c>
      <c r="B345" s="1658">
        <v>6400</v>
      </c>
      <c r="C345" s="1658">
        <v>210</v>
      </c>
      <c r="D345" s="1659">
        <v>3.39</v>
      </c>
      <c r="E345" s="1658">
        <v>6210</v>
      </c>
      <c r="F345" s="1658">
        <v>6570</v>
      </c>
      <c r="G345" s="1658">
        <v>6210</v>
      </c>
      <c r="H345" s="1658">
        <v>344181</v>
      </c>
      <c r="I345" s="1658">
        <v>2219319970</v>
      </c>
      <c r="J345" s="1658">
        <v>198790374400</v>
      </c>
      <c r="K345" s="1658">
        <v>31060996</v>
      </c>
    </row>
    <row r="346" spans="1:11" x14ac:dyDescent="0.3">
      <c r="A346" s="1657">
        <v>42153</v>
      </c>
      <c r="B346" s="1658">
        <v>6400</v>
      </c>
      <c r="C346" s="1658">
        <v>0</v>
      </c>
      <c r="D346" s="1659">
        <v>0</v>
      </c>
      <c r="E346" s="1658">
        <v>6550</v>
      </c>
      <c r="F346" s="1658">
        <v>6710</v>
      </c>
      <c r="G346" s="1658">
        <v>6360</v>
      </c>
      <c r="H346" s="1658">
        <v>409761</v>
      </c>
      <c r="I346" s="1658">
        <v>2661947740</v>
      </c>
      <c r="J346" s="1658">
        <v>198790374400</v>
      </c>
      <c r="K346" s="1658">
        <v>31060996</v>
      </c>
    </row>
    <row r="347" spans="1:11" x14ac:dyDescent="0.3">
      <c r="A347" s="1657">
        <v>42156</v>
      </c>
      <c r="B347" s="1658">
        <v>6300</v>
      </c>
      <c r="C347" s="1658">
        <v>-100</v>
      </c>
      <c r="D347" s="1659">
        <v>-1.56</v>
      </c>
      <c r="E347" s="1658">
        <v>6400</v>
      </c>
      <c r="F347" s="1658">
        <v>6460</v>
      </c>
      <c r="G347" s="1658">
        <v>6200</v>
      </c>
      <c r="H347" s="1658">
        <v>161817</v>
      </c>
      <c r="I347" s="1658">
        <v>1016254630</v>
      </c>
      <c r="J347" s="1658">
        <v>195684274800</v>
      </c>
      <c r="K347" s="1658">
        <v>31060996</v>
      </c>
    </row>
    <row r="348" spans="1:11" x14ac:dyDescent="0.3">
      <c r="A348" s="1657">
        <v>42157</v>
      </c>
      <c r="B348" s="1658">
        <v>5980</v>
      </c>
      <c r="C348" s="1658">
        <v>-320</v>
      </c>
      <c r="D348" s="1659">
        <v>-5.08</v>
      </c>
      <c r="E348" s="1658">
        <v>6200</v>
      </c>
      <c r="F348" s="1658">
        <v>6280</v>
      </c>
      <c r="G348" s="1658">
        <v>5960</v>
      </c>
      <c r="H348" s="1658">
        <v>341567</v>
      </c>
      <c r="I348" s="1658">
        <v>2070202480</v>
      </c>
      <c r="J348" s="1658">
        <v>185744756080</v>
      </c>
      <c r="K348" s="1658">
        <v>31060996</v>
      </c>
    </row>
    <row r="349" spans="1:11" x14ac:dyDescent="0.3">
      <c r="A349" s="1657">
        <v>42158</v>
      </c>
      <c r="B349" s="1658">
        <v>6000</v>
      </c>
      <c r="C349" s="1658">
        <v>20</v>
      </c>
      <c r="D349" s="1659">
        <v>0.33</v>
      </c>
      <c r="E349" s="1658">
        <v>5810</v>
      </c>
      <c r="F349" s="1658">
        <v>6070</v>
      </c>
      <c r="G349" s="1658">
        <v>5690</v>
      </c>
      <c r="H349" s="1658">
        <v>192918</v>
      </c>
      <c r="I349" s="1658">
        <v>1140323830</v>
      </c>
      <c r="J349" s="1658">
        <v>186365976000</v>
      </c>
      <c r="K349" s="1658">
        <v>31060996</v>
      </c>
    </row>
    <row r="350" spans="1:11" x14ac:dyDescent="0.3">
      <c r="A350" s="1657">
        <v>42159</v>
      </c>
      <c r="B350" s="1658">
        <v>5950</v>
      </c>
      <c r="C350" s="1658">
        <v>-50</v>
      </c>
      <c r="D350" s="1659">
        <v>-0.83</v>
      </c>
      <c r="E350" s="1658">
        <v>6080</v>
      </c>
      <c r="F350" s="1658">
        <v>6080</v>
      </c>
      <c r="G350" s="1658">
        <v>5850</v>
      </c>
      <c r="H350" s="1658">
        <v>129830</v>
      </c>
      <c r="I350" s="1658">
        <v>770985240</v>
      </c>
      <c r="J350" s="1658">
        <v>184812926200</v>
      </c>
      <c r="K350" s="1658">
        <v>31060996</v>
      </c>
    </row>
    <row r="351" spans="1:11" x14ac:dyDescent="0.3">
      <c r="A351" s="1657">
        <v>42160</v>
      </c>
      <c r="B351" s="1658">
        <v>5780</v>
      </c>
      <c r="C351" s="1658">
        <v>-170</v>
      </c>
      <c r="D351" s="1659">
        <v>-2.86</v>
      </c>
      <c r="E351" s="1658">
        <v>5910</v>
      </c>
      <c r="F351" s="1658">
        <v>5950</v>
      </c>
      <c r="G351" s="1658">
        <v>5700</v>
      </c>
      <c r="H351" s="1658">
        <v>253844</v>
      </c>
      <c r="I351" s="1658">
        <v>1466988550</v>
      </c>
      <c r="J351" s="1658">
        <v>179532556880</v>
      </c>
      <c r="K351" s="1658">
        <v>31060996</v>
      </c>
    </row>
    <row r="352" spans="1:11" x14ac:dyDescent="0.3">
      <c r="A352" s="1657">
        <v>42163</v>
      </c>
      <c r="B352" s="1658">
        <v>5760</v>
      </c>
      <c r="C352" s="1658">
        <v>-20</v>
      </c>
      <c r="D352" s="1659">
        <v>-0.35</v>
      </c>
      <c r="E352" s="1658">
        <v>5800</v>
      </c>
      <c r="F352" s="1658">
        <v>6010</v>
      </c>
      <c r="G352" s="1658">
        <v>5710</v>
      </c>
      <c r="H352" s="1658">
        <v>189186</v>
      </c>
      <c r="I352" s="1658">
        <v>1109378710</v>
      </c>
      <c r="J352" s="1658">
        <v>178911336960</v>
      </c>
      <c r="K352" s="1658">
        <v>31060996</v>
      </c>
    </row>
    <row r="353" spans="1:11" x14ac:dyDescent="0.3">
      <c r="A353" s="1657">
        <v>42164</v>
      </c>
      <c r="B353" s="1658">
        <v>5900</v>
      </c>
      <c r="C353" s="1658">
        <v>140</v>
      </c>
      <c r="D353" s="1659">
        <v>2.4300000000000002</v>
      </c>
      <c r="E353" s="1658">
        <v>5810</v>
      </c>
      <c r="F353" s="1658">
        <v>5910</v>
      </c>
      <c r="G353" s="1658">
        <v>5740</v>
      </c>
      <c r="H353" s="1658">
        <v>160245</v>
      </c>
      <c r="I353" s="1658">
        <v>934261430</v>
      </c>
      <c r="J353" s="1658">
        <v>183259876400</v>
      </c>
      <c r="K353" s="1658">
        <v>31060996</v>
      </c>
    </row>
    <row r="354" spans="1:11" x14ac:dyDescent="0.3">
      <c r="A354" s="1657">
        <v>42165</v>
      </c>
      <c r="B354" s="1658">
        <v>5720</v>
      </c>
      <c r="C354" s="1658">
        <v>-180</v>
      </c>
      <c r="D354" s="1659">
        <v>-3.05</v>
      </c>
      <c r="E354" s="1658">
        <v>5990</v>
      </c>
      <c r="F354" s="1658">
        <v>5990</v>
      </c>
      <c r="G354" s="1658">
        <v>5710</v>
      </c>
      <c r="H354" s="1658">
        <v>170782</v>
      </c>
      <c r="I354" s="1658">
        <v>990759690</v>
      </c>
      <c r="J354" s="1658">
        <v>177668897120</v>
      </c>
      <c r="K354" s="1658">
        <v>31060996</v>
      </c>
    </row>
    <row r="355" spans="1:11" x14ac:dyDescent="0.3">
      <c r="A355" s="1657">
        <v>42166</v>
      </c>
      <c r="B355" s="1658">
        <v>5870</v>
      </c>
      <c r="C355" s="1658">
        <v>150</v>
      </c>
      <c r="D355" s="1659">
        <v>2.62</v>
      </c>
      <c r="E355" s="1658">
        <v>5730</v>
      </c>
      <c r="F355" s="1658">
        <v>5940</v>
      </c>
      <c r="G355" s="1658">
        <v>5720</v>
      </c>
      <c r="H355" s="1658">
        <v>144734</v>
      </c>
      <c r="I355" s="1658">
        <v>845489750</v>
      </c>
      <c r="J355" s="1658">
        <v>182328046520</v>
      </c>
      <c r="K355" s="1658">
        <v>31060996</v>
      </c>
    </row>
    <row r="356" spans="1:11" x14ac:dyDescent="0.3">
      <c r="A356" s="1657">
        <v>42167</v>
      </c>
      <c r="B356" s="1658">
        <v>5780</v>
      </c>
      <c r="C356" s="1658">
        <v>-90</v>
      </c>
      <c r="D356" s="1659">
        <v>-1.53</v>
      </c>
      <c r="E356" s="1658">
        <v>5880</v>
      </c>
      <c r="F356" s="1658">
        <v>5960</v>
      </c>
      <c r="G356" s="1658">
        <v>5720</v>
      </c>
      <c r="H356" s="1658">
        <v>125047</v>
      </c>
      <c r="I356" s="1658">
        <v>728255120</v>
      </c>
      <c r="J356" s="1658">
        <v>179532556880</v>
      </c>
      <c r="K356" s="1658">
        <v>31060996</v>
      </c>
    </row>
    <row r="357" spans="1:11" x14ac:dyDescent="0.3">
      <c r="A357" s="1657">
        <v>42170</v>
      </c>
      <c r="B357" s="1658">
        <v>5470</v>
      </c>
      <c r="C357" s="1658">
        <v>-310</v>
      </c>
      <c r="D357" s="1659">
        <v>-5.36</v>
      </c>
      <c r="E357" s="1658">
        <v>5780</v>
      </c>
      <c r="F357" s="1658">
        <v>5810</v>
      </c>
      <c r="G357" s="1658">
        <v>5350</v>
      </c>
      <c r="H357" s="1658">
        <v>297011</v>
      </c>
      <c r="I357" s="1658">
        <v>1641590560</v>
      </c>
      <c r="J357" s="1658">
        <v>169903648120</v>
      </c>
      <c r="K357" s="1658">
        <v>31060996</v>
      </c>
    </row>
    <row r="358" spans="1:11" x14ac:dyDescent="0.3">
      <c r="A358" s="1657">
        <v>42171</v>
      </c>
      <c r="B358" s="1658">
        <v>5400</v>
      </c>
      <c r="C358" s="1658">
        <v>-70</v>
      </c>
      <c r="D358" s="1659">
        <v>-1.28</v>
      </c>
      <c r="E358" s="1658">
        <v>5200</v>
      </c>
      <c r="F358" s="1658">
        <v>5490</v>
      </c>
      <c r="G358" s="1658">
        <v>5180</v>
      </c>
      <c r="H358" s="1658">
        <v>231112</v>
      </c>
      <c r="I358" s="1658">
        <v>1232104060</v>
      </c>
      <c r="J358" s="1658">
        <v>167729378400</v>
      </c>
      <c r="K358" s="1658">
        <v>31060996</v>
      </c>
    </row>
    <row r="359" spans="1:11" x14ac:dyDescent="0.3">
      <c r="A359" s="1657">
        <v>42172</v>
      </c>
      <c r="B359" s="1658">
        <v>5400</v>
      </c>
      <c r="C359" s="1658">
        <v>0</v>
      </c>
      <c r="D359" s="1659">
        <v>0</v>
      </c>
      <c r="E359" s="1658">
        <v>5310</v>
      </c>
      <c r="F359" s="1658">
        <v>5550</v>
      </c>
      <c r="G359" s="1658">
        <v>5270</v>
      </c>
      <c r="H359" s="1658">
        <v>118685</v>
      </c>
      <c r="I359" s="1658">
        <v>636539050</v>
      </c>
      <c r="J359" s="1658">
        <v>167729378400</v>
      </c>
      <c r="K359" s="1658">
        <v>31060996</v>
      </c>
    </row>
    <row r="360" spans="1:11" x14ac:dyDescent="0.3">
      <c r="A360" s="1657">
        <v>42173</v>
      </c>
      <c r="B360" s="1658">
        <v>5400</v>
      </c>
      <c r="C360" s="1658">
        <v>0</v>
      </c>
      <c r="D360" s="1659">
        <v>0</v>
      </c>
      <c r="E360" s="1658">
        <v>5460</v>
      </c>
      <c r="F360" s="1658">
        <v>5460</v>
      </c>
      <c r="G360" s="1658">
        <v>5330</v>
      </c>
      <c r="H360" s="1658">
        <v>117190</v>
      </c>
      <c r="I360" s="1658">
        <v>632171400</v>
      </c>
      <c r="J360" s="1658">
        <v>167729378400</v>
      </c>
      <c r="K360" s="1658">
        <v>31060996</v>
      </c>
    </row>
    <row r="361" spans="1:11" x14ac:dyDescent="0.3">
      <c r="A361" s="1657">
        <v>42174</v>
      </c>
      <c r="B361" s="1658">
        <v>5440</v>
      </c>
      <c r="C361" s="1658">
        <v>40</v>
      </c>
      <c r="D361" s="1659">
        <v>0.74</v>
      </c>
      <c r="E361" s="1658">
        <v>5470</v>
      </c>
      <c r="F361" s="1658">
        <v>5510</v>
      </c>
      <c r="G361" s="1658">
        <v>5340</v>
      </c>
      <c r="H361" s="1658">
        <v>100087</v>
      </c>
      <c r="I361" s="1658">
        <v>540899530</v>
      </c>
      <c r="J361" s="1658">
        <v>168971818240</v>
      </c>
      <c r="K361" s="1658">
        <v>31060996</v>
      </c>
    </row>
    <row r="362" spans="1:11" x14ac:dyDescent="0.3">
      <c r="A362" s="1657">
        <v>42177</v>
      </c>
      <c r="B362" s="1658">
        <v>5450</v>
      </c>
      <c r="C362" s="1658">
        <v>10</v>
      </c>
      <c r="D362" s="1659">
        <v>0.18</v>
      </c>
      <c r="E362" s="1658">
        <v>5480</v>
      </c>
      <c r="F362" s="1658">
        <v>5510</v>
      </c>
      <c r="G362" s="1658">
        <v>5410</v>
      </c>
      <c r="H362" s="1658">
        <v>77103</v>
      </c>
      <c r="I362" s="1658">
        <v>419989610</v>
      </c>
      <c r="J362" s="1658">
        <v>169282428200</v>
      </c>
      <c r="K362" s="1658">
        <v>31060996</v>
      </c>
    </row>
    <row r="363" spans="1:11" x14ac:dyDescent="0.3">
      <c r="A363" s="1657">
        <v>42178</v>
      </c>
      <c r="B363" s="1658">
        <v>5500</v>
      </c>
      <c r="C363" s="1658">
        <v>50</v>
      </c>
      <c r="D363" s="1659">
        <v>0.92</v>
      </c>
      <c r="E363" s="1658">
        <v>5480</v>
      </c>
      <c r="F363" s="1658">
        <v>5610</v>
      </c>
      <c r="G363" s="1658">
        <v>5450</v>
      </c>
      <c r="H363" s="1658">
        <v>135029</v>
      </c>
      <c r="I363" s="1658">
        <v>745514810</v>
      </c>
      <c r="J363" s="1658">
        <v>170835478000</v>
      </c>
      <c r="K363" s="1658">
        <v>31060996</v>
      </c>
    </row>
    <row r="364" spans="1:11" x14ac:dyDescent="0.3">
      <c r="A364" s="1657">
        <v>42179</v>
      </c>
      <c r="B364" s="1658">
        <v>5470</v>
      </c>
      <c r="C364" s="1658">
        <v>-30</v>
      </c>
      <c r="D364" s="1659">
        <v>-0.55000000000000004</v>
      </c>
      <c r="E364" s="1658">
        <v>5520</v>
      </c>
      <c r="F364" s="1658">
        <v>5550</v>
      </c>
      <c r="G364" s="1658">
        <v>5460</v>
      </c>
      <c r="H364" s="1658">
        <v>105764</v>
      </c>
      <c r="I364" s="1658">
        <v>581028720</v>
      </c>
      <c r="J364" s="1658">
        <v>169903648120</v>
      </c>
      <c r="K364" s="1658">
        <v>31060996</v>
      </c>
    </row>
    <row r="365" spans="1:11" x14ac:dyDescent="0.3">
      <c r="A365" s="1657">
        <v>42180</v>
      </c>
      <c r="B365" s="1658">
        <v>6180</v>
      </c>
      <c r="C365" s="1658">
        <v>710</v>
      </c>
      <c r="D365" s="1659">
        <v>12.98</v>
      </c>
      <c r="E365" s="1658">
        <v>5470</v>
      </c>
      <c r="F365" s="1658">
        <v>6240</v>
      </c>
      <c r="G365" s="1658">
        <v>5450</v>
      </c>
      <c r="H365" s="1658">
        <v>652576</v>
      </c>
      <c r="I365" s="1658">
        <v>3856360710</v>
      </c>
      <c r="J365" s="1658">
        <v>191956955280</v>
      </c>
      <c r="K365" s="1658">
        <v>31060996</v>
      </c>
    </row>
    <row r="366" spans="1:11" x14ac:dyDescent="0.3">
      <c r="A366" s="1657">
        <v>42181</v>
      </c>
      <c r="B366" s="1658">
        <v>6000</v>
      </c>
      <c r="C366" s="1658">
        <v>-180</v>
      </c>
      <c r="D366" s="1659">
        <v>-2.91</v>
      </c>
      <c r="E366" s="1658">
        <v>6180</v>
      </c>
      <c r="F366" s="1658">
        <v>6250</v>
      </c>
      <c r="G366" s="1658">
        <v>5910</v>
      </c>
      <c r="H366" s="1658">
        <v>232844</v>
      </c>
      <c r="I366" s="1658">
        <v>1414182290</v>
      </c>
      <c r="J366" s="1658">
        <v>186365976000</v>
      </c>
      <c r="K366" s="1658">
        <v>31060996</v>
      </c>
    </row>
    <row r="367" spans="1:11" x14ac:dyDescent="0.3">
      <c r="A367" s="1657">
        <v>42184</v>
      </c>
      <c r="B367" s="1658">
        <v>5680</v>
      </c>
      <c r="C367" s="1658">
        <v>-320</v>
      </c>
      <c r="D367" s="1659">
        <v>-5.33</v>
      </c>
      <c r="E367" s="1658">
        <v>5800</v>
      </c>
      <c r="F367" s="1658">
        <v>5890</v>
      </c>
      <c r="G367" s="1658">
        <v>5660</v>
      </c>
      <c r="H367" s="1658">
        <v>185315</v>
      </c>
      <c r="I367" s="1658">
        <v>1060627050</v>
      </c>
      <c r="J367" s="1658">
        <v>176426457280</v>
      </c>
      <c r="K367" s="1658">
        <v>31060996</v>
      </c>
    </row>
    <row r="368" spans="1:11" x14ac:dyDescent="0.3">
      <c r="A368" s="1657">
        <v>42185</v>
      </c>
      <c r="B368" s="1658">
        <v>5590</v>
      </c>
      <c r="C368" s="1658">
        <v>-90</v>
      </c>
      <c r="D368" s="1659">
        <v>-1.58</v>
      </c>
      <c r="E368" s="1658">
        <v>5640</v>
      </c>
      <c r="F368" s="1658">
        <v>5680</v>
      </c>
      <c r="G368" s="1658">
        <v>5450</v>
      </c>
      <c r="H368" s="1658">
        <v>264451</v>
      </c>
      <c r="I368" s="1658">
        <v>1470739690</v>
      </c>
      <c r="J368" s="1658">
        <v>173630967640</v>
      </c>
      <c r="K368" s="1658">
        <v>31060996</v>
      </c>
    </row>
    <row r="369" spans="1:11" x14ac:dyDescent="0.3">
      <c r="A369" s="1657">
        <v>42186</v>
      </c>
      <c r="B369" s="1658">
        <v>5780</v>
      </c>
      <c r="C369" s="1658">
        <v>190</v>
      </c>
      <c r="D369" s="1659">
        <v>3.4</v>
      </c>
      <c r="E369" s="1658">
        <v>5570</v>
      </c>
      <c r="F369" s="1658">
        <v>5830</v>
      </c>
      <c r="G369" s="1658">
        <v>5570</v>
      </c>
      <c r="H369" s="1658">
        <v>152947</v>
      </c>
      <c r="I369" s="1658">
        <v>880568160</v>
      </c>
      <c r="J369" s="1658">
        <v>179532556880</v>
      </c>
      <c r="K369" s="1658">
        <v>31060996</v>
      </c>
    </row>
    <row r="370" spans="1:11" x14ac:dyDescent="0.3">
      <c r="A370" s="1657">
        <v>42187</v>
      </c>
      <c r="B370" s="1658">
        <v>5680</v>
      </c>
      <c r="C370" s="1658">
        <v>-100</v>
      </c>
      <c r="D370" s="1659">
        <v>-1.73</v>
      </c>
      <c r="E370" s="1658">
        <v>5730</v>
      </c>
      <c r="F370" s="1658">
        <v>5870</v>
      </c>
      <c r="G370" s="1658">
        <v>5680</v>
      </c>
      <c r="H370" s="1658">
        <v>132005</v>
      </c>
      <c r="I370" s="1658">
        <v>758578370</v>
      </c>
      <c r="J370" s="1658">
        <v>176426457280</v>
      </c>
      <c r="K370" s="1658">
        <v>31060996</v>
      </c>
    </row>
    <row r="371" spans="1:11" x14ac:dyDescent="0.3">
      <c r="A371" s="1657">
        <v>42188</v>
      </c>
      <c r="B371" s="1658">
        <v>5700</v>
      </c>
      <c r="C371" s="1658">
        <v>20</v>
      </c>
      <c r="D371" s="1659">
        <v>0.35</v>
      </c>
      <c r="E371" s="1658">
        <v>5660</v>
      </c>
      <c r="F371" s="1658">
        <v>5720</v>
      </c>
      <c r="G371" s="1658">
        <v>5570</v>
      </c>
      <c r="H371" s="1658">
        <v>109840</v>
      </c>
      <c r="I371" s="1658">
        <v>617955240</v>
      </c>
      <c r="J371" s="1658">
        <v>177047677200</v>
      </c>
      <c r="K371" s="1658">
        <v>31060996</v>
      </c>
    </row>
    <row r="372" spans="1:11" x14ac:dyDescent="0.3">
      <c r="A372" s="1657">
        <v>42191</v>
      </c>
      <c r="B372" s="1658">
        <v>5510</v>
      </c>
      <c r="C372" s="1658">
        <v>-190</v>
      </c>
      <c r="D372" s="1659">
        <v>-3.33</v>
      </c>
      <c r="E372" s="1658">
        <v>5650</v>
      </c>
      <c r="F372" s="1658">
        <v>5680</v>
      </c>
      <c r="G372" s="1658">
        <v>5400</v>
      </c>
      <c r="H372" s="1658">
        <v>217754</v>
      </c>
      <c r="I372" s="1658">
        <v>1197667720</v>
      </c>
      <c r="J372" s="1658">
        <v>171146087960</v>
      </c>
      <c r="K372" s="1658">
        <v>31060996</v>
      </c>
    </row>
    <row r="373" spans="1:11" x14ac:dyDescent="0.3">
      <c r="A373" s="1657">
        <v>42192</v>
      </c>
      <c r="B373" s="1658">
        <v>5430</v>
      </c>
      <c r="C373" s="1658">
        <v>-80</v>
      </c>
      <c r="D373" s="1659">
        <v>-1.45</v>
      </c>
      <c r="E373" s="1658">
        <v>5530</v>
      </c>
      <c r="F373" s="1658">
        <v>5580</v>
      </c>
      <c r="G373" s="1658">
        <v>5390</v>
      </c>
      <c r="H373" s="1658">
        <v>113502</v>
      </c>
      <c r="I373" s="1658">
        <v>617215070</v>
      </c>
      <c r="J373" s="1658">
        <v>168661208280</v>
      </c>
      <c r="K373" s="1658">
        <v>31060996</v>
      </c>
    </row>
    <row r="374" spans="1:11" x14ac:dyDescent="0.3">
      <c r="A374" s="1657">
        <v>42193</v>
      </c>
      <c r="B374" s="1658">
        <v>5550</v>
      </c>
      <c r="C374" s="1658">
        <v>120</v>
      </c>
      <c r="D374" s="1659">
        <v>2.21</v>
      </c>
      <c r="E374" s="1658">
        <v>5450</v>
      </c>
      <c r="F374" s="1658">
        <v>5760</v>
      </c>
      <c r="G374" s="1658">
        <v>5420</v>
      </c>
      <c r="H374" s="1658">
        <v>169102</v>
      </c>
      <c r="I374" s="1658">
        <v>949598170</v>
      </c>
      <c r="J374" s="1658">
        <v>172388527800</v>
      </c>
      <c r="K374" s="1658">
        <v>31060996</v>
      </c>
    </row>
    <row r="375" spans="1:11" x14ac:dyDescent="0.3">
      <c r="A375" s="1657">
        <v>42194</v>
      </c>
      <c r="B375" s="1658">
        <v>5580</v>
      </c>
      <c r="C375" s="1658">
        <v>30</v>
      </c>
      <c r="D375" s="1659">
        <v>0.54</v>
      </c>
      <c r="E375" s="1658">
        <v>5500</v>
      </c>
      <c r="F375" s="1658">
        <v>5650</v>
      </c>
      <c r="G375" s="1658">
        <v>5400</v>
      </c>
      <c r="H375" s="1658">
        <v>105078</v>
      </c>
      <c r="I375" s="1658">
        <v>578246990</v>
      </c>
      <c r="J375" s="1658">
        <v>173320357680</v>
      </c>
      <c r="K375" s="1658">
        <v>31060996</v>
      </c>
    </row>
    <row r="376" spans="1:11" x14ac:dyDescent="0.3">
      <c r="A376" s="1657">
        <v>42195</v>
      </c>
      <c r="B376" s="1658">
        <v>5590</v>
      </c>
      <c r="C376" s="1658">
        <v>10</v>
      </c>
      <c r="D376" s="1659">
        <v>0.18</v>
      </c>
      <c r="E376" s="1658">
        <v>5560</v>
      </c>
      <c r="F376" s="1658">
        <v>5670</v>
      </c>
      <c r="G376" s="1658">
        <v>5520</v>
      </c>
      <c r="H376" s="1658">
        <v>47592</v>
      </c>
      <c r="I376" s="1658">
        <v>265469770</v>
      </c>
      <c r="J376" s="1658">
        <v>173630967640</v>
      </c>
      <c r="K376" s="1658">
        <v>31060996</v>
      </c>
    </row>
    <row r="377" spans="1:11" x14ac:dyDescent="0.3">
      <c r="A377" s="1657">
        <v>42198</v>
      </c>
      <c r="B377" s="1658">
        <v>5810</v>
      </c>
      <c r="C377" s="1658">
        <v>220</v>
      </c>
      <c r="D377" s="1659">
        <v>3.94</v>
      </c>
      <c r="E377" s="1658">
        <v>5600</v>
      </c>
      <c r="F377" s="1658">
        <v>5890</v>
      </c>
      <c r="G377" s="1658">
        <v>5600</v>
      </c>
      <c r="H377" s="1658">
        <v>123188</v>
      </c>
      <c r="I377" s="1658">
        <v>707819870</v>
      </c>
      <c r="J377" s="1658">
        <v>180464386760</v>
      </c>
      <c r="K377" s="1658">
        <v>31060996</v>
      </c>
    </row>
    <row r="378" spans="1:11" x14ac:dyDescent="0.3">
      <c r="A378" s="1657">
        <v>42199</v>
      </c>
      <c r="B378" s="1658">
        <v>5940</v>
      </c>
      <c r="C378" s="1658">
        <v>130</v>
      </c>
      <c r="D378" s="1659">
        <v>2.2400000000000002</v>
      </c>
      <c r="E378" s="1658">
        <v>5900</v>
      </c>
      <c r="F378" s="1658">
        <v>6140</v>
      </c>
      <c r="G378" s="1658">
        <v>5800</v>
      </c>
      <c r="H378" s="1658">
        <v>208566</v>
      </c>
      <c r="I378" s="1658">
        <v>1247310920</v>
      </c>
      <c r="J378" s="1658">
        <v>184502316240</v>
      </c>
      <c r="K378" s="1658">
        <v>31060996</v>
      </c>
    </row>
    <row r="379" spans="1:11" x14ac:dyDescent="0.3">
      <c r="A379" s="1657">
        <v>42200</v>
      </c>
      <c r="B379" s="1658">
        <v>7000</v>
      </c>
      <c r="C379" s="1658">
        <v>1060</v>
      </c>
      <c r="D379" s="1659">
        <v>17.850000000000001</v>
      </c>
      <c r="E379" s="1658">
        <v>5960</v>
      </c>
      <c r="F379" s="1658">
        <v>7170</v>
      </c>
      <c r="G379" s="1658">
        <v>5960</v>
      </c>
      <c r="H379" s="1658">
        <v>1720582</v>
      </c>
      <c r="I379" s="1658">
        <v>11498116400</v>
      </c>
      <c r="J379" s="1658">
        <v>217426972000</v>
      </c>
      <c r="K379" s="1658">
        <v>31060996</v>
      </c>
    </row>
    <row r="380" spans="1:11" x14ac:dyDescent="0.3">
      <c r="A380" s="1657">
        <v>42201</v>
      </c>
      <c r="B380" s="1658">
        <v>6920</v>
      </c>
      <c r="C380" s="1658">
        <v>-80</v>
      </c>
      <c r="D380" s="1659">
        <v>-1.1399999999999999</v>
      </c>
      <c r="E380" s="1658">
        <v>7000</v>
      </c>
      <c r="F380" s="1658">
        <v>7470</v>
      </c>
      <c r="G380" s="1658">
        <v>6820</v>
      </c>
      <c r="H380" s="1658">
        <v>1638247</v>
      </c>
      <c r="I380" s="1658">
        <v>11654498230</v>
      </c>
      <c r="J380" s="1658">
        <v>214942092320</v>
      </c>
      <c r="K380" s="1658">
        <v>31060996</v>
      </c>
    </row>
    <row r="381" spans="1:11" x14ac:dyDescent="0.3">
      <c r="A381" s="1657">
        <v>42202</v>
      </c>
      <c r="B381" s="1658">
        <v>6650</v>
      </c>
      <c r="C381" s="1658">
        <v>-270</v>
      </c>
      <c r="D381" s="1659">
        <v>-3.9</v>
      </c>
      <c r="E381" s="1658">
        <v>6900</v>
      </c>
      <c r="F381" s="1658">
        <v>6990</v>
      </c>
      <c r="G381" s="1658">
        <v>6630</v>
      </c>
      <c r="H381" s="1658">
        <v>672879</v>
      </c>
      <c r="I381" s="1658">
        <v>4540262590</v>
      </c>
      <c r="J381" s="1658">
        <v>206555623400</v>
      </c>
      <c r="K381" s="1658">
        <v>31060996</v>
      </c>
    </row>
    <row r="382" spans="1:11" x14ac:dyDescent="0.3">
      <c r="A382" s="1657">
        <v>42205</v>
      </c>
      <c r="B382" s="1658">
        <v>6930</v>
      </c>
      <c r="C382" s="1658">
        <v>280</v>
      </c>
      <c r="D382" s="1659">
        <v>4.21</v>
      </c>
      <c r="E382" s="1658">
        <v>6700</v>
      </c>
      <c r="F382" s="1658">
        <v>6930</v>
      </c>
      <c r="G382" s="1658">
        <v>6650</v>
      </c>
      <c r="H382" s="1658">
        <v>473745</v>
      </c>
      <c r="I382" s="1658">
        <v>3240591940</v>
      </c>
      <c r="J382" s="1658">
        <v>215252702280</v>
      </c>
      <c r="K382" s="1658">
        <v>31060996</v>
      </c>
    </row>
    <row r="383" spans="1:11" x14ac:dyDescent="0.3">
      <c r="A383" s="1657">
        <v>42206</v>
      </c>
      <c r="B383" s="1658">
        <v>6980</v>
      </c>
      <c r="C383" s="1658">
        <v>50</v>
      </c>
      <c r="D383" s="1659">
        <v>0.72</v>
      </c>
      <c r="E383" s="1658">
        <v>7010</v>
      </c>
      <c r="F383" s="1658">
        <v>7100</v>
      </c>
      <c r="G383" s="1658">
        <v>6850</v>
      </c>
      <c r="H383" s="1658">
        <v>437067</v>
      </c>
      <c r="I383" s="1658">
        <v>3054907410</v>
      </c>
      <c r="J383" s="1658">
        <v>216805752080</v>
      </c>
      <c r="K383" s="1658">
        <v>31060996</v>
      </c>
    </row>
    <row r="384" spans="1:11" x14ac:dyDescent="0.3">
      <c r="A384" s="1657">
        <v>42207</v>
      </c>
      <c r="B384" s="1658">
        <v>7030</v>
      </c>
      <c r="C384" s="1658">
        <v>50</v>
      </c>
      <c r="D384" s="1659">
        <v>0.72</v>
      </c>
      <c r="E384" s="1658">
        <v>6940</v>
      </c>
      <c r="F384" s="1658">
        <v>7560</v>
      </c>
      <c r="G384" s="1658">
        <v>6850</v>
      </c>
      <c r="H384" s="1658">
        <v>1308788</v>
      </c>
      <c r="I384" s="1658">
        <v>9526741360</v>
      </c>
      <c r="J384" s="1658">
        <v>218358801880</v>
      </c>
      <c r="K384" s="1658">
        <v>31060996</v>
      </c>
    </row>
    <row r="385" spans="1:11" x14ac:dyDescent="0.3">
      <c r="A385" s="1657">
        <v>42208</v>
      </c>
      <c r="B385" s="1658">
        <v>7270</v>
      </c>
      <c r="C385" s="1658">
        <v>240</v>
      </c>
      <c r="D385" s="1659">
        <v>3.41</v>
      </c>
      <c r="E385" s="1658">
        <v>7070</v>
      </c>
      <c r="F385" s="1658">
        <v>7370</v>
      </c>
      <c r="G385" s="1658">
        <v>7030</v>
      </c>
      <c r="H385" s="1658">
        <v>407436</v>
      </c>
      <c r="I385" s="1658">
        <v>2938492290</v>
      </c>
      <c r="J385" s="1658">
        <v>225813440920</v>
      </c>
      <c r="K385" s="1658">
        <v>31060996</v>
      </c>
    </row>
    <row r="386" spans="1:11" x14ac:dyDescent="0.3">
      <c r="A386" s="1657">
        <v>42209</v>
      </c>
      <c r="B386" s="1658">
        <v>7270</v>
      </c>
      <c r="C386" s="1658">
        <v>0</v>
      </c>
      <c r="D386" s="1659">
        <v>0</v>
      </c>
      <c r="E386" s="1658">
        <v>7180</v>
      </c>
      <c r="F386" s="1658">
        <v>7500</v>
      </c>
      <c r="G386" s="1658">
        <v>7180</v>
      </c>
      <c r="H386" s="1658">
        <v>426497</v>
      </c>
      <c r="I386" s="1658">
        <v>3149029990</v>
      </c>
      <c r="J386" s="1658">
        <v>225813440920</v>
      </c>
      <c r="K386" s="1658">
        <v>31060996</v>
      </c>
    </row>
    <row r="387" spans="1:11" x14ac:dyDescent="0.3">
      <c r="A387" s="1657">
        <v>42212</v>
      </c>
      <c r="B387" s="1658">
        <v>7540</v>
      </c>
      <c r="C387" s="1658">
        <v>270</v>
      </c>
      <c r="D387" s="1659">
        <v>3.71</v>
      </c>
      <c r="E387" s="1658">
        <v>7370</v>
      </c>
      <c r="F387" s="1658">
        <v>7710</v>
      </c>
      <c r="G387" s="1658">
        <v>7340</v>
      </c>
      <c r="H387" s="1658">
        <v>1120016</v>
      </c>
      <c r="I387" s="1658">
        <v>8414147560</v>
      </c>
      <c r="J387" s="1658">
        <v>234199909840</v>
      </c>
      <c r="K387" s="1658">
        <v>31060996</v>
      </c>
    </row>
    <row r="388" spans="1:11" x14ac:dyDescent="0.3">
      <c r="A388" s="1657">
        <v>42213</v>
      </c>
      <c r="B388" s="1658">
        <v>7440</v>
      </c>
      <c r="C388" s="1658">
        <v>-100</v>
      </c>
      <c r="D388" s="1659">
        <v>-1.33</v>
      </c>
      <c r="E388" s="1658">
        <v>7300</v>
      </c>
      <c r="F388" s="1658">
        <v>7440</v>
      </c>
      <c r="G388" s="1658">
        <v>7050</v>
      </c>
      <c r="H388" s="1658">
        <v>608795</v>
      </c>
      <c r="I388" s="1658">
        <v>4410094700</v>
      </c>
      <c r="J388" s="1658">
        <v>231093810240</v>
      </c>
      <c r="K388" s="1658">
        <v>31060996</v>
      </c>
    </row>
    <row r="389" spans="1:11" x14ac:dyDescent="0.3">
      <c r="A389" s="1657">
        <v>42214</v>
      </c>
      <c r="B389" s="1658">
        <v>9000</v>
      </c>
      <c r="C389" s="1658">
        <v>1560</v>
      </c>
      <c r="D389" s="1659">
        <v>20.97</v>
      </c>
      <c r="E389" s="1658">
        <v>7600</v>
      </c>
      <c r="F389" s="1658">
        <v>9430</v>
      </c>
      <c r="G389" s="1658">
        <v>7500</v>
      </c>
      <c r="H389" s="1658">
        <v>6355398</v>
      </c>
      <c r="I389" s="1658">
        <v>54586932750</v>
      </c>
      <c r="J389" s="1658">
        <v>279548964000</v>
      </c>
      <c r="K389" s="1658">
        <v>31060996</v>
      </c>
    </row>
    <row r="390" spans="1:11" x14ac:dyDescent="0.3">
      <c r="A390" s="1657">
        <v>42215</v>
      </c>
      <c r="B390" s="1658">
        <v>9350</v>
      </c>
      <c r="C390" s="1658">
        <v>350</v>
      </c>
      <c r="D390" s="1659">
        <v>3.89</v>
      </c>
      <c r="E390" s="1658">
        <v>9200</v>
      </c>
      <c r="F390" s="1658">
        <v>9980</v>
      </c>
      <c r="G390" s="1658">
        <v>8760</v>
      </c>
      <c r="H390" s="1658">
        <v>5189098</v>
      </c>
      <c r="I390" s="1658">
        <v>48588299490</v>
      </c>
      <c r="J390" s="1658">
        <v>290420312600</v>
      </c>
      <c r="K390" s="1658">
        <v>31060996</v>
      </c>
    </row>
    <row r="391" spans="1:11" x14ac:dyDescent="0.3">
      <c r="A391" s="1657">
        <v>42216</v>
      </c>
      <c r="B391" s="1658">
        <v>9310</v>
      </c>
      <c r="C391" s="1658">
        <v>-40</v>
      </c>
      <c r="D391" s="1659">
        <v>-0.43</v>
      </c>
      <c r="E391" s="1658">
        <v>9150</v>
      </c>
      <c r="F391" s="1658">
        <v>9340</v>
      </c>
      <c r="G391" s="1658">
        <v>8720</v>
      </c>
      <c r="H391" s="1658">
        <v>1685526</v>
      </c>
      <c r="I391" s="1658">
        <v>15283456560</v>
      </c>
      <c r="J391" s="1658">
        <v>289177872760</v>
      </c>
      <c r="K391" s="1658">
        <v>31060996</v>
      </c>
    </row>
    <row r="392" spans="1:11" x14ac:dyDescent="0.3">
      <c r="A392" s="1657">
        <v>42219</v>
      </c>
      <c r="B392" s="1658">
        <v>9630</v>
      </c>
      <c r="C392" s="1658">
        <v>320</v>
      </c>
      <c r="D392" s="1659">
        <v>3.44</v>
      </c>
      <c r="E392" s="1658">
        <v>9250</v>
      </c>
      <c r="F392" s="1658">
        <v>9930</v>
      </c>
      <c r="G392" s="1658">
        <v>9100</v>
      </c>
      <c r="H392" s="1658">
        <v>2042246</v>
      </c>
      <c r="I392" s="1658">
        <v>19435154260</v>
      </c>
      <c r="J392" s="1658">
        <v>299117391480</v>
      </c>
      <c r="K392" s="1658">
        <v>31060996</v>
      </c>
    </row>
    <row r="393" spans="1:11" x14ac:dyDescent="0.3">
      <c r="A393" s="1657">
        <v>42220</v>
      </c>
      <c r="B393" s="1658">
        <v>9340</v>
      </c>
      <c r="C393" s="1658">
        <v>-290</v>
      </c>
      <c r="D393" s="1659">
        <v>-3.01</v>
      </c>
      <c r="E393" s="1658">
        <v>9480</v>
      </c>
      <c r="F393" s="1658">
        <v>9830</v>
      </c>
      <c r="G393" s="1658">
        <v>9110</v>
      </c>
      <c r="H393" s="1658">
        <v>1082982</v>
      </c>
      <c r="I393" s="1658">
        <v>10295933680</v>
      </c>
      <c r="J393" s="1658">
        <v>290109702640</v>
      </c>
      <c r="K393" s="1658">
        <v>31060996</v>
      </c>
    </row>
    <row r="394" spans="1:11" x14ac:dyDescent="0.3">
      <c r="A394" s="1657">
        <v>42221</v>
      </c>
      <c r="B394" s="1658">
        <v>8900</v>
      </c>
      <c r="C394" s="1658">
        <v>-440</v>
      </c>
      <c r="D394" s="1659">
        <v>-4.71</v>
      </c>
      <c r="E394" s="1658">
        <v>9380</v>
      </c>
      <c r="F394" s="1658">
        <v>9510</v>
      </c>
      <c r="G394" s="1658">
        <v>8780</v>
      </c>
      <c r="H394" s="1658">
        <v>1238061</v>
      </c>
      <c r="I394" s="1658">
        <v>11214895530</v>
      </c>
      <c r="J394" s="1658">
        <v>276442864400</v>
      </c>
      <c r="K394" s="1658">
        <v>31060996</v>
      </c>
    </row>
    <row r="395" spans="1:11" x14ac:dyDescent="0.3">
      <c r="A395" s="1657">
        <v>42222</v>
      </c>
      <c r="B395" s="1658">
        <v>9070</v>
      </c>
      <c r="C395" s="1658">
        <v>170</v>
      </c>
      <c r="D395" s="1659">
        <v>1.91</v>
      </c>
      <c r="E395" s="1658">
        <v>8950</v>
      </c>
      <c r="F395" s="1658">
        <v>9160</v>
      </c>
      <c r="G395" s="1658">
        <v>8820</v>
      </c>
      <c r="H395" s="1658">
        <v>900160</v>
      </c>
      <c r="I395" s="1658">
        <v>8116271290</v>
      </c>
      <c r="J395" s="1658">
        <v>281723233720</v>
      </c>
      <c r="K395" s="1658">
        <v>31060996</v>
      </c>
    </row>
    <row r="396" spans="1:11" x14ac:dyDescent="0.3">
      <c r="A396" s="1657">
        <v>42223</v>
      </c>
      <c r="B396" s="1658">
        <v>8600</v>
      </c>
      <c r="C396" s="1658">
        <v>-470</v>
      </c>
      <c r="D396" s="1659">
        <v>-5.18</v>
      </c>
      <c r="E396" s="1658">
        <v>9070</v>
      </c>
      <c r="F396" s="1658">
        <v>9250</v>
      </c>
      <c r="G396" s="1658">
        <v>8510</v>
      </c>
      <c r="H396" s="1658">
        <v>1460849</v>
      </c>
      <c r="I396" s="1658">
        <v>12857973520</v>
      </c>
      <c r="J396" s="1658">
        <v>267124565600</v>
      </c>
      <c r="K396" s="1658">
        <v>31060996</v>
      </c>
    </row>
    <row r="397" spans="1:11" x14ac:dyDescent="0.3">
      <c r="A397" s="1657">
        <v>42226</v>
      </c>
      <c r="B397" s="1658">
        <v>8380</v>
      </c>
      <c r="C397" s="1658">
        <v>-220</v>
      </c>
      <c r="D397" s="1659">
        <v>-2.56</v>
      </c>
      <c r="E397" s="1658">
        <v>8650</v>
      </c>
      <c r="F397" s="1658">
        <v>8730</v>
      </c>
      <c r="G397" s="1658">
        <v>8290</v>
      </c>
      <c r="H397" s="1658">
        <v>1057541</v>
      </c>
      <c r="I397" s="1658">
        <v>8941697280</v>
      </c>
      <c r="J397" s="1658">
        <v>260291146480</v>
      </c>
      <c r="K397" s="1658">
        <v>31060996</v>
      </c>
    </row>
    <row r="398" spans="1:11" x14ac:dyDescent="0.3">
      <c r="A398" s="1657">
        <v>42227</v>
      </c>
      <c r="B398" s="1658">
        <v>8280</v>
      </c>
      <c r="C398" s="1658">
        <v>-100</v>
      </c>
      <c r="D398" s="1659">
        <v>-1.19</v>
      </c>
      <c r="E398" s="1658">
        <v>8480</v>
      </c>
      <c r="F398" s="1658">
        <v>8790</v>
      </c>
      <c r="G398" s="1658">
        <v>8100</v>
      </c>
      <c r="H398" s="1658">
        <v>1595646</v>
      </c>
      <c r="I398" s="1658">
        <v>13637979530</v>
      </c>
      <c r="J398" s="1658">
        <v>257185046880</v>
      </c>
      <c r="K398" s="1658">
        <v>31060996</v>
      </c>
    </row>
    <row r="399" spans="1:11" x14ac:dyDescent="0.3">
      <c r="A399" s="1657">
        <v>42228</v>
      </c>
      <c r="B399" s="1658">
        <v>7690</v>
      </c>
      <c r="C399" s="1658">
        <v>-590</v>
      </c>
      <c r="D399" s="1659">
        <v>-7.13</v>
      </c>
      <c r="E399" s="1658">
        <v>8200</v>
      </c>
      <c r="F399" s="1658">
        <v>8570</v>
      </c>
      <c r="G399" s="1658">
        <v>7560</v>
      </c>
      <c r="H399" s="1658">
        <v>1443261</v>
      </c>
      <c r="I399" s="1658">
        <v>11722233060</v>
      </c>
      <c r="J399" s="1658">
        <v>239105139240</v>
      </c>
      <c r="K399" s="1658">
        <v>31092996</v>
      </c>
    </row>
    <row r="400" spans="1:11" x14ac:dyDescent="0.3">
      <c r="A400" s="1657">
        <v>42229</v>
      </c>
      <c r="B400" s="1658">
        <v>7920</v>
      </c>
      <c r="C400" s="1658">
        <v>230</v>
      </c>
      <c r="D400" s="1659">
        <v>2.99</v>
      </c>
      <c r="E400" s="1658">
        <v>7730</v>
      </c>
      <c r="F400" s="1658">
        <v>8100</v>
      </c>
      <c r="G400" s="1658">
        <v>7530</v>
      </c>
      <c r="H400" s="1658">
        <v>722434</v>
      </c>
      <c r="I400" s="1658">
        <v>5712487870</v>
      </c>
      <c r="J400" s="1658">
        <v>246256528320</v>
      </c>
      <c r="K400" s="1658">
        <v>31092996</v>
      </c>
    </row>
    <row r="401" spans="1:11" x14ac:dyDescent="0.3">
      <c r="A401" s="1657">
        <v>42233</v>
      </c>
      <c r="B401" s="1658">
        <v>7100</v>
      </c>
      <c r="C401" s="1658">
        <v>-820</v>
      </c>
      <c r="D401" s="1659">
        <v>-10.35</v>
      </c>
      <c r="E401" s="1658">
        <v>7920</v>
      </c>
      <c r="F401" s="1658">
        <v>8210</v>
      </c>
      <c r="G401" s="1658">
        <v>7100</v>
      </c>
      <c r="H401" s="1658">
        <v>949059</v>
      </c>
      <c r="I401" s="1658">
        <v>7275471390</v>
      </c>
      <c r="J401" s="1658">
        <v>220760271600</v>
      </c>
      <c r="K401" s="1658">
        <v>31092996</v>
      </c>
    </row>
    <row r="402" spans="1:11" x14ac:dyDescent="0.3">
      <c r="A402" s="1657">
        <v>42234</v>
      </c>
      <c r="B402" s="1658">
        <v>6900</v>
      </c>
      <c r="C402" s="1658">
        <v>-200</v>
      </c>
      <c r="D402" s="1659">
        <v>-2.82</v>
      </c>
      <c r="E402" s="1658">
        <v>7200</v>
      </c>
      <c r="F402" s="1658">
        <v>7230</v>
      </c>
      <c r="G402" s="1658">
        <v>6730</v>
      </c>
      <c r="H402" s="1658">
        <v>957862</v>
      </c>
      <c r="I402" s="1658">
        <v>6676435510</v>
      </c>
      <c r="J402" s="1658">
        <v>214541672400</v>
      </c>
      <c r="K402" s="1658">
        <v>31092996</v>
      </c>
    </row>
    <row r="403" spans="1:11" x14ac:dyDescent="0.3">
      <c r="A403" s="1657">
        <v>42235</v>
      </c>
      <c r="B403" s="1658">
        <v>6680</v>
      </c>
      <c r="C403" s="1658">
        <v>-220</v>
      </c>
      <c r="D403" s="1659">
        <v>-3.19</v>
      </c>
      <c r="E403" s="1658">
        <v>6850</v>
      </c>
      <c r="F403" s="1658">
        <v>6900</v>
      </c>
      <c r="G403" s="1658">
        <v>6420</v>
      </c>
      <c r="H403" s="1658">
        <v>717396</v>
      </c>
      <c r="I403" s="1658">
        <v>4770813080</v>
      </c>
      <c r="J403" s="1658">
        <v>207701213280</v>
      </c>
      <c r="K403" s="1658">
        <v>31092996</v>
      </c>
    </row>
    <row r="404" spans="1:11" x14ac:dyDescent="0.3">
      <c r="A404" s="1657">
        <v>42236</v>
      </c>
      <c r="B404" s="1658">
        <v>6480</v>
      </c>
      <c r="C404" s="1658">
        <v>-200</v>
      </c>
      <c r="D404" s="1659">
        <v>-2.99</v>
      </c>
      <c r="E404" s="1658">
        <v>6700</v>
      </c>
      <c r="F404" s="1658">
        <v>6810</v>
      </c>
      <c r="G404" s="1658">
        <v>6430</v>
      </c>
      <c r="H404" s="1658">
        <v>405221</v>
      </c>
      <c r="I404" s="1658">
        <v>2695703970</v>
      </c>
      <c r="J404" s="1658">
        <v>201482614080</v>
      </c>
      <c r="K404" s="1658">
        <v>31092996</v>
      </c>
    </row>
    <row r="405" spans="1:11" x14ac:dyDescent="0.3">
      <c r="A405" s="1657">
        <v>42237</v>
      </c>
      <c r="B405" s="1658">
        <v>5950</v>
      </c>
      <c r="C405" s="1658">
        <v>-530</v>
      </c>
      <c r="D405" s="1659">
        <v>-8.18</v>
      </c>
      <c r="E405" s="1658">
        <v>5950</v>
      </c>
      <c r="F405" s="1658">
        <v>6250</v>
      </c>
      <c r="G405" s="1658">
        <v>5710</v>
      </c>
      <c r="H405" s="1658">
        <v>831621</v>
      </c>
      <c r="I405" s="1658">
        <v>5003537010</v>
      </c>
      <c r="J405" s="1658">
        <v>185003326200</v>
      </c>
      <c r="K405" s="1658">
        <v>31092996</v>
      </c>
    </row>
    <row r="406" spans="1:11" x14ac:dyDescent="0.3">
      <c r="A406" s="1657">
        <v>42240</v>
      </c>
      <c r="B406" s="1658">
        <v>5890</v>
      </c>
      <c r="C406" s="1658">
        <v>-60</v>
      </c>
      <c r="D406" s="1659">
        <v>-1.01</v>
      </c>
      <c r="E406" s="1658">
        <v>5800</v>
      </c>
      <c r="F406" s="1658">
        <v>6190</v>
      </c>
      <c r="G406" s="1658">
        <v>5800</v>
      </c>
      <c r="H406" s="1658">
        <v>400446</v>
      </c>
      <c r="I406" s="1658">
        <v>2409660400</v>
      </c>
      <c r="J406" s="1658">
        <v>183137746440</v>
      </c>
      <c r="K406" s="1658">
        <v>31092996</v>
      </c>
    </row>
    <row r="407" spans="1:11" x14ac:dyDescent="0.3">
      <c r="A407" s="1657">
        <v>42241</v>
      </c>
      <c r="B407" s="1658">
        <v>6100</v>
      </c>
      <c r="C407" s="1658">
        <v>210</v>
      </c>
      <c r="D407" s="1659">
        <v>3.57</v>
      </c>
      <c r="E407" s="1658">
        <v>6030</v>
      </c>
      <c r="F407" s="1658">
        <v>6230</v>
      </c>
      <c r="G407" s="1658">
        <v>5860</v>
      </c>
      <c r="H407" s="1658">
        <v>478223</v>
      </c>
      <c r="I407" s="1658">
        <v>2901562950</v>
      </c>
      <c r="J407" s="1658">
        <v>189667275600</v>
      </c>
      <c r="K407" s="1658">
        <v>31092996</v>
      </c>
    </row>
    <row r="408" spans="1:11" x14ac:dyDescent="0.3">
      <c r="A408" s="1657">
        <v>42242</v>
      </c>
      <c r="B408" s="1658">
        <v>6410</v>
      </c>
      <c r="C408" s="1658">
        <v>310</v>
      </c>
      <c r="D408" s="1659">
        <v>5.08</v>
      </c>
      <c r="E408" s="1658">
        <v>6070</v>
      </c>
      <c r="F408" s="1658">
        <v>6410</v>
      </c>
      <c r="G408" s="1658">
        <v>5950</v>
      </c>
      <c r="H408" s="1658">
        <v>705457</v>
      </c>
      <c r="I408" s="1658">
        <v>4367218680</v>
      </c>
      <c r="J408" s="1658">
        <v>199306104360</v>
      </c>
      <c r="K408" s="1658">
        <v>31092996</v>
      </c>
    </row>
    <row r="409" spans="1:11" x14ac:dyDescent="0.3">
      <c r="A409" s="1657">
        <v>42243</v>
      </c>
      <c r="B409" s="1658">
        <v>6290</v>
      </c>
      <c r="C409" s="1658">
        <v>-120</v>
      </c>
      <c r="D409" s="1659">
        <v>-1.87</v>
      </c>
      <c r="E409" s="1658">
        <v>6450</v>
      </c>
      <c r="F409" s="1658">
        <v>6500</v>
      </c>
      <c r="G409" s="1658">
        <v>6200</v>
      </c>
      <c r="H409" s="1658">
        <v>497128</v>
      </c>
      <c r="I409" s="1658">
        <v>3164024420</v>
      </c>
      <c r="J409" s="1658">
        <v>195574944840</v>
      </c>
      <c r="K409" s="1658">
        <v>31092996</v>
      </c>
    </row>
    <row r="410" spans="1:11" x14ac:dyDescent="0.3">
      <c r="A410" s="1657">
        <v>42244</v>
      </c>
      <c r="B410" s="1658">
        <v>6100</v>
      </c>
      <c r="C410" s="1658">
        <v>-190</v>
      </c>
      <c r="D410" s="1659">
        <v>-3.02</v>
      </c>
      <c r="E410" s="1658">
        <v>6340</v>
      </c>
      <c r="F410" s="1658">
        <v>6350</v>
      </c>
      <c r="G410" s="1658">
        <v>6050</v>
      </c>
      <c r="H410" s="1658">
        <v>739781</v>
      </c>
      <c r="I410" s="1658">
        <v>4560890500</v>
      </c>
      <c r="J410" s="1658">
        <v>189667275600</v>
      </c>
      <c r="K410" s="1658">
        <v>31092996</v>
      </c>
    </row>
    <row r="411" spans="1:11" x14ac:dyDescent="0.3">
      <c r="A411" s="1657">
        <v>42247</v>
      </c>
      <c r="B411" s="1658">
        <v>6090</v>
      </c>
      <c r="C411" s="1658">
        <v>-10</v>
      </c>
      <c r="D411" s="1659">
        <v>-0.16</v>
      </c>
      <c r="E411" s="1658">
        <v>6080</v>
      </c>
      <c r="F411" s="1658">
        <v>6300</v>
      </c>
      <c r="G411" s="1658">
        <v>6040</v>
      </c>
      <c r="H411" s="1658">
        <v>588938</v>
      </c>
      <c r="I411" s="1658">
        <v>3629586950</v>
      </c>
      <c r="J411" s="1658">
        <v>189375833640</v>
      </c>
      <c r="K411" s="1658">
        <v>31096196</v>
      </c>
    </row>
    <row r="412" spans="1:11" x14ac:dyDescent="0.3">
      <c r="A412" s="1657">
        <v>42248</v>
      </c>
      <c r="B412" s="1658">
        <v>5980</v>
      </c>
      <c r="C412" s="1658">
        <v>-110</v>
      </c>
      <c r="D412" s="1659">
        <v>-1.81</v>
      </c>
      <c r="E412" s="1658">
        <v>6100</v>
      </c>
      <c r="F412" s="1658">
        <v>6210</v>
      </c>
      <c r="G412" s="1658">
        <v>5980</v>
      </c>
      <c r="H412" s="1658">
        <v>381310</v>
      </c>
      <c r="I412" s="1658">
        <v>2320060040</v>
      </c>
      <c r="J412" s="1658">
        <v>185955252080</v>
      </c>
      <c r="K412" s="1658">
        <v>31096196</v>
      </c>
    </row>
    <row r="413" spans="1:11" x14ac:dyDescent="0.3">
      <c r="A413" s="1657">
        <v>42249</v>
      </c>
      <c r="B413" s="1658">
        <v>5880</v>
      </c>
      <c r="C413" s="1658">
        <v>-100</v>
      </c>
      <c r="D413" s="1659">
        <v>-1.67</v>
      </c>
      <c r="E413" s="1658">
        <v>5880</v>
      </c>
      <c r="F413" s="1658">
        <v>5990</v>
      </c>
      <c r="G413" s="1658">
        <v>5680</v>
      </c>
      <c r="H413" s="1658">
        <v>504083</v>
      </c>
      <c r="I413" s="1658">
        <v>2940245170</v>
      </c>
      <c r="J413" s="1658">
        <v>182845632480</v>
      </c>
      <c r="K413" s="1658">
        <v>31096196</v>
      </c>
    </row>
    <row r="414" spans="1:11" x14ac:dyDescent="0.3">
      <c r="A414" s="1657">
        <v>42250</v>
      </c>
      <c r="B414" s="1658">
        <v>5960</v>
      </c>
      <c r="C414" s="1658">
        <v>80</v>
      </c>
      <c r="D414" s="1659">
        <v>1.36</v>
      </c>
      <c r="E414" s="1658">
        <v>5970</v>
      </c>
      <c r="F414" s="1658">
        <v>6190</v>
      </c>
      <c r="G414" s="1658">
        <v>5940</v>
      </c>
      <c r="H414" s="1658">
        <v>352568</v>
      </c>
      <c r="I414" s="1658">
        <v>2131781930</v>
      </c>
      <c r="J414" s="1658">
        <v>185333328160</v>
      </c>
      <c r="K414" s="1658">
        <v>31096196</v>
      </c>
    </row>
    <row r="415" spans="1:11" x14ac:dyDescent="0.3">
      <c r="A415" s="1657">
        <v>42251</v>
      </c>
      <c r="B415" s="1658">
        <v>5670</v>
      </c>
      <c r="C415" s="1658">
        <v>-290</v>
      </c>
      <c r="D415" s="1659">
        <v>-4.87</v>
      </c>
      <c r="E415" s="1658">
        <v>5990</v>
      </c>
      <c r="F415" s="1658">
        <v>6070</v>
      </c>
      <c r="G415" s="1658">
        <v>5670</v>
      </c>
      <c r="H415" s="1658">
        <v>382692</v>
      </c>
      <c r="I415" s="1658">
        <v>2232359950</v>
      </c>
      <c r="J415" s="1658">
        <v>176315431320</v>
      </c>
      <c r="K415" s="1658">
        <v>31096196</v>
      </c>
    </row>
    <row r="416" spans="1:11" x14ac:dyDescent="0.3">
      <c r="A416" s="1657">
        <v>42254</v>
      </c>
      <c r="B416" s="1658">
        <v>5730</v>
      </c>
      <c r="C416" s="1658">
        <v>60</v>
      </c>
      <c r="D416" s="1659">
        <v>1.06</v>
      </c>
      <c r="E416" s="1658">
        <v>5610</v>
      </c>
      <c r="F416" s="1658">
        <v>5830</v>
      </c>
      <c r="G416" s="1658">
        <v>5580</v>
      </c>
      <c r="H416" s="1658">
        <v>130749</v>
      </c>
      <c r="I416" s="1658">
        <v>747652280</v>
      </c>
      <c r="J416" s="1658">
        <v>178181203080</v>
      </c>
      <c r="K416" s="1658">
        <v>31096196</v>
      </c>
    </row>
    <row r="417" spans="1:11" x14ac:dyDescent="0.3">
      <c r="A417" s="1657">
        <v>42255</v>
      </c>
      <c r="B417" s="1658">
        <v>5650</v>
      </c>
      <c r="C417" s="1658">
        <v>-80</v>
      </c>
      <c r="D417" s="1659">
        <v>-1.4</v>
      </c>
      <c r="E417" s="1658">
        <v>5730</v>
      </c>
      <c r="F417" s="1658">
        <v>5770</v>
      </c>
      <c r="G417" s="1658">
        <v>5550</v>
      </c>
      <c r="H417" s="1658">
        <v>188159</v>
      </c>
      <c r="I417" s="1658">
        <v>1060798180</v>
      </c>
      <c r="J417" s="1658">
        <v>175693507400</v>
      </c>
      <c r="K417" s="1658">
        <v>31096196</v>
      </c>
    </row>
    <row r="418" spans="1:11" x14ac:dyDescent="0.3">
      <c r="A418" s="1657">
        <v>42256</v>
      </c>
      <c r="B418" s="1658">
        <v>5940</v>
      </c>
      <c r="C418" s="1658">
        <v>290</v>
      </c>
      <c r="D418" s="1659">
        <v>5.13</v>
      </c>
      <c r="E418" s="1658">
        <v>5820</v>
      </c>
      <c r="F418" s="1658">
        <v>6030</v>
      </c>
      <c r="G418" s="1658">
        <v>5740</v>
      </c>
      <c r="H418" s="1658">
        <v>303751</v>
      </c>
      <c r="I418" s="1658">
        <v>1797446440</v>
      </c>
      <c r="J418" s="1658">
        <v>184711404240</v>
      </c>
      <c r="K418" s="1658">
        <v>31096196</v>
      </c>
    </row>
    <row r="419" spans="1:11" x14ac:dyDescent="0.3">
      <c r="A419" s="1657">
        <v>42257</v>
      </c>
      <c r="B419" s="1658">
        <v>6030</v>
      </c>
      <c r="C419" s="1658">
        <v>90</v>
      </c>
      <c r="D419" s="1659">
        <v>1.52</v>
      </c>
      <c r="E419" s="1658">
        <v>5910</v>
      </c>
      <c r="F419" s="1658">
        <v>6100</v>
      </c>
      <c r="G419" s="1658">
        <v>5840</v>
      </c>
      <c r="H419" s="1658">
        <v>159569</v>
      </c>
      <c r="I419" s="1658">
        <v>956208400</v>
      </c>
      <c r="J419" s="1658">
        <v>187510061880</v>
      </c>
      <c r="K419" s="1658">
        <v>31096196</v>
      </c>
    </row>
    <row r="420" spans="1:11" x14ac:dyDescent="0.3">
      <c r="A420" s="1657">
        <v>42258</v>
      </c>
      <c r="B420" s="1658">
        <v>5910</v>
      </c>
      <c r="C420" s="1658">
        <v>-120</v>
      </c>
      <c r="D420" s="1659">
        <v>-1.99</v>
      </c>
      <c r="E420" s="1658">
        <v>5980</v>
      </c>
      <c r="F420" s="1658">
        <v>6130</v>
      </c>
      <c r="G420" s="1658">
        <v>5900</v>
      </c>
      <c r="H420" s="1658">
        <v>213159</v>
      </c>
      <c r="I420" s="1658">
        <v>1276696550</v>
      </c>
      <c r="J420" s="1658">
        <v>183778518360</v>
      </c>
      <c r="K420" s="1658">
        <v>31096196</v>
      </c>
    </row>
    <row r="421" spans="1:11" x14ac:dyDescent="0.3">
      <c r="A421" s="1657">
        <v>42261</v>
      </c>
      <c r="B421" s="1658">
        <v>5860</v>
      </c>
      <c r="C421" s="1658">
        <v>-50</v>
      </c>
      <c r="D421" s="1659">
        <v>-0.85</v>
      </c>
      <c r="E421" s="1658">
        <v>5950</v>
      </c>
      <c r="F421" s="1658">
        <v>6060</v>
      </c>
      <c r="G421" s="1658">
        <v>5810</v>
      </c>
      <c r="H421" s="1658">
        <v>172036</v>
      </c>
      <c r="I421" s="1658">
        <v>1016084850</v>
      </c>
      <c r="J421" s="1658">
        <v>182223708560</v>
      </c>
      <c r="K421" s="1658">
        <v>31096196</v>
      </c>
    </row>
    <row r="422" spans="1:11" x14ac:dyDescent="0.3">
      <c r="A422" s="1657">
        <v>42262</v>
      </c>
      <c r="B422" s="1658">
        <v>6060</v>
      </c>
      <c r="C422" s="1658">
        <v>200</v>
      </c>
      <c r="D422" s="1659">
        <v>3.41</v>
      </c>
      <c r="E422" s="1658">
        <v>5860</v>
      </c>
      <c r="F422" s="1658">
        <v>6150</v>
      </c>
      <c r="G422" s="1658">
        <v>5810</v>
      </c>
      <c r="H422" s="1658">
        <v>246436</v>
      </c>
      <c r="I422" s="1658">
        <v>1479732880</v>
      </c>
      <c r="J422" s="1658">
        <v>188442947760</v>
      </c>
      <c r="K422" s="1658">
        <v>31096196</v>
      </c>
    </row>
    <row r="423" spans="1:11" x14ac:dyDescent="0.3">
      <c r="A423" s="1657">
        <v>42263</v>
      </c>
      <c r="B423" s="1658">
        <v>6060</v>
      </c>
      <c r="C423" s="1658">
        <v>0</v>
      </c>
      <c r="D423" s="1659">
        <v>0</v>
      </c>
      <c r="E423" s="1658">
        <v>6140</v>
      </c>
      <c r="F423" s="1658">
        <v>6140</v>
      </c>
      <c r="G423" s="1658">
        <v>5990</v>
      </c>
      <c r="H423" s="1658">
        <v>195682</v>
      </c>
      <c r="I423" s="1658">
        <v>1181663530</v>
      </c>
      <c r="J423" s="1658">
        <v>188442947760</v>
      </c>
      <c r="K423" s="1658">
        <v>31096196</v>
      </c>
    </row>
    <row r="424" spans="1:11" x14ac:dyDescent="0.3">
      <c r="A424" s="1657">
        <v>42264</v>
      </c>
      <c r="B424" s="1658">
        <v>5970</v>
      </c>
      <c r="C424" s="1658">
        <v>-90</v>
      </c>
      <c r="D424" s="1659">
        <v>-1.49</v>
      </c>
      <c r="E424" s="1658">
        <v>6080</v>
      </c>
      <c r="F424" s="1658">
        <v>6120</v>
      </c>
      <c r="G424" s="1658">
        <v>5970</v>
      </c>
      <c r="H424" s="1658">
        <v>181333</v>
      </c>
      <c r="I424" s="1658">
        <v>1092208100</v>
      </c>
      <c r="J424" s="1658">
        <v>185644290120</v>
      </c>
      <c r="K424" s="1658">
        <v>31096196</v>
      </c>
    </row>
    <row r="425" spans="1:11" x14ac:dyDescent="0.3">
      <c r="A425" s="1657">
        <v>42265</v>
      </c>
      <c r="B425" s="1658">
        <v>6170</v>
      </c>
      <c r="C425" s="1658">
        <v>200</v>
      </c>
      <c r="D425" s="1659">
        <v>3.35</v>
      </c>
      <c r="E425" s="1658">
        <v>6000</v>
      </c>
      <c r="F425" s="1658">
        <v>6170</v>
      </c>
      <c r="G425" s="1658">
        <v>5950</v>
      </c>
      <c r="H425" s="1658">
        <v>203541</v>
      </c>
      <c r="I425" s="1658">
        <v>1241359100</v>
      </c>
      <c r="J425" s="1658">
        <v>191863529320</v>
      </c>
      <c r="K425" s="1658">
        <v>31096196</v>
      </c>
    </row>
    <row r="426" spans="1:11" x14ac:dyDescent="0.3">
      <c r="A426" s="1657">
        <v>42268</v>
      </c>
      <c r="B426" s="1658">
        <v>6080</v>
      </c>
      <c r="C426" s="1658">
        <v>-90</v>
      </c>
      <c r="D426" s="1659">
        <v>-1.46</v>
      </c>
      <c r="E426" s="1658">
        <v>6150</v>
      </c>
      <c r="F426" s="1658">
        <v>6150</v>
      </c>
      <c r="G426" s="1658">
        <v>6000</v>
      </c>
      <c r="H426" s="1658">
        <v>168998</v>
      </c>
      <c r="I426" s="1658">
        <v>1021135450</v>
      </c>
      <c r="J426" s="1658">
        <v>189064871680</v>
      </c>
      <c r="K426" s="1658">
        <v>31096196</v>
      </c>
    </row>
    <row r="427" spans="1:11" x14ac:dyDescent="0.3">
      <c r="A427" s="1657">
        <v>42269</v>
      </c>
      <c r="B427" s="1658">
        <v>6080</v>
      </c>
      <c r="C427" s="1658">
        <v>0</v>
      </c>
      <c r="D427" s="1659">
        <v>0</v>
      </c>
      <c r="E427" s="1658">
        <v>6050</v>
      </c>
      <c r="F427" s="1658">
        <v>6230</v>
      </c>
      <c r="G427" s="1658">
        <v>6020</v>
      </c>
      <c r="H427" s="1658">
        <v>260821</v>
      </c>
      <c r="I427" s="1658">
        <v>1592111840</v>
      </c>
      <c r="J427" s="1658">
        <v>189064871680</v>
      </c>
      <c r="K427" s="1658">
        <v>31096196</v>
      </c>
    </row>
    <row r="428" spans="1:11" x14ac:dyDescent="0.3">
      <c r="A428" s="1657">
        <v>42270</v>
      </c>
      <c r="B428" s="1658">
        <v>6010</v>
      </c>
      <c r="C428" s="1658">
        <v>-70</v>
      </c>
      <c r="D428" s="1659">
        <v>-1.1499999999999999</v>
      </c>
      <c r="E428" s="1658">
        <v>6060</v>
      </c>
      <c r="F428" s="1658">
        <v>6150</v>
      </c>
      <c r="G428" s="1658">
        <v>5910</v>
      </c>
      <c r="H428" s="1658">
        <v>268803</v>
      </c>
      <c r="I428" s="1658">
        <v>1611510690</v>
      </c>
      <c r="J428" s="1658">
        <v>186888137960</v>
      </c>
      <c r="K428" s="1658">
        <v>31096196</v>
      </c>
    </row>
    <row r="429" spans="1:11" x14ac:dyDescent="0.3">
      <c r="A429" s="1657">
        <v>42271</v>
      </c>
      <c r="B429" s="1658">
        <v>6000</v>
      </c>
      <c r="C429" s="1658">
        <v>-10</v>
      </c>
      <c r="D429" s="1659">
        <v>-0.17</v>
      </c>
      <c r="E429" s="1658">
        <v>6010</v>
      </c>
      <c r="F429" s="1658">
        <v>6060</v>
      </c>
      <c r="G429" s="1658">
        <v>5920</v>
      </c>
      <c r="H429" s="1658">
        <v>151236</v>
      </c>
      <c r="I429" s="1658">
        <v>904402640</v>
      </c>
      <c r="J429" s="1658">
        <v>186577176000</v>
      </c>
      <c r="K429" s="1658">
        <v>31096196</v>
      </c>
    </row>
    <row r="430" spans="1:11" x14ac:dyDescent="0.3">
      <c r="A430" s="1657">
        <v>42272</v>
      </c>
      <c r="B430" s="1658">
        <v>6330</v>
      </c>
      <c r="C430" s="1658">
        <v>330</v>
      </c>
      <c r="D430" s="1659">
        <v>5.5</v>
      </c>
      <c r="E430" s="1658">
        <v>6000</v>
      </c>
      <c r="F430" s="1658">
        <v>6430</v>
      </c>
      <c r="G430" s="1658">
        <v>5900</v>
      </c>
      <c r="H430" s="1658">
        <v>748071</v>
      </c>
      <c r="I430" s="1658">
        <v>4674083850</v>
      </c>
      <c r="J430" s="1658">
        <v>196838920680</v>
      </c>
      <c r="K430" s="1658">
        <v>31096196</v>
      </c>
    </row>
    <row r="431" spans="1:11" x14ac:dyDescent="0.3">
      <c r="A431" s="1657">
        <v>42277</v>
      </c>
      <c r="B431" s="1658">
        <v>6540</v>
      </c>
      <c r="C431" s="1658">
        <v>210</v>
      </c>
      <c r="D431" s="1659">
        <v>3.32</v>
      </c>
      <c r="E431" s="1658">
        <v>6460</v>
      </c>
      <c r="F431" s="1658">
        <v>7150</v>
      </c>
      <c r="G431" s="1658">
        <v>6420</v>
      </c>
      <c r="H431" s="1658">
        <v>2115537</v>
      </c>
      <c r="I431" s="1658">
        <v>14312675670</v>
      </c>
      <c r="J431" s="1658">
        <v>203369121840</v>
      </c>
      <c r="K431" s="1658">
        <v>31096196</v>
      </c>
    </row>
    <row r="432" spans="1:11" x14ac:dyDescent="0.3">
      <c r="A432" s="1657">
        <v>42278</v>
      </c>
      <c r="B432" s="1658">
        <v>6490</v>
      </c>
      <c r="C432" s="1658">
        <v>-50</v>
      </c>
      <c r="D432" s="1659">
        <v>-0.76</v>
      </c>
      <c r="E432" s="1658">
        <v>6580</v>
      </c>
      <c r="F432" s="1658">
        <v>6580</v>
      </c>
      <c r="G432" s="1658">
        <v>6320</v>
      </c>
      <c r="H432" s="1658">
        <v>428416</v>
      </c>
      <c r="I432" s="1658">
        <v>2757196590</v>
      </c>
      <c r="J432" s="1658">
        <v>201814312040</v>
      </c>
      <c r="K432" s="1658">
        <v>31096196</v>
      </c>
    </row>
    <row r="433" spans="1:11" x14ac:dyDescent="0.3">
      <c r="A433" s="1657">
        <v>42279</v>
      </c>
      <c r="B433" s="1658">
        <v>6340</v>
      </c>
      <c r="C433" s="1658">
        <v>-150</v>
      </c>
      <c r="D433" s="1659">
        <v>-2.31</v>
      </c>
      <c r="E433" s="1658">
        <v>6490</v>
      </c>
      <c r="F433" s="1658">
        <v>6540</v>
      </c>
      <c r="G433" s="1658">
        <v>6270</v>
      </c>
      <c r="H433" s="1658">
        <v>334639</v>
      </c>
      <c r="I433" s="1658">
        <v>2122655420</v>
      </c>
      <c r="J433" s="1658">
        <v>197149882640</v>
      </c>
      <c r="K433" s="1658">
        <v>31096196</v>
      </c>
    </row>
    <row r="434" spans="1:11" x14ac:dyDescent="0.3">
      <c r="A434" s="1657">
        <v>42282</v>
      </c>
      <c r="B434" s="1658">
        <v>6340</v>
      </c>
      <c r="C434" s="1658">
        <v>0</v>
      </c>
      <c r="D434" s="1659">
        <v>0</v>
      </c>
      <c r="E434" s="1658">
        <v>6310</v>
      </c>
      <c r="F434" s="1658">
        <v>6440</v>
      </c>
      <c r="G434" s="1658">
        <v>6310</v>
      </c>
      <c r="H434" s="1658">
        <v>181291</v>
      </c>
      <c r="I434" s="1658">
        <v>1153612780</v>
      </c>
      <c r="J434" s="1658">
        <v>197149882640</v>
      </c>
      <c r="K434" s="1658">
        <v>31096196</v>
      </c>
    </row>
    <row r="435" spans="1:11" x14ac:dyDescent="0.3">
      <c r="A435" s="1657">
        <v>42283</v>
      </c>
      <c r="B435" s="1658">
        <v>6160</v>
      </c>
      <c r="C435" s="1658">
        <v>-180</v>
      </c>
      <c r="D435" s="1659">
        <v>-2.84</v>
      </c>
      <c r="E435" s="1658">
        <v>6440</v>
      </c>
      <c r="F435" s="1658">
        <v>6440</v>
      </c>
      <c r="G435" s="1658">
        <v>6050</v>
      </c>
      <c r="H435" s="1658">
        <v>401619</v>
      </c>
      <c r="I435" s="1658">
        <v>2499272120</v>
      </c>
      <c r="J435" s="1658">
        <v>191552567360</v>
      </c>
      <c r="K435" s="1658">
        <v>31096196</v>
      </c>
    </row>
    <row r="436" spans="1:11" x14ac:dyDescent="0.3">
      <c r="A436" s="1657">
        <v>42284</v>
      </c>
      <c r="B436" s="1658">
        <v>6660</v>
      </c>
      <c r="C436" s="1658">
        <v>500</v>
      </c>
      <c r="D436" s="1659">
        <v>8.1199999999999992</v>
      </c>
      <c r="E436" s="1658">
        <v>6270</v>
      </c>
      <c r="F436" s="1658">
        <v>7400</v>
      </c>
      <c r="G436" s="1658">
        <v>6200</v>
      </c>
      <c r="H436" s="1658">
        <v>2697366</v>
      </c>
      <c r="I436" s="1658">
        <v>18553564470</v>
      </c>
      <c r="J436" s="1658">
        <v>207100665360</v>
      </c>
      <c r="K436" s="1658">
        <v>31096196</v>
      </c>
    </row>
    <row r="437" spans="1:11" x14ac:dyDescent="0.3">
      <c r="A437" s="1657">
        <v>42285</v>
      </c>
      <c r="B437" s="1658">
        <v>6530</v>
      </c>
      <c r="C437" s="1658">
        <v>-130</v>
      </c>
      <c r="D437" s="1659">
        <v>-1.95</v>
      </c>
      <c r="E437" s="1658">
        <v>6680</v>
      </c>
      <c r="F437" s="1658">
        <v>6820</v>
      </c>
      <c r="G437" s="1658">
        <v>6470</v>
      </c>
      <c r="H437" s="1658">
        <v>387213</v>
      </c>
      <c r="I437" s="1658">
        <v>2570428210</v>
      </c>
      <c r="J437" s="1658">
        <v>203058159880</v>
      </c>
      <c r="K437" s="1658">
        <v>31096196</v>
      </c>
    </row>
    <row r="438" spans="1:11" x14ac:dyDescent="0.3">
      <c r="A438" s="1657">
        <v>42289</v>
      </c>
      <c r="B438" s="1658">
        <v>6700</v>
      </c>
      <c r="C438" s="1658">
        <v>170</v>
      </c>
      <c r="D438" s="1659">
        <v>2.6</v>
      </c>
      <c r="E438" s="1658">
        <v>6610</v>
      </c>
      <c r="F438" s="1658">
        <v>6850</v>
      </c>
      <c r="G438" s="1658">
        <v>6450</v>
      </c>
      <c r="H438" s="1658">
        <v>468789</v>
      </c>
      <c r="I438" s="1658">
        <v>3126260860</v>
      </c>
      <c r="J438" s="1658">
        <v>208344513200</v>
      </c>
      <c r="K438" s="1658">
        <v>31096196</v>
      </c>
    </row>
    <row r="439" spans="1:11" x14ac:dyDescent="0.3">
      <c r="A439" s="1657">
        <v>42290</v>
      </c>
      <c r="B439" s="1658">
        <v>6870</v>
      </c>
      <c r="C439" s="1658">
        <v>170</v>
      </c>
      <c r="D439" s="1659">
        <v>2.54</v>
      </c>
      <c r="E439" s="1658">
        <v>6600</v>
      </c>
      <c r="F439" s="1658">
        <v>6940</v>
      </c>
      <c r="G439" s="1658">
        <v>6590</v>
      </c>
      <c r="H439" s="1658">
        <v>449139</v>
      </c>
      <c r="I439" s="1658">
        <v>3034049860</v>
      </c>
      <c r="J439" s="1658">
        <v>213630866520</v>
      </c>
      <c r="K439" s="1658">
        <v>31096196</v>
      </c>
    </row>
    <row r="440" spans="1:11" x14ac:dyDescent="0.3">
      <c r="A440" s="1657">
        <v>42291</v>
      </c>
      <c r="B440" s="1658">
        <v>7090</v>
      </c>
      <c r="C440" s="1658">
        <v>220</v>
      </c>
      <c r="D440" s="1659">
        <v>3.2</v>
      </c>
      <c r="E440" s="1658">
        <v>7040</v>
      </c>
      <c r="F440" s="1658">
        <v>7290</v>
      </c>
      <c r="G440" s="1658">
        <v>6860</v>
      </c>
      <c r="H440" s="1658">
        <v>1144467</v>
      </c>
      <c r="I440" s="1658">
        <v>8080528520</v>
      </c>
      <c r="J440" s="1658">
        <v>220472029640</v>
      </c>
      <c r="K440" s="1658">
        <v>31096196</v>
      </c>
    </row>
    <row r="441" spans="1:11" x14ac:dyDescent="0.3">
      <c r="A441" s="1657">
        <v>42292</v>
      </c>
      <c r="B441" s="1658">
        <v>7020</v>
      </c>
      <c r="C441" s="1658">
        <v>-70</v>
      </c>
      <c r="D441" s="1659">
        <v>-0.99</v>
      </c>
      <c r="E441" s="1658">
        <v>7220</v>
      </c>
      <c r="F441" s="1658">
        <v>7230</v>
      </c>
      <c r="G441" s="1658">
        <v>7000</v>
      </c>
      <c r="H441" s="1658">
        <v>302407</v>
      </c>
      <c r="I441" s="1658">
        <v>2135953470</v>
      </c>
      <c r="J441" s="1658">
        <v>218295295920</v>
      </c>
      <c r="K441" s="1658">
        <v>31096196</v>
      </c>
    </row>
    <row r="442" spans="1:11" x14ac:dyDescent="0.3">
      <c r="A442" s="1657">
        <v>42293</v>
      </c>
      <c r="B442" s="1658">
        <v>6860</v>
      </c>
      <c r="C442" s="1658">
        <v>-160</v>
      </c>
      <c r="D442" s="1659">
        <v>-2.2799999999999998</v>
      </c>
      <c r="E442" s="1658">
        <v>7000</v>
      </c>
      <c r="F442" s="1658">
        <v>7020</v>
      </c>
      <c r="G442" s="1658">
        <v>6800</v>
      </c>
      <c r="H442" s="1658">
        <v>280427</v>
      </c>
      <c r="I442" s="1658">
        <v>1927243760</v>
      </c>
      <c r="J442" s="1658">
        <v>213319904560</v>
      </c>
      <c r="K442" s="1658">
        <v>31096196</v>
      </c>
    </row>
    <row r="443" spans="1:11" x14ac:dyDescent="0.3">
      <c r="A443" s="1657">
        <v>42296</v>
      </c>
      <c r="B443" s="1658">
        <v>6740</v>
      </c>
      <c r="C443" s="1658">
        <v>-120</v>
      </c>
      <c r="D443" s="1659">
        <v>-1.75</v>
      </c>
      <c r="E443" s="1658">
        <v>6860</v>
      </c>
      <c r="F443" s="1658">
        <v>6930</v>
      </c>
      <c r="G443" s="1658">
        <v>6680</v>
      </c>
      <c r="H443" s="1658">
        <v>206775</v>
      </c>
      <c r="I443" s="1658">
        <v>1398464910</v>
      </c>
      <c r="J443" s="1658">
        <v>209588361040</v>
      </c>
      <c r="K443" s="1658">
        <v>31096196</v>
      </c>
    </row>
    <row r="444" spans="1:11" x14ac:dyDescent="0.3">
      <c r="A444" s="1657">
        <v>42297</v>
      </c>
      <c r="B444" s="1658">
        <v>6970</v>
      </c>
      <c r="C444" s="1658">
        <v>230</v>
      </c>
      <c r="D444" s="1659">
        <v>3.41</v>
      </c>
      <c r="E444" s="1658">
        <v>6750</v>
      </c>
      <c r="F444" s="1658">
        <v>7050</v>
      </c>
      <c r="G444" s="1658">
        <v>6640</v>
      </c>
      <c r="H444" s="1658">
        <v>315053</v>
      </c>
      <c r="I444" s="1658">
        <v>2174507470</v>
      </c>
      <c r="J444" s="1658">
        <v>216740486120</v>
      </c>
      <c r="K444" s="1658">
        <v>31096196</v>
      </c>
    </row>
    <row r="445" spans="1:11" x14ac:dyDescent="0.3">
      <c r="A445" s="1657">
        <v>42298</v>
      </c>
      <c r="B445" s="1658">
        <v>6810</v>
      </c>
      <c r="C445" s="1658">
        <v>-160</v>
      </c>
      <c r="D445" s="1659">
        <v>-2.2999999999999998</v>
      </c>
      <c r="E445" s="1658">
        <v>7070</v>
      </c>
      <c r="F445" s="1658">
        <v>7090</v>
      </c>
      <c r="G445" s="1658">
        <v>6810</v>
      </c>
      <c r="H445" s="1658">
        <v>229947</v>
      </c>
      <c r="I445" s="1658">
        <v>1591778530</v>
      </c>
      <c r="J445" s="1658">
        <v>211765094760</v>
      </c>
      <c r="K445" s="1658">
        <v>31096196</v>
      </c>
    </row>
    <row r="446" spans="1:11" x14ac:dyDescent="0.3">
      <c r="A446" s="1657">
        <v>42299</v>
      </c>
      <c r="B446" s="1658">
        <v>6840</v>
      </c>
      <c r="C446" s="1658">
        <v>30</v>
      </c>
      <c r="D446" s="1659">
        <v>0.44</v>
      </c>
      <c r="E446" s="1658">
        <v>6740</v>
      </c>
      <c r="F446" s="1658">
        <v>7070</v>
      </c>
      <c r="G446" s="1658">
        <v>6650</v>
      </c>
      <c r="H446" s="1658">
        <v>352374</v>
      </c>
      <c r="I446" s="1658">
        <v>2421308530</v>
      </c>
      <c r="J446" s="1658">
        <v>212697980640</v>
      </c>
      <c r="K446" s="1658">
        <v>31096196</v>
      </c>
    </row>
    <row r="447" spans="1:11" x14ac:dyDescent="0.3">
      <c r="A447" s="1657">
        <v>42300</v>
      </c>
      <c r="B447" s="1658">
        <v>6920</v>
      </c>
      <c r="C447" s="1658">
        <v>80</v>
      </c>
      <c r="D447" s="1659">
        <v>1.17</v>
      </c>
      <c r="E447" s="1658">
        <v>6900</v>
      </c>
      <c r="F447" s="1658">
        <v>7000</v>
      </c>
      <c r="G447" s="1658">
        <v>6760</v>
      </c>
      <c r="H447" s="1658">
        <v>248982</v>
      </c>
      <c r="I447" s="1658">
        <v>1716171880</v>
      </c>
      <c r="J447" s="1658">
        <v>215185676320</v>
      </c>
      <c r="K447" s="1658">
        <v>31096196</v>
      </c>
    </row>
    <row r="448" spans="1:11" x14ac:dyDescent="0.3">
      <c r="A448" s="1657">
        <v>42303</v>
      </c>
      <c r="B448" s="1658">
        <v>6840</v>
      </c>
      <c r="C448" s="1658">
        <v>-80</v>
      </c>
      <c r="D448" s="1659">
        <v>-1.1599999999999999</v>
      </c>
      <c r="E448" s="1658">
        <v>7000</v>
      </c>
      <c r="F448" s="1658">
        <v>7020</v>
      </c>
      <c r="G448" s="1658">
        <v>6790</v>
      </c>
      <c r="H448" s="1658">
        <v>205787</v>
      </c>
      <c r="I448" s="1658">
        <v>1418925650</v>
      </c>
      <c r="J448" s="1658">
        <v>212697980640</v>
      </c>
      <c r="K448" s="1658">
        <v>31096196</v>
      </c>
    </row>
    <row r="449" spans="1:11" x14ac:dyDescent="0.3">
      <c r="A449" s="1657">
        <v>42304</v>
      </c>
      <c r="B449" s="1658">
        <v>6840</v>
      </c>
      <c r="C449" s="1658">
        <v>0</v>
      </c>
      <c r="D449" s="1659">
        <v>0</v>
      </c>
      <c r="E449" s="1658">
        <v>6820</v>
      </c>
      <c r="F449" s="1658">
        <v>6870</v>
      </c>
      <c r="G449" s="1658">
        <v>6690</v>
      </c>
      <c r="H449" s="1658">
        <v>170271</v>
      </c>
      <c r="I449" s="1658">
        <v>1149338050</v>
      </c>
      <c r="J449" s="1658">
        <v>212697980640</v>
      </c>
      <c r="K449" s="1658">
        <v>31096196</v>
      </c>
    </row>
    <row r="450" spans="1:11" x14ac:dyDescent="0.3">
      <c r="A450" s="1657">
        <v>42305</v>
      </c>
      <c r="B450" s="1658">
        <v>6670</v>
      </c>
      <c r="C450" s="1658">
        <v>-170</v>
      </c>
      <c r="D450" s="1659">
        <v>-2.4900000000000002</v>
      </c>
      <c r="E450" s="1658">
        <v>6840</v>
      </c>
      <c r="F450" s="1658">
        <v>6850</v>
      </c>
      <c r="G450" s="1658">
        <v>6670</v>
      </c>
      <c r="H450" s="1658">
        <v>218042</v>
      </c>
      <c r="I450" s="1658">
        <v>1470476160</v>
      </c>
      <c r="J450" s="1658">
        <v>207411627320</v>
      </c>
      <c r="K450" s="1658">
        <v>31096196</v>
      </c>
    </row>
    <row r="451" spans="1:11" x14ac:dyDescent="0.3">
      <c r="A451" s="1657">
        <v>42306</v>
      </c>
      <c r="B451" s="1658">
        <v>6650</v>
      </c>
      <c r="C451" s="1658">
        <v>-20</v>
      </c>
      <c r="D451" s="1659">
        <v>-0.3</v>
      </c>
      <c r="E451" s="1658">
        <v>6650</v>
      </c>
      <c r="F451" s="1658">
        <v>6850</v>
      </c>
      <c r="G451" s="1658">
        <v>6630</v>
      </c>
      <c r="H451" s="1658">
        <v>161602</v>
      </c>
      <c r="I451" s="1658">
        <v>1081622390</v>
      </c>
      <c r="J451" s="1658">
        <v>206789703400</v>
      </c>
      <c r="K451" s="1658">
        <v>31096196</v>
      </c>
    </row>
    <row r="452" spans="1:11" x14ac:dyDescent="0.3">
      <c r="A452" s="1657">
        <v>42307</v>
      </c>
      <c r="B452" s="1658">
        <v>6360</v>
      </c>
      <c r="C452" s="1658">
        <v>-290</v>
      </c>
      <c r="D452" s="1659">
        <v>-4.3600000000000003</v>
      </c>
      <c r="E452" s="1658">
        <v>6600</v>
      </c>
      <c r="F452" s="1658">
        <v>6660</v>
      </c>
      <c r="G452" s="1658">
        <v>6360</v>
      </c>
      <c r="H452" s="1658">
        <v>278494</v>
      </c>
      <c r="I452" s="1658">
        <v>1801253580</v>
      </c>
      <c r="J452" s="1658">
        <v>197771806560</v>
      </c>
      <c r="K452" s="1658">
        <v>31096196</v>
      </c>
    </row>
    <row r="453" spans="1:11" x14ac:dyDescent="0.3">
      <c r="A453" s="1657">
        <v>42310</v>
      </c>
      <c r="B453" s="1658">
        <v>6360</v>
      </c>
      <c r="C453" s="1658">
        <v>0</v>
      </c>
      <c r="D453" s="1659">
        <v>0</v>
      </c>
      <c r="E453" s="1658">
        <v>6490</v>
      </c>
      <c r="F453" s="1658">
        <v>6490</v>
      </c>
      <c r="G453" s="1658">
        <v>6260</v>
      </c>
      <c r="H453" s="1658">
        <v>114841</v>
      </c>
      <c r="I453" s="1658">
        <v>729413150</v>
      </c>
      <c r="J453" s="1658">
        <v>197771806560</v>
      </c>
      <c r="K453" s="1658">
        <v>31096196</v>
      </c>
    </row>
    <row r="454" spans="1:11" x14ac:dyDescent="0.3">
      <c r="A454" s="1657">
        <v>42311</v>
      </c>
      <c r="B454" s="1658">
        <v>6300</v>
      </c>
      <c r="C454" s="1658">
        <v>-60</v>
      </c>
      <c r="D454" s="1659">
        <v>-0.94</v>
      </c>
      <c r="E454" s="1658">
        <v>6400</v>
      </c>
      <c r="F454" s="1658">
        <v>6410</v>
      </c>
      <c r="G454" s="1658">
        <v>6300</v>
      </c>
      <c r="H454" s="1658">
        <v>85395</v>
      </c>
      <c r="I454" s="1658">
        <v>541793580</v>
      </c>
      <c r="J454" s="1658">
        <v>195906034800</v>
      </c>
      <c r="K454" s="1658">
        <v>31096196</v>
      </c>
    </row>
    <row r="455" spans="1:11" x14ac:dyDescent="0.3">
      <c r="A455" s="1657">
        <v>42312</v>
      </c>
      <c r="B455" s="1658">
        <v>6230</v>
      </c>
      <c r="C455" s="1658">
        <v>-70</v>
      </c>
      <c r="D455" s="1659">
        <v>-1.1100000000000001</v>
      </c>
      <c r="E455" s="1658">
        <v>6250</v>
      </c>
      <c r="F455" s="1658">
        <v>6290</v>
      </c>
      <c r="G455" s="1658">
        <v>6170</v>
      </c>
      <c r="H455" s="1658">
        <v>139861</v>
      </c>
      <c r="I455" s="1658">
        <v>871996430</v>
      </c>
      <c r="J455" s="1658">
        <v>193729301080</v>
      </c>
      <c r="K455" s="1658">
        <v>31096196</v>
      </c>
    </row>
    <row r="456" spans="1:11" x14ac:dyDescent="0.3">
      <c r="A456" s="1657">
        <v>42313</v>
      </c>
      <c r="B456" s="1658">
        <v>6370</v>
      </c>
      <c r="C456" s="1658">
        <v>140</v>
      </c>
      <c r="D456" s="1659">
        <v>2.25</v>
      </c>
      <c r="E456" s="1658">
        <v>6320</v>
      </c>
      <c r="F456" s="1658">
        <v>6430</v>
      </c>
      <c r="G456" s="1658">
        <v>6230</v>
      </c>
      <c r="H456" s="1658">
        <v>139919</v>
      </c>
      <c r="I456" s="1658">
        <v>888624510</v>
      </c>
      <c r="J456" s="1658">
        <v>198082768520</v>
      </c>
      <c r="K456" s="1658">
        <v>31096196</v>
      </c>
    </row>
    <row r="457" spans="1:11" x14ac:dyDescent="0.3">
      <c r="A457" s="1657">
        <v>42314</v>
      </c>
      <c r="B457" s="1658">
        <v>6280</v>
      </c>
      <c r="C457" s="1658">
        <v>-90</v>
      </c>
      <c r="D457" s="1659">
        <v>-1.41</v>
      </c>
      <c r="E457" s="1658">
        <v>6350</v>
      </c>
      <c r="F457" s="1658">
        <v>6380</v>
      </c>
      <c r="G457" s="1658">
        <v>6250</v>
      </c>
      <c r="H457" s="1658">
        <v>137448</v>
      </c>
      <c r="I457" s="1658">
        <v>864677850</v>
      </c>
      <c r="J457" s="1658">
        <v>195284110880</v>
      </c>
      <c r="K457" s="1658">
        <v>31096196</v>
      </c>
    </row>
    <row r="458" spans="1:11" x14ac:dyDescent="0.3">
      <c r="A458" s="1657">
        <v>42317</v>
      </c>
      <c r="B458" s="1658">
        <v>5960</v>
      </c>
      <c r="C458" s="1658">
        <v>-320</v>
      </c>
      <c r="D458" s="1659">
        <v>-5.0999999999999996</v>
      </c>
      <c r="E458" s="1658">
        <v>6250</v>
      </c>
      <c r="F458" s="1658">
        <v>6300</v>
      </c>
      <c r="G458" s="1658">
        <v>5810</v>
      </c>
      <c r="H458" s="1658">
        <v>318009</v>
      </c>
      <c r="I458" s="1658">
        <v>1919303580</v>
      </c>
      <c r="J458" s="1658">
        <v>185333328160</v>
      </c>
      <c r="K458" s="1658">
        <v>31096196</v>
      </c>
    </row>
    <row r="459" spans="1:11" x14ac:dyDescent="0.3">
      <c r="A459" s="1657">
        <v>42318</v>
      </c>
      <c r="B459" s="1658">
        <v>5750</v>
      </c>
      <c r="C459" s="1658">
        <v>-210</v>
      </c>
      <c r="D459" s="1659">
        <v>-3.52</v>
      </c>
      <c r="E459" s="1658">
        <v>5940</v>
      </c>
      <c r="F459" s="1658">
        <v>5940</v>
      </c>
      <c r="G459" s="1658">
        <v>5710</v>
      </c>
      <c r="H459" s="1658">
        <v>183261</v>
      </c>
      <c r="I459" s="1658">
        <v>1059253390</v>
      </c>
      <c r="J459" s="1658">
        <v>178803127000</v>
      </c>
      <c r="K459" s="1658">
        <v>31096196</v>
      </c>
    </row>
    <row r="460" spans="1:11" x14ac:dyDescent="0.3">
      <c r="A460" s="1657">
        <v>42319</v>
      </c>
      <c r="B460" s="1658">
        <v>5840</v>
      </c>
      <c r="C460" s="1658">
        <v>90</v>
      </c>
      <c r="D460" s="1659">
        <v>1.57</v>
      </c>
      <c r="E460" s="1658">
        <v>5560</v>
      </c>
      <c r="F460" s="1658">
        <v>6020</v>
      </c>
      <c r="G460" s="1658">
        <v>5560</v>
      </c>
      <c r="H460" s="1658">
        <v>137793</v>
      </c>
      <c r="I460" s="1658">
        <v>800118070</v>
      </c>
      <c r="J460" s="1658">
        <v>181601784640</v>
      </c>
      <c r="K460" s="1658">
        <v>31096196</v>
      </c>
    </row>
    <row r="461" spans="1:11" x14ac:dyDescent="0.3">
      <c r="A461" s="1657">
        <v>42320</v>
      </c>
      <c r="B461" s="1658">
        <v>5900</v>
      </c>
      <c r="C461" s="1658">
        <v>60</v>
      </c>
      <c r="D461" s="1659">
        <v>1.03</v>
      </c>
      <c r="E461" s="1658">
        <v>5840</v>
      </c>
      <c r="F461" s="1658">
        <v>5980</v>
      </c>
      <c r="G461" s="1658">
        <v>5840</v>
      </c>
      <c r="H461" s="1658">
        <v>58202</v>
      </c>
      <c r="I461" s="1658">
        <v>343263910</v>
      </c>
      <c r="J461" s="1658">
        <v>183467556400</v>
      </c>
      <c r="K461" s="1658">
        <v>31096196</v>
      </c>
    </row>
    <row r="462" spans="1:11" x14ac:dyDescent="0.3">
      <c r="A462" s="1657">
        <v>42321</v>
      </c>
      <c r="B462" s="1658">
        <v>5780</v>
      </c>
      <c r="C462" s="1658">
        <v>-120</v>
      </c>
      <c r="D462" s="1659">
        <v>-2.0299999999999998</v>
      </c>
      <c r="E462" s="1658">
        <v>5890</v>
      </c>
      <c r="F462" s="1658">
        <v>5890</v>
      </c>
      <c r="G462" s="1658">
        <v>5700</v>
      </c>
      <c r="H462" s="1658">
        <v>129434</v>
      </c>
      <c r="I462" s="1658">
        <v>745760950</v>
      </c>
      <c r="J462" s="1658">
        <v>179736012880</v>
      </c>
      <c r="K462" s="1658">
        <v>31096196</v>
      </c>
    </row>
    <row r="463" spans="1:11" x14ac:dyDescent="0.3">
      <c r="A463" s="1657">
        <v>42324</v>
      </c>
      <c r="B463" s="1658">
        <v>5760</v>
      </c>
      <c r="C463" s="1658">
        <v>-20</v>
      </c>
      <c r="D463" s="1659">
        <v>-0.35</v>
      </c>
      <c r="E463" s="1658">
        <v>5700</v>
      </c>
      <c r="F463" s="1658">
        <v>5950</v>
      </c>
      <c r="G463" s="1658">
        <v>5570</v>
      </c>
      <c r="H463" s="1658">
        <v>116746</v>
      </c>
      <c r="I463" s="1658">
        <v>663005430</v>
      </c>
      <c r="J463" s="1658">
        <v>179114088960</v>
      </c>
      <c r="K463" s="1658">
        <v>31096196</v>
      </c>
    </row>
    <row r="464" spans="1:11" x14ac:dyDescent="0.3">
      <c r="A464" s="1657">
        <v>42325</v>
      </c>
      <c r="B464" s="1658">
        <v>5710</v>
      </c>
      <c r="C464" s="1658">
        <v>-50</v>
      </c>
      <c r="D464" s="1659">
        <v>-0.87</v>
      </c>
      <c r="E464" s="1658">
        <v>5700</v>
      </c>
      <c r="F464" s="1658">
        <v>5820</v>
      </c>
      <c r="G464" s="1658">
        <v>5690</v>
      </c>
      <c r="H464" s="1658">
        <v>92209</v>
      </c>
      <c r="I464" s="1658">
        <v>527081770</v>
      </c>
      <c r="J464" s="1658">
        <v>177559279160</v>
      </c>
      <c r="K464" s="1658">
        <v>31096196</v>
      </c>
    </row>
    <row r="465" spans="1:11" x14ac:dyDescent="0.3">
      <c r="A465" s="1657">
        <v>42326</v>
      </c>
      <c r="B465" s="1658">
        <v>5500</v>
      </c>
      <c r="C465" s="1658">
        <v>-210</v>
      </c>
      <c r="D465" s="1659">
        <v>-3.68</v>
      </c>
      <c r="E465" s="1658">
        <v>5710</v>
      </c>
      <c r="F465" s="1658">
        <v>5750</v>
      </c>
      <c r="G465" s="1658">
        <v>5490</v>
      </c>
      <c r="H465" s="1658">
        <v>190626</v>
      </c>
      <c r="I465" s="1658">
        <v>1069674910</v>
      </c>
      <c r="J465" s="1658">
        <v>171029078000</v>
      </c>
      <c r="K465" s="1658">
        <v>31096196</v>
      </c>
    </row>
    <row r="466" spans="1:11" x14ac:dyDescent="0.3">
      <c r="A466" s="1657">
        <v>42327</v>
      </c>
      <c r="B466" s="1658">
        <v>5670</v>
      </c>
      <c r="C466" s="1658">
        <v>170</v>
      </c>
      <c r="D466" s="1659">
        <v>3.09</v>
      </c>
      <c r="E466" s="1658">
        <v>5510</v>
      </c>
      <c r="F466" s="1658">
        <v>5750</v>
      </c>
      <c r="G466" s="1658">
        <v>5500</v>
      </c>
      <c r="H466" s="1658">
        <v>116442</v>
      </c>
      <c r="I466" s="1658">
        <v>655071950</v>
      </c>
      <c r="J466" s="1658">
        <v>176315431320</v>
      </c>
      <c r="K466" s="1658">
        <v>31096196</v>
      </c>
    </row>
    <row r="467" spans="1:11" x14ac:dyDescent="0.3">
      <c r="A467" s="1657">
        <v>42328</v>
      </c>
      <c r="B467" s="1658">
        <v>5720</v>
      </c>
      <c r="C467" s="1658">
        <v>50</v>
      </c>
      <c r="D467" s="1659">
        <v>0.88</v>
      </c>
      <c r="E467" s="1658">
        <v>5610</v>
      </c>
      <c r="F467" s="1658">
        <v>5740</v>
      </c>
      <c r="G467" s="1658">
        <v>5610</v>
      </c>
      <c r="H467" s="1658">
        <v>60671</v>
      </c>
      <c r="I467" s="1658">
        <v>344364160</v>
      </c>
      <c r="J467" s="1658">
        <v>177870241120</v>
      </c>
      <c r="K467" s="1658">
        <v>31096196</v>
      </c>
    </row>
    <row r="468" spans="1:11" x14ac:dyDescent="0.3">
      <c r="A468" s="1657">
        <v>42331</v>
      </c>
      <c r="B468" s="1658">
        <v>5820</v>
      </c>
      <c r="C468" s="1658">
        <v>100</v>
      </c>
      <c r="D468" s="1659">
        <v>1.75</v>
      </c>
      <c r="E468" s="1658">
        <v>5770</v>
      </c>
      <c r="F468" s="1658">
        <v>5840</v>
      </c>
      <c r="G468" s="1658">
        <v>5710</v>
      </c>
      <c r="H468" s="1658">
        <v>155775</v>
      </c>
      <c r="I468" s="1658">
        <v>901998210</v>
      </c>
      <c r="J468" s="1658">
        <v>180979860720</v>
      </c>
      <c r="K468" s="1658">
        <v>31096196</v>
      </c>
    </row>
    <row r="469" spans="1:11" x14ac:dyDescent="0.3">
      <c r="A469" s="1657">
        <v>42332</v>
      </c>
      <c r="B469" s="1658">
        <v>5790</v>
      </c>
      <c r="C469" s="1658">
        <v>-30</v>
      </c>
      <c r="D469" s="1659">
        <v>-0.52</v>
      </c>
      <c r="E469" s="1658">
        <v>5800</v>
      </c>
      <c r="F469" s="1658">
        <v>5880</v>
      </c>
      <c r="G469" s="1658">
        <v>5740</v>
      </c>
      <c r="H469" s="1658">
        <v>93833</v>
      </c>
      <c r="I469" s="1658">
        <v>543988140</v>
      </c>
      <c r="J469" s="1658">
        <v>180046974840</v>
      </c>
      <c r="K469" s="1658">
        <v>31096196</v>
      </c>
    </row>
    <row r="470" spans="1:11" x14ac:dyDescent="0.3">
      <c r="A470" s="1657">
        <v>42333</v>
      </c>
      <c r="B470" s="1658">
        <v>5810</v>
      </c>
      <c r="C470" s="1658">
        <v>20</v>
      </c>
      <c r="D470" s="1659">
        <v>0.35</v>
      </c>
      <c r="E470" s="1658">
        <v>5890</v>
      </c>
      <c r="F470" s="1658">
        <v>5920</v>
      </c>
      <c r="G470" s="1658">
        <v>5810</v>
      </c>
      <c r="H470" s="1658">
        <v>88969</v>
      </c>
      <c r="I470" s="1658">
        <v>520318180</v>
      </c>
      <c r="J470" s="1658">
        <v>180668898760</v>
      </c>
      <c r="K470" s="1658">
        <v>31096196</v>
      </c>
    </row>
    <row r="471" spans="1:11" x14ac:dyDescent="0.3">
      <c r="A471" s="1657">
        <v>42334</v>
      </c>
      <c r="B471" s="1658">
        <v>5770</v>
      </c>
      <c r="C471" s="1658">
        <v>-40</v>
      </c>
      <c r="D471" s="1659">
        <v>-0.69</v>
      </c>
      <c r="E471" s="1658">
        <v>5790</v>
      </c>
      <c r="F471" s="1658">
        <v>5890</v>
      </c>
      <c r="G471" s="1658">
        <v>5710</v>
      </c>
      <c r="H471" s="1658">
        <v>100024</v>
      </c>
      <c r="I471" s="1658">
        <v>577763040</v>
      </c>
      <c r="J471" s="1658">
        <v>179425050920</v>
      </c>
      <c r="K471" s="1658">
        <v>31096196</v>
      </c>
    </row>
    <row r="472" spans="1:11" x14ac:dyDescent="0.3">
      <c r="A472" s="1657">
        <v>42335</v>
      </c>
      <c r="B472" s="1658">
        <v>5670</v>
      </c>
      <c r="C472" s="1658">
        <v>-100</v>
      </c>
      <c r="D472" s="1659">
        <v>-1.73</v>
      </c>
      <c r="E472" s="1658">
        <v>5770</v>
      </c>
      <c r="F472" s="1658">
        <v>5800</v>
      </c>
      <c r="G472" s="1658">
        <v>5640</v>
      </c>
      <c r="H472" s="1658">
        <v>128983</v>
      </c>
      <c r="I472" s="1658">
        <v>734880240</v>
      </c>
      <c r="J472" s="1658">
        <v>176315431320</v>
      </c>
      <c r="K472" s="1658">
        <v>31096196</v>
      </c>
    </row>
    <row r="473" spans="1:11" x14ac:dyDescent="0.3">
      <c r="A473" s="1657">
        <v>42338</v>
      </c>
      <c r="B473" s="1658">
        <v>5560</v>
      </c>
      <c r="C473" s="1658">
        <v>-110</v>
      </c>
      <c r="D473" s="1659">
        <v>-1.94</v>
      </c>
      <c r="E473" s="1658">
        <v>5680</v>
      </c>
      <c r="F473" s="1658">
        <v>5730</v>
      </c>
      <c r="G473" s="1658">
        <v>5540</v>
      </c>
      <c r="H473" s="1658">
        <v>78081</v>
      </c>
      <c r="I473" s="1658">
        <v>435675640</v>
      </c>
      <c r="J473" s="1658">
        <v>172894849760</v>
      </c>
      <c r="K473" s="1658">
        <v>31096196</v>
      </c>
    </row>
    <row r="474" spans="1:11" x14ac:dyDescent="0.3">
      <c r="A474" s="1657">
        <v>42339</v>
      </c>
      <c r="B474" s="1658">
        <v>5600</v>
      </c>
      <c r="C474" s="1658">
        <v>40</v>
      </c>
      <c r="D474" s="1659">
        <v>0.72</v>
      </c>
      <c r="E474" s="1658">
        <v>5580</v>
      </c>
      <c r="F474" s="1658">
        <v>5710</v>
      </c>
      <c r="G474" s="1658">
        <v>5570</v>
      </c>
      <c r="H474" s="1658">
        <v>84913</v>
      </c>
      <c r="I474" s="1658">
        <v>478020010</v>
      </c>
      <c r="J474" s="1658">
        <v>174138697600</v>
      </c>
      <c r="K474" s="1658">
        <v>31096196</v>
      </c>
    </row>
    <row r="475" spans="1:11" x14ac:dyDescent="0.3">
      <c r="A475" s="1657">
        <v>42340</v>
      </c>
      <c r="B475" s="1658">
        <v>5610</v>
      </c>
      <c r="C475" s="1658">
        <v>10</v>
      </c>
      <c r="D475" s="1659">
        <v>0.18</v>
      </c>
      <c r="E475" s="1658">
        <v>5610</v>
      </c>
      <c r="F475" s="1658">
        <v>5720</v>
      </c>
      <c r="G475" s="1658">
        <v>5560</v>
      </c>
      <c r="H475" s="1658">
        <v>87626</v>
      </c>
      <c r="I475" s="1658">
        <v>491709440</v>
      </c>
      <c r="J475" s="1658">
        <v>174449659560</v>
      </c>
      <c r="K475" s="1658">
        <v>31096196</v>
      </c>
    </row>
    <row r="476" spans="1:11" x14ac:dyDescent="0.3">
      <c r="A476" s="1657">
        <v>42341</v>
      </c>
      <c r="B476" s="1658">
        <v>5600</v>
      </c>
      <c r="C476" s="1658">
        <v>-10</v>
      </c>
      <c r="D476" s="1659">
        <v>-0.18</v>
      </c>
      <c r="E476" s="1658">
        <v>5670</v>
      </c>
      <c r="F476" s="1658">
        <v>5690</v>
      </c>
      <c r="G476" s="1658">
        <v>5550</v>
      </c>
      <c r="H476" s="1658">
        <v>51556</v>
      </c>
      <c r="I476" s="1658">
        <v>288739330</v>
      </c>
      <c r="J476" s="1658">
        <v>174138697600</v>
      </c>
      <c r="K476" s="1658">
        <v>31096196</v>
      </c>
    </row>
    <row r="477" spans="1:11" x14ac:dyDescent="0.3">
      <c r="A477" s="1657">
        <v>42342</v>
      </c>
      <c r="B477" s="1658">
        <v>5640</v>
      </c>
      <c r="C477" s="1658">
        <v>40</v>
      </c>
      <c r="D477" s="1659">
        <v>0.71</v>
      </c>
      <c r="E477" s="1658">
        <v>5550</v>
      </c>
      <c r="F477" s="1658">
        <v>5650</v>
      </c>
      <c r="G477" s="1658">
        <v>5510</v>
      </c>
      <c r="H477" s="1658">
        <v>76340</v>
      </c>
      <c r="I477" s="1658">
        <v>424400870</v>
      </c>
      <c r="J477" s="1658">
        <v>175382545440</v>
      </c>
      <c r="K477" s="1658">
        <v>31096196</v>
      </c>
    </row>
    <row r="478" spans="1:11" x14ac:dyDescent="0.3">
      <c r="A478" s="1657">
        <v>42345</v>
      </c>
      <c r="B478" s="1658">
        <v>5690</v>
      </c>
      <c r="C478" s="1658">
        <v>50</v>
      </c>
      <c r="D478" s="1659">
        <v>0.89</v>
      </c>
      <c r="E478" s="1658">
        <v>5640</v>
      </c>
      <c r="F478" s="1658">
        <v>5800</v>
      </c>
      <c r="G478" s="1658">
        <v>5640</v>
      </c>
      <c r="H478" s="1658">
        <v>95584</v>
      </c>
      <c r="I478" s="1658">
        <v>545888960</v>
      </c>
      <c r="J478" s="1658">
        <v>176937355240</v>
      </c>
      <c r="K478" s="1658">
        <v>31096196</v>
      </c>
    </row>
    <row r="479" spans="1:11" x14ac:dyDescent="0.3">
      <c r="A479" s="1657">
        <v>42346</v>
      </c>
      <c r="B479" s="1658">
        <v>5460</v>
      </c>
      <c r="C479" s="1658">
        <v>-230</v>
      </c>
      <c r="D479" s="1659">
        <v>-4.04</v>
      </c>
      <c r="E479" s="1658">
        <v>5620</v>
      </c>
      <c r="F479" s="1658">
        <v>5740</v>
      </c>
      <c r="G479" s="1658">
        <v>5300</v>
      </c>
      <c r="H479" s="1658">
        <v>135196</v>
      </c>
      <c r="I479" s="1658">
        <v>750523140</v>
      </c>
      <c r="J479" s="1658">
        <v>169785230160</v>
      </c>
      <c r="K479" s="1658">
        <v>31096196</v>
      </c>
    </row>
    <row r="480" spans="1:11" x14ac:dyDescent="0.3">
      <c r="A480" s="1657">
        <v>42347</v>
      </c>
      <c r="B480" s="1658">
        <v>5330</v>
      </c>
      <c r="C480" s="1658">
        <v>-130</v>
      </c>
      <c r="D480" s="1659">
        <v>-2.38</v>
      </c>
      <c r="E480" s="1658">
        <v>5390</v>
      </c>
      <c r="F480" s="1658">
        <v>5500</v>
      </c>
      <c r="G480" s="1658">
        <v>5270</v>
      </c>
      <c r="H480" s="1658">
        <v>113288</v>
      </c>
      <c r="I480" s="1658">
        <v>607298160</v>
      </c>
      <c r="J480" s="1658">
        <v>165742724680</v>
      </c>
      <c r="K480" s="1658">
        <v>31096196</v>
      </c>
    </row>
    <row r="481" spans="1:11" x14ac:dyDescent="0.3">
      <c r="A481" s="1657">
        <v>42348</v>
      </c>
      <c r="B481" s="1658">
        <v>5090</v>
      </c>
      <c r="C481" s="1658">
        <v>-240</v>
      </c>
      <c r="D481" s="1659">
        <v>-4.5</v>
      </c>
      <c r="E481" s="1658">
        <v>5230</v>
      </c>
      <c r="F481" s="1658">
        <v>5290</v>
      </c>
      <c r="G481" s="1658">
        <v>5050</v>
      </c>
      <c r="H481" s="1658">
        <v>199308</v>
      </c>
      <c r="I481" s="1658">
        <v>1023024910</v>
      </c>
      <c r="J481" s="1658">
        <v>158279637640</v>
      </c>
      <c r="K481" s="1658">
        <v>31096196</v>
      </c>
    </row>
    <row r="482" spans="1:11" x14ac:dyDescent="0.3">
      <c r="A482" s="1657">
        <v>42349</v>
      </c>
      <c r="B482" s="1658">
        <v>5170</v>
      </c>
      <c r="C482" s="1658">
        <v>80</v>
      </c>
      <c r="D482" s="1659">
        <v>1.57</v>
      </c>
      <c r="E482" s="1658">
        <v>5130</v>
      </c>
      <c r="F482" s="1658">
        <v>5180</v>
      </c>
      <c r="G482" s="1658">
        <v>4995</v>
      </c>
      <c r="H482" s="1658">
        <v>84428</v>
      </c>
      <c r="I482" s="1658">
        <v>429533405</v>
      </c>
      <c r="J482" s="1658">
        <v>160767333320</v>
      </c>
      <c r="K482" s="1658">
        <v>31096196</v>
      </c>
    </row>
    <row r="483" spans="1:11" x14ac:dyDescent="0.3">
      <c r="A483" s="1657">
        <v>42352</v>
      </c>
      <c r="B483" s="1658">
        <v>4890</v>
      </c>
      <c r="C483" s="1658">
        <v>-280</v>
      </c>
      <c r="D483" s="1659">
        <v>-5.42</v>
      </c>
      <c r="E483" s="1658">
        <v>5100</v>
      </c>
      <c r="F483" s="1658">
        <v>5120</v>
      </c>
      <c r="G483" s="1658">
        <v>4875</v>
      </c>
      <c r="H483" s="1658">
        <v>155509</v>
      </c>
      <c r="I483" s="1658">
        <v>770326775</v>
      </c>
      <c r="J483" s="1658">
        <v>152060398440</v>
      </c>
      <c r="K483" s="1658">
        <v>31096196</v>
      </c>
    </row>
    <row r="484" spans="1:11" x14ac:dyDescent="0.3">
      <c r="A484" s="1657">
        <v>42353</v>
      </c>
      <c r="B484" s="1658">
        <v>5070</v>
      </c>
      <c r="C484" s="1658">
        <v>180</v>
      </c>
      <c r="D484" s="1659">
        <v>3.68</v>
      </c>
      <c r="E484" s="1658">
        <v>4900</v>
      </c>
      <c r="F484" s="1658">
        <v>5760</v>
      </c>
      <c r="G484" s="1658">
        <v>4890</v>
      </c>
      <c r="H484" s="1658">
        <v>444028</v>
      </c>
      <c r="I484" s="1658">
        <v>2375579900</v>
      </c>
      <c r="J484" s="1658">
        <v>157657713720</v>
      </c>
      <c r="K484" s="1658">
        <v>31096196</v>
      </c>
    </row>
    <row r="485" spans="1:11" x14ac:dyDescent="0.3">
      <c r="A485" s="1657">
        <v>42354</v>
      </c>
      <c r="B485" s="1658">
        <v>5170</v>
      </c>
      <c r="C485" s="1658">
        <v>100</v>
      </c>
      <c r="D485" s="1659">
        <v>1.97</v>
      </c>
      <c r="E485" s="1658">
        <v>5300</v>
      </c>
      <c r="F485" s="1658">
        <v>5350</v>
      </c>
      <c r="G485" s="1658">
        <v>5150</v>
      </c>
      <c r="H485" s="1658">
        <v>79738</v>
      </c>
      <c r="I485" s="1658">
        <v>415459500</v>
      </c>
      <c r="J485" s="1658">
        <v>160767333320</v>
      </c>
      <c r="K485" s="1658">
        <v>31096196</v>
      </c>
    </row>
    <row r="486" spans="1:11" x14ac:dyDescent="0.3">
      <c r="A486" s="1657">
        <v>42355</v>
      </c>
      <c r="B486" s="1658">
        <v>5210</v>
      </c>
      <c r="C486" s="1658">
        <v>40</v>
      </c>
      <c r="D486" s="1659">
        <v>0.77</v>
      </c>
      <c r="E486" s="1658">
        <v>5210</v>
      </c>
      <c r="F486" s="1658">
        <v>5290</v>
      </c>
      <c r="G486" s="1658">
        <v>5120</v>
      </c>
      <c r="H486" s="1658">
        <v>62363</v>
      </c>
      <c r="I486" s="1658">
        <v>323983130</v>
      </c>
      <c r="J486" s="1658">
        <v>162011181160</v>
      </c>
      <c r="K486" s="1658">
        <v>31096196</v>
      </c>
    </row>
    <row r="487" spans="1:11" x14ac:dyDescent="0.3">
      <c r="A487" s="1657">
        <v>42356</v>
      </c>
      <c r="B487" s="1658">
        <v>5400</v>
      </c>
      <c r="C487" s="1658">
        <v>190</v>
      </c>
      <c r="D487" s="1659">
        <v>3.65</v>
      </c>
      <c r="E487" s="1658">
        <v>5170</v>
      </c>
      <c r="F487" s="1658">
        <v>5500</v>
      </c>
      <c r="G487" s="1658">
        <v>5170</v>
      </c>
      <c r="H487" s="1658">
        <v>120026</v>
      </c>
      <c r="I487" s="1658">
        <v>644635150</v>
      </c>
      <c r="J487" s="1658">
        <v>167919458400</v>
      </c>
      <c r="K487" s="1658">
        <v>31096196</v>
      </c>
    </row>
    <row r="488" spans="1:11" x14ac:dyDescent="0.3">
      <c r="A488" s="1657">
        <v>42359</v>
      </c>
      <c r="B488" s="1658">
        <v>5420</v>
      </c>
      <c r="C488" s="1658">
        <v>20</v>
      </c>
      <c r="D488" s="1659">
        <v>0.37</v>
      </c>
      <c r="E488" s="1658">
        <v>5250</v>
      </c>
      <c r="F488" s="1658">
        <v>5450</v>
      </c>
      <c r="G488" s="1658">
        <v>5250</v>
      </c>
      <c r="H488" s="1658">
        <v>43679</v>
      </c>
      <c r="I488" s="1658">
        <v>234319840</v>
      </c>
      <c r="J488" s="1658">
        <v>168541382320</v>
      </c>
      <c r="K488" s="1658">
        <v>31096196</v>
      </c>
    </row>
    <row r="489" spans="1:11" x14ac:dyDescent="0.3">
      <c r="A489" s="1657">
        <v>42360</v>
      </c>
      <c r="B489" s="1658">
        <v>5330</v>
      </c>
      <c r="C489" s="1658">
        <v>-90</v>
      </c>
      <c r="D489" s="1659">
        <v>-1.66</v>
      </c>
      <c r="E489" s="1658">
        <v>5520</v>
      </c>
      <c r="F489" s="1658">
        <v>5520</v>
      </c>
      <c r="G489" s="1658">
        <v>5310</v>
      </c>
      <c r="H489" s="1658">
        <v>60949</v>
      </c>
      <c r="I489" s="1658">
        <v>327718490</v>
      </c>
      <c r="J489" s="1658">
        <v>165742724680</v>
      </c>
      <c r="K489" s="1658">
        <v>31096196</v>
      </c>
    </row>
    <row r="490" spans="1:11" x14ac:dyDescent="0.3">
      <c r="A490" s="1657">
        <v>42361</v>
      </c>
      <c r="B490" s="1658">
        <v>5340</v>
      </c>
      <c r="C490" s="1658">
        <v>10</v>
      </c>
      <c r="D490" s="1659">
        <v>0.19</v>
      </c>
      <c r="E490" s="1658">
        <v>5320</v>
      </c>
      <c r="F490" s="1658">
        <v>5540</v>
      </c>
      <c r="G490" s="1658">
        <v>5320</v>
      </c>
      <c r="H490" s="1658">
        <v>50357</v>
      </c>
      <c r="I490" s="1658">
        <v>271056780</v>
      </c>
      <c r="J490" s="1658">
        <v>166053686640</v>
      </c>
      <c r="K490" s="1658">
        <v>31096196</v>
      </c>
    </row>
    <row r="491" spans="1:11" x14ac:dyDescent="0.3">
      <c r="A491" s="1657">
        <v>42362</v>
      </c>
      <c r="B491" s="1658">
        <v>5370</v>
      </c>
      <c r="C491" s="1658">
        <v>30</v>
      </c>
      <c r="D491" s="1659">
        <v>0.56000000000000005</v>
      </c>
      <c r="E491" s="1658">
        <v>5390</v>
      </c>
      <c r="F491" s="1658">
        <v>5390</v>
      </c>
      <c r="G491" s="1658">
        <v>5300</v>
      </c>
      <c r="H491" s="1658">
        <v>30127</v>
      </c>
      <c r="I491" s="1658">
        <v>160782300</v>
      </c>
      <c r="J491" s="1658">
        <v>166986572520</v>
      </c>
      <c r="K491" s="1658">
        <v>31096196</v>
      </c>
    </row>
    <row r="492" spans="1:11" x14ac:dyDescent="0.3">
      <c r="A492" s="1657">
        <v>42366</v>
      </c>
      <c r="B492" s="1658">
        <v>5430</v>
      </c>
      <c r="C492" s="1658">
        <v>60</v>
      </c>
      <c r="D492" s="1659">
        <v>1.1200000000000001</v>
      </c>
      <c r="E492" s="1658">
        <v>5370</v>
      </c>
      <c r="F492" s="1658">
        <v>5660</v>
      </c>
      <c r="G492" s="1658">
        <v>5260</v>
      </c>
      <c r="H492" s="1658">
        <v>217922</v>
      </c>
      <c r="I492" s="1658">
        <v>1188203720</v>
      </c>
      <c r="J492" s="1658">
        <v>168852344280</v>
      </c>
      <c r="K492" s="1658">
        <v>31096196</v>
      </c>
    </row>
    <row r="493" spans="1:11" x14ac:dyDescent="0.3">
      <c r="A493" s="1657">
        <v>42367</v>
      </c>
      <c r="B493" s="1658">
        <v>5350</v>
      </c>
      <c r="C493" s="1658">
        <v>-80</v>
      </c>
      <c r="D493" s="1659">
        <v>-1.47</v>
      </c>
      <c r="E493" s="1658">
        <v>5160</v>
      </c>
      <c r="F493" s="1658">
        <v>5440</v>
      </c>
      <c r="G493" s="1658">
        <v>5050</v>
      </c>
      <c r="H493" s="1658">
        <v>89143</v>
      </c>
      <c r="I493" s="1658">
        <v>469668990</v>
      </c>
      <c r="J493" s="1658">
        <v>166364648600</v>
      </c>
      <c r="K493" s="1658">
        <v>31096196</v>
      </c>
    </row>
    <row r="494" spans="1:11" x14ac:dyDescent="0.3">
      <c r="A494" s="1657">
        <v>42368</v>
      </c>
      <c r="B494" s="1658">
        <v>5400</v>
      </c>
      <c r="C494" s="1658">
        <v>50</v>
      </c>
      <c r="D494" s="1659">
        <v>0.93</v>
      </c>
      <c r="E494" s="1658">
        <v>5340</v>
      </c>
      <c r="F494" s="1658">
        <v>5430</v>
      </c>
      <c r="G494" s="1658">
        <v>5300</v>
      </c>
      <c r="H494" s="1658">
        <v>53920</v>
      </c>
      <c r="I494" s="1658">
        <v>289817210</v>
      </c>
      <c r="J494" s="1658">
        <v>167919458400</v>
      </c>
      <c r="K494" s="1658">
        <v>31096196</v>
      </c>
    </row>
    <row r="495" spans="1:11" x14ac:dyDescent="0.3">
      <c r="A495" s="1657">
        <v>42373</v>
      </c>
      <c r="B495" s="1658">
        <v>5240</v>
      </c>
      <c r="C495" s="1658">
        <v>-160</v>
      </c>
      <c r="D495" s="1659">
        <v>-2.96</v>
      </c>
      <c r="E495" s="1658">
        <v>5450</v>
      </c>
      <c r="F495" s="1658">
        <v>5460</v>
      </c>
      <c r="G495" s="1658">
        <v>5200</v>
      </c>
      <c r="H495" s="1658">
        <v>60499</v>
      </c>
      <c r="I495" s="1658">
        <v>319583360</v>
      </c>
      <c r="J495" s="1658">
        <v>162944067040</v>
      </c>
      <c r="K495" s="1658">
        <v>31096196</v>
      </c>
    </row>
    <row r="496" spans="1:11" x14ac:dyDescent="0.3">
      <c r="A496" s="1657">
        <v>42374</v>
      </c>
      <c r="B496" s="1658">
        <v>5200</v>
      </c>
      <c r="C496" s="1658">
        <v>-40</v>
      </c>
      <c r="D496" s="1659">
        <v>-0.76</v>
      </c>
      <c r="E496" s="1658">
        <v>5100</v>
      </c>
      <c r="F496" s="1658">
        <v>5270</v>
      </c>
      <c r="G496" s="1658">
        <v>5060</v>
      </c>
      <c r="H496" s="1658">
        <v>70553</v>
      </c>
      <c r="I496" s="1658">
        <v>364575500</v>
      </c>
      <c r="J496" s="1658">
        <v>161700219200</v>
      </c>
      <c r="K496" s="1658">
        <v>31096196</v>
      </c>
    </row>
    <row r="497" spans="1:11" x14ac:dyDescent="0.3">
      <c r="A497" s="1657">
        <v>42375</v>
      </c>
      <c r="B497" s="1658">
        <v>5170</v>
      </c>
      <c r="C497" s="1658">
        <v>-30</v>
      </c>
      <c r="D497" s="1659">
        <v>-0.57999999999999996</v>
      </c>
      <c r="E497" s="1658">
        <v>5240</v>
      </c>
      <c r="F497" s="1658">
        <v>5260</v>
      </c>
      <c r="G497" s="1658">
        <v>5090</v>
      </c>
      <c r="H497" s="1658">
        <v>95375</v>
      </c>
      <c r="I497" s="1658">
        <v>492476720</v>
      </c>
      <c r="J497" s="1658">
        <v>160767333320</v>
      </c>
      <c r="K497" s="1658">
        <v>31096196</v>
      </c>
    </row>
    <row r="498" spans="1:11" x14ac:dyDescent="0.3">
      <c r="A498" s="1657">
        <v>42376</v>
      </c>
      <c r="B498" s="1658">
        <v>5040</v>
      </c>
      <c r="C498" s="1658">
        <v>-130</v>
      </c>
      <c r="D498" s="1659">
        <v>-2.5099999999999998</v>
      </c>
      <c r="E498" s="1658">
        <v>5110</v>
      </c>
      <c r="F498" s="1658">
        <v>5180</v>
      </c>
      <c r="G498" s="1658">
        <v>5010</v>
      </c>
      <c r="H498" s="1658">
        <v>103283</v>
      </c>
      <c r="I498" s="1658">
        <v>522864740</v>
      </c>
      <c r="J498" s="1658">
        <v>156724827840</v>
      </c>
      <c r="K498" s="1658">
        <v>31096196</v>
      </c>
    </row>
    <row r="499" spans="1:11" x14ac:dyDescent="0.3">
      <c r="A499" s="1657">
        <v>42377</v>
      </c>
      <c r="B499" s="1658">
        <v>5040</v>
      </c>
      <c r="C499" s="1658">
        <v>0</v>
      </c>
      <c r="D499" s="1659">
        <v>0</v>
      </c>
      <c r="E499" s="1658">
        <v>4915</v>
      </c>
      <c r="F499" s="1658">
        <v>5040</v>
      </c>
      <c r="G499" s="1658">
        <v>4700</v>
      </c>
      <c r="H499" s="1658">
        <v>125923</v>
      </c>
      <c r="I499" s="1658">
        <v>618383555</v>
      </c>
      <c r="J499" s="1658">
        <v>156724827840</v>
      </c>
      <c r="K499" s="1658">
        <v>31096196</v>
      </c>
    </row>
    <row r="500" spans="1:11" x14ac:dyDescent="0.3">
      <c r="A500" s="1657">
        <v>42380</v>
      </c>
      <c r="B500" s="1658">
        <v>4995</v>
      </c>
      <c r="C500" s="1658">
        <v>-45</v>
      </c>
      <c r="D500" s="1659">
        <v>-0.89</v>
      </c>
      <c r="E500" s="1658">
        <v>5040</v>
      </c>
      <c r="F500" s="1658">
        <v>5130</v>
      </c>
      <c r="G500" s="1658">
        <v>4945</v>
      </c>
      <c r="H500" s="1658">
        <v>62366</v>
      </c>
      <c r="I500" s="1658">
        <v>312418390</v>
      </c>
      <c r="J500" s="1658">
        <v>155325499020</v>
      </c>
      <c r="K500" s="1658">
        <v>31096196</v>
      </c>
    </row>
    <row r="501" spans="1:11" x14ac:dyDescent="0.3">
      <c r="A501" s="1657">
        <v>42381</v>
      </c>
      <c r="B501" s="1658">
        <v>5000</v>
      </c>
      <c r="C501" s="1658">
        <v>5</v>
      </c>
      <c r="D501" s="1659">
        <v>0.1</v>
      </c>
      <c r="E501" s="1658">
        <v>4995</v>
      </c>
      <c r="F501" s="1658">
        <v>5080</v>
      </c>
      <c r="G501" s="1658">
        <v>4920</v>
      </c>
      <c r="H501" s="1658">
        <v>30963</v>
      </c>
      <c r="I501" s="1658">
        <v>154491730</v>
      </c>
      <c r="J501" s="1658">
        <v>155480980000</v>
      </c>
      <c r="K501" s="1658">
        <v>31096196</v>
      </c>
    </row>
    <row r="502" spans="1:11" x14ac:dyDescent="0.3">
      <c r="A502" s="1657">
        <v>42382</v>
      </c>
      <c r="B502" s="1658">
        <v>4950</v>
      </c>
      <c r="C502" s="1658">
        <v>-50</v>
      </c>
      <c r="D502" s="1659">
        <v>-1</v>
      </c>
      <c r="E502" s="1658">
        <v>4980</v>
      </c>
      <c r="F502" s="1658">
        <v>5050</v>
      </c>
      <c r="G502" s="1658">
        <v>4950</v>
      </c>
      <c r="H502" s="1658">
        <v>70838</v>
      </c>
      <c r="I502" s="1658">
        <v>352580755</v>
      </c>
      <c r="J502" s="1658">
        <v>153926170200</v>
      </c>
      <c r="K502" s="1658">
        <v>31096196</v>
      </c>
    </row>
    <row r="503" spans="1:11" x14ac:dyDescent="0.3">
      <c r="A503" s="1657">
        <v>42383</v>
      </c>
      <c r="B503" s="1658">
        <v>4765</v>
      </c>
      <c r="C503" s="1658">
        <v>-185</v>
      </c>
      <c r="D503" s="1659">
        <v>-3.74</v>
      </c>
      <c r="E503" s="1658">
        <v>4905</v>
      </c>
      <c r="F503" s="1658">
        <v>4945</v>
      </c>
      <c r="G503" s="1658">
        <v>4725</v>
      </c>
      <c r="H503" s="1658">
        <v>147416</v>
      </c>
      <c r="I503" s="1658">
        <v>706618080</v>
      </c>
      <c r="J503" s="1658">
        <v>148173373940</v>
      </c>
      <c r="K503" s="1658">
        <v>31096196</v>
      </c>
    </row>
    <row r="504" spans="1:11" x14ac:dyDescent="0.3">
      <c r="A504" s="1657">
        <v>42384</v>
      </c>
      <c r="B504" s="1658">
        <v>4630</v>
      </c>
      <c r="C504" s="1658">
        <v>-135</v>
      </c>
      <c r="D504" s="1659">
        <v>-2.83</v>
      </c>
      <c r="E504" s="1658">
        <v>4705</v>
      </c>
      <c r="F504" s="1658">
        <v>4765</v>
      </c>
      <c r="G504" s="1658">
        <v>4630</v>
      </c>
      <c r="H504" s="1658">
        <v>160306</v>
      </c>
      <c r="I504" s="1658">
        <v>754587625</v>
      </c>
      <c r="J504" s="1658">
        <v>143975387480</v>
      </c>
      <c r="K504" s="1658">
        <v>31096196</v>
      </c>
    </row>
    <row r="505" spans="1:11" x14ac:dyDescent="0.3">
      <c r="A505" s="1657">
        <v>42387</v>
      </c>
      <c r="B505" s="1658">
        <v>4670</v>
      </c>
      <c r="C505" s="1658">
        <v>40</v>
      </c>
      <c r="D505" s="1659">
        <v>0.86</v>
      </c>
      <c r="E505" s="1658">
        <v>4585</v>
      </c>
      <c r="F505" s="1658">
        <v>4695</v>
      </c>
      <c r="G505" s="1658">
        <v>4450</v>
      </c>
      <c r="H505" s="1658">
        <v>130469</v>
      </c>
      <c r="I505" s="1658">
        <v>595143735</v>
      </c>
      <c r="J505" s="1658">
        <v>145219235320</v>
      </c>
      <c r="K505" s="1658">
        <v>31096196</v>
      </c>
    </row>
    <row r="506" spans="1:11" x14ac:dyDescent="0.3">
      <c r="A506" s="1657">
        <v>42388</v>
      </c>
      <c r="B506" s="1658">
        <v>4815</v>
      </c>
      <c r="C506" s="1658">
        <v>145</v>
      </c>
      <c r="D506" s="1659">
        <v>3.1</v>
      </c>
      <c r="E506" s="1658">
        <v>4670</v>
      </c>
      <c r="F506" s="1658">
        <v>4815</v>
      </c>
      <c r="G506" s="1658">
        <v>4600</v>
      </c>
      <c r="H506" s="1658">
        <v>78516</v>
      </c>
      <c r="I506" s="1658">
        <v>366241200</v>
      </c>
      <c r="J506" s="1658">
        <v>149728183740</v>
      </c>
      <c r="K506" s="1658">
        <v>31096196</v>
      </c>
    </row>
    <row r="507" spans="1:11" x14ac:dyDescent="0.3">
      <c r="A507" s="1657">
        <v>42389</v>
      </c>
      <c r="B507" s="1658">
        <v>4770</v>
      </c>
      <c r="C507" s="1658">
        <v>-45</v>
      </c>
      <c r="D507" s="1659">
        <v>-0.93</v>
      </c>
      <c r="E507" s="1658">
        <v>4800</v>
      </c>
      <c r="F507" s="1658">
        <v>4920</v>
      </c>
      <c r="G507" s="1658">
        <v>4670</v>
      </c>
      <c r="H507" s="1658">
        <v>92965</v>
      </c>
      <c r="I507" s="1658">
        <v>448348770</v>
      </c>
      <c r="J507" s="1658">
        <v>148328854920</v>
      </c>
      <c r="K507" s="1658">
        <v>31096196</v>
      </c>
    </row>
    <row r="508" spans="1:11" x14ac:dyDescent="0.3">
      <c r="A508" s="1657">
        <v>42390</v>
      </c>
      <c r="B508" s="1658">
        <v>4670</v>
      </c>
      <c r="C508" s="1658">
        <v>-100</v>
      </c>
      <c r="D508" s="1659">
        <v>-2.1</v>
      </c>
      <c r="E508" s="1658">
        <v>4710</v>
      </c>
      <c r="F508" s="1658">
        <v>4920</v>
      </c>
      <c r="G508" s="1658">
        <v>4650</v>
      </c>
      <c r="H508" s="1658">
        <v>40372</v>
      </c>
      <c r="I508" s="1658">
        <v>190447515</v>
      </c>
      <c r="J508" s="1658">
        <v>145219235320</v>
      </c>
      <c r="K508" s="1658">
        <v>31096196</v>
      </c>
    </row>
    <row r="509" spans="1:11" x14ac:dyDescent="0.3">
      <c r="A509" s="1657">
        <v>42391</v>
      </c>
      <c r="B509" s="1658">
        <v>4510</v>
      </c>
      <c r="C509" s="1658">
        <v>-160</v>
      </c>
      <c r="D509" s="1659">
        <v>-3.43</v>
      </c>
      <c r="E509" s="1658">
        <v>4680</v>
      </c>
      <c r="F509" s="1658">
        <v>4745</v>
      </c>
      <c r="G509" s="1658">
        <v>4510</v>
      </c>
      <c r="H509" s="1658">
        <v>113404</v>
      </c>
      <c r="I509" s="1658">
        <v>515278315</v>
      </c>
      <c r="J509" s="1658">
        <v>140243843960</v>
      </c>
      <c r="K509" s="1658">
        <v>31096196</v>
      </c>
    </row>
    <row r="510" spans="1:11" x14ac:dyDescent="0.3">
      <c r="A510" s="1657">
        <v>42394</v>
      </c>
      <c r="B510" s="1658">
        <v>4530</v>
      </c>
      <c r="C510" s="1658">
        <v>20</v>
      </c>
      <c r="D510" s="1659">
        <v>0.44</v>
      </c>
      <c r="E510" s="1658">
        <v>4485</v>
      </c>
      <c r="F510" s="1658">
        <v>4640</v>
      </c>
      <c r="G510" s="1658">
        <v>4460</v>
      </c>
      <c r="H510" s="1658">
        <v>69773</v>
      </c>
      <c r="I510" s="1658">
        <v>316058965</v>
      </c>
      <c r="J510" s="1658">
        <v>140865767880</v>
      </c>
      <c r="K510" s="1658">
        <v>31096196</v>
      </c>
    </row>
    <row r="511" spans="1:11" x14ac:dyDescent="0.3">
      <c r="A511" s="1657">
        <v>42395</v>
      </c>
      <c r="B511" s="1658">
        <v>4500</v>
      </c>
      <c r="C511" s="1658">
        <v>-30</v>
      </c>
      <c r="D511" s="1659">
        <v>-0.66</v>
      </c>
      <c r="E511" s="1658">
        <v>4575</v>
      </c>
      <c r="F511" s="1658">
        <v>4575</v>
      </c>
      <c r="G511" s="1658">
        <v>4460</v>
      </c>
      <c r="H511" s="1658">
        <v>54116</v>
      </c>
      <c r="I511" s="1658">
        <v>243441585</v>
      </c>
      <c r="J511" s="1658">
        <v>139932882000</v>
      </c>
      <c r="K511" s="1658">
        <v>31096196</v>
      </c>
    </row>
    <row r="512" spans="1:11" x14ac:dyDescent="0.3">
      <c r="A512" s="1657">
        <v>42396</v>
      </c>
      <c r="B512" s="1658">
        <v>4500</v>
      </c>
      <c r="C512" s="1658">
        <v>0</v>
      </c>
      <c r="D512" s="1659">
        <v>0</v>
      </c>
      <c r="E512" s="1658">
        <v>4570</v>
      </c>
      <c r="F512" s="1658">
        <v>4870</v>
      </c>
      <c r="G512" s="1658">
        <v>4460</v>
      </c>
      <c r="H512" s="1658">
        <v>164894</v>
      </c>
      <c r="I512" s="1658">
        <v>759273560</v>
      </c>
      <c r="J512" s="1658">
        <v>139932882000</v>
      </c>
      <c r="K512" s="1658">
        <v>31096196</v>
      </c>
    </row>
    <row r="513" spans="1:11" x14ac:dyDescent="0.3">
      <c r="A513" s="1657">
        <v>42397</v>
      </c>
      <c r="B513" s="1658">
        <v>4460</v>
      </c>
      <c r="C513" s="1658">
        <v>-40</v>
      </c>
      <c r="D513" s="1659">
        <v>-0.89</v>
      </c>
      <c r="E513" s="1658">
        <v>4495</v>
      </c>
      <c r="F513" s="1658">
        <v>4530</v>
      </c>
      <c r="G513" s="1658">
        <v>4455</v>
      </c>
      <c r="H513" s="1658">
        <v>52113</v>
      </c>
      <c r="I513" s="1658">
        <v>233850345</v>
      </c>
      <c r="J513" s="1658">
        <v>138689034160</v>
      </c>
      <c r="K513" s="1658">
        <v>31096196</v>
      </c>
    </row>
    <row r="514" spans="1:11" x14ac:dyDescent="0.3">
      <c r="A514" s="1657">
        <v>42398</v>
      </c>
      <c r="B514" s="1658">
        <v>4355</v>
      </c>
      <c r="C514" s="1658">
        <v>-105</v>
      </c>
      <c r="D514" s="1659">
        <v>-2.35</v>
      </c>
      <c r="E514" s="1658">
        <v>4460</v>
      </c>
      <c r="F514" s="1658">
        <v>4490</v>
      </c>
      <c r="G514" s="1658">
        <v>4310</v>
      </c>
      <c r="H514" s="1658">
        <v>114189</v>
      </c>
      <c r="I514" s="1658">
        <v>501766635</v>
      </c>
      <c r="J514" s="1658">
        <v>135423933580</v>
      </c>
      <c r="K514" s="1658">
        <v>31096196</v>
      </c>
    </row>
    <row r="515" spans="1:11" x14ac:dyDescent="0.3">
      <c r="A515" s="1657">
        <v>42401</v>
      </c>
      <c r="B515" s="1658">
        <v>4400</v>
      </c>
      <c r="C515" s="1658">
        <v>45</v>
      </c>
      <c r="D515" s="1659">
        <v>1.03</v>
      </c>
      <c r="E515" s="1658">
        <v>4360</v>
      </c>
      <c r="F515" s="1658">
        <v>4480</v>
      </c>
      <c r="G515" s="1658">
        <v>4350</v>
      </c>
      <c r="H515" s="1658">
        <v>47833</v>
      </c>
      <c r="I515" s="1658">
        <v>211012135</v>
      </c>
      <c r="J515" s="1658">
        <v>136823262400</v>
      </c>
      <c r="K515" s="1658">
        <v>31096196</v>
      </c>
    </row>
    <row r="516" spans="1:11" x14ac:dyDescent="0.3">
      <c r="A516" s="1657">
        <v>42402</v>
      </c>
      <c r="B516" s="1658">
        <v>4345</v>
      </c>
      <c r="C516" s="1658">
        <v>-55</v>
      </c>
      <c r="D516" s="1659">
        <v>-1.25</v>
      </c>
      <c r="E516" s="1658">
        <v>4405</v>
      </c>
      <c r="F516" s="1658">
        <v>4480</v>
      </c>
      <c r="G516" s="1658">
        <v>4315</v>
      </c>
      <c r="H516" s="1658">
        <v>38614</v>
      </c>
      <c r="I516" s="1658">
        <v>167978985</v>
      </c>
      <c r="J516" s="1658">
        <v>135112971620</v>
      </c>
      <c r="K516" s="1658">
        <v>31096196</v>
      </c>
    </row>
    <row r="517" spans="1:11" x14ac:dyDescent="0.3">
      <c r="A517" s="1657">
        <v>42403</v>
      </c>
      <c r="B517" s="1658">
        <v>4350</v>
      </c>
      <c r="C517" s="1658">
        <v>5</v>
      </c>
      <c r="D517" s="1659">
        <v>0.12</v>
      </c>
      <c r="E517" s="1658">
        <v>4345</v>
      </c>
      <c r="F517" s="1658">
        <v>4380</v>
      </c>
      <c r="G517" s="1658">
        <v>4250</v>
      </c>
      <c r="H517" s="1658">
        <v>58568</v>
      </c>
      <c r="I517" s="1658">
        <v>251042915</v>
      </c>
      <c r="J517" s="1658">
        <v>135268452600</v>
      </c>
      <c r="K517" s="1658">
        <v>31096196</v>
      </c>
    </row>
    <row r="518" spans="1:11" x14ac:dyDescent="0.3">
      <c r="A518" s="1657">
        <v>42404</v>
      </c>
      <c r="B518" s="1658">
        <v>4340</v>
      </c>
      <c r="C518" s="1658">
        <v>-10</v>
      </c>
      <c r="D518" s="1659">
        <v>-0.23</v>
      </c>
      <c r="E518" s="1658">
        <v>4350</v>
      </c>
      <c r="F518" s="1658">
        <v>4390</v>
      </c>
      <c r="G518" s="1658">
        <v>4270</v>
      </c>
      <c r="H518" s="1658">
        <v>53804</v>
      </c>
      <c r="I518" s="1658">
        <v>231939315</v>
      </c>
      <c r="J518" s="1658">
        <v>134957490640</v>
      </c>
      <c r="K518" s="1658">
        <v>31096196</v>
      </c>
    </row>
    <row r="519" spans="1:11" x14ac:dyDescent="0.3">
      <c r="A519" s="1657">
        <v>42405</v>
      </c>
      <c r="B519" s="1658">
        <v>4320</v>
      </c>
      <c r="C519" s="1658">
        <v>-20</v>
      </c>
      <c r="D519" s="1659">
        <v>-0.46</v>
      </c>
      <c r="E519" s="1658">
        <v>4375</v>
      </c>
      <c r="F519" s="1658">
        <v>4395</v>
      </c>
      <c r="G519" s="1658">
        <v>4290</v>
      </c>
      <c r="H519" s="1658">
        <v>60763</v>
      </c>
      <c r="I519" s="1658">
        <v>263322585</v>
      </c>
      <c r="J519" s="1658">
        <v>134335566720</v>
      </c>
      <c r="K519" s="1658">
        <v>31096196</v>
      </c>
    </row>
    <row r="520" spans="1:11" x14ac:dyDescent="0.3">
      <c r="A520" s="1657">
        <v>42411</v>
      </c>
      <c r="B520" s="1658">
        <v>3970</v>
      </c>
      <c r="C520" s="1658">
        <v>-350</v>
      </c>
      <c r="D520" s="1659">
        <v>-8.1</v>
      </c>
      <c r="E520" s="1658">
        <v>4195</v>
      </c>
      <c r="F520" s="1658">
        <v>4245</v>
      </c>
      <c r="G520" s="1658">
        <v>3905</v>
      </c>
      <c r="H520" s="1658">
        <v>145248</v>
      </c>
      <c r="I520" s="1658">
        <v>589620210</v>
      </c>
      <c r="J520" s="1658">
        <v>123451898120</v>
      </c>
      <c r="K520" s="1658">
        <v>31096196</v>
      </c>
    </row>
    <row r="521" spans="1:11" x14ac:dyDescent="0.3">
      <c r="A521" s="1657">
        <v>42412</v>
      </c>
      <c r="B521" s="1658">
        <v>3630</v>
      </c>
      <c r="C521" s="1658">
        <v>-340</v>
      </c>
      <c r="D521" s="1659">
        <v>-8.56</v>
      </c>
      <c r="E521" s="1658">
        <v>3870</v>
      </c>
      <c r="F521" s="1658">
        <v>3945</v>
      </c>
      <c r="G521" s="1658">
        <v>3605</v>
      </c>
      <c r="H521" s="1658">
        <v>176190</v>
      </c>
      <c r="I521" s="1658">
        <v>662432800</v>
      </c>
      <c r="J521" s="1658">
        <v>112879191480</v>
      </c>
      <c r="K521" s="1658">
        <v>31096196</v>
      </c>
    </row>
    <row r="522" spans="1:11" x14ac:dyDescent="0.3">
      <c r="A522" s="1657">
        <v>42415</v>
      </c>
      <c r="B522" s="1658">
        <v>3855</v>
      </c>
      <c r="C522" s="1658">
        <v>225</v>
      </c>
      <c r="D522" s="1659">
        <v>6.2</v>
      </c>
      <c r="E522" s="1658">
        <v>3655</v>
      </c>
      <c r="F522" s="1658">
        <v>3870</v>
      </c>
      <c r="G522" s="1658">
        <v>3655</v>
      </c>
      <c r="H522" s="1658">
        <v>67070</v>
      </c>
      <c r="I522" s="1658">
        <v>253015655</v>
      </c>
      <c r="J522" s="1658">
        <v>119875835580</v>
      </c>
      <c r="K522" s="1658">
        <v>31096196</v>
      </c>
    </row>
    <row r="523" spans="1:11" x14ac:dyDescent="0.3">
      <c r="A523" s="1657">
        <v>42416</v>
      </c>
      <c r="B523" s="1658">
        <v>4025</v>
      </c>
      <c r="C523" s="1658">
        <v>170</v>
      </c>
      <c r="D523" s="1659">
        <v>4.41</v>
      </c>
      <c r="E523" s="1658">
        <v>3830</v>
      </c>
      <c r="F523" s="1658">
        <v>4065</v>
      </c>
      <c r="G523" s="1658">
        <v>3830</v>
      </c>
      <c r="H523" s="1658">
        <v>65462</v>
      </c>
      <c r="I523" s="1658">
        <v>260020490</v>
      </c>
      <c r="J523" s="1658">
        <v>125162188900</v>
      </c>
      <c r="K523" s="1658">
        <v>31096196</v>
      </c>
    </row>
    <row r="524" spans="1:11" x14ac:dyDescent="0.3">
      <c r="A524" s="1657">
        <v>42417</v>
      </c>
      <c r="B524" s="1658">
        <v>3980</v>
      </c>
      <c r="C524" s="1658">
        <v>-45</v>
      </c>
      <c r="D524" s="1659">
        <v>-1.1200000000000001</v>
      </c>
      <c r="E524" s="1658">
        <v>4025</v>
      </c>
      <c r="F524" s="1658">
        <v>4070</v>
      </c>
      <c r="G524" s="1658">
        <v>3975</v>
      </c>
      <c r="H524" s="1658">
        <v>40797</v>
      </c>
      <c r="I524" s="1658">
        <v>163407625</v>
      </c>
      <c r="J524" s="1658">
        <v>123762860080</v>
      </c>
      <c r="K524" s="1658">
        <v>31096196</v>
      </c>
    </row>
    <row r="525" spans="1:11" x14ac:dyDescent="0.3">
      <c r="A525" s="1657">
        <v>42418</v>
      </c>
      <c r="B525" s="1658">
        <v>4160</v>
      </c>
      <c r="C525" s="1658">
        <v>180</v>
      </c>
      <c r="D525" s="1659">
        <v>4.5199999999999996</v>
      </c>
      <c r="E525" s="1658">
        <v>4025</v>
      </c>
      <c r="F525" s="1658">
        <v>4160</v>
      </c>
      <c r="G525" s="1658">
        <v>4025</v>
      </c>
      <c r="H525" s="1658">
        <v>67810</v>
      </c>
      <c r="I525" s="1658">
        <v>278184705</v>
      </c>
      <c r="J525" s="1658">
        <v>129360175360</v>
      </c>
      <c r="K525" s="1658">
        <v>31096196</v>
      </c>
    </row>
    <row r="526" spans="1:11" x14ac:dyDescent="0.3">
      <c r="A526" s="1657">
        <v>42419</v>
      </c>
      <c r="B526" s="1658">
        <v>4270</v>
      </c>
      <c r="C526" s="1658">
        <v>110</v>
      </c>
      <c r="D526" s="1659">
        <v>2.64</v>
      </c>
      <c r="E526" s="1658">
        <v>4090</v>
      </c>
      <c r="F526" s="1658">
        <v>4310</v>
      </c>
      <c r="G526" s="1658">
        <v>4090</v>
      </c>
      <c r="H526" s="1658">
        <v>47755</v>
      </c>
      <c r="I526" s="1658">
        <v>201013255</v>
      </c>
      <c r="J526" s="1658">
        <v>132780756920</v>
      </c>
      <c r="K526" s="1658">
        <v>31096196</v>
      </c>
    </row>
    <row r="527" spans="1:11" x14ac:dyDescent="0.3">
      <c r="A527" s="1657">
        <v>42422</v>
      </c>
      <c r="B527" s="1658">
        <v>4285</v>
      </c>
      <c r="C527" s="1658">
        <v>15</v>
      </c>
      <c r="D527" s="1659">
        <v>0.35</v>
      </c>
      <c r="E527" s="1658">
        <v>4245</v>
      </c>
      <c r="F527" s="1658">
        <v>4340</v>
      </c>
      <c r="G527" s="1658">
        <v>4245</v>
      </c>
      <c r="H527" s="1658">
        <v>25519</v>
      </c>
      <c r="I527" s="1658">
        <v>109873710</v>
      </c>
      <c r="J527" s="1658">
        <v>133247199860</v>
      </c>
      <c r="K527" s="1658">
        <v>31096196</v>
      </c>
    </row>
    <row r="528" spans="1:11" x14ac:dyDescent="0.3">
      <c r="A528" s="1657">
        <v>42423</v>
      </c>
      <c r="B528" s="1658">
        <v>4210</v>
      </c>
      <c r="C528" s="1658">
        <v>-75</v>
      </c>
      <c r="D528" s="1659">
        <v>-1.75</v>
      </c>
      <c r="E528" s="1658">
        <v>4230</v>
      </c>
      <c r="F528" s="1658">
        <v>4285</v>
      </c>
      <c r="G528" s="1658">
        <v>4130</v>
      </c>
      <c r="H528" s="1658">
        <v>44651</v>
      </c>
      <c r="I528" s="1658">
        <v>187546365</v>
      </c>
      <c r="J528" s="1658">
        <v>130914985160</v>
      </c>
      <c r="K528" s="1658">
        <v>31096196</v>
      </c>
    </row>
    <row r="529" spans="1:11" x14ac:dyDescent="0.3">
      <c r="A529" s="1657">
        <v>42424</v>
      </c>
      <c r="B529" s="1658">
        <v>4180</v>
      </c>
      <c r="C529" s="1658">
        <v>-30</v>
      </c>
      <c r="D529" s="1659">
        <v>-0.71</v>
      </c>
      <c r="E529" s="1658">
        <v>4130</v>
      </c>
      <c r="F529" s="1658">
        <v>4210</v>
      </c>
      <c r="G529" s="1658">
        <v>4110</v>
      </c>
      <c r="H529" s="1658">
        <v>32312</v>
      </c>
      <c r="I529" s="1658">
        <v>135016770</v>
      </c>
      <c r="J529" s="1658">
        <v>129982099280</v>
      </c>
      <c r="K529" s="1658">
        <v>31096196</v>
      </c>
    </row>
    <row r="530" spans="1:11" x14ac:dyDescent="0.3">
      <c r="A530" s="1657">
        <v>42425</v>
      </c>
      <c r="B530" s="1658">
        <v>4145</v>
      </c>
      <c r="C530" s="1658">
        <v>-35</v>
      </c>
      <c r="D530" s="1659">
        <v>-0.84</v>
      </c>
      <c r="E530" s="1658">
        <v>4180</v>
      </c>
      <c r="F530" s="1658">
        <v>4185</v>
      </c>
      <c r="G530" s="1658">
        <v>4105</v>
      </c>
      <c r="H530" s="1658">
        <v>47233</v>
      </c>
      <c r="I530" s="1658">
        <v>195747115</v>
      </c>
      <c r="J530" s="1658">
        <v>128893732420</v>
      </c>
      <c r="K530" s="1658">
        <v>31096196</v>
      </c>
    </row>
    <row r="531" spans="1:11" x14ac:dyDescent="0.3">
      <c r="A531" s="1657">
        <v>42426</v>
      </c>
      <c r="B531" s="1658">
        <v>4140</v>
      </c>
      <c r="C531" s="1658">
        <v>-5</v>
      </c>
      <c r="D531" s="1659">
        <v>-0.12</v>
      </c>
      <c r="E531" s="1658">
        <v>4180</v>
      </c>
      <c r="F531" s="1658">
        <v>4245</v>
      </c>
      <c r="G531" s="1658">
        <v>4100</v>
      </c>
      <c r="H531" s="1658">
        <v>37197</v>
      </c>
      <c r="I531" s="1658">
        <v>155564360</v>
      </c>
      <c r="J531" s="1658">
        <v>128738251440</v>
      </c>
      <c r="K531" s="1658">
        <v>31096196</v>
      </c>
    </row>
    <row r="532" spans="1:11" x14ac:dyDescent="0.3">
      <c r="A532" s="1657">
        <v>42429</v>
      </c>
      <c r="B532" s="1658">
        <v>4145</v>
      </c>
      <c r="C532" s="1658">
        <v>5</v>
      </c>
      <c r="D532" s="1659">
        <v>0.12</v>
      </c>
      <c r="E532" s="1658">
        <v>4235</v>
      </c>
      <c r="F532" s="1658">
        <v>4235</v>
      </c>
      <c r="G532" s="1658">
        <v>4050</v>
      </c>
      <c r="H532" s="1658">
        <v>78523</v>
      </c>
      <c r="I532" s="1658">
        <v>323273220</v>
      </c>
      <c r="J532" s="1658">
        <v>128893732420</v>
      </c>
      <c r="K532" s="1658">
        <v>31096196</v>
      </c>
    </row>
    <row r="533" spans="1:11" x14ac:dyDescent="0.3">
      <c r="A533" s="1657">
        <v>42431</v>
      </c>
      <c r="B533" s="1658">
        <v>4245</v>
      </c>
      <c r="C533" s="1658">
        <v>100</v>
      </c>
      <c r="D533" s="1659">
        <v>2.41</v>
      </c>
      <c r="E533" s="1658">
        <v>4200</v>
      </c>
      <c r="F533" s="1658">
        <v>4265</v>
      </c>
      <c r="G533" s="1658">
        <v>4125</v>
      </c>
      <c r="H533" s="1658">
        <v>65098</v>
      </c>
      <c r="I533" s="1658">
        <v>274723520</v>
      </c>
      <c r="J533" s="1658">
        <v>132003352020</v>
      </c>
      <c r="K533" s="1658">
        <v>31096196</v>
      </c>
    </row>
    <row r="534" spans="1:11" x14ac:dyDescent="0.3">
      <c r="A534" s="1657">
        <v>42432</v>
      </c>
      <c r="B534" s="1658">
        <v>4405</v>
      </c>
      <c r="C534" s="1658">
        <v>160</v>
      </c>
      <c r="D534" s="1659">
        <v>3.77</v>
      </c>
      <c r="E534" s="1658">
        <v>4210</v>
      </c>
      <c r="F534" s="1658">
        <v>4415</v>
      </c>
      <c r="G534" s="1658">
        <v>4210</v>
      </c>
      <c r="H534" s="1658">
        <v>79510</v>
      </c>
      <c r="I534" s="1658">
        <v>344156735</v>
      </c>
      <c r="J534" s="1658">
        <v>136978743380</v>
      </c>
      <c r="K534" s="1658">
        <v>31096196</v>
      </c>
    </row>
    <row r="535" spans="1:11" x14ac:dyDescent="0.3">
      <c r="A535" s="1657">
        <v>42433</v>
      </c>
      <c r="B535" s="1658">
        <v>4400</v>
      </c>
      <c r="C535" s="1658">
        <v>-5</v>
      </c>
      <c r="D535" s="1659">
        <v>-0.11</v>
      </c>
      <c r="E535" s="1658">
        <v>4450</v>
      </c>
      <c r="F535" s="1658">
        <v>4485</v>
      </c>
      <c r="G535" s="1658">
        <v>4370</v>
      </c>
      <c r="H535" s="1658">
        <v>50126</v>
      </c>
      <c r="I535" s="1658">
        <v>221919070</v>
      </c>
      <c r="J535" s="1658">
        <v>136823262400</v>
      </c>
      <c r="K535" s="1658">
        <v>31096196</v>
      </c>
    </row>
    <row r="536" spans="1:11" x14ac:dyDescent="0.3">
      <c r="A536" s="1657">
        <v>42436</v>
      </c>
      <c r="B536" s="1658">
        <v>4410</v>
      </c>
      <c r="C536" s="1658">
        <v>10</v>
      </c>
      <c r="D536" s="1659">
        <v>0.23</v>
      </c>
      <c r="E536" s="1658">
        <v>4400</v>
      </c>
      <c r="F536" s="1658">
        <v>4440</v>
      </c>
      <c r="G536" s="1658">
        <v>4360</v>
      </c>
      <c r="H536" s="1658">
        <v>40026</v>
      </c>
      <c r="I536" s="1658">
        <v>176497880</v>
      </c>
      <c r="J536" s="1658">
        <v>137134224360</v>
      </c>
      <c r="K536" s="1658">
        <v>31096196</v>
      </c>
    </row>
    <row r="537" spans="1:11" x14ac:dyDescent="0.3">
      <c r="A537" s="1657">
        <v>42437</v>
      </c>
      <c r="B537" s="1658">
        <v>4440</v>
      </c>
      <c r="C537" s="1658">
        <v>30</v>
      </c>
      <c r="D537" s="1659">
        <v>0.68</v>
      </c>
      <c r="E537" s="1658">
        <v>4370</v>
      </c>
      <c r="F537" s="1658">
        <v>4455</v>
      </c>
      <c r="G537" s="1658">
        <v>4320</v>
      </c>
      <c r="H537" s="1658">
        <v>45929</v>
      </c>
      <c r="I537" s="1658">
        <v>201804720</v>
      </c>
      <c r="J537" s="1658">
        <v>138067110240</v>
      </c>
      <c r="K537" s="1658">
        <v>31096196</v>
      </c>
    </row>
    <row r="538" spans="1:11" x14ac:dyDescent="0.3">
      <c r="A538" s="1657">
        <v>42438</v>
      </c>
      <c r="B538" s="1658">
        <v>4420</v>
      </c>
      <c r="C538" s="1658">
        <v>-20</v>
      </c>
      <c r="D538" s="1659">
        <v>-0.45</v>
      </c>
      <c r="E538" s="1658">
        <v>4370</v>
      </c>
      <c r="F538" s="1658">
        <v>4435</v>
      </c>
      <c r="G538" s="1658">
        <v>4360</v>
      </c>
      <c r="H538" s="1658">
        <v>41771</v>
      </c>
      <c r="I538" s="1658">
        <v>185068745</v>
      </c>
      <c r="J538" s="1658">
        <v>137445186320</v>
      </c>
      <c r="K538" s="1658">
        <v>31096196</v>
      </c>
    </row>
    <row r="539" spans="1:11" x14ac:dyDescent="0.3">
      <c r="A539" s="1657">
        <v>42439</v>
      </c>
      <c r="B539" s="1658">
        <v>4545</v>
      </c>
      <c r="C539" s="1658">
        <v>125</v>
      </c>
      <c r="D539" s="1659">
        <v>2.83</v>
      </c>
      <c r="E539" s="1658">
        <v>4675</v>
      </c>
      <c r="F539" s="1658">
        <v>5140</v>
      </c>
      <c r="G539" s="1658">
        <v>4545</v>
      </c>
      <c r="H539" s="1658">
        <v>569341</v>
      </c>
      <c r="I539" s="1658">
        <v>2710737215</v>
      </c>
      <c r="J539" s="1658">
        <v>141332210820</v>
      </c>
      <c r="K539" s="1658">
        <v>31096196</v>
      </c>
    </row>
    <row r="540" spans="1:11" x14ac:dyDescent="0.3">
      <c r="A540" s="1657">
        <v>42440</v>
      </c>
      <c r="B540" s="1658">
        <v>4390</v>
      </c>
      <c r="C540" s="1658">
        <v>-155</v>
      </c>
      <c r="D540" s="1659">
        <v>-3.41</v>
      </c>
      <c r="E540" s="1658">
        <v>4600</v>
      </c>
      <c r="F540" s="1658">
        <v>4645</v>
      </c>
      <c r="G540" s="1658">
        <v>4380</v>
      </c>
      <c r="H540" s="1658">
        <v>171612</v>
      </c>
      <c r="I540" s="1658">
        <v>763713745</v>
      </c>
      <c r="J540" s="1658">
        <v>136512300440</v>
      </c>
      <c r="K540" s="1658">
        <v>31096196</v>
      </c>
    </row>
    <row r="541" spans="1:11" x14ac:dyDescent="0.3">
      <c r="A541" s="1657">
        <v>42443</v>
      </c>
      <c r="B541" s="1658">
        <v>4375</v>
      </c>
      <c r="C541" s="1658">
        <v>-15</v>
      </c>
      <c r="D541" s="1659">
        <v>-0.34</v>
      </c>
      <c r="E541" s="1658">
        <v>4390</v>
      </c>
      <c r="F541" s="1658">
        <v>4495</v>
      </c>
      <c r="G541" s="1658">
        <v>4275</v>
      </c>
      <c r="H541" s="1658">
        <v>74905</v>
      </c>
      <c r="I541" s="1658">
        <v>326612095</v>
      </c>
      <c r="J541" s="1658">
        <v>136045857500</v>
      </c>
      <c r="K541" s="1658">
        <v>31096196</v>
      </c>
    </row>
    <row r="542" spans="1:11" x14ac:dyDescent="0.3">
      <c r="A542" s="1657">
        <v>42444</v>
      </c>
      <c r="B542" s="1658">
        <v>4390</v>
      </c>
      <c r="C542" s="1658">
        <v>15</v>
      </c>
      <c r="D542" s="1659">
        <v>0.34</v>
      </c>
      <c r="E542" s="1658">
        <v>4350</v>
      </c>
      <c r="F542" s="1658">
        <v>4445</v>
      </c>
      <c r="G542" s="1658">
        <v>4340</v>
      </c>
      <c r="H542" s="1658">
        <v>62404</v>
      </c>
      <c r="I542" s="1658">
        <v>274656055</v>
      </c>
      <c r="J542" s="1658">
        <v>136512300440</v>
      </c>
      <c r="K542" s="1658">
        <v>31096196</v>
      </c>
    </row>
    <row r="543" spans="1:11" x14ac:dyDescent="0.3">
      <c r="A543" s="1657">
        <v>42445</v>
      </c>
      <c r="B543" s="1658">
        <v>4380</v>
      </c>
      <c r="C543" s="1658">
        <v>-10</v>
      </c>
      <c r="D543" s="1659">
        <v>-0.23</v>
      </c>
      <c r="E543" s="1658">
        <v>4365</v>
      </c>
      <c r="F543" s="1658">
        <v>4450</v>
      </c>
      <c r="G543" s="1658">
        <v>4365</v>
      </c>
      <c r="H543" s="1658">
        <v>50025</v>
      </c>
      <c r="I543" s="1658">
        <v>219602935</v>
      </c>
      <c r="J543" s="1658">
        <v>136201338480</v>
      </c>
      <c r="K543" s="1658">
        <v>31096196</v>
      </c>
    </row>
    <row r="544" spans="1:11" x14ac:dyDescent="0.3">
      <c r="A544" s="1657">
        <v>42446</v>
      </c>
      <c r="B544" s="1658">
        <v>4435</v>
      </c>
      <c r="C544" s="1658">
        <v>55</v>
      </c>
      <c r="D544" s="1659">
        <v>1.26</v>
      </c>
      <c r="E544" s="1658">
        <v>4380</v>
      </c>
      <c r="F544" s="1658">
        <v>4470</v>
      </c>
      <c r="G544" s="1658">
        <v>4365</v>
      </c>
      <c r="H544" s="1658">
        <v>65056</v>
      </c>
      <c r="I544" s="1658">
        <v>285745300</v>
      </c>
      <c r="J544" s="1658">
        <v>137911629260</v>
      </c>
      <c r="K544" s="1658">
        <v>31096196</v>
      </c>
    </row>
    <row r="545" spans="1:11" x14ac:dyDescent="0.3">
      <c r="A545" s="1657">
        <v>42447</v>
      </c>
      <c r="B545" s="1658">
        <v>4395</v>
      </c>
      <c r="C545" s="1658">
        <v>-40</v>
      </c>
      <c r="D545" s="1659">
        <v>-0.9</v>
      </c>
      <c r="E545" s="1658">
        <v>4440</v>
      </c>
      <c r="F545" s="1658">
        <v>4470</v>
      </c>
      <c r="G545" s="1658">
        <v>4360</v>
      </c>
      <c r="H545" s="1658">
        <v>35867</v>
      </c>
      <c r="I545" s="1658">
        <v>157960595</v>
      </c>
      <c r="J545" s="1658">
        <v>136667781420</v>
      </c>
      <c r="K545" s="1658">
        <v>31096196</v>
      </c>
    </row>
    <row r="546" spans="1:11" x14ac:dyDescent="0.3">
      <c r="A546" s="1657">
        <v>42450</v>
      </c>
      <c r="B546" s="1658">
        <v>4345</v>
      </c>
      <c r="C546" s="1658">
        <v>-50</v>
      </c>
      <c r="D546" s="1659">
        <v>-1.1399999999999999</v>
      </c>
      <c r="E546" s="1658">
        <v>4395</v>
      </c>
      <c r="F546" s="1658">
        <v>4455</v>
      </c>
      <c r="G546" s="1658">
        <v>4345</v>
      </c>
      <c r="H546" s="1658">
        <v>52204</v>
      </c>
      <c r="I546" s="1658">
        <v>228374035</v>
      </c>
      <c r="J546" s="1658">
        <v>135112971620</v>
      </c>
      <c r="K546" s="1658">
        <v>31096196</v>
      </c>
    </row>
    <row r="547" spans="1:11" x14ac:dyDescent="0.3">
      <c r="A547" s="1657">
        <v>42451</v>
      </c>
      <c r="B547" s="1658">
        <v>4390</v>
      </c>
      <c r="C547" s="1658">
        <v>45</v>
      </c>
      <c r="D547" s="1659">
        <v>1.04</v>
      </c>
      <c r="E547" s="1658">
        <v>4350</v>
      </c>
      <c r="F547" s="1658">
        <v>4450</v>
      </c>
      <c r="G547" s="1658">
        <v>4345</v>
      </c>
      <c r="H547" s="1658">
        <v>81754</v>
      </c>
      <c r="I547" s="1658">
        <v>359504545</v>
      </c>
      <c r="J547" s="1658">
        <v>136512300440</v>
      </c>
      <c r="K547" s="1658">
        <v>31096196</v>
      </c>
    </row>
    <row r="548" spans="1:11" x14ac:dyDescent="0.3">
      <c r="A548" s="1657">
        <v>42452</v>
      </c>
      <c r="B548" s="1658">
        <v>4300</v>
      </c>
      <c r="C548" s="1658">
        <v>-90</v>
      </c>
      <c r="D548" s="1659">
        <v>-2.0499999999999998</v>
      </c>
      <c r="E548" s="1658">
        <v>4400</v>
      </c>
      <c r="F548" s="1658">
        <v>4445</v>
      </c>
      <c r="G548" s="1658">
        <v>4295</v>
      </c>
      <c r="H548" s="1658">
        <v>60319</v>
      </c>
      <c r="I548" s="1658">
        <v>263423585</v>
      </c>
      <c r="J548" s="1658">
        <v>133713642800</v>
      </c>
      <c r="K548" s="1658">
        <v>31096196</v>
      </c>
    </row>
    <row r="549" spans="1:11" x14ac:dyDescent="0.3">
      <c r="A549" s="1657">
        <v>42453</v>
      </c>
      <c r="B549" s="1658">
        <v>4250</v>
      </c>
      <c r="C549" s="1658">
        <v>-50</v>
      </c>
      <c r="D549" s="1659">
        <v>-1.1599999999999999</v>
      </c>
      <c r="E549" s="1658">
        <v>4250</v>
      </c>
      <c r="F549" s="1658">
        <v>4300</v>
      </c>
      <c r="G549" s="1658">
        <v>4225</v>
      </c>
      <c r="H549" s="1658">
        <v>53024</v>
      </c>
      <c r="I549" s="1658">
        <v>225485565</v>
      </c>
      <c r="J549" s="1658">
        <v>132158833000</v>
      </c>
      <c r="K549" s="1658">
        <v>31096196</v>
      </c>
    </row>
    <row r="550" spans="1:11" x14ac:dyDescent="0.3">
      <c r="A550" s="1657">
        <v>42454</v>
      </c>
      <c r="B550" s="1658">
        <v>4255</v>
      </c>
      <c r="C550" s="1658">
        <v>5</v>
      </c>
      <c r="D550" s="1659">
        <v>0.12</v>
      </c>
      <c r="E550" s="1658">
        <v>4250</v>
      </c>
      <c r="F550" s="1658">
        <v>4400</v>
      </c>
      <c r="G550" s="1658">
        <v>4210</v>
      </c>
      <c r="H550" s="1658">
        <v>57175</v>
      </c>
      <c r="I550" s="1658">
        <v>244260270</v>
      </c>
      <c r="J550" s="1658">
        <v>132314313980</v>
      </c>
      <c r="K550" s="1658">
        <v>31096196</v>
      </c>
    </row>
    <row r="551" spans="1:11" x14ac:dyDescent="0.3">
      <c r="A551" s="1657">
        <v>42457</v>
      </c>
      <c r="B551" s="1658">
        <v>4180</v>
      </c>
      <c r="C551" s="1658">
        <v>-75</v>
      </c>
      <c r="D551" s="1659">
        <v>-1.76</v>
      </c>
      <c r="E551" s="1658">
        <v>4270</v>
      </c>
      <c r="F551" s="1658">
        <v>4325</v>
      </c>
      <c r="G551" s="1658">
        <v>4180</v>
      </c>
      <c r="H551" s="1658">
        <v>59359</v>
      </c>
      <c r="I551" s="1658">
        <v>251796635</v>
      </c>
      <c r="J551" s="1658">
        <v>129982099280</v>
      </c>
      <c r="K551" s="1658">
        <v>31096196</v>
      </c>
    </row>
    <row r="552" spans="1:11" x14ac:dyDescent="0.3">
      <c r="A552" s="1657">
        <v>42458</v>
      </c>
      <c r="B552" s="1658">
        <v>4205</v>
      </c>
      <c r="C552" s="1658">
        <v>25</v>
      </c>
      <c r="D552" s="1659">
        <v>0.6</v>
      </c>
      <c r="E552" s="1658">
        <v>4155</v>
      </c>
      <c r="F552" s="1658">
        <v>4265</v>
      </c>
      <c r="G552" s="1658">
        <v>4155</v>
      </c>
      <c r="H552" s="1658">
        <v>51336</v>
      </c>
      <c r="I552" s="1658">
        <v>215968255</v>
      </c>
      <c r="J552" s="1658">
        <v>130759504180</v>
      </c>
      <c r="K552" s="1658">
        <v>31096196</v>
      </c>
    </row>
    <row r="553" spans="1:11" x14ac:dyDescent="0.3">
      <c r="A553" s="1657">
        <v>42459</v>
      </c>
      <c r="B553" s="1658">
        <v>4210</v>
      </c>
      <c r="C553" s="1658">
        <v>5</v>
      </c>
      <c r="D553" s="1659">
        <v>0.12</v>
      </c>
      <c r="E553" s="1658">
        <v>4290</v>
      </c>
      <c r="F553" s="1658">
        <v>4335</v>
      </c>
      <c r="G553" s="1658">
        <v>4200</v>
      </c>
      <c r="H553" s="1658">
        <v>59563</v>
      </c>
      <c r="I553" s="1658">
        <v>254057535</v>
      </c>
      <c r="J553" s="1658">
        <v>130914985160</v>
      </c>
      <c r="K553" s="1658">
        <v>31096196</v>
      </c>
    </row>
    <row r="554" spans="1:11" x14ac:dyDescent="0.3">
      <c r="A554" s="1657">
        <v>42460</v>
      </c>
      <c r="B554" s="1658">
        <v>4235</v>
      </c>
      <c r="C554" s="1658">
        <v>25</v>
      </c>
      <c r="D554" s="1659">
        <v>0.59</v>
      </c>
      <c r="E554" s="1658">
        <v>4230</v>
      </c>
      <c r="F554" s="1658">
        <v>4250</v>
      </c>
      <c r="G554" s="1658">
        <v>4200</v>
      </c>
      <c r="H554" s="1658">
        <v>29412</v>
      </c>
      <c r="I554" s="1658">
        <v>124092245</v>
      </c>
      <c r="J554" s="1658">
        <v>131692390060</v>
      </c>
      <c r="K554" s="1658">
        <v>31096196</v>
      </c>
    </row>
    <row r="555" spans="1:11" x14ac:dyDescent="0.3">
      <c r="A555" s="1657">
        <v>42461</v>
      </c>
      <c r="B555" s="1658">
        <v>4190</v>
      </c>
      <c r="C555" s="1658">
        <v>-45</v>
      </c>
      <c r="D555" s="1659">
        <v>-1.06</v>
      </c>
      <c r="E555" s="1658">
        <v>4235</v>
      </c>
      <c r="F555" s="1658">
        <v>4280</v>
      </c>
      <c r="G555" s="1658">
        <v>4155</v>
      </c>
      <c r="H555" s="1658">
        <v>28600</v>
      </c>
      <c r="I555" s="1658">
        <v>120217625</v>
      </c>
      <c r="J555" s="1658">
        <v>130293061240</v>
      </c>
      <c r="K555" s="1658">
        <v>31096196</v>
      </c>
    </row>
    <row r="556" spans="1:11" x14ac:dyDescent="0.3">
      <c r="A556" s="1657">
        <v>42464</v>
      </c>
      <c r="B556" s="1658">
        <v>4140</v>
      </c>
      <c r="C556" s="1658">
        <v>-50</v>
      </c>
      <c r="D556" s="1659">
        <v>-1.19</v>
      </c>
      <c r="E556" s="1658">
        <v>4190</v>
      </c>
      <c r="F556" s="1658">
        <v>4200</v>
      </c>
      <c r="G556" s="1658">
        <v>4130</v>
      </c>
      <c r="H556" s="1658">
        <v>42031</v>
      </c>
      <c r="I556" s="1658">
        <v>174486450</v>
      </c>
      <c r="J556" s="1658">
        <v>128738251440</v>
      </c>
      <c r="K556" s="1658">
        <v>31096196</v>
      </c>
    </row>
    <row r="557" spans="1:11" x14ac:dyDescent="0.3">
      <c r="A557" s="1657">
        <v>42465</v>
      </c>
      <c r="B557" s="1658">
        <v>4085</v>
      </c>
      <c r="C557" s="1658">
        <v>-55</v>
      </c>
      <c r="D557" s="1659">
        <v>-1.33</v>
      </c>
      <c r="E557" s="1658">
        <v>4140</v>
      </c>
      <c r="F557" s="1658">
        <v>4140</v>
      </c>
      <c r="G557" s="1658">
        <v>4050</v>
      </c>
      <c r="H557" s="1658">
        <v>88965</v>
      </c>
      <c r="I557" s="1658">
        <v>361841485</v>
      </c>
      <c r="J557" s="1658">
        <v>127027960660</v>
      </c>
      <c r="K557" s="1658">
        <v>31096196</v>
      </c>
    </row>
    <row r="558" spans="1:11" x14ac:dyDescent="0.3">
      <c r="A558" s="1657">
        <v>42466</v>
      </c>
      <c r="B558" s="1658">
        <v>4030</v>
      </c>
      <c r="C558" s="1658">
        <v>-55</v>
      </c>
      <c r="D558" s="1659">
        <v>-1.35</v>
      </c>
      <c r="E558" s="1658">
        <v>4105</v>
      </c>
      <c r="F558" s="1658">
        <v>4105</v>
      </c>
      <c r="G558" s="1658">
        <v>4030</v>
      </c>
      <c r="H558" s="1658">
        <v>53566</v>
      </c>
      <c r="I558" s="1658">
        <v>216761240</v>
      </c>
      <c r="J558" s="1658">
        <v>125317669880</v>
      </c>
      <c r="K558" s="1658">
        <v>31096196</v>
      </c>
    </row>
    <row r="559" spans="1:11" x14ac:dyDescent="0.3">
      <c r="A559" s="1657">
        <v>42467</v>
      </c>
      <c r="B559" s="1658">
        <v>4030</v>
      </c>
      <c r="C559" s="1658">
        <v>0</v>
      </c>
      <c r="D559" s="1659">
        <v>0</v>
      </c>
      <c r="E559" s="1658">
        <v>4035</v>
      </c>
      <c r="F559" s="1658">
        <v>4060</v>
      </c>
      <c r="G559" s="1658">
        <v>4000</v>
      </c>
      <c r="H559" s="1658">
        <v>48888</v>
      </c>
      <c r="I559" s="1658">
        <v>196538990</v>
      </c>
      <c r="J559" s="1658">
        <v>125317669880</v>
      </c>
      <c r="K559" s="1658">
        <v>31096196</v>
      </c>
    </row>
    <row r="560" spans="1:11" x14ac:dyDescent="0.3">
      <c r="A560" s="1657">
        <v>42468</v>
      </c>
      <c r="B560" s="1658">
        <v>4010</v>
      </c>
      <c r="C560" s="1658">
        <v>-20</v>
      </c>
      <c r="D560" s="1659">
        <v>-0.5</v>
      </c>
      <c r="E560" s="1658">
        <v>3990</v>
      </c>
      <c r="F560" s="1658">
        <v>4050</v>
      </c>
      <c r="G560" s="1658">
        <v>3990</v>
      </c>
      <c r="H560" s="1658">
        <v>47099</v>
      </c>
      <c r="I560" s="1658">
        <v>188683440</v>
      </c>
      <c r="J560" s="1658">
        <v>124695745960</v>
      </c>
      <c r="K560" s="1658">
        <v>31096196</v>
      </c>
    </row>
    <row r="561" spans="1:11" x14ac:dyDescent="0.3">
      <c r="A561" s="1657">
        <v>42471</v>
      </c>
      <c r="B561" s="1658">
        <v>4045</v>
      </c>
      <c r="C561" s="1658">
        <v>35</v>
      </c>
      <c r="D561" s="1659">
        <v>0.87</v>
      </c>
      <c r="E561" s="1658">
        <v>4015</v>
      </c>
      <c r="F561" s="1658">
        <v>4090</v>
      </c>
      <c r="G561" s="1658">
        <v>4015</v>
      </c>
      <c r="H561" s="1658">
        <v>31275</v>
      </c>
      <c r="I561" s="1658">
        <v>126413790</v>
      </c>
      <c r="J561" s="1658">
        <v>125784112820</v>
      </c>
      <c r="K561" s="1658">
        <v>31096196</v>
      </c>
    </row>
    <row r="562" spans="1:11" x14ac:dyDescent="0.3">
      <c r="A562" s="1657">
        <v>42472</v>
      </c>
      <c r="B562" s="1658">
        <v>4050</v>
      </c>
      <c r="C562" s="1658">
        <v>5</v>
      </c>
      <c r="D562" s="1659">
        <v>0.12</v>
      </c>
      <c r="E562" s="1658">
        <v>4025</v>
      </c>
      <c r="F562" s="1658">
        <v>4085</v>
      </c>
      <c r="G562" s="1658">
        <v>4025</v>
      </c>
      <c r="H562" s="1658">
        <v>32119</v>
      </c>
      <c r="I562" s="1658">
        <v>130258540</v>
      </c>
      <c r="J562" s="1658">
        <v>125939593800</v>
      </c>
      <c r="K562" s="1658">
        <v>31096196</v>
      </c>
    </row>
    <row r="563" spans="1:11" x14ac:dyDescent="0.3">
      <c r="A563" s="1657">
        <v>42474</v>
      </c>
      <c r="B563" s="1658">
        <v>4065</v>
      </c>
      <c r="C563" s="1658">
        <v>15</v>
      </c>
      <c r="D563" s="1659">
        <v>0.37</v>
      </c>
      <c r="E563" s="1658">
        <v>4100</v>
      </c>
      <c r="F563" s="1658">
        <v>4125</v>
      </c>
      <c r="G563" s="1658">
        <v>4060</v>
      </c>
      <c r="H563" s="1658">
        <v>40214</v>
      </c>
      <c r="I563" s="1658">
        <v>164169025</v>
      </c>
      <c r="J563" s="1658">
        <v>126406036740</v>
      </c>
      <c r="K563" s="1658">
        <v>31096196</v>
      </c>
    </row>
    <row r="564" spans="1:11" x14ac:dyDescent="0.3">
      <c r="A564" s="1657">
        <v>42475</v>
      </c>
      <c r="B564" s="1658">
        <v>4490</v>
      </c>
      <c r="C564" s="1658">
        <v>425</v>
      </c>
      <c r="D564" s="1659">
        <v>10.46</v>
      </c>
      <c r="E564" s="1658">
        <v>4070</v>
      </c>
      <c r="F564" s="1658">
        <v>4970</v>
      </c>
      <c r="G564" s="1658">
        <v>4070</v>
      </c>
      <c r="H564" s="1658">
        <v>1375847</v>
      </c>
      <c r="I564" s="1658">
        <v>6336339755</v>
      </c>
      <c r="J564" s="1658">
        <v>139621920040</v>
      </c>
      <c r="K564" s="1658">
        <v>31096196</v>
      </c>
    </row>
    <row r="565" spans="1:11" x14ac:dyDescent="0.3">
      <c r="A565" s="1657">
        <v>42478</v>
      </c>
      <c r="B565" s="1658">
        <v>4485</v>
      </c>
      <c r="C565" s="1658">
        <v>-5</v>
      </c>
      <c r="D565" s="1659">
        <v>-0.11</v>
      </c>
      <c r="E565" s="1658">
        <v>4500</v>
      </c>
      <c r="F565" s="1658">
        <v>4500</v>
      </c>
      <c r="G565" s="1658">
        <v>4405</v>
      </c>
      <c r="H565" s="1658">
        <v>168841</v>
      </c>
      <c r="I565" s="1658">
        <v>751311420</v>
      </c>
      <c r="J565" s="1658">
        <v>139466439060</v>
      </c>
      <c r="K565" s="1658">
        <v>31096196</v>
      </c>
    </row>
    <row r="566" spans="1:11" x14ac:dyDescent="0.3">
      <c r="A566" s="1657">
        <v>42479</v>
      </c>
      <c r="B566" s="1658">
        <v>4430</v>
      </c>
      <c r="C566" s="1658">
        <v>-55</v>
      </c>
      <c r="D566" s="1659">
        <v>-1.23</v>
      </c>
      <c r="E566" s="1658">
        <v>4460</v>
      </c>
      <c r="F566" s="1658">
        <v>4580</v>
      </c>
      <c r="G566" s="1658">
        <v>4420</v>
      </c>
      <c r="H566" s="1658">
        <v>107426</v>
      </c>
      <c r="I566" s="1658">
        <v>479749415</v>
      </c>
      <c r="J566" s="1658">
        <v>137756148280</v>
      </c>
      <c r="K566" s="1658">
        <v>31096196</v>
      </c>
    </row>
    <row r="567" spans="1:11" x14ac:dyDescent="0.3">
      <c r="A567" s="1657">
        <v>42480</v>
      </c>
      <c r="B567" s="1658">
        <v>4385</v>
      </c>
      <c r="C567" s="1658">
        <v>-45</v>
      </c>
      <c r="D567" s="1659">
        <v>-1.02</v>
      </c>
      <c r="E567" s="1658">
        <v>4470</v>
      </c>
      <c r="F567" s="1658">
        <v>4470</v>
      </c>
      <c r="G567" s="1658">
        <v>4365</v>
      </c>
      <c r="H567" s="1658">
        <v>81224</v>
      </c>
      <c r="I567" s="1658">
        <v>357378975</v>
      </c>
      <c r="J567" s="1658">
        <v>136356819460</v>
      </c>
      <c r="K567" s="1658">
        <v>31096196</v>
      </c>
    </row>
    <row r="568" spans="1:11" x14ac:dyDescent="0.3">
      <c r="A568" s="1657">
        <v>42481</v>
      </c>
      <c r="B568" s="1658">
        <v>4340</v>
      </c>
      <c r="C568" s="1658">
        <v>-45</v>
      </c>
      <c r="D568" s="1659">
        <v>-1.03</v>
      </c>
      <c r="E568" s="1658">
        <v>4360</v>
      </c>
      <c r="F568" s="1658">
        <v>4415</v>
      </c>
      <c r="G568" s="1658">
        <v>4320</v>
      </c>
      <c r="H568" s="1658">
        <v>105487</v>
      </c>
      <c r="I568" s="1658">
        <v>459461845</v>
      </c>
      <c r="J568" s="1658">
        <v>134957490640</v>
      </c>
      <c r="K568" s="1658">
        <v>31096196</v>
      </c>
    </row>
    <row r="569" spans="1:11" x14ac:dyDescent="0.3">
      <c r="A569" s="1657">
        <v>42482</v>
      </c>
      <c r="B569" s="1658">
        <v>4360</v>
      </c>
      <c r="C569" s="1658">
        <v>20</v>
      </c>
      <c r="D569" s="1659">
        <v>0.46</v>
      </c>
      <c r="E569" s="1658">
        <v>4340</v>
      </c>
      <c r="F569" s="1658">
        <v>4380</v>
      </c>
      <c r="G569" s="1658">
        <v>4310</v>
      </c>
      <c r="H569" s="1658">
        <v>65443</v>
      </c>
      <c r="I569" s="1658">
        <v>284067060</v>
      </c>
      <c r="J569" s="1658">
        <v>135579414560</v>
      </c>
      <c r="K569" s="1658">
        <v>31096196</v>
      </c>
    </row>
    <row r="570" spans="1:11" x14ac:dyDescent="0.3">
      <c r="A570" s="1657">
        <v>42485</v>
      </c>
      <c r="B570" s="1658">
        <v>4315</v>
      </c>
      <c r="C570" s="1658">
        <v>-45</v>
      </c>
      <c r="D570" s="1659">
        <v>-1.03</v>
      </c>
      <c r="E570" s="1658">
        <v>4395</v>
      </c>
      <c r="F570" s="1658">
        <v>4395</v>
      </c>
      <c r="G570" s="1658">
        <v>4315</v>
      </c>
      <c r="H570" s="1658">
        <v>77240</v>
      </c>
      <c r="I570" s="1658">
        <v>334792705</v>
      </c>
      <c r="J570" s="1658">
        <v>134180085740</v>
      </c>
      <c r="K570" s="1658">
        <v>31096196</v>
      </c>
    </row>
    <row r="571" spans="1:11" x14ac:dyDescent="0.3">
      <c r="A571" s="1657">
        <v>42486</v>
      </c>
      <c r="B571" s="1658">
        <v>4290</v>
      </c>
      <c r="C571" s="1658">
        <v>-25</v>
      </c>
      <c r="D571" s="1659">
        <v>-0.57999999999999996</v>
      </c>
      <c r="E571" s="1658">
        <v>4355</v>
      </c>
      <c r="F571" s="1658">
        <v>4365</v>
      </c>
      <c r="G571" s="1658">
        <v>4270</v>
      </c>
      <c r="H571" s="1658">
        <v>78399</v>
      </c>
      <c r="I571" s="1658">
        <v>336530590</v>
      </c>
      <c r="J571" s="1658">
        <v>133402680840</v>
      </c>
      <c r="K571" s="1658">
        <v>31096196</v>
      </c>
    </row>
    <row r="572" spans="1:11" x14ac:dyDescent="0.3">
      <c r="A572" s="1657">
        <v>42487</v>
      </c>
      <c r="B572" s="1658">
        <v>4415</v>
      </c>
      <c r="C572" s="1658">
        <v>125</v>
      </c>
      <c r="D572" s="1659">
        <v>2.91</v>
      </c>
      <c r="E572" s="1658">
        <v>4310</v>
      </c>
      <c r="F572" s="1658">
        <v>4470</v>
      </c>
      <c r="G572" s="1658">
        <v>4295</v>
      </c>
      <c r="H572" s="1658">
        <v>149063</v>
      </c>
      <c r="I572" s="1658">
        <v>656866330</v>
      </c>
      <c r="J572" s="1658">
        <v>137289705340</v>
      </c>
      <c r="K572" s="1658">
        <v>31096196</v>
      </c>
    </row>
    <row r="573" spans="1:11" x14ac:dyDescent="0.3">
      <c r="A573" s="1657">
        <v>42488</v>
      </c>
      <c r="B573" s="1658">
        <v>4465</v>
      </c>
      <c r="C573" s="1658">
        <v>50</v>
      </c>
      <c r="D573" s="1659">
        <v>1.1299999999999999</v>
      </c>
      <c r="E573" s="1658">
        <v>4420</v>
      </c>
      <c r="F573" s="1658">
        <v>4660</v>
      </c>
      <c r="G573" s="1658">
        <v>4420</v>
      </c>
      <c r="H573" s="1658">
        <v>124590</v>
      </c>
      <c r="I573" s="1658">
        <v>559342770</v>
      </c>
      <c r="J573" s="1658">
        <v>138844515140</v>
      </c>
      <c r="K573" s="1658">
        <v>31096196</v>
      </c>
    </row>
    <row r="574" spans="1:11" x14ac:dyDescent="0.3">
      <c r="A574" s="1657">
        <v>42489</v>
      </c>
      <c r="B574" s="1658">
        <v>4385</v>
      </c>
      <c r="C574" s="1658">
        <v>-80</v>
      </c>
      <c r="D574" s="1659">
        <v>-1.79</v>
      </c>
      <c r="E574" s="1658">
        <v>4500</v>
      </c>
      <c r="F574" s="1658">
        <v>4500</v>
      </c>
      <c r="G574" s="1658">
        <v>4370</v>
      </c>
      <c r="H574" s="1658">
        <v>48284</v>
      </c>
      <c r="I574" s="1658">
        <v>213091675</v>
      </c>
      <c r="J574" s="1658">
        <v>136356819460</v>
      </c>
      <c r="K574" s="1658">
        <v>31096196</v>
      </c>
    </row>
    <row r="575" spans="1:11" x14ac:dyDescent="0.3">
      <c r="A575" s="1657">
        <v>42492</v>
      </c>
      <c r="B575" s="1658">
        <v>4345</v>
      </c>
      <c r="C575" s="1658">
        <v>-40</v>
      </c>
      <c r="D575" s="1659">
        <v>-0.91</v>
      </c>
      <c r="E575" s="1658">
        <v>4385</v>
      </c>
      <c r="F575" s="1658">
        <v>4410</v>
      </c>
      <c r="G575" s="1658">
        <v>4280</v>
      </c>
      <c r="H575" s="1658">
        <v>136022</v>
      </c>
      <c r="I575" s="1658">
        <v>598612745</v>
      </c>
      <c r="J575" s="1658">
        <v>135112971620</v>
      </c>
      <c r="K575" s="1658">
        <v>31096196</v>
      </c>
    </row>
    <row r="576" spans="1:11" x14ac:dyDescent="0.3">
      <c r="A576" s="1657">
        <v>42493</v>
      </c>
      <c r="B576" s="1658">
        <v>4795</v>
      </c>
      <c r="C576" s="1658">
        <v>450</v>
      </c>
      <c r="D576" s="1659">
        <v>10.36</v>
      </c>
      <c r="E576" s="1658">
        <v>4580</v>
      </c>
      <c r="F576" s="1658">
        <v>5480</v>
      </c>
      <c r="G576" s="1658">
        <v>4540</v>
      </c>
      <c r="H576" s="1658">
        <v>4661110</v>
      </c>
      <c r="I576" s="1658">
        <v>23518039560</v>
      </c>
      <c r="J576" s="1658">
        <v>149106259820</v>
      </c>
      <c r="K576" s="1658">
        <v>31096196</v>
      </c>
    </row>
    <row r="577" spans="1:11" x14ac:dyDescent="0.3">
      <c r="A577" s="1657">
        <v>42494</v>
      </c>
      <c r="B577" s="1658">
        <v>4695</v>
      </c>
      <c r="C577" s="1658">
        <v>-100</v>
      </c>
      <c r="D577" s="1659">
        <v>-2.09</v>
      </c>
      <c r="E577" s="1658">
        <v>4720</v>
      </c>
      <c r="F577" s="1658">
        <v>4775</v>
      </c>
      <c r="G577" s="1658">
        <v>4565</v>
      </c>
      <c r="H577" s="1658">
        <v>664745</v>
      </c>
      <c r="I577" s="1658">
        <v>3093701240</v>
      </c>
      <c r="J577" s="1658">
        <v>145996640220</v>
      </c>
      <c r="K577" s="1658">
        <v>31096196</v>
      </c>
    </row>
    <row r="578" spans="1:11" x14ac:dyDescent="0.3">
      <c r="A578" s="1657">
        <v>42499</v>
      </c>
      <c r="B578" s="1658">
        <v>4660</v>
      </c>
      <c r="C578" s="1658">
        <v>-35</v>
      </c>
      <c r="D578" s="1659">
        <v>-0.75</v>
      </c>
      <c r="E578" s="1658">
        <v>4740</v>
      </c>
      <c r="F578" s="1658">
        <v>4850</v>
      </c>
      <c r="G578" s="1658">
        <v>4610</v>
      </c>
      <c r="H578" s="1658">
        <v>307622</v>
      </c>
      <c r="I578" s="1658">
        <v>1448989340</v>
      </c>
      <c r="J578" s="1658">
        <v>144908273360</v>
      </c>
      <c r="K578" s="1658">
        <v>31096196</v>
      </c>
    </row>
    <row r="579" spans="1:11" x14ac:dyDescent="0.3">
      <c r="A579" s="1657">
        <v>42500</v>
      </c>
      <c r="B579" s="1658">
        <v>4970</v>
      </c>
      <c r="C579" s="1658">
        <v>310</v>
      </c>
      <c r="D579" s="1659">
        <v>6.65</v>
      </c>
      <c r="E579" s="1658">
        <v>4725</v>
      </c>
      <c r="F579" s="1658">
        <v>5300</v>
      </c>
      <c r="G579" s="1658">
        <v>4725</v>
      </c>
      <c r="H579" s="1658">
        <v>1541426</v>
      </c>
      <c r="I579" s="1658">
        <v>7779471260</v>
      </c>
      <c r="J579" s="1658">
        <v>154548094120</v>
      </c>
      <c r="K579" s="1658">
        <v>31096196</v>
      </c>
    </row>
    <row r="580" spans="1:11" x14ac:dyDescent="0.3">
      <c r="A580" s="1657">
        <v>42501</v>
      </c>
      <c r="B580" s="1658">
        <v>4870</v>
      </c>
      <c r="C580" s="1658">
        <v>-100</v>
      </c>
      <c r="D580" s="1659">
        <v>-2.0099999999999998</v>
      </c>
      <c r="E580" s="1658">
        <v>4970</v>
      </c>
      <c r="F580" s="1658">
        <v>4970</v>
      </c>
      <c r="G580" s="1658">
        <v>4860</v>
      </c>
      <c r="H580" s="1658">
        <v>237892</v>
      </c>
      <c r="I580" s="1658">
        <v>1166557050</v>
      </c>
      <c r="J580" s="1658">
        <v>151438474520</v>
      </c>
      <c r="K580" s="1658">
        <v>31096196</v>
      </c>
    </row>
    <row r="581" spans="1:11" x14ac:dyDescent="0.3">
      <c r="A581" s="1657">
        <v>42502</v>
      </c>
      <c r="B581" s="1658">
        <v>4805</v>
      </c>
      <c r="C581" s="1658">
        <v>-65</v>
      </c>
      <c r="D581" s="1659">
        <v>-1.33</v>
      </c>
      <c r="E581" s="1658">
        <v>4835</v>
      </c>
      <c r="F581" s="1658">
        <v>5000</v>
      </c>
      <c r="G581" s="1658">
        <v>4790</v>
      </c>
      <c r="H581" s="1658">
        <v>230289</v>
      </c>
      <c r="I581" s="1658">
        <v>1125803210</v>
      </c>
      <c r="J581" s="1658">
        <v>149417221780</v>
      </c>
      <c r="K581" s="1658">
        <v>31096196</v>
      </c>
    </row>
    <row r="582" spans="1:11" x14ac:dyDescent="0.3">
      <c r="A582" s="1657">
        <v>42503</v>
      </c>
      <c r="B582" s="1658">
        <v>4730</v>
      </c>
      <c r="C582" s="1658">
        <v>-75</v>
      </c>
      <c r="D582" s="1659">
        <v>-1.56</v>
      </c>
      <c r="E582" s="1658">
        <v>4805</v>
      </c>
      <c r="F582" s="1658">
        <v>4805</v>
      </c>
      <c r="G582" s="1658">
        <v>4650</v>
      </c>
      <c r="H582" s="1658">
        <v>222024</v>
      </c>
      <c r="I582" s="1658">
        <v>1045616950</v>
      </c>
      <c r="J582" s="1658">
        <v>147085007080</v>
      </c>
      <c r="K582" s="1658">
        <v>31096196</v>
      </c>
    </row>
    <row r="583" spans="1:11" x14ac:dyDescent="0.3">
      <c r="A583" s="1657">
        <v>42506</v>
      </c>
      <c r="B583" s="1658">
        <v>4620</v>
      </c>
      <c r="C583" s="1658">
        <v>-110</v>
      </c>
      <c r="D583" s="1659">
        <v>-2.33</v>
      </c>
      <c r="E583" s="1658">
        <v>4730</v>
      </c>
      <c r="F583" s="1658">
        <v>4780</v>
      </c>
      <c r="G583" s="1658">
        <v>4510</v>
      </c>
      <c r="H583" s="1658">
        <v>211150</v>
      </c>
      <c r="I583" s="1658">
        <v>972587380</v>
      </c>
      <c r="J583" s="1658">
        <v>143664425520</v>
      </c>
      <c r="K583" s="1658">
        <v>31096196</v>
      </c>
    </row>
    <row r="584" spans="1:11" x14ac:dyDescent="0.3">
      <c r="A584" s="1657">
        <v>42507</v>
      </c>
      <c r="B584" s="1658">
        <v>4525</v>
      </c>
      <c r="C584" s="1658">
        <v>-95</v>
      </c>
      <c r="D584" s="1659">
        <v>-2.06</v>
      </c>
      <c r="E584" s="1658">
        <v>4625</v>
      </c>
      <c r="F584" s="1658">
        <v>4640</v>
      </c>
      <c r="G584" s="1658">
        <v>4490</v>
      </c>
      <c r="H584" s="1658">
        <v>101473</v>
      </c>
      <c r="I584" s="1658">
        <v>462426915</v>
      </c>
      <c r="J584" s="1658">
        <v>140710286900</v>
      </c>
      <c r="K584" s="1658">
        <v>31096196</v>
      </c>
    </row>
    <row r="585" spans="1:11" x14ac:dyDescent="0.3">
      <c r="A585" s="1657">
        <v>42508</v>
      </c>
      <c r="B585" s="1658">
        <v>4415</v>
      </c>
      <c r="C585" s="1658">
        <v>-110</v>
      </c>
      <c r="D585" s="1659">
        <v>-2.4300000000000002</v>
      </c>
      <c r="E585" s="1658">
        <v>4515</v>
      </c>
      <c r="F585" s="1658">
        <v>4515</v>
      </c>
      <c r="G585" s="1658">
        <v>4380</v>
      </c>
      <c r="H585" s="1658">
        <v>128552</v>
      </c>
      <c r="I585" s="1658">
        <v>569908510</v>
      </c>
      <c r="J585" s="1658">
        <v>137289705340</v>
      </c>
      <c r="K585" s="1658">
        <v>31096196</v>
      </c>
    </row>
    <row r="586" spans="1:11" x14ac:dyDescent="0.3">
      <c r="A586" s="1657">
        <v>42509</v>
      </c>
      <c r="B586" s="1658">
        <v>4440</v>
      </c>
      <c r="C586" s="1658">
        <v>25</v>
      </c>
      <c r="D586" s="1659">
        <v>0.56999999999999995</v>
      </c>
      <c r="E586" s="1658">
        <v>4410</v>
      </c>
      <c r="F586" s="1658">
        <v>4460</v>
      </c>
      <c r="G586" s="1658">
        <v>4400</v>
      </c>
      <c r="H586" s="1658">
        <v>109647</v>
      </c>
      <c r="I586" s="1658">
        <v>485148235</v>
      </c>
      <c r="J586" s="1658">
        <v>138067110240</v>
      </c>
      <c r="K586" s="1658">
        <v>31096196</v>
      </c>
    </row>
    <row r="587" spans="1:11" x14ac:dyDescent="0.3">
      <c r="A587" s="1657">
        <v>42510</v>
      </c>
      <c r="B587" s="1658">
        <v>4705</v>
      </c>
      <c r="C587" s="1658">
        <v>265</v>
      </c>
      <c r="D587" s="1659">
        <v>5.97</v>
      </c>
      <c r="E587" s="1658">
        <v>4370</v>
      </c>
      <c r="F587" s="1658">
        <v>4870</v>
      </c>
      <c r="G587" s="1658">
        <v>4370</v>
      </c>
      <c r="H587" s="1658">
        <v>530106</v>
      </c>
      <c r="I587" s="1658">
        <v>2476043835</v>
      </c>
      <c r="J587" s="1658">
        <v>146307602180</v>
      </c>
      <c r="K587" s="1658">
        <v>31096196</v>
      </c>
    </row>
    <row r="588" spans="1:11" x14ac:dyDescent="0.3">
      <c r="A588" s="1657">
        <v>42513</v>
      </c>
      <c r="B588" s="1658">
        <v>4725</v>
      </c>
      <c r="C588" s="1658">
        <v>20</v>
      </c>
      <c r="D588" s="1659">
        <v>0.43</v>
      </c>
      <c r="E588" s="1658">
        <v>4720</v>
      </c>
      <c r="F588" s="1658">
        <v>4725</v>
      </c>
      <c r="G588" s="1658">
        <v>4660</v>
      </c>
      <c r="H588" s="1658">
        <v>126298</v>
      </c>
      <c r="I588" s="1658">
        <v>592190350</v>
      </c>
      <c r="J588" s="1658">
        <v>146929526100</v>
      </c>
      <c r="K588" s="1658">
        <v>31096196</v>
      </c>
    </row>
    <row r="589" spans="1:11" x14ac:dyDescent="0.3">
      <c r="A589" s="1657">
        <v>42514</v>
      </c>
      <c r="B589" s="1658">
        <v>4760</v>
      </c>
      <c r="C589" s="1658">
        <v>35</v>
      </c>
      <c r="D589" s="1659">
        <v>0.74</v>
      </c>
      <c r="E589" s="1658">
        <v>4760</v>
      </c>
      <c r="F589" s="1658">
        <v>4800</v>
      </c>
      <c r="G589" s="1658">
        <v>4710</v>
      </c>
      <c r="H589" s="1658">
        <v>188051</v>
      </c>
      <c r="I589" s="1658">
        <v>891279980</v>
      </c>
      <c r="J589" s="1658">
        <v>148017892960</v>
      </c>
      <c r="K589" s="1658">
        <v>31096196</v>
      </c>
    </row>
    <row r="590" spans="1:11" x14ac:dyDescent="0.3">
      <c r="A590" s="1657">
        <v>42515</v>
      </c>
      <c r="B590" s="1658">
        <v>4835</v>
      </c>
      <c r="C590" s="1658">
        <v>75</v>
      </c>
      <c r="D590" s="1659">
        <v>1.58</v>
      </c>
      <c r="E590" s="1658">
        <v>4750</v>
      </c>
      <c r="F590" s="1658">
        <v>4930</v>
      </c>
      <c r="G590" s="1658">
        <v>4710</v>
      </c>
      <c r="H590" s="1658">
        <v>304596</v>
      </c>
      <c r="I590" s="1658">
        <v>1479534240</v>
      </c>
      <c r="J590" s="1658">
        <v>150350107660</v>
      </c>
      <c r="K590" s="1658">
        <v>31096196</v>
      </c>
    </row>
    <row r="591" spans="1:11" x14ac:dyDescent="0.3">
      <c r="A591" s="1657">
        <v>42516</v>
      </c>
      <c r="B591" s="1658">
        <v>4875</v>
      </c>
      <c r="C591" s="1658">
        <v>40</v>
      </c>
      <c r="D591" s="1659">
        <v>0.83</v>
      </c>
      <c r="E591" s="1658">
        <v>4890</v>
      </c>
      <c r="F591" s="1658">
        <v>4890</v>
      </c>
      <c r="G591" s="1658">
        <v>4690</v>
      </c>
      <c r="H591" s="1658">
        <v>290308</v>
      </c>
      <c r="I591" s="1658">
        <v>1399102010</v>
      </c>
      <c r="J591" s="1658">
        <v>151593955500</v>
      </c>
      <c r="K591" s="1658">
        <v>31096196</v>
      </c>
    </row>
    <row r="592" spans="1:11" x14ac:dyDescent="0.3">
      <c r="A592" s="1657">
        <v>42517</v>
      </c>
      <c r="B592" s="1658">
        <v>4855</v>
      </c>
      <c r="C592" s="1658">
        <v>-20</v>
      </c>
      <c r="D592" s="1659">
        <v>-0.41</v>
      </c>
      <c r="E592" s="1658">
        <v>4880</v>
      </c>
      <c r="F592" s="1658">
        <v>4980</v>
      </c>
      <c r="G592" s="1658">
        <v>4830</v>
      </c>
      <c r="H592" s="1658">
        <v>206284</v>
      </c>
      <c r="I592" s="1658">
        <v>1008741425</v>
      </c>
      <c r="J592" s="1658">
        <v>150972031580</v>
      </c>
      <c r="K592" s="1658">
        <v>31096196</v>
      </c>
    </row>
    <row r="593" spans="1:11" x14ac:dyDescent="0.3">
      <c r="A593" s="1657">
        <v>42520</v>
      </c>
      <c r="B593" s="1658">
        <v>4730</v>
      </c>
      <c r="C593" s="1658">
        <v>-125</v>
      </c>
      <c r="D593" s="1659">
        <v>-2.57</v>
      </c>
      <c r="E593" s="1658">
        <v>4855</v>
      </c>
      <c r="F593" s="1658">
        <v>4885</v>
      </c>
      <c r="G593" s="1658">
        <v>4715</v>
      </c>
      <c r="H593" s="1658">
        <v>136911</v>
      </c>
      <c r="I593" s="1658">
        <v>650779750</v>
      </c>
      <c r="J593" s="1658">
        <v>147085007080</v>
      </c>
      <c r="K593" s="1658">
        <v>31096196</v>
      </c>
    </row>
    <row r="594" spans="1:11" x14ac:dyDescent="0.3">
      <c r="A594" s="1657">
        <v>42521</v>
      </c>
      <c r="B594" s="1658">
        <v>4805</v>
      </c>
      <c r="C594" s="1658">
        <v>75</v>
      </c>
      <c r="D594" s="1659">
        <v>1.59</v>
      </c>
      <c r="E594" s="1658">
        <v>4680</v>
      </c>
      <c r="F594" s="1658">
        <v>4830</v>
      </c>
      <c r="G594" s="1658">
        <v>4630</v>
      </c>
      <c r="H594" s="1658">
        <v>132406</v>
      </c>
      <c r="I594" s="1658">
        <v>623907880</v>
      </c>
      <c r="J594" s="1658">
        <v>149417221780</v>
      </c>
      <c r="K594" s="1658">
        <v>31096196</v>
      </c>
    </row>
    <row r="595" spans="1:11" x14ac:dyDescent="0.3">
      <c r="A595" s="1657">
        <v>42522</v>
      </c>
      <c r="B595" s="1658">
        <v>4840</v>
      </c>
      <c r="C595" s="1658">
        <v>35</v>
      </c>
      <c r="D595" s="1659">
        <v>0.73</v>
      </c>
      <c r="E595" s="1658">
        <v>4810</v>
      </c>
      <c r="F595" s="1658">
        <v>4865</v>
      </c>
      <c r="G595" s="1658">
        <v>4765</v>
      </c>
      <c r="H595" s="1658">
        <v>84273</v>
      </c>
      <c r="I595" s="1658">
        <v>405581340</v>
      </c>
      <c r="J595" s="1658">
        <v>150505588640</v>
      </c>
      <c r="K595" s="1658">
        <v>31096196</v>
      </c>
    </row>
    <row r="596" spans="1:11" x14ac:dyDescent="0.3">
      <c r="A596" s="1657">
        <v>42523</v>
      </c>
      <c r="B596" s="1658">
        <v>4820</v>
      </c>
      <c r="C596" s="1658">
        <v>-20</v>
      </c>
      <c r="D596" s="1659">
        <v>-0.41</v>
      </c>
      <c r="E596" s="1658">
        <v>4840</v>
      </c>
      <c r="F596" s="1658">
        <v>4910</v>
      </c>
      <c r="G596" s="1658">
        <v>4765</v>
      </c>
      <c r="H596" s="1658">
        <v>76152</v>
      </c>
      <c r="I596" s="1658">
        <v>367663815</v>
      </c>
      <c r="J596" s="1658">
        <v>149883664720</v>
      </c>
      <c r="K596" s="1658">
        <v>31096196</v>
      </c>
    </row>
    <row r="597" spans="1:11" x14ac:dyDescent="0.3">
      <c r="A597" s="1657">
        <v>42524</v>
      </c>
      <c r="B597" s="1658">
        <v>4760</v>
      </c>
      <c r="C597" s="1658">
        <v>-60</v>
      </c>
      <c r="D597" s="1659">
        <v>-1.24</v>
      </c>
      <c r="E597" s="1658">
        <v>4820</v>
      </c>
      <c r="F597" s="1658">
        <v>4865</v>
      </c>
      <c r="G597" s="1658">
        <v>4700</v>
      </c>
      <c r="H597" s="1658">
        <v>99088</v>
      </c>
      <c r="I597" s="1658">
        <v>469307100</v>
      </c>
      <c r="J597" s="1658">
        <v>148017892960</v>
      </c>
      <c r="K597" s="1658">
        <v>31096196</v>
      </c>
    </row>
    <row r="598" spans="1:11" x14ac:dyDescent="0.3">
      <c r="A598" s="1657">
        <v>42528</v>
      </c>
      <c r="B598" s="1658">
        <v>4760</v>
      </c>
      <c r="C598" s="1658">
        <v>0</v>
      </c>
      <c r="D598" s="1659">
        <v>0</v>
      </c>
      <c r="E598" s="1658">
        <v>4795</v>
      </c>
      <c r="F598" s="1658">
        <v>4795</v>
      </c>
      <c r="G598" s="1658">
        <v>4715</v>
      </c>
      <c r="H598" s="1658">
        <v>79599</v>
      </c>
      <c r="I598" s="1658">
        <v>377895735</v>
      </c>
      <c r="J598" s="1658">
        <v>148017892960</v>
      </c>
      <c r="K598" s="1658">
        <v>31096196</v>
      </c>
    </row>
    <row r="599" spans="1:11" x14ac:dyDescent="0.3">
      <c r="A599" s="1657">
        <v>42529</v>
      </c>
      <c r="B599" s="1658">
        <v>4715</v>
      </c>
      <c r="C599" s="1658">
        <v>-45</v>
      </c>
      <c r="D599" s="1659">
        <v>-0.95</v>
      </c>
      <c r="E599" s="1658">
        <v>4790</v>
      </c>
      <c r="F599" s="1658">
        <v>4800</v>
      </c>
      <c r="G599" s="1658">
        <v>4670</v>
      </c>
      <c r="H599" s="1658">
        <v>116373</v>
      </c>
      <c r="I599" s="1658">
        <v>549278560</v>
      </c>
      <c r="J599" s="1658">
        <v>146618564140</v>
      </c>
      <c r="K599" s="1658">
        <v>31096196</v>
      </c>
    </row>
    <row r="600" spans="1:11" x14ac:dyDescent="0.3">
      <c r="A600" s="1657">
        <v>42530</v>
      </c>
      <c r="B600" s="1658">
        <v>4650</v>
      </c>
      <c r="C600" s="1658">
        <v>-65</v>
      </c>
      <c r="D600" s="1659">
        <v>-1.38</v>
      </c>
      <c r="E600" s="1658">
        <v>4695</v>
      </c>
      <c r="F600" s="1658">
        <v>4705</v>
      </c>
      <c r="G600" s="1658">
        <v>4580</v>
      </c>
      <c r="H600" s="1658">
        <v>94341</v>
      </c>
      <c r="I600" s="1658">
        <v>437649485</v>
      </c>
      <c r="J600" s="1658">
        <v>144597311400</v>
      </c>
      <c r="K600" s="1658">
        <v>31096196</v>
      </c>
    </row>
    <row r="601" spans="1:11" x14ac:dyDescent="0.3">
      <c r="A601" s="1657">
        <v>42531</v>
      </c>
      <c r="B601" s="1658">
        <v>4575</v>
      </c>
      <c r="C601" s="1658">
        <v>-75</v>
      </c>
      <c r="D601" s="1659">
        <v>-1.61</v>
      </c>
      <c r="E601" s="1658">
        <v>4650</v>
      </c>
      <c r="F601" s="1658">
        <v>4705</v>
      </c>
      <c r="G601" s="1658">
        <v>4540</v>
      </c>
      <c r="H601" s="1658">
        <v>95716</v>
      </c>
      <c r="I601" s="1658">
        <v>440653120</v>
      </c>
      <c r="J601" s="1658">
        <v>142265096700</v>
      </c>
      <c r="K601" s="1658">
        <v>31096196</v>
      </c>
    </row>
    <row r="602" spans="1:11" x14ac:dyDescent="0.3">
      <c r="A602" s="1657">
        <v>42534</v>
      </c>
      <c r="B602" s="1658">
        <v>4695</v>
      </c>
      <c r="C602" s="1658">
        <v>120</v>
      </c>
      <c r="D602" s="1659">
        <v>2.62</v>
      </c>
      <c r="E602" s="1658">
        <v>4650</v>
      </c>
      <c r="F602" s="1658">
        <v>4835</v>
      </c>
      <c r="G602" s="1658">
        <v>4560</v>
      </c>
      <c r="H602" s="1658">
        <v>172490</v>
      </c>
      <c r="I602" s="1658">
        <v>812658050</v>
      </c>
      <c r="J602" s="1658">
        <v>145996640220</v>
      </c>
      <c r="K602" s="1658">
        <v>31096196</v>
      </c>
    </row>
    <row r="603" spans="1:11" x14ac:dyDescent="0.3">
      <c r="A603" s="1657">
        <v>42535</v>
      </c>
      <c r="B603" s="1658">
        <v>4625</v>
      </c>
      <c r="C603" s="1658">
        <v>-70</v>
      </c>
      <c r="D603" s="1659">
        <v>-1.49</v>
      </c>
      <c r="E603" s="1658">
        <v>4625</v>
      </c>
      <c r="F603" s="1658">
        <v>4700</v>
      </c>
      <c r="G603" s="1658">
        <v>4580</v>
      </c>
      <c r="H603" s="1658">
        <v>80183</v>
      </c>
      <c r="I603" s="1658">
        <v>371025100</v>
      </c>
      <c r="J603" s="1658">
        <v>143819906500</v>
      </c>
      <c r="K603" s="1658">
        <v>31096196</v>
      </c>
    </row>
    <row r="604" spans="1:11" x14ac:dyDescent="0.3">
      <c r="A604" s="1657">
        <v>42536</v>
      </c>
      <c r="B604" s="1658">
        <v>4580</v>
      </c>
      <c r="C604" s="1658">
        <v>-45</v>
      </c>
      <c r="D604" s="1659">
        <v>-0.97</v>
      </c>
      <c r="E604" s="1658">
        <v>4635</v>
      </c>
      <c r="F604" s="1658">
        <v>4645</v>
      </c>
      <c r="G604" s="1658">
        <v>4555</v>
      </c>
      <c r="H604" s="1658">
        <v>81959</v>
      </c>
      <c r="I604" s="1658">
        <v>375779975</v>
      </c>
      <c r="J604" s="1658">
        <v>142420577680</v>
      </c>
      <c r="K604" s="1658">
        <v>31096196</v>
      </c>
    </row>
    <row r="605" spans="1:11" x14ac:dyDescent="0.3">
      <c r="A605" s="1657">
        <v>42537</v>
      </c>
      <c r="B605" s="1658">
        <v>4470</v>
      </c>
      <c r="C605" s="1658">
        <v>-110</v>
      </c>
      <c r="D605" s="1659">
        <v>-2.4</v>
      </c>
      <c r="E605" s="1658">
        <v>4630</v>
      </c>
      <c r="F605" s="1658">
        <v>4665</v>
      </c>
      <c r="G605" s="1658">
        <v>4470</v>
      </c>
      <c r="H605" s="1658">
        <v>90335</v>
      </c>
      <c r="I605" s="1658">
        <v>410289140</v>
      </c>
      <c r="J605" s="1658">
        <v>138999996120</v>
      </c>
      <c r="K605" s="1658">
        <v>31096196</v>
      </c>
    </row>
    <row r="606" spans="1:11" x14ac:dyDescent="0.3">
      <c r="A606" s="1657">
        <v>42538</v>
      </c>
      <c r="B606" s="1658">
        <v>4500</v>
      </c>
      <c r="C606" s="1658">
        <v>30</v>
      </c>
      <c r="D606" s="1659">
        <v>0.67</v>
      </c>
      <c r="E606" s="1658">
        <v>4545</v>
      </c>
      <c r="F606" s="1658">
        <v>4595</v>
      </c>
      <c r="G606" s="1658">
        <v>4450</v>
      </c>
      <c r="H606" s="1658">
        <v>45880</v>
      </c>
      <c r="I606" s="1658">
        <v>207215015</v>
      </c>
      <c r="J606" s="1658">
        <v>139932882000</v>
      </c>
      <c r="K606" s="1658">
        <v>31096196</v>
      </c>
    </row>
    <row r="607" spans="1:11" x14ac:dyDescent="0.3">
      <c r="A607" s="1657">
        <v>42541</v>
      </c>
      <c r="B607" s="1658">
        <v>4505</v>
      </c>
      <c r="C607" s="1658">
        <v>5</v>
      </c>
      <c r="D607" s="1659">
        <v>0.11</v>
      </c>
      <c r="E607" s="1658">
        <v>4495</v>
      </c>
      <c r="F607" s="1658">
        <v>4550</v>
      </c>
      <c r="G607" s="1658">
        <v>4450</v>
      </c>
      <c r="H607" s="1658">
        <v>67737</v>
      </c>
      <c r="I607" s="1658">
        <v>305326245</v>
      </c>
      <c r="J607" s="1658">
        <v>140088362980</v>
      </c>
      <c r="K607" s="1658">
        <v>31096196</v>
      </c>
    </row>
    <row r="608" spans="1:11" x14ac:dyDescent="0.3">
      <c r="A608" s="1657">
        <v>42542</v>
      </c>
      <c r="B608" s="1658">
        <v>4575</v>
      </c>
      <c r="C608" s="1658">
        <v>70</v>
      </c>
      <c r="D608" s="1659">
        <v>1.55</v>
      </c>
      <c r="E608" s="1658">
        <v>4505</v>
      </c>
      <c r="F608" s="1658">
        <v>4620</v>
      </c>
      <c r="G608" s="1658">
        <v>4505</v>
      </c>
      <c r="H608" s="1658">
        <v>84298</v>
      </c>
      <c r="I608" s="1658">
        <v>385197380</v>
      </c>
      <c r="J608" s="1658">
        <v>142265096700</v>
      </c>
      <c r="K608" s="1658">
        <v>31096196</v>
      </c>
    </row>
    <row r="609" spans="1:11" x14ac:dyDescent="0.3">
      <c r="A609" s="1657">
        <v>42543</v>
      </c>
      <c r="B609" s="1658">
        <v>4750</v>
      </c>
      <c r="C609" s="1658">
        <v>175</v>
      </c>
      <c r="D609" s="1659">
        <v>3.83</v>
      </c>
      <c r="E609" s="1658">
        <v>4640</v>
      </c>
      <c r="F609" s="1658">
        <v>4750</v>
      </c>
      <c r="G609" s="1658">
        <v>4515</v>
      </c>
      <c r="H609" s="1658">
        <v>151514</v>
      </c>
      <c r="I609" s="1658">
        <v>707080225</v>
      </c>
      <c r="J609" s="1658">
        <v>147706931000</v>
      </c>
      <c r="K609" s="1658">
        <v>31096196</v>
      </c>
    </row>
    <row r="610" spans="1:11" x14ac:dyDescent="0.3">
      <c r="A610" s="1657">
        <v>42544</v>
      </c>
      <c r="B610" s="1658">
        <v>4790</v>
      </c>
      <c r="C610" s="1658">
        <v>40</v>
      </c>
      <c r="D610" s="1659">
        <v>0.84</v>
      </c>
      <c r="E610" s="1658">
        <v>4690</v>
      </c>
      <c r="F610" s="1658">
        <v>4790</v>
      </c>
      <c r="G610" s="1658">
        <v>4620</v>
      </c>
      <c r="H610" s="1658">
        <v>170662</v>
      </c>
      <c r="I610" s="1658">
        <v>806684720</v>
      </c>
      <c r="J610" s="1658">
        <v>148950778840</v>
      </c>
      <c r="K610" s="1658">
        <v>31096196</v>
      </c>
    </row>
    <row r="611" spans="1:11" x14ac:dyDescent="0.3">
      <c r="A611" s="1657">
        <v>42545</v>
      </c>
      <c r="B611" s="1658">
        <v>4340</v>
      </c>
      <c r="C611" s="1658">
        <v>-450</v>
      </c>
      <c r="D611" s="1659">
        <v>-9.39</v>
      </c>
      <c r="E611" s="1658">
        <v>4760</v>
      </c>
      <c r="F611" s="1658">
        <v>4870</v>
      </c>
      <c r="G611" s="1658">
        <v>4230</v>
      </c>
      <c r="H611" s="1658">
        <v>466683</v>
      </c>
      <c r="I611" s="1658">
        <v>2090533445</v>
      </c>
      <c r="J611" s="1658">
        <v>134957490640</v>
      </c>
      <c r="K611" s="1658">
        <v>31096196</v>
      </c>
    </row>
    <row r="612" spans="1:11" x14ac:dyDescent="0.3">
      <c r="A612" s="1657">
        <v>42548</v>
      </c>
      <c r="B612" s="1658">
        <v>4300</v>
      </c>
      <c r="C612" s="1658">
        <v>-40</v>
      </c>
      <c r="D612" s="1659">
        <v>-0.92</v>
      </c>
      <c r="E612" s="1658">
        <v>4200</v>
      </c>
      <c r="F612" s="1658">
        <v>4325</v>
      </c>
      <c r="G612" s="1658">
        <v>4150</v>
      </c>
      <c r="H612" s="1658">
        <v>131956</v>
      </c>
      <c r="I612" s="1658">
        <v>561698595</v>
      </c>
      <c r="J612" s="1658">
        <v>133713642800</v>
      </c>
      <c r="K612" s="1658">
        <v>31096196</v>
      </c>
    </row>
    <row r="613" spans="1:11" x14ac:dyDescent="0.3">
      <c r="A613" s="1657">
        <v>42549</v>
      </c>
      <c r="B613" s="1658">
        <v>4305</v>
      </c>
      <c r="C613" s="1658">
        <v>5</v>
      </c>
      <c r="D613" s="1659">
        <v>0.12</v>
      </c>
      <c r="E613" s="1658">
        <v>4200</v>
      </c>
      <c r="F613" s="1658">
        <v>4440</v>
      </c>
      <c r="G613" s="1658">
        <v>4200</v>
      </c>
      <c r="H613" s="1658">
        <v>103788</v>
      </c>
      <c r="I613" s="1658">
        <v>447633065</v>
      </c>
      <c r="J613" s="1658">
        <v>133869123780</v>
      </c>
      <c r="K613" s="1658">
        <v>31096196</v>
      </c>
    </row>
    <row r="614" spans="1:11" x14ac:dyDescent="0.3">
      <c r="A614" s="1657">
        <v>42550</v>
      </c>
      <c r="B614" s="1658">
        <v>4410</v>
      </c>
      <c r="C614" s="1658">
        <v>105</v>
      </c>
      <c r="D614" s="1659">
        <v>2.44</v>
      </c>
      <c r="E614" s="1658">
        <v>4320</v>
      </c>
      <c r="F614" s="1658">
        <v>4435</v>
      </c>
      <c r="G614" s="1658">
        <v>4320</v>
      </c>
      <c r="H614" s="1658">
        <v>93549</v>
      </c>
      <c r="I614" s="1658">
        <v>409866310</v>
      </c>
      <c r="J614" s="1658">
        <v>137134224360</v>
      </c>
      <c r="K614" s="1658">
        <v>31096196</v>
      </c>
    </row>
    <row r="615" spans="1:11" x14ac:dyDescent="0.3">
      <c r="A615" s="1657">
        <v>42551</v>
      </c>
      <c r="B615" s="1658">
        <v>4420</v>
      </c>
      <c r="C615" s="1658">
        <v>10</v>
      </c>
      <c r="D615" s="1659">
        <v>0.23</v>
      </c>
      <c r="E615" s="1658">
        <v>4410</v>
      </c>
      <c r="F615" s="1658">
        <v>4490</v>
      </c>
      <c r="G615" s="1658">
        <v>4380</v>
      </c>
      <c r="H615" s="1658">
        <v>64979</v>
      </c>
      <c r="I615" s="1658">
        <v>286678985</v>
      </c>
      <c r="J615" s="1658">
        <v>137445186320</v>
      </c>
      <c r="K615" s="1658">
        <v>31096196</v>
      </c>
    </row>
    <row r="616" spans="1:11" x14ac:dyDescent="0.3">
      <c r="A616" s="1657">
        <v>42552</v>
      </c>
      <c r="B616" s="1658">
        <v>4690</v>
      </c>
      <c r="C616" s="1658">
        <v>270</v>
      </c>
      <c r="D616" s="1659">
        <v>6.11</v>
      </c>
      <c r="E616" s="1658">
        <v>4450</v>
      </c>
      <c r="F616" s="1658">
        <v>4760</v>
      </c>
      <c r="G616" s="1658">
        <v>4425</v>
      </c>
      <c r="H616" s="1658">
        <v>275165</v>
      </c>
      <c r="I616" s="1658">
        <v>1268890360</v>
      </c>
      <c r="J616" s="1658">
        <v>145841159240</v>
      </c>
      <c r="K616" s="1658">
        <v>31096196</v>
      </c>
    </row>
    <row r="617" spans="1:11" x14ac:dyDescent="0.3">
      <c r="A617" s="1657">
        <v>42555</v>
      </c>
      <c r="B617" s="1658">
        <v>4610</v>
      </c>
      <c r="C617" s="1658">
        <v>-80</v>
      </c>
      <c r="D617" s="1659">
        <v>-1.71</v>
      </c>
      <c r="E617" s="1658">
        <v>4690</v>
      </c>
      <c r="F617" s="1658">
        <v>4950</v>
      </c>
      <c r="G617" s="1658">
        <v>4565</v>
      </c>
      <c r="H617" s="1658">
        <v>625393</v>
      </c>
      <c r="I617" s="1658">
        <v>2961107710</v>
      </c>
      <c r="J617" s="1658">
        <v>143353463560</v>
      </c>
      <c r="K617" s="1658">
        <v>31096196</v>
      </c>
    </row>
    <row r="618" spans="1:11" x14ac:dyDescent="0.3">
      <c r="A618" s="1657">
        <v>42556</v>
      </c>
      <c r="B618" s="1658">
        <v>4610</v>
      </c>
      <c r="C618" s="1658">
        <v>0</v>
      </c>
      <c r="D618" s="1659">
        <v>0</v>
      </c>
      <c r="E618" s="1658">
        <v>4605</v>
      </c>
      <c r="F618" s="1658">
        <v>4665</v>
      </c>
      <c r="G618" s="1658">
        <v>4560</v>
      </c>
      <c r="H618" s="1658">
        <v>90563</v>
      </c>
      <c r="I618" s="1658">
        <v>416022660</v>
      </c>
      <c r="J618" s="1658">
        <v>143353463560</v>
      </c>
      <c r="K618" s="1658">
        <v>31096196</v>
      </c>
    </row>
    <row r="619" spans="1:11" x14ac:dyDescent="0.3">
      <c r="A619" s="1657">
        <v>42557</v>
      </c>
      <c r="B619" s="1658">
        <v>4470</v>
      </c>
      <c r="C619" s="1658">
        <v>-140</v>
      </c>
      <c r="D619" s="1659">
        <v>-3.04</v>
      </c>
      <c r="E619" s="1658">
        <v>4600</v>
      </c>
      <c r="F619" s="1658">
        <v>4600</v>
      </c>
      <c r="G619" s="1658">
        <v>4440</v>
      </c>
      <c r="H619" s="1658">
        <v>125187</v>
      </c>
      <c r="I619" s="1658">
        <v>561568090</v>
      </c>
      <c r="J619" s="1658">
        <v>138999996120</v>
      </c>
      <c r="K619" s="1658">
        <v>31096196</v>
      </c>
    </row>
    <row r="620" spans="1:11" x14ac:dyDescent="0.3">
      <c r="A620" s="1657">
        <v>42558</v>
      </c>
      <c r="B620" s="1658">
        <v>4470</v>
      </c>
      <c r="C620" s="1658">
        <v>0</v>
      </c>
      <c r="D620" s="1659">
        <v>0</v>
      </c>
      <c r="E620" s="1658">
        <v>4470</v>
      </c>
      <c r="F620" s="1658">
        <v>4580</v>
      </c>
      <c r="G620" s="1658">
        <v>4450</v>
      </c>
      <c r="H620" s="1658">
        <v>51030</v>
      </c>
      <c r="I620" s="1658">
        <v>228953415</v>
      </c>
      <c r="J620" s="1658">
        <v>138999996120</v>
      </c>
      <c r="K620" s="1658">
        <v>31096196</v>
      </c>
    </row>
    <row r="621" spans="1:11" x14ac:dyDescent="0.3">
      <c r="A621" s="1657">
        <v>42559</v>
      </c>
      <c r="B621" s="1658">
        <v>4415</v>
      </c>
      <c r="C621" s="1658">
        <v>-55</v>
      </c>
      <c r="D621" s="1659">
        <v>-1.23</v>
      </c>
      <c r="E621" s="1658">
        <v>4430</v>
      </c>
      <c r="F621" s="1658">
        <v>4520</v>
      </c>
      <c r="G621" s="1658">
        <v>4380</v>
      </c>
      <c r="H621" s="1658">
        <v>100795</v>
      </c>
      <c r="I621" s="1658">
        <v>447036445</v>
      </c>
      <c r="J621" s="1658">
        <v>137289705340</v>
      </c>
      <c r="K621" s="1658">
        <v>31096196</v>
      </c>
    </row>
    <row r="622" spans="1:11" x14ac:dyDescent="0.3">
      <c r="A622" s="1657">
        <v>42562</v>
      </c>
      <c r="B622" s="1658">
        <v>4480</v>
      </c>
      <c r="C622" s="1658">
        <v>65</v>
      </c>
      <c r="D622" s="1659">
        <v>1.47</v>
      </c>
      <c r="E622" s="1658">
        <v>4430</v>
      </c>
      <c r="F622" s="1658">
        <v>4495</v>
      </c>
      <c r="G622" s="1658">
        <v>4405</v>
      </c>
      <c r="H622" s="1658">
        <v>56262</v>
      </c>
      <c r="I622" s="1658">
        <v>250409870</v>
      </c>
      <c r="J622" s="1658">
        <v>139310958080</v>
      </c>
      <c r="K622" s="1658">
        <v>31096196</v>
      </c>
    </row>
    <row r="623" spans="1:11" x14ac:dyDescent="0.3">
      <c r="A623" s="1657">
        <v>42563</v>
      </c>
      <c r="B623" s="1658">
        <v>4470</v>
      </c>
      <c r="C623" s="1658">
        <v>-10</v>
      </c>
      <c r="D623" s="1659">
        <v>-0.22</v>
      </c>
      <c r="E623" s="1658">
        <v>4500</v>
      </c>
      <c r="F623" s="1658">
        <v>4520</v>
      </c>
      <c r="G623" s="1658">
        <v>4415</v>
      </c>
      <c r="H623" s="1658">
        <v>29266</v>
      </c>
      <c r="I623" s="1658">
        <v>130372005</v>
      </c>
      <c r="J623" s="1658">
        <v>138999996120</v>
      </c>
      <c r="K623" s="1658">
        <v>31096196</v>
      </c>
    </row>
    <row r="624" spans="1:11" x14ac:dyDescent="0.3">
      <c r="A624" s="1657">
        <v>42564</v>
      </c>
      <c r="B624" s="1658">
        <v>4630</v>
      </c>
      <c r="C624" s="1658">
        <v>160</v>
      </c>
      <c r="D624" s="1659">
        <v>3.58</v>
      </c>
      <c r="E624" s="1658">
        <v>4505</v>
      </c>
      <c r="F624" s="1658">
        <v>4690</v>
      </c>
      <c r="G624" s="1658">
        <v>4470</v>
      </c>
      <c r="H624" s="1658">
        <v>234143</v>
      </c>
      <c r="I624" s="1658">
        <v>1073130245</v>
      </c>
      <c r="J624" s="1658">
        <v>143975387480</v>
      </c>
      <c r="K624" s="1658">
        <v>31096196</v>
      </c>
    </row>
    <row r="625" spans="1:11" x14ac:dyDescent="0.3">
      <c r="A625" s="1657">
        <v>42565</v>
      </c>
      <c r="B625" s="1658">
        <v>4630</v>
      </c>
      <c r="C625" s="1658">
        <v>0</v>
      </c>
      <c r="D625" s="1659">
        <v>0</v>
      </c>
      <c r="E625" s="1658">
        <v>4675</v>
      </c>
      <c r="F625" s="1658">
        <v>4860</v>
      </c>
      <c r="G625" s="1658">
        <v>4595</v>
      </c>
      <c r="H625" s="1658">
        <v>392034</v>
      </c>
      <c r="I625" s="1658">
        <v>1857602440</v>
      </c>
      <c r="J625" s="1658">
        <v>143975387480</v>
      </c>
      <c r="K625" s="1658">
        <v>31096196</v>
      </c>
    </row>
    <row r="626" spans="1:11" x14ac:dyDescent="0.3">
      <c r="A626" s="1657">
        <v>42566</v>
      </c>
      <c r="B626" s="1658">
        <v>4780</v>
      </c>
      <c r="C626" s="1658">
        <v>150</v>
      </c>
      <c r="D626" s="1659">
        <v>3.24</v>
      </c>
      <c r="E626" s="1658">
        <v>4630</v>
      </c>
      <c r="F626" s="1658">
        <v>4780</v>
      </c>
      <c r="G626" s="1658">
        <v>4575</v>
      </c>
      <c r="H626" s="1658">
        <v>174947</v>
      </c>
      <c r="I626" s="1658">
        <v>816720035</v>
      </c>
      <c r="J626" s="1658">
        <v>148639816880</v>
      </c>
      <c r="K626" s="1658">
        <v>31096196</v>
      </c>
    </row>
    <row r="627" spans="1:11" x14ac:dyDescent="0.3">
      <c r="A627" s="1657">
        <v>42569</v>
      </c>
      <c r="B627" s="1658">
        <v>4780</v>
      </c>
      <c r="C627" s="1658">
        <v>0</v>
      </c>
      <c r="D627" s="1659">
        <v>0</v>
      </c>
      <c r="E627" s="1658">
        <v>4820</v>
      </c>
      <c r="F627" s="1658">
        <v>4845</v>
      </c>
      <c r="G627" s="1658">
        <v>4680</v>
      </c>
      <c r="H627" s="1658">
        <v>197954</v>
      </c>
      <c r="I627" s="1658">
        <v>939593185</v>
      </c>
      <c r="J627" s="1658">
        <v>148639816880</v>
      </c>
      <c r="K627" s="1658">
        <v>31096196</v>
      </c>
    </row>
    <row r="628" spans="1:11" x14ac:dyDescent="0.3">
      <c r="A628" s="1657">
        <v>42570</v>
      </c>
      <c r="B628" s="1658">
        <v>4710</v>
      </c>
      <c r="C628" s="1658">
        <v>-70</v>
      </c>
      <c r="D628" s="1659">
        <v>-1.46</v>
      </c>
      <c r="E628" s="1658">
        <v>4755</v>
      </c>
      <c r="F628" s="1658">
        <v>4800</v>
      </c>
      <c r="G628" s="1658">
        <v>4695</v>
      </c>
      <c r="H628" s="1658">
        <v>108155</v>
      </c>
      <c r="I628" s="1658">
        <v>511983225</v>
      </c>
      <c r="J628" s="1658">
        <v>146463083160</v>
      </c>
      <c r="K628" s="1658">
        <v>31096196</v>
      </c>
    </row>
    <row r="629" spans="1:11" x14ac:dyDescent="0.3">
      <c r="A629" s="1657">
        <v>42571</v>
      </c>
      <c r="B629" s="1658">
        <v>4750</v>
      </c>
      <c r="C629" s="1658">
        <v>40</v>
      </c>
      <c r="D629" s="1659">
        <v>0.85</v>
      </c>
      <c r="E629" s="1658">
        <v>4710</v>
      </c>
      <c r="F629" s="1658">
        <v>4750</v>
      </c>
      <c r="G629" s="1658">
        <v>4610</v>
      </c>
      <c r="H629" s="1658">
        <v>98326</v>
      </c>
      <c r="I629" s="1658">
        <v>460655090</v>
      </c>
      <c r="J629" s="1658">
        <v>147706931000</v>
      </c>
      <c r="K629" s="1658">
        <v>31096196</v>
      </c>
    </row>
    <row r="630" spans="1:11" x14ac:dyDescent="0.3">
      <c r="A630" s="1657">
        <v>42572</v>
      </c>
      <c r="B630" s="1658">
        <v>4700</v>
      </c>
      <c r="C630" s="1658">
        <v>-50</v>
      </c>
      <c r="D630" s="1659">
        <v>-1.05</v>
      </c>
      <c r="E630" s="1658">
        <v>4805</v>
      </c>
      <c r="F630" s="1658">
        <v>5140</v>
      </c>
      <c r="G630" s="1658">
        <v>4675</v>
      </c>
      <c r="H630" s="1658">
        <v>791126</v>
      </c>
      <c r="I630" s="1658">
        <v>3851180965</v>
      </c>
      <c r="J630" s="1658">
        <v>146152121200</v>
      </c>
      <c r="K630" s="1658">
        <v>31096196</v>
      </c>
    </row>
    <row r="631" spans="1:11" x14ac:dyDescent="0.3">
      <c r="A631" s="1657">
        <v>42573</v>
      </c>
      <c r="B631" s="1658">
        <v>4675</v>
      </c>
      <c r="C631" s="1658">
        <v>-25</v>
      </c>
      <c r="D631" s="1659">
        <v>-0.53</v>
      </c>
      <c r="E631" s="1658">
        <v>4720</v>
      </c>
      <c r="F631" s="1658">
        <v>4750</v>
      </c>
      <c r="G631" s="1658">
        <v>4585</v>
      </c>
      <c r="H631" s="1658">
        <v>158975</v>
      </c>
      <c r="I631" s="1658">
        <v>737967210</v>
      </c>
      <c r="J631" s="1658">
        <v>145374716300</v>
      </c>
      <c r="K631" s="1658">
        <v>31096196</v>
      </c>
    </row>
    <row r="632" spans="1:11" x14ac:dyDescent="0.3">
      <c r="A632" s="1657">
        <v>42576</v>
      </c>
      <c r="B632" s="1658">
        <v>4565</v>
      </c>
      <c r="C632" s="1658">
        <v>-110</v>
      </c>
      <c r="D632" s="1659">
        <v>-2.35</v>
      </c>
      <c r="E632" s="1658">
        <v>4620</v>
      </c>
      <c r="F632" s="1658">
        <v>4675</v>
      </c>
      <c r="G632" s="1658">
        <v>4540</v>
      </c>
      <c r="H632" s="1658">
        <v>146287</v>
      </c>
      <c r="I632" s="1658">
        <v>670626050</v>
      </c>
      <c r="J632" s="1658">
        <v>141954134740</v>
      </c>
      <c r="K632" s="1658">
        <v>31096196</v>
      </c>
    </row>
    <row r="633" spans="1:11" x14ac:dyDescent="0.3">
      <c r="A633" s="1657">
        <v>42577</v>
      </c>
      <c r="B633" s="1658">
        <v>4575</v>
      </c>
      <c r="C633" s="1658">
        <v>10</v>
      </c>
      <c r="D633" s="1659">
        <v>0.22</v>
      </c>
      <c r="E633" s="1658">
        <v>4520</v>
      </c>
      <c r="F633" s="1658">
        <v>4610</v>
      </c>
      <c r="G633" s="1658">
        <v>4520</v>
      </c>
      <c r="H633" s="1658">
        <v>48580</v>
      </c>
      <c r="I633" s="1658">
        <v>221984720</v>
      </c>
      <c r="J633" s="1658">
        <v>142265096700</v>
      </c>
      <c r="K633" s="1658">
        <v>31096196</v>
      </c>
    </row>
    <row r="634" spans="1:11" x14ac:dyDescent="0.3">
      <c r="A634" s="1657">
        <v>42578</v>
      </c>
      <c r="B634" s="1658">
        <v>4710</v>
      </c>
      <c r="C634" s="1658">
        <v>135</v>
      </c>
      <c r="D634" s="1659">
        <v>2.95</v>
      </c>
      <c r="E634" s="1658">
        <v>4575</v>
      </c>
      <c r="F634" s="1658">
        <v>5250</v>
      </c>
      <c r="G634" s="1658">
        <v>4500</v>
      </c>
      <c r="H634" s="1658">
        <v>2240159</v>
      </c>
      <c r="I634" s="1658">
        <v>11015231065</v>
      </c>
      <c r="J634" s="1658">
        <v>146463083160</v>
      </c>
      <c r="K634" s="1658">
        <v>31096196</v>
      </c>
    </row>
    <row r="635" spans="1:11" x14ac:dyDescent="0.3">
      <c r="A635" s="1657">
        <v>42579</v>
      </c>
      <c r="B635" s="1658">
        <v>4615</v>
      </c>
      <c r="C635" s="1658">
        <v>-95</v>
      </c>
      <c r="D635" s="1659">
        <v>-2.02</v>
      </c>
      <c r="E635" s="1658">
        <v>4710</v>
      </c>
      <c r="F635" s="1658">
        <v>4710</v>
      </c>
      <c r="G635" s="1658">
        <v>4595</v>
      </c>
      <c r="H635" s="1658">
        <v>359066</v>
      </c>
      <c r="I635" s="1658">
        <v>1660007580</v>
      </c>
      <c r="J635" s="1658">
        <v>143508944540</v>
      </c>
      <c r="K635" s="1658">
        <v>31096196</v>
      </c>
    </row>
    <row r="636" spans="1:11" x14ac:dyDescent="0.3">
      <c r="A636" s="1657">
        <v>42580</v>
      </c>
      <c r="B636" s="1658">
        <v>4560</v>
      </c>
      <c r="C636" s="1658">
        <v>-55</v>
      </c>
      <c r="D636" s="1659">
        <v>-1.19</v>
      </c>
      <c r="E636" s="1658">
        <v>4600</v>
      </c>
      <c r="F636" s="1658">
        <v>4635</v>
      </c>
      <c r="G636" s="1658">
        <v>4520</v>
      </c>
      <c r="H636" s="1658">
        <v>196077</v>
      </c>
      <c r="I636" s="1658">
        <v>893016530</v>
      </c>
      <c r="J636" s="1658">
        <v>141798653760</v>
      </c>
      <c r="K636" s="1658">
        <v>31096196</v>
      </c>
    </row>
    <row r="637" spans="1:11" x14ac:dyDescent="0.3">
      <c r="A637" s="1657">
        <v>42583</v>
      </c>
      <c r="B637" s="1658">
        <v>4630</v>
      </c>
      <c r="C637" s="1658">
        <v>70</v>
      </c>
      <c r="D637" s="1659">
        <v>1.54</v>
      </c>
      <c r="E637" s="1658">
        <v>4560</v>
      </c>
      <c r="F637" s="1658">
        <v>4650</v>
      </c>
      <c r="G637" s="1658">
        <v>4545</v>
      </c>
      <c r="H637" s="1658">
        <v>104413</v>
      </c>
      <c r="I637" s="1658">
        <v>481992980</v>
      </c>
      <c r="J637" s="1658">
        <v>143975387480</v>
      </c>
      <c r="K637" s="1658">
        <v>31096196</v>
      </c>
    </row>
    <row r="638" spans="1:11" x14ac:dyDescent="0.3">
      <c r="A638" s="1657">
        <v>42584</v>
      </c>
      <c r="B638" s="1658">
        <v>4660</v>
      </c>
      <c r="C638" s="1658">
        <v>30</v>
      </c>
      <c r="D638" s="1659">
        <v>0.65</v>
      </c>
      <c r="E638" s="1658">
        <v>4650</v>
      </c>
      <c r="F638" s="1658">
        <v>4700</v>
      </c>
      <c r="G638" s="1658">
        <v>4595</v>
      </c>
      <c r="H638" s="1658">
        <v>115506</v>
      </c>
      <c r="I638" s="1658">
        <v>536416725</v>
      </c>
      <c r="J638" s="1658">
        <v>144908273360</v>
      </c>
      <c r="K638" s="1658">
        <v>31096196</v>
      </c>
    </row>
    <row r="639" spans="1:11" x14ac:dyDescent="0.3">
      <c r="A639" s="1657">
        <v>42585</v>
      </c>
      <c r="B639" s="1658">
        <v>4610</v>
      </c>
      <c r="C639" s="1658">
        <v>-50</v>
      </c>
      <c r="D639" s="1659">
        <v>-1.07</v>
      </c>
      <c r="E639" s="1658">
        <v>4660</v>
      </c>
      <c r="F639" s="1658">
        <v>4675</v>
      </c>
      <c r="G639" s="1658">
        <v>4550</v>
      </c>
      <c r="H639" s="1658">
        <v>73848</v>
      </c>
      <c r="I639" s="1658">
        <v>339461235</v>
      </c>
      <c r="J639" s="1658">
        <v>143353463560</v>
      </c>
      <c r="K639" s="1658">
        <v>31096196</v>
      </c>
    </row>
    <row r="640" spans="1:11" x14ac:dyDescent="0.3">
      <c r="A640" s="1657">
        <v>42586</v>
      </c>
      <c r="B640" s="1658">
        <v>4620</v>
      </c>
      <c r="C640" s="1658">
        <v>10</v>
      </c>
      <c r="D640" s="1659">
        <v>0.22</v>
      </c>
      <c r="E640" s="1658">
        <v>4610</v>
      </c>
      <c r="F640" s="1658">
        <v>4645</v>
      </c>
      <c r="G640" s="1658">
        <v>4560</v>
      </c>
      <c r="H640" s="1658">
        <v>116066</v>
      </c>
      <c r="I640" s="1658">
        <v>532720435</v>
      </c>
      <c r="J640" s="1658">
        <v>143664425520</v>
      </c>
      <c r="K640" s="1658">
        <v>31096196</v>
      </c>
    </row>
    <row r="641" spans="1:11" x14ac:dyDescent="0.3">
      <c r="A641" s="1657">
        <v>42587</v>
      </c>
      <c r="B641" s="1658">
        <v>4620</v>
      </c>
      <c r="C641" s="1658">
        <v>0</v>
      </c>
      <c r="D641" s="1659">
        <v>0</v>
      </c>
      <c r="E641" s="1658">
        <v>4645</v>
      </c>
      <c r="F641" s="1658">
        <v>4665</v>
      </c>
      <c r="G641" s="1658">
        <v>4590</v>
      </c>
      <c r="H641" s="1658">
        <v>82789</v>
      </c>
      <c r="I641" s="1658">
        <v>382529660</v>
      </c>
      <c r="J641" s="1658">
        <v>143664425520</v>
      </c>
      <c r="K641" s="1658">
        <v>31096196</v>
      </c>
    </row>
    <row r="642" spans="1:11" x14ac:dyDescent="0.3">
      <c r="A642" s="1657">
        <v>42590</v>
      </c>
      <c r="B642" s="1658">
        <v>4525</v>
      </c>
      <c r="C642" s="1658">
        <v>-95</v>
      </c>
      <c r="D642" s="1659">
        <v>-2.06</v>
      </c>
      <c r="E642" s="1658">
        <v>4610</v>
      </c>
      <c r="F642" s="1658">
        <v>4610</v>
      </c>
      <c r="G642" s="1658">
        <v>4480</v>
      </c>
      <c r="H642" s="1658">
        <v>172052</v>
      </c>
      <c r="I642" s="1658">
        <v>776671720</v>
      </c>
      <c r="J642" s="1658">
        <v>140710286900</v>
      </c>
      <c r="K642" s="1658">
        <v>31096196</v>
      </c>
    </row>
    <row r="643" spans="1:11" x14ac:dyDescent="0.3">
      <c r="A643" s="1657">
        <v>42591</v>
      </c>
      <c r="B643" s="1658">
        <v>4400</v>
      </c>
      <c r="C643" s="1658">
        <v>-125</v>
      </c>
      <c r="D643" s="1659">
        <v>-2.76</v>
      </c>
      <c r="E643" s="1658">
        <v>4485</v>
      </c>
      <c r="F643" s="1658">
        <v>4570</v>
      </c>
      <c r="G643" s="1658">
        <v>4400</v>
      </c>
      <c r="H643" s="1658">
        <v>212083</v>
      </c>
      <c r="I643" s="1658">
        <v>949404115</v>
      </c>
      <c r="J643" s="1658">
        <v>136823262400</v>
      </c>
      <c r="K643" s="1658">
        <v>31096196</v>
      </c>
    </row>
    <row r="644" spans="1:11" x14ac:dyDescent="0.3">
      <c r="A644" s="1657">
        <v>42592</v>
      </c>
      <c r="B644" s="1658">
        <v>4485</v>
      </c>
      <c r="C644" s="1658">
        <v>85</v>
      </c>
      <c r="D644" s="1659">
        <v>1.93</v>
      </c>
      <c r="E644" s="1658">
        <v>4370</v>
      </c>
      <c r="F644" s="1658">
        <v>4510</v>
      </c>
      <c r="G644" s="1658">
        <v>4370</v>
      </c>
      <c r="H644" s="1658">
        <v>71154</v>
      </c>
      <c r="I644" s="1658">
        <v>316953810</v>
      </c>
      <c r="J644" s="1658">
        <v>139466439060</v>
      </c>
      <c r="K644" s="1658">
        <v>31096196</v>
      </c>
    </row>
    <row r="645" spans="1:11" x14ac:dyDescent="0.3">
      <c r="A645" s="1657">
        <v>42593</v>
      </c>
      <c r="B645" s="1658">
        <v>4485</v>
      </c>
      <c r="C645" s="1658">
        <v>0</v>
      </c>
      <c r="D645" s="1659">
        <v>0</v>
      </c>
      <c r="E645" s="1658">
        <v>4500</v>
      </c>
      <c r="F645" s="1658">
        <v>4520</v>
      </c>
      <c r="G645" s="1658">
        <v>4465</v>
      </c>
      <c r="H645" s="1658">
        <v>37697</v>
      </c>
      <c r="I645" s="1658">
        <v>169210535</v>
      </c>
      <c r="J645" s="1658">
        <v>139466439060</v>
      </c>
      <c r="K645" s="1658">
        <v>31096196</v>
      </c>
    </row>
    <row r="646" spans="1:11" x14ac:dyDescent="0.3">
      <c r="A646" s="1657">
        <v>42594</v>
      </c>
      <c r="B646" s="1658">
        <v>4475</v>
      </c>
      <c r="C646" s="1658">
        <v>-10</v>
      </c>
      <c r="D646" s="1659">
        <v>-0.22</v>
      </c>
      <c r="E646" s="1658">
        <v>4445</v>
      </c>
      <c r="F646" s="1658">
        <v>4520</v>
      </c>
      <c r="G646" s="1658">
        <v>4400</v>
      </c>
      <c r="H646" s="1658">
        <v>96484</v>
      </c>
      <c r="I646" s="1658">
        <v>429775055</v>
      </c>
      <c r="J646" s="1658">
        <v>139155477100</v>
      </c>
      <c r="K646" s="1658">
        <v>31096196</v>
      </c>
    </row>
    <row r="647" spans="1:11" x14ac:dyDescent="0.3">
      <c r="A647" s="1657">
        <v>42598</v>
      </c>
      <c r="B647" s="1658">
        <v>4450</v>
      </c>
      <c r="C647" s="1658">
        <v>-25</v>
      </c>
      <c r="D647" s="1659">
        <v>-0.56000000000000005</v>
      </c>
      <c r="E647" s="1658">
        <v>4450</v>
      </c>
      <c r="F647" s="1658">
        <v>4530</v>
      </c>
      <c r="G647" s="1658">
        <v>4415</v>
      </c>
      <c r="H647" s="1658">
        <v>70295</v>
      </c>
      <c r="I647" s="1658">
        <v>313838630</v>
      </c>
      <c r="J647" s="1658">
        <v>138378072200</v>
      </c>
      <c r="K647" s="1658">
        <v>31096196</v>
      </c>
    </row>
    <row r="648" spans="1:11" x14ac:dyDescent="0.3">
      <c r="A648" s="1657">
        <v>42599</v>
      </c>
      <c r="B648" s="1658">
        <v>4370</v>
      </c>
      <c r="C648" s="1658">
        <v>-80</v>
      </c>
      <c r="D648" s="1659">
        <v>-1.8</v>
      </c>
      <c r="E648" s="1658">
        <v>4440</v>
      </c>
      <c r="F648" s="1658">
        <v>4490</v>
      </c>
      <c r="G648" s="1658">
        <v>4350</v>
      </c>
      <c r="H648" s="1658">
        <v>71758</v>
      </c>
      <c r="I648" s="1658">
        <v>314606115</v>
      </c>
      <c r="J648" s="1658">
        <v>135890376520</v>
      </c>
      <c r="K648" s="1658">
        <v>31096196</v>
      </c>
    </row>
    <row r="649" spans="1:11" x14ac:dyDescent="0.3">
      <c r="A649" s="1657">
        <v>42600</v>
      </c>
      <c r="B649" s="1658">
        <v>4320</v>
      </c>
      <c r="C649" s="1658">
        <v>-50</v>
      </c>
      <c r="D649" s="1659">
        <v>-1.1399999999999999</v>
      </c>
      <c r="E649" s="1658">
        <v>4350</v>
      </c>
      <c r="F649" s="1658">
        <v>4575</v>
      </c>
      <c r="G649" s="1658">
        <v>4305</v>
      </c>
      <c r="H649" s="1658">
        <v>152423</v>
      </c>
      <c r="I649" s="1658">
        <v>665412790</v>
      </c>
      <c r="J649" s="1658">
        <v>134335566720</v>
      </c>
      <c r="K649" s="1658">
        <v>31096196</v>
      </c>
    </row>
    <row r="650" spans="1:11" x14ac:dyDescent="0.3">
      <c r="A650" s="1657">
        <v>42601</v>
      </c>
      <c r="B650" s="1658">
        <v>4300</v>
      </c>
      <c r="C650" s="1658">
        <v>-20</v>
      </c>
      <c r="D650" s="1659">
        <v>-0.46</v>
      </c>
      <c r="E650" s="1658">
        <v>4310</v>
      </c>
      <c r="F650" s="1658">
        <v>4390</v>
      </c>
      <c r="G650" s="1658">
        <v>4275</v>
      </c>
      <c r="H650" s="1658">
        <v>97574</v>
      </c>
      <c r="I650" s="1658">
        <v>420935865</v>
      </c>
      <c r="J650" s="1658">
        <v>133713642800</v>
      </c>
      <c r="K650" s="1658">
        <v>31096196</v>
      </c>
    </row>
    <row r="651" spans="1:11" x14ac:dyDescent="0.3">
      <c r="A651" s="1657">
        <v>42604</v>
      </c>
      <c r="B651" s="1658">
        <v>4265</v>
      </c>
      <c r="C651" s="1658">
        <v>-35</v>
      </c>
      <c r="D651" s="1659">
        <v>-0.81</v>
      </c>
      <c r="E651" s="1658">
        <v>4305</v>
      </c>
      <c r="F651" s="1658">
        <v>4330</v>
      </c>
      <c r="G651" s="1658">
        <v>4250</v>
      </c>
      <c r="H651" s="1658">
        <v>77449</v>
      </c>
      <c r="I651" s="1658">
        <v>332507995</v>
      </c>
      <c r="J651" s="1658">
        <v>132625275940</v>
      </c>
      <c r="K651" s="1658">
        <v>31096196</v>
      </c>
    </row>
    <row r="652" spans="1:11" x14ac:dyDescent="0.3">
      <c r="A652" s="1657">
        <v>42605</v>
      </c>
      <c r="B652" s="1658">
        <v>4195</v>
      </c>
      <c r="C652" s="1658">
        <v>-70</v>
      </c>
      <c r="D652" s="1659">
        <v>-1.64</v>
      </c>
      <c r="E652" s="1658">
        <v>4250</v>
      </c>
      <c r="F652" s="1658">
        <v>4330</v>
      </c>
      <c r="G652" s="1658">
        <v>4195</v>
      </c>
      <c r="H652" s="1658">
        <v>158093</v>
      </c>
      <c r="I652" s="1658">
        <v>669873675</v>
      </c>
      <c r="J652" s="1658">
        <v>130448542220</v>
      </c>
      <c r="K652" s="1658">
        <v>31096196</v>
      </c>
    </row>
    <row r="653" spans="1:11" x14ac:dyDescent="0.3">
      <c r="A653" s="1657">
        <v>42606</v>
      </c>
      <c r="B653" s="1658">
        <v>4225</v>
      </c>
      <c r="C653" s="1658">
        <v>30</v>
      </c>
      <c r="D653" s="1659">
        <v>0.72</v>
      </c>
      <c r="E653" s="1658">
        <v>4195</v>
      </c>
      <c r="F653" s="1658">
        <v>4250</v>
      </c>
      <c r="G653" s="1658">
        <v>4155</v>
      </c>
      <c r="H653" s="1658">
        <v>70692</v>
      </c>
      <c r="I653" s="1658">
        <v>296996970</v>
      </c>
      <c r="J653" s="1658">
        <v>131381428100</v>
      </c>
      <c r="K653" s="1658">
        <v>31096196</v>
      </c>
    </row>
    <row r="654" spans="1:11" x14ac:dyDescent="0.3">
      <c r="A654" s="1657">
        <v>42607</v>
      </c>
      <c r="B654" s="1658">
        <v>4190</v>
      </c>
      <c r="C654" s="1658">
        <v>-35</v>
      </c>
      <c r="D654" s="1659">
        <v>-0.83</v>
      </c>
      <c r="E654" s="1658">
        <v>4190</v>
      </c>
      <c r="F654" s="1658">
        <v>4235</v>
      </c>
      <c r="G654" s="1658">
        <v>4160</v>
      </c>
      <c r="H654" s="1658">
        <v>97330</v>
      </c>
      <c r="I654" s="1658">
        <v>408010740</v>
      </c>
      <c r="J654" s="1658">
        <v>130293061240</v>
      </c>
      <c r="K654" s="1658">
        <v>31096196</v>
      </c>
    </row>
    <row r="655" spans="1:11" x14ac:dyDescent="0.3">
      <c r="A655" s="1657">
        <v>42608</v>
      </c>
      <c r="B655" s="1658">
        <v>4115</v>
      </c>
      <c r="C655" s="1658">
        <v>-75</v>
      </c>
      <c r="D655" s="1659">
        <v>-1.79</v>
      </c>
      <c r="E655" s="1658">
        <v>4110</v>
      </c>
      <c r="F655" s="1658">
        <v>4190</v>
      </c>
      <c r="G655" s="1658">
        <v>4050</v>
      </c>
      <c r="H655" s="1658">
        <v>81174</v>
      </c>
      <c r="I655" s="1658">
        <v>333784260</v>
      </c>
      <c r="J655" s="1658">
        <v>127960846540</v>
      </c>
      <c r="K655" s="1658">
        <v>31096196</v>
      </c>
    </row>
    <row r="656" spans="1:11" x14ac:dyDescent="0.3">
      <c r="A656" s="1657">
        <v>42611</v>
      </c>
      <c r="B656" s="1658">
        <v>3940</v>
      </c>
      <c r="C656" s="1658">
        <v>-175</v>
      </c>
      <c r="D656" s="1659">
        <v>-4.25</v>
      </c>
      <c r="E656" s="1658">
        <v>4050</v>
      </c>
      <c r="F656" s="1658">
        <v>4080</v>
      </c>
      <c r="G656" s="1658">
        <v>3930</v>
      </c>
      <c r="H656" s="1658">
        <v>179776</v>
      </c>
      <c r="I656" s="1658">
        <v>717944910</v>
      </c>
      <c r="J656" s="1658">
        <v>122519012240</v>
      </c>
      <c r="K656" s="1658">
        <v>31096196</v>
      </c>
    </row>
    <row r="657" spans="1:11" x14ac:dyDescent="0.3">
      <c r="A657" s="1657">
        <v>42612</v>
      </c>
      <c r="B657" s="1658">
        <v>4085</v>
      </c>
      <c r="C657" s="1658">
        <v>145</v>
      </c>
      <c r="D657" s="1659">
        <v>3.68</v>
      </c>
      <c r="E657" s="1658">
        <v>3890</v>
      </c>
      <c r="F657" s="1658">
        <v>4400</v>
      </c>
      <c r="G657" s="1658">
        <v>3890</v>
      </c>
      <c r="H657" s="1658">
        <v>236546</v>
      </c>
      <c r="I657" s="1658">
        <v>985579100</v>
      </c>
      <c r="J657" s="1658">
        <v>127027960660</v>
      </c>
      <c r="K657" s="1658">
        <v>31096196</v>
      </c>
    </row>
    <row r="658" spans="1:11" x14ac:dyDescent="0.3">
      <c r="A658" s="1657">
        <v>42613</v>
      </c>
      <c r="B658" s="1658">
        <v>4130</v>
      </c>
      <c r="C658" s="1658">
        <v>45</v>
      </c>
      <c r="D658" s="1659">
        <v>1.1000000000000001</v>
      </c>
      <c r="E658" s="1658">
        <v>4140</v>
      </c>
      <c r="F658" s="1658">
        <v>4385</v>
      </c>
      <c r="G658" s="1658">
        <v>4005</v>
      </c>
      <c r="H658" s="1658">
        <v>429974</v>
      </c>
      <c r="I658" s="1658">
        <v>1810353985</v>
      </c>
      <c r="J658" s="1658">
        <v>128427289480</v>
      </c>
      <c r="K658" s="1658">
        <v>31096196</v>
      </c>
    </row>
    <row r="659" spans="1:11" x14ac:dyDescent="0.3">
      <c r="A659" s="1657">
        <v>42614</v>
      </c>
      <c r="B659" s="1658">
        <v>4280</v>
      </c>
      <c r="C659" s="1658">
        <v>150</v>
      </c>
      <c r="D659" s="1659">
        <v>3.63</v>
      </c>
      <c r="E659" s="1658">
        <v>4140</v>
      </c>
      <c r="F659" s="1658">
        <v>4285</v>
      </c>
      <c r="G659" s="1658">
        <v>4130</v>
      </c>
      <c r="H659" s="1658">
        <v>113401</v>
      </c>
      <c r="I659" s="1658">
        <v>477052250</v>
      </c>
      <c r="J659" s="1658">
        <v>133091718880</v>
      </c>
      <c r="K659" s="1658">
        <v>31096196</v>
      </c>
    </row>
    <row r="660" spans="1:11" x14ac:dyDescent="0.3">
      <c r="A660" s="1657">
        <v>42615</v>
      </c>
      <c r="B660" s="1658">
        <v>4280</v>
      </c>
      <c r="C660" s="1658">
        <v>0</v>
      </c>
      <c r="D660" s="1659">
        <v>0</v>
      </c>
      <c r="E660" s="1658">
        <v>4285</v>
      </c>
      <c r="F660" s="1658">
        <v>4330</v>
      </c>
      <c r="G660" s="1658">
        <v>4205</v>
      </c>
      <c r="H660" s="1658">
        <v>65059</v>
      </c>
      <c r="I660" s="1658">
        <v>278641215</v>
      </c>
      <c r="J660" s="1658">
        <v>133091718880</v>
      </c>
      <c r="K660" s="1658">
        <v>31096196</v>
      </c>
    </row>
    <row r="661" spans="1:11" x14ac:dyDescent="0.3">
      <c r="A661" s="1657">
        <v>42618</v>
      </c>
      <c r="B661" s="1658">
        <v>4285</v>
      </c>
      <c r="C661" s="1658">
        <v>5</v>
      </c>
      <c r="D661" s="1659">
        <v>0.12</v>
      </c>
      <c r="E661" s="1658">
        <v>4285</v>
      </c>
      <c r="F661" s="1658">
        <v>4340</v>
      </c>
      <c r="G661" s="1658">
        <v>4180</v>
      </c>
      <c r="H661" s="1658">
        <v>81310</v>
      </c>
      <c r="I661" s="1658">
        <v>345686495</v>
      </c>
      <c r="J661" s="1658">
        <v>133247199860</v>
      </c>
      <c r="K661" s="1658">
        <v>31096196</v>
      </c>
    </row>
    <row r="662" spans="1:11" x14ac:dyDescent="0.3">
      <c r="A662" s="1657">
        <v>42619</v>
      </c>
      <c r="B662" s="1658">
        <v>4185</v>
      </c>
      <c r="C662" s="1658">
        <v>-100</v>
      </c>
      <c r="D662" s="1659">
        <v>-2.33</v>
      </c>
      <c r="E662" s="1658">
        <v>4260</v>
      </c>
      <c r="F662" s="1658">
        <v>4310</v>
      </c>
      <c r="G662" s="1658">
        <v>4180</v>
      </c>
      <c r="H662" s="1658">
        <v>59892</v>
      </c>
      <c r="I662" s="1658">
        <v>252588990</v>
      </c>
      <c r="J662" s="1658">
        <v>130137580260</v>
      </c>
      <c r="K662" s="1658">
        <v>31096196</v>
      </c>
    </row>
    <row r="663" spans="1:11" x14ac:dyDescent="0.3">
      <c r="A663" s="1657">
        <v>42620</v>
      </c>
      <c r="B663" s="1658">
        <v>4120</v>
      </c>
      <c r="C663" s="1658">
        <v>-65</v>
      </c>
      <c r="D663" s="1659">
        <v>-1.55</v>
      </c>
      <c r="E663" s="1658">
        <v>4185</v>
      </c>
      <c r="F663" s="1658">
        <v>4240</v>
      </c>
      <c r="G663" s="1658">
        <v>4030</v>
      </c>
      <c r="H663" s="1658">
        <v>75558</v>
      </c>
      <c r="I663" s="1658">
        <v>310691590</v>
      </c>
      <c r="J663" s="1658">
        <v>128116327520</v>
      </c>
      <c r="K663" s="1658">
        <v>31096196</v>
      </c>
    </row>
    <row r="664" spans="1:11" x14ac:dyDescent="0.3">
      <c r="A664" s="1657">
        <v>42621</v>
      </c>
      <c r="B664" s="1658">
        <v>3945</v>
      </c>
      <c r="C664" s="1658">
        <v>-175</v>
      </c>
      <c r="D664" s="1659">
        <v>-4.25</v>
      </c>
      <c r="E664" s="1658">
        <v>4120</v>
      </c>
      <c r="F664" s="1658">
        <v>4200</v>
      </c>
      <c r="G664" s="1658">
        <v>3925</v>
      </c>
      <c r="H664" s="1658">
        <v>160291</v>
      </c>
      <c r="I664" s="1658">
        <v>640625320</v>
      </c>
      <c r="J664" s="1658">
        <v>122674493220</v>
      </c>
      <c r="K664" s="1658">
        <v>31096196</v>
      </c>
    </row>
    <row r="665" spans="1:11" x14ac:dyDescent="0.3">
      <c r="A665" s="1657">
        <v>42622</v>
      </c>
      <c r="B665" s="1658">
        <v>3995</v>
      </c>
      <c r="C665" s="1658">
        <v>50</v>
      </c>
      <c r="D665" s="1659">
        <v>1.27</v>
      </c>
      <c r="E665" s="1658">
        <v>3945</v>
      </c>
      <c r="F665" s="1658">
        <v>4040</v>
      </c>
      <c r="G665" s="1658">
        <v>3915</v>
      </c>
      <c r="H665" s="1658">
        <v>82961</v>
      </c>
      <c r="I665" s="1658">
        <v>328033010</v>
      </c>
      <c r="J665" s="1658">
        <v>124229303020</v>
      </c>
      <c r="K665" s="1658">
        <v>31096196</v>
      </c>
    </row>
    <row r="666" spans="1:11" x14ac:dyDescent="0.3">
      <c r="A666" s="1657">
        <v>42625</v>
      </c>
      <c r="B666" s="1658">
        <v>3895</v>
      </c>
      <c r="C666" s="1658">
        <v>-100</v>
      </c>
      <c r="D666" s="1659">
        <v>-2.5</v>
      </c>
      <c r="E666" s="1658">
        <v>3900</v>
      </c>
      <c r="F666" s="1658">
        <v>3990</v>
      </c>
      <c r="G666" s="1658">
        <v>3895</v>
      </c>
      <c r="H666" s="1658">
        <v>75278</v>
      </c>
      <c r="I666" s="1658">
        <v>295215460</v>
      </c>
      <c r="J666" s="1658">
        <v>121119683420</v>
      </c>
      <c r="K666" s="1658">
        <v>31096196</v>
      </c>
    </row>
    <row r="667" spans="1:11" x14ac:dyDescent="0.3">
      <c r="A667" s="1657">
        <v>42626</v>
      </c>
      <c r="B667" s="1658">
        <v>3905</v>
      </c>
      <c r="C667" s="1658">
        <v>10</v>
      </c>
      <c r="D667" s="1659">
        <v>0.26</v>
      </c>
      <c r="E667" s="1658">
        <v>3825</v>
      </c>
      <c r="F667" s="1658">
        <v>3935</v>
      </c>
      <c r="G667" s="1658">
        <v>3825</v>
      </c>
      <c r="H667" s="1658">
        <v>74126</v>
      </c>
      <c r="I667" s="1658">
        <v>287096345</v>
      </c>
      <c r="J667" s="1658">
        <v>121430645380</v>
      </c>
      <c r="K667" s="1658">
        <v>31096196</v>
      </c>
    </row>
    <row r="668" spans="1:11" x14ac:dyDescent="0.3">
      <c r="A668" s="1657">
        <v>42632</v>
      </c>
      <c r="B668" s="1658">
        <v>3900</v>
      </c>
      <c r="C668" s="1658">
        <v>-5</v>
      </c>
      <c r="D668" s="1659">
        <v>-0.13</v>
      </c>
      <c r="E668" s="1658">
        <v>3910</v>
      </c>
      <c r="F668" s="1658">
        <v>3980</v>
      </c>
      <c r="G668" s="1658">
        <v>3850</v>
      </c>
      <c r="H668" s="1658">
        <v>75613</v>
      </c>
      <c r="I668" s="1658">
        <v>295602660</v>
      </c>
      <c r="J668" s="1658">
        <v>121275164400</v>
      </c>
      <c r="K668" s="1658">
        <v>31096196</v>
      </c>
    </row>
    <row r="669" spans="1:11" x14ac:dyDescent="0.3">
      <c r="A669" s="1657">
        <v>42633</v>
      </c>
      <c r="B669" s="1658">
        <v>3915</v>
      </c>
      <c r="C669" s="1658">
        <v>15</v>
      </c>
      <c r="D669" s="1659">
        <v>0.38</v>
      </c>
      <c r="E669" s="1658">
        <v>3925</v>
      </c>
      <c r="F669" s="1658">
        <v>3965</v>
      </c>
      <c r="G669" s="1658">
        <v>3895</v>
      </c>
      <c r="H669" s="1658">
        <v>48641</v>
      </c>
      <c r="I669" s="1658">
        <v>190842775</v>
      </c>
      <c r="J669" s="1658">
        <v>121741607340</v>
      </c>
      <c r="K669" s="1658">
        <v>31096196</v>
      </c>
    </row>
    <row r="670" spans="1:11" x14ac:dyDescent="0.3">
      <c r="A670" s="1657">
        <v>42634</v>
      </c>
      <c r="B670" s="1658">
        <v>3935</v>
      </c>
      <c r="C670" s="1658">
        <v>20</v>
      </c>
      <c r="D670" s="1659">
        <v>0.51</v>
      </c>
      <c r="E670" s="1658">
        <v>3905</v>
      </c>
      <c r="F670" s="1658">
        <v>3950</v>
      </c>
      <c r="G670" s="1658">
        <v>3905</v>
      </c>
      <c r="H670" s="1658">
        <v>66504</v>
      </c>
      <c r="I670" s="1658">
        <v>261123965</v>
      </c>
      <c r="J670" s="1658">
        <v>122363531260</v>
      </c>
      <c r="K670" s="1658">
        <v>31096196</v>
      </c>
    </row>
    <row r="671" spans="1:11" x14ac:dyDescent="0.3">
      <c r="A671" s="1657">
        <v>42635</v>
      </c>
      <c r="B671" s="1658">
        <v>4030</v>
      </c>
      <c r="C671" s="1658">
        <v>95</v>
      </c>
      <c r="D671" s="1659">
        <v>2.41</v>
      </c>
      <c r="E671" s="1658">
        <v>3940</v>
      </c>
      <c r="F671" s="1658">
        <v>4045</v>
      </c>
      <c r="G671" s="1658">
        <v>3940</v>
      </c>
      <c r="H671" s="1658">
        <v>88398</v>
      </c>
      <c r="I671" s="1658">
        <v>352944825</v>
      </c>
      <c r="J671" s="1658">
        <v>125317669880</v>
      </c>
      <c r="K671" s="1658">
        <v>31096196</v>
      </c>
    </row>
    <row r="672" spans="1:11" x14ac:dyDescent="0.3">
      <c r="A672" s="1657">
        <v>42636</v>
      </c>
      <c r="B672" s="1658">
        <v>4065</v>
      </c>
      <c r="C672" s="1658">
        <v>35</v>
      </c>
      <c r="D672" s="1659">
        <v>0.87</v>
      </c>
      <c r="E672" s="1658">
        <v>4025</v>
      </c>
      <c r="F672" s="1658">
        <v>4085</v>
      </c>
      <c r="G672" s="1658">
        <v>3990</v>
      </c>
      <c r="H672" s="1658">
        <v>47189</v>
      </c>
      <c r="I672" s="1658">
        <v>190243175</v>
      </c>
      <c r="J672" s="1658">
        <v>126406036740</v>
      </c>
      <c r="K672" s="1658">
        <v>31096196</v>
      </c>
    </row>
    <row r="673" spans="1:11" x14ac:dyDescent="0.3">
      <c r="A673" s="1657">
        <v>42639</v>
      </c>
      <c r="B673" s="1658">
        <v>3940</v>
      </c>
      <c r="C673" s="1658">
        <v>-125</v>
      </c>
      <c r="D673" s="1659">
        <v>-3.08</v>
      </c>
      <c r="E673" s="1658">
        <v>4020</v>
      </c>
      <c r="F673" s="1658">
        <v>4065</v>
      </c>
      <c r="G673" s="1658">
        <v>3915</v>
      </c>
      <c r="H673" s="1658">
        <v>109778</v>
      </c>
      <c r="I673" s="1658">
        <v>435602675</v>
      </c>
      <c r="J673" s="1658">
        <v>122519012240</v>
      </c>
      <c r="K673" s="1658">
        <v>31096196</v>
      </c>
    </row>
    <row r="674" spans="1:11" x14ac:dyDescent="0.3">
      <c r="A674" s="1657">
        <v>42640</v>
      </c>
      <c r="B674" s="1658">
        <v>3915</v>
      </c>
      <c r="C674" s="1658">
        <v>-25</v>
      </c>
      <c r="D674" s="1659">
        <v>-0.63</v>
      </c>
      <c r="E674" s="1658">
        <v>3960</v>
      </c>
      <c r="F674" s="1658">
        <v>3990</v>
      </c>
      <c r="G674" s="1658">
        <v>3910</v>
      </c>
      <c r="H674" s="1658">
        <v>66045</v>
      </c>
      <c r="I674" s="1658">
        <v>260460640</v>
      </c>
      <c r="J674" s="1658">
        <v>121741607340</v>
      </c>
      <c r="K674" s="1658">
        <v>31096196</v>
      </c>
    </row>
    <row r="675" spans="1:11" x14ac:dyDescent="0.3">
      <c r="A675" s="1657">
        <v>42641</v>
      </c>
      <c r="B675" s="1658">
        <v>3935</v>
      </c>
      <c r="C675" s="1658">
        <v>20</v>
      </c>
      <c r="D675" s="1659">
        <v>0.51</v>
      </c>
      <c r="E675" s="1658">
        <v>3940</v>
      </c>
      <c r="F675" s="1658">
        <v>3980</v>
      </c>
      <c r="G675" s="1658">
        <v>3910</v>
      </c>
      <c r="H675" s="1658">
        <v>50266</v>
      </c>
      <c r="I675" s="1658">
        <v>198082930</v>
      </c>
      <c r="J675" s="1658">
        <v>122363531260</v>
      </c>
      <c r="K675" s="1658">
        <v>31096196</v>
      </c>
    </row>
    <row r="676" spans="1:11" x14ac:dyDescent="0.3">
      <c r="A676" s="1657">
        <v>42642</v>
      </c>
      <c r="B676" s="1658">
        <v>3925</v>
      </c>
      <c r="C676" s="1658">
        <v>-10</v>
      </c>
      <c r="D676" s="1659">
        <v>-0.25</v>
      </c>
      <c r="E676" s="1658">
        <v>3935</v>
      </c>
      <c r="F676" s="1658">
        <v>3975</v>
      </c>
      <c r="G676" s="1658">
        <v>3895</v>
      </c>
      <c r="H676" s="1658">
        <v>68272</v>
      </c>
      <c r="I676" s="1658">
        <v>267402065</v>
      </c>
      <c r="J676" s="1658">
        <v>122052569300</v>
      </c>
      <c r="K676" s="1658">
        <v>31096196</v>
      </c>
    </row>
    <row r="677" spans="1:11" x14ac:dyDescent="0.3">
      <c r="A677" s="1657">
        <v>42643</v>
      </c>
      <c r="B677" s="1658">
        <v>3790</v>
      </c>
      <c r="C677" s="1658">
        <v>-135</v>
      </c>
      <c r="D677" s="1659">
        <v>-3.44</v>
      </c>
      <c r="E677" s="1658">
        <v>3895</v>
      </c>
      <c r="F677" s="1658">
        <v>3925</v>
      </c>
      <c r="G677" s="1658">
        <v>3760</v>
      </c>
      <c r="H677" s="1658">
        <v>156599</v>
      </c>
      <c r="I677" s="1658">
        <v>599211880</v>
      </c>
      <c r="J677" s="1658">
        <v>117854582840</v>
      </c>
      <c r="K677" s="1658">
        <v>31096196</v>
      </c>
    </row>
    <row r="678" spans="1:11" x14ac:dyDescent="0.3">
      <c r="A678" s="1657">
        <v>42647</v>
      </c>
      <c r="B678" s="1658">
        <v>3825</v>
      </c>
      <c r="C678" s="1658">
        <v>35</v>
      </c>
      <c r="D678" s="1659">
        <v>0.92</v>
      </c>
      <c r="E678" s="1658">
        <v>3810</v>
      </c>
      <c r="F678" s="1658">
        <v>3870</v>
      </c>
      <c r="G678" s="1658">
        <v>3780</v>
      </c>
      <c r="H678" s="1658">
        <v>45987</v>
      </c>
      <c r="I678" s="1658">
        <v>175379215</v>
      </c>
      <c r="J678" s="1658">
        <v>118942949700</v>
      </c>
      <c r="K678" s="1658">
        <v>31096196</v>
      </c>
    </row>
    <row r="679" spans="1:11" x14ac:dyDescent="0.3">
      <c r="A679" s="1657">
        <v>42648</v>
      </c>
      <c r="B679" s="1658">
        <v>3840</v>
      </c>
      <c r="C679" s="1658">
        <v>15</v>
      </c>
      <c r="D679" s="1659">
        <v>0.39</v>
      </c>
      <c r="E679" s="1658">
        <v>3715</v>
      </c>
      <c r="F679" s="1658">
        <v>3840</v>
      </c>
      <c r="G679" s="1658">
        <v>3715</v>
      </c>
      <c r="H679" s="1658">
        <v>58187</v>
      </c>
      <c r="I679" s="1658">
        <v>219891450</v>
      </c>
      <c r="J679" s="1658">
        <v>119409392640</v>
      </c>
      <c r="K679" s="1658">
        <v>31096196</v>
      </c>
    </row>
    <row r="680" spans="1:11" x14ac:dyDescent="0.3">
      <c r="A680" s="1657">
        <v>42649</v>
      </c>
      <c r="B680" s="1658">
        <v>3805</v>
      </c>
      <c r="C680" s="1658">
        <v>-35</v>
      </c>
      <c r="D680" s="1659">
        <v>-0.91</v>
      </c>
      <c r="E680" s="1658">
        <v>3825</v>
      </c>
      <c r="F680" s="1658">
        <v>3840</v>
      </c>
      <c r="G680" s="1658">
        <v>3750</v>
      </c>
      <c r="H680" s="1658">
        <v>34082</v>
      </c>
      <c r="I680" s="1658">
        <v>129695925</v>
      </c>
      <c r="J680" s="1658">
        <v>118321025780</v>
      </c>
      <c r="K680" s="1658">
        <v>31096196</v>
      </c>
    </row>
    <row r="681" spans="1:11" x14ac:dyDescent="0.3">
      <c r="A681" s="1657">
        <v>42650</v>
      </c>
      <c r="B681" s="1658">
        <v>3745</v>
      </c>
      <c r="C681" s="1658">
        <v>-60</v>
      </c>
      <c r="D681" s="1659">
        <v>-1.58</v>
      </c>
      <c r="E681" s="1658">
        <v>3810</v>
      </c>
      <c r="F681" s="1658">
        <v>3830</v>
      </c>
      <c r="G681" s="1658">
        <v>3700</v>
      </c>
      <c r="H681" s="1658">
        <v>70072</v>
      </c>
      <c r="I681" s="1658">
        <v>261919240</v>
      </c>
      <c r="J681" s="1658">
        <v>116455254020</v>
      </c>
      <c r="K681" s="1658">
        <v>31096196</v>
      </c>
    </row>
    <row r="682" spans="1:11" x14ac:dyDescent="0.3">
      <c r="A682" s="1657">
        <v>42653</v>
      </c>
      <c r="B682" s="1658">
        <v>3725</v>
      </c>
      <c r="C682" s="1658">
        <v>-20</v>
      </c>
      <c r="D682" s="1659">
        <v>-0.53</v>
      </c>
      <c r="E682" s="1658">
        <v>3675</v>
      </c>
      <c r="F682" s="1658">
        <v>3800</v>
      </c>
      <c r="G682" s="1658">
        <v>3675</v>
      </c>
      <c r="H682" s="1658">
        <v>56807</v>
      </c>
      <c r="I682" s="1658">
        <v>212115620</v>
      </c>
      <c r="J682" s="1658">
        <v>115833330100</v>
      </c>
      <c r="K682" s="1658">
        <v>31096196</v>
      </c>
    </row>
    <row r="683" spans="1:11" x14ac:dyDescent="0.3">
      <c r="A683" s="1657">
        <v>42654</v>
      </c>
      <c r="B683" s="1658">
        <v>3700</v>
      </c>
      <c r="C683" s="1658">
        <v>-25</v>
      </c>
      <c r="D683" s="1659">
        <v>-0.67</v>
      </c>
      <c r="E683" s="1658">
        <v>3740</v>
      </c>
      <c r="F683" s="1658">
        <v>3750</v>
      </c>
      <c r="G683" s="1658">
        <v>3655</v>
      </c>
      <c r="H683" s="1658">
        <v>73131</v>
      </c>
      <c r="I683" s="1658">
        <v>271018795</v>
      </c>
      <c r="J683" s="1658">
        <v>115055925200</v>
      </c>
      <c r="K683" s="1658">
        <v>31096196</v>
      </c>
    </row>
    <row r="684" spans="1:11" x14ac:dyDescent="0.3">
      <c r="A684" s="1657">
        <v>42655</v>
      </c>
      <c r="B684" s="1658">
        <v>3795</v>
      </c>
      <c r="C684" s="1658">
        <v>95</v>
      </c>
      <c r="D684" s="1659">
        <v>2.57</v>
      </c>
      <c r="E684" s="1658">
        <v>3690</v>
      </c>
      <c r="F684" s="1658">
        <v>3950</v>
      </c>
      <c r="G684" s="1658">
        <v>3630</v>
      </c>
      <c r="H684" s="1658">
        <v>251671</v>
      </c>
      <c r="I684" s="1658">
        <v>956897080</v>
      </c>
      <c r="J684" s="1658">
        <v>118010063820</v>
      </c>
      <c r="K684" s="1658">
        <v>31096196</v>
      </c>
    </row>
    <row r="685" spans="1:11" x14ac:dyDescent="0.3">
      <c r="A685" s="1657">
        <v>42656</v>
      </c>
      <c r="B685" s="1658">
        <v>3750</v>
      </c>
      <c r="C685" s="1658">
        <v>-45</v>
      </c>
      <c r="D685" s="1659">
        <v>-1.19</v>
      </c>
      <c r="E685" s="1658">
        <v>3790</v>
      </c>
      <c r="F685" s="1658">
        <v>3830</v>
      </c>
      <c r="G685" s="1658">
        <v>3750</v>
      </c>
      <c r="H685" s="1658">
        <v>57455</v>
      </c>
      <c r="I685" s="1658">
        <v>216597075</v>
      </c>
      <c r="J685" s="1658">
        <v>116610735000</v>
      </c>
      <c r="K685" s="1658">
        <v>31096196</v>
      </c>
    </row>
    <row r="686" spans="1:11" x14ac:dyDescent="0.3">
      <c r="A686" s="1657">
        <v>42657</v>
      </c>
      <c r="B686" s="1658">
        <v>4025</v>
      </c>
      <c r="C686" s="1658">
        <v>275</v>
      </c>
      <c r="D686" s="1659">
        <v>7.33</v>
      </c>
      <c r="E686" s="1658">
        <v>3800</v>
      </c>
      <c r="F686" s="1658">
        <v>4770</v>
      </c>
      <c r="G686" s="1658">
        <v>3730</v>
      </c>
      <c r="H686" s="1658">
        <v>3160017</v>
      </c>
      <c r="I686" s="1658">
        <v>13657172910</v>
      </c>
      <c r="J686" s="1658">
        <v>125162188900</v>
      </c>
      <c r="K686" s="1658">
        <v>31096196</v>
      </c>
    </row>
    <row r="687" spans="1:11" x14ac:dyDescent="0.3">
      <c r="A687" s="1657">
        <v>42660</v>
      </c>
      <c r="B687" s="1658">
        <v>4060</v>
      </c>
      <c r="C687" s="1658">
        <v>35</v>
      </c>
      <c r="D687" s="1659">
        <v>0.87</v>
      </c>
      <c r="E687" s="1658">
        <v>4060</v>
      </c>
      <c r="F687" s="1658">
        <v>4060</v>
      </c>
      <c r="G687" s="1658">
        <v>3900</v>
      </c>
      <c r="H687" s="1658">
        <v>489746</v>
      </c>
      <c r="I687" s="1658">
        <v>1954020035</v>
      </c>
      <c r="J687" s="1658">
        <v>126250555760</v>
      </c>
      <c r="K687" s="1658">
        <v>31096196</v>
      </c>
    </row>
    <row r="688" spans="1:11" x14ac:dyDescent="0.3">
      <c r="A688" s="1657">
        <v>42661</v>
      </c>
      <c r="B688" s="1658">
        <v>3930</v>
      </c>
      <c r="C688" s="1658">
        <v>-130</v>
      </c>
      <c r="D688" s="1659">
        <v>-3.2</v>
      </c>
      <c r="E688" s="1658">
        <v>4080</v>
      </c>
      <c r="F688" s="1658">
        <v>4095</v>
      </c>
      <c r="G688" s="1658">
        <v>3930</v>
      </c>
      <c r="H688" s="1658">
        <v>228054</v>
      </c>
      <c r="I688" s="1658">
        <v>912084495</v>
      </c>
      <c r="J688" s="1658">
        <v>122208050280</v>
      </c>
      <c r="K688" s="1658">
        <v>31096196</v>
      </c>
    </row>
    <row r="689" spans="1:11" x14ac:dyDescent="0.3">
      <c r="A689" s="1657">
        <v>42662</v>
      </c>
      <c r="B689" s="1658">
        <v>3930</v>
      </c>
      <c r="C689" s="1658">
        <v>0</v>
      </c>
      <c r="D689" s="1659">
        <v>0</v>
      </c>
      <c r="E689" s="1658">
        <v>3970</v>
      </c>
      <c r="F689" s="1658">
        <v>3990</v>
      </c>
      <c r="G689" s="1658">
        <v>3900</v>
      </c>
      <c r="H689" s="1658">
        <v>159737</v>
      </c>
      <c r="I689" s="1658">
        <v>629766840</v>
      </c>
      <c r="J689" s="1658">
        <v>122208050280</v>
      </c>
      <c r="K689" s="1658">
        <v>31096196</v>
      </c>
    </row>
    <row r="690" spans="1:11" x14ac:dyDescent="0.3">
      <c r="A690" s="1657">
        <v>42663</v>
      </c>
      <c r="B690" s="1658">
        <v>3870</v>
      </c>
      <c r="C690" s="1658">
        <v>-60</v>
      </c>
      <c r="D690" s="1659">
        <v>-1.53</v>
      </c>
      <c r="E690" s="1658">
        <v>3930</v>
      </c>
      <c r="F690" s="1658">
        <v>3960</v>
      </c>
      <c r="G690" s="1658">
        <v>3860</v>
      </c>
      <c r="H690" s="1658">
        <v>106765</v>
      </c>
      <c r="I690" s="1658">
        <v>416632550</v>
      </c>
      <c r="J690" s="1658">
        <v>120342278520</v>
      </c>
      <c r="K690" s="1658">
        <v>31096196</v>
      </c>
    </row>
    <row r="691" spans="1:11" x14ac:dyDescent="0.3">
      <c r="A691" s="1657">
        <v>42664</v>
      </c>
      <c r="B691" s="1658">
        <v>3755</v>
      </c>
      <c r="C691" s="1658">
        <v>-115</v>
      </c>
      <c r="D691" s="1659">
        <v>-2.97</v>
      </c>
      <c r="E691" s="1658">
        <v>3880</v>
      </c>
      <c r="F691" s="1658">
        <v>3930</v>
      </c>
      <c r="G691" s="1658">
        <v>3755</v>
      </c>
      <c r="H691" s="1658">
        <v>138303</v>
      </c>
      <c r="I691" s="1658">
        <v>526577585</v>
      </c>
      <c r="J691" s="1658">
        <v>116766215980</v>
      </c>
      <c r="K691" s="1658">
        <v>31096196</v>
      </c>
    </row>
    <row r="692" spans="1:11" x14ac:dyDescent="0.3">
      <c r="A692" s="1657">
        <v>42667</v>
      </c>
      <c r="B692" s="1658">
        <v>3665</v>
      </c>
      <c r="C692" s="1658">
        <v>-90</v>
      </c>
      <c r="D692" s="1659">
        <v>-2.4</v>
      </c>
      <c r="E692" s="1658">
        <v>3760</v>
      </c>
      <c r="F692" s="1658">
        <v>3840</v>
      </c>
      <c r="G692" s="1658">
        <v>3635</v>
      </c>
      <c r="H692" s="1658">
        <v>114728</v>
      </c>
      <c r="I692" s="1658">
        <v>425401635</v>
      </c>
      <c r="J692" s="1658">
        <v>113967558340</v>
      </c>
      <c r="K692" s="1658">
        <v>31096196</v>
      </c>
    </row>
    <row r="693" spans="1:11" x14ac:dyDescent="0.3">
      <c r="A693" s="1657">
        <v>42668</v>
      </c>
      <c r="B693" s="1658">
        <v>3610</v>
      </c>
      <c r="C693" s="1658">
        <v>-55</v>
      </c>
      <c r="D693" s="1659">
        <v>-1.5</v>
      </c>
      <c r="E693" s="1658">
        <v>3675</v>
      </c>
      <c r="F693" s="1658">
        <v>3700</v>
      </c>
      <c r="G693" s="1658">
        <v>3605</v>
      </c>
      <c r="H693" s="1658">
        <v>99101</v>
      </c>
      <c r="I693" s="1658">
        <v>359333580</v>
      </c>
      <c r="J693" s="1658">
        <v>112257267560</v>
      </c>
      <c r="K693" s="1658">
        <v>31096196</v>
      </c>
    </row>
    <row r="694" spans="1:11" x14ac:dyDescent="0.3">
      <c r="A694" s="1657">
        <v>42669</v>
      </c>
      <c r="B694" s="1658">
        <v>3545</v>
      </c>
      <c r="C694" s="1658">
        <v>-65</v>
      </c>
      <c r="D694" s="1659">
        <v>-1.8</v>
      </c>
      <c r="E694" s="1658">
        <v>3600</v>
      </c>
      <c r="F694" s="1658">
        <v>3630</v>
      </c>
      <c r="G694" s="1658">
        <v>3535</v>
      </c>
      <c r="H694" s="1658">
        <v>97975</v>
      </c>
      <c r="I694" s="1658">
        <v>348817215</v>
      </c>
      <c r="J694" s="1658">
        <v>110236014820</v>
      </c>
      <c r="K694" s="1658">
        <v>31096196</v>
      </c>
    </row>
    <row r="695" spans="1:11" x14ac:dyDescent="0.3">
      <c r="A695" s="1657">
        <v>42670</v>
      </c>
      <c r="B695" s="1658">
        <v>3605</v>
      </c>
      <c r="C695" s="1658">
        <v>60</v>
      </c>
      <c r="D695" s="1659">
        <v>1.69</v>
      </c>
      <c r="E695" s="1658">
        <v>3545</v>
      </c>
      <c r="F695" s="1658">
        <v>3635</v>
      </c>
      <c r="G695" s="1658">
        <v>3510</v>
      </c>
      <c r="H695" s="1658">
        <v>41741</v>
      </c>
      <c r="I695" s="1658">
        <v>149882725</v>
      </c>
      <c r="J695" s="1658">
        <v>112101786580</v>
      </c>
      <c r="K695" s="1658">
        <v>31096196</v>
      </c>
    </row>
    <row r="696" spans="1:11" x14ac:dyDescent="0.3">
      <c r="A696" s="1657">
        <v>42671</v>
      </c>
      <c r="B696" s="1658">
        <v>3605</v>
      </c>
      <c r="C696" s="1658">
        <v>0</v>
      </c>
      <c r="D696" s="1659">
        <v>0</v>
      </c>
      <c r="E696" s="1658">
        <v>3680</v>
      </c>
      <c r="F696" s="1658">
        <v>3680</v>
      </c>
      <c r="G696" s="1658">
        <v>3505</v>
      </c>
      <c r="H696" s="1658">
        <v>33084</v>
      </c>
      <c r="I696" s="1658">
        <v>119141860</v>
      </c>
      <c r="J696" s="1658">
        <v>112101786580</v>
      </c>
      <c r="K696" s="1658">
        <v>31096196</v>
      </c>
    </row>
    <row r="697" spans="1:11" x14ac:dyDescent="0.3">
      <c r="A697" s="1657">
        <v>42674</v>
      </c>
      <c r="B697" s="1658">
        <v>3480</v>
      </c>
      <c r="C697" s="1658">
        <v>-125</v>
      </c>
      <c r="D697" s="1659">
        <v>-3.47</v>
      </c>
      <c r="E697" s="1658">
        <v>3600</v>
      </c>
      <c r="F697" s="1658">
        <v>3600</v>
      </c>
      <c r="G697" s="1658">
        <v>3470</v>
      </c>
      <c r="H697" s="1658">
        <v>78800</v>
      </c>
      <c r="I697" s="1658">
        <v>276610585</v>
      </c>
      <c r="J697" s="1658">
        <v>108214762080</v>
      </c>
      <c r="K697" s="1658">
        <v>31096196</v>
      </c>
    </row>
    <row r="698" spans="1:11" x14ac:dyDescent="0.3">
      <c r="A698" s="1657">
        <v>42675</v>
      </c>
      <c r="B698" s="1658">
        <v>3450</v>
      </c>
      <c r="C698" s="1658">
        <v>-30</v>
      </c>
      <c r="D698" s="1659">
        <v>-0.86</v>
      </c>
      <c r="E698" s="1658">
        <v>3450</v>
      </c>
      <c r="F698" s="1658">
        <v>3535</v>
      </c>
      <c r="G698" s="1658">
        <v>3445</v>
      </c>
      <c r="H698" s="1658">
        <v>46564</v>
      </c>
      <c r="I698" s="1658">
        <v>161873775</v>
      </c>
      <c r="J698" s="1658">
        <v>107281876200</v>
      </c>
      <c r="K698" s="1658">
        <v>31096196</v>
      </c>
    </row>
    <row r="699" spans="1:11" x14ac:dyDescent="0.3">
      <c r="A699" s="1657">
        <v>42676</v>
      </c>
      <c r="B699" s="1658">
        <v>3290</v>
      </c>
      <c r="C699" s="1658">
        <v>-160</v>
      </c>
      <c r="D699" s="1659">
        <v>-4.6399999999999997</v>
      </c>
      <c r="E699" s="1658">
        <v>3450</v>
      </c>
      <c r="F699" s="1658">
        <v>3455</v>
      </c>
      <c r="G699" s="1658">
        <v>3225</v>
      </c>
      <c r="H699" s="1658">
        <v>124899</v>
      </c>
      <c r="I699" s="1658">
        <v>413868755</v>
      </c>
      <c r="J699" s="1658">
        <v>102306484840</v>
      </c>
      <c r="K699" s="1658">
        <v>31096196</v>
      </c>
    </row>
    <row r="700" spans="1:11" x14ac:dyDescent="0.3">
      <c r="A700" s="1657">
        <v>42677</v>
      </c>
      <c r="B700" s="1658">
        <v>3355</v>
      </c>
      <c r="C700" s="1658">
        <v>65</v>
      </c>
      <c r="D700" s="1659">
        <v>1.98</v>
      </c>
      <c r="E700" s="1658">
        <v>3110</v>
      </c>
      <c r="F700" s="1658">
        <v>3380</v>
      </c>
      <c r="G700" s="1658">
        <v>3110</v>
      </c>
      <c r="H700" s="1658">
        <v>81300</v>
      </c>
      <c r="I700" s="1658">
        <v>262892800</v>
      </c>
      <c r="J700" s="1658">
        <v>104327737580</v>
      </c>
      <c r="K700" s="1658">
        <v>31096196</v>
      </c>
    </row>
    <row r="701" spans="1:11" x14ac:dyDescent="0.3">
      <c r="A701" s="1657">
        <v>42678</v>
      </c>
      <c r="B701" s="1658">
        <v>3325</v>
      </c>
      <c r="C701" s="1658">
        <v>-30</v>
      </c>
      <c r="D701" s="1659">
        <v>-0.89</v>
      </c>
      <c r="E701" s="1658">
        <v>3355</v>
      </c>
      <c r="F701" s="1658">
        <v>3370</v>
      </c>
      <c r="G701" s="1658">
        <v>3300</v>
      </c>
      <c r="H701" s="1658">
        <v>19561</v>
      </c>
      <c r="I701" s="1658">
        <v>65248010</v>
      </c>
      <c r="J701" s="1658">
        <v>103394851700</v>
      </c>
      <c r="K701" s="1658">
        <v>31096196</v>
      </c>
    </row>
    <row r="702" spans="1:11" x14ac:dyDescent="0.3">
      <c r="A702" s="1657">
        <v>42681</v>
      </c>
      <c r="B702" s="1658">
        <v>3415</v>
      </c>
      <c r="C702" s="1658">
        <v>90</v>
      </c>
      <c r="D702" s="1659">
        <v>2.71</v>
      </c>
      <c r="E702" s="1658">
        <v>3325</v>
      </c>
      <c r="F702" s="1658">
        <v>3450</v>
      </c>
      <c r="G702" s="1658">
        <v>3325</v>
      </c>
      <c r="H702" s="1658">
        <v>54613</v>
      </c>
      <c r="I702" s="1658">
        <v>184857720</v>
      </c>
      <c r="J702" s="1658">
        <v>106193509340</v>
      </c>
      <c r="K702" s="1658">
        <v>31096196</v>
      </c>
    </row>
    <row r="703" spans="1:11" x14ac:dyDescent="0.3">
      <c r="A703" s="1657">
        <v>42682</v>
      </c>
      <c r="B703" s="1658">
        <v>3440</v>
      </c>
      <c r="C703" s="1658">
        <v>25</v>
      </c>
      <c r="D703" s="1659">
        <v>0.73</v>
      </c>
      <c r="E703" s="1658">
        <v>3440</v>
      </c>
      <c r="F703" s="1658">
        <v>3570</v>
      </c>
      <c r="G703" s="1658">
        <v>3410</v>
      </c>
      <c r="H703" s="1658">
        <v>45698</v>
      </c>
      <c r="I703" s="1658">
        <v>158102920</v>
      </c>
      <c r="J703" s="1658">
        <v>106970914240</v>
      </c>
      <c r="K703" s="1658">
        <v>31096196</v>
      </c>
    </row>
    <row r="704" spans="1:11" x14ac:dyDescent="0.3">
      <c r="A704" s="1657">
        <v>42683</v>
      </c>
      <c r="B704" s="1658">
        <v>3195</v>
      </c>
      <c r="C704" s="1658">
        <v>-245</v>
      </c>
      <c r="D704" s="1659">
        <v>-7.12</v>
      </c>
      <c r="E704" s="1658">
        <v>3445</v>
      </c>
      <c r="F704" s="1658">
        <v>3570</v>
      </c>
      <c r="G704" s="1658">
        <v>3090</v>
      </c>
      <c r="H704" s="1658">
        <v>142255</v>
      </c>
      <c r="I704" s="1658">
        <v>458838025</v>
      </c>
      <c r="J704" s="1658">
        <v>99352346220</v>
      </c>
      <c r="K704" s="1658">
        <v>31096196</v>
      </c>
    </row>
    <row r="705" spans="1:11" x14ac:dyDescent="0.3">
      <c r="A705" s="1657">
        <v>42684</v>
      </c>
      <c r="B705" s="1658">
        <v>3350</v>
      </c>
      <c r="C705" s="1658">
        <v>155</v>
      </c>
      <c r="D705" s="1659">
        <v>4.8499999999999996</v>
      </c>
      <c r="E705" s="1658">
        <v>3230</v>
      </c>
      <c r="F705" s="1658">
        <v>3390</v>
      </c>
      <c r="G705" s="1658">
        <v>3230</v>
      </c>
      <c r="H705" s="1658">
        <v>42071</v>
      </c>
      <c r="I705" s="1658">
        <v>139941440</v>
      </c>
      <c r="J705" s="1658">
        <v>104172256600</v>
      </c>
      <c r="K705" s="1658">
        <v>31096196</v>
      </c>
    </row>
    <row r="706" spans="1:11" x14ac:dyDescent="0.3">
      <c r="A706" s="1657">
        <v>42685</v>
      </c>
      <c r="B706" s="1658">
        <v>3380</v>
      </c>
      <c r="C706" s="1658">
        <v>30</v>
      </c>
      <c r="D706" s="1659">
        <v>0.9</v>
      </c>
      <c r="E706" s="1658">
        <v>3350</v>
      </c>
      <c r="F706" s="1658">
        <v>3400</v>
      </c>
      <c r="G706" s="1658">
        <v>3295</v>
      </c>
      <c r="H706" s="1658">
        <v>28733</v>
      </c>
      <c r="I706" s="1658">
        <v>96575920</v>
      </c>
      <c r="J706" s="1658">
        <v>105105142480</v>
      </c>
      <c r="K706" s="1658">
        <v>31096196</v>
      </c>
    </row>
    <row r="707" spans="1:11" x14ac:dyDescent="0.3">
      <c r="A707" s="1657">
        <v>42688</v>
      </c>
      <c r="B707" s="1658">
        <v>3420</v>
      </c>
      <c r="C707" s="1658">
        <v>40</v>
      </c>
      <c r="D707" s="1659">
        <v>1.18</v>
      </c>
      <c r="E707" s="1658">
        <v>3420</v>
      </c>
      <c r="F707" s="1658">
        <v>3460</v>
      </c>
      <c r="G707" s="1658">
        <v>3360</v>
      </c>
      <c r="H707" s="1658">
        <v>22932</v>
      </c>
      <c r="I707" s="1658">
        <v>78082550</v>
      </c>
      <c r="J707" s="1658">
        <v>106348990320</v>
      </c>
      <c r="K707" s="1658">
        <v>31096196</v>
      </c>
    </row>
    <row r="708" spans="1:11" x14ac:dyDescent="0.3">
      <c r="A708" s="1657">
        <v>42689</v>
      </c>
      <c r="B708" s="1658">
        <v>3485</v>
      </c>
      <c r="C708" s="1658">
        <v>65</v>
      </c>
      <c r="D708" s="1659">
        <v>1.9</v>
      </c>
      <c r="E708" s="1658">
        <v>3390</v>
      </c>
      <c r="F708" s="1658">
        <v>3515</v>
      </c>
      <c r="G708" s="1658">
        <v>3390</v>
      </c>
      <c r="H708" s="1658">
        <v>44790</v>
      </c>
      <c r="I708" s="1658">
        <v>155034425</v>
      </c>
      <c r="J708" s="1658">
        <v>108370243060</v>
      </c>
      <c r="K708" s="1658">
        <v>31096196</v>
      </c>
    </row>
    <row r="709" spans="1:11" x14ac:dyDescent="0.3">
      <c r="A709" s="1657">
        <v>42690</v>
      </c>
      <c r="B709" s="1658">
        <v>3535</v>
      </c>
      <c r="C709" s="1658">
        <v>50</v>
      </c>
      <c r="D709" s="1659">
        <v>1.43</v>
      </c>
      <c r="E709" s="1658">
        <v>3485</v>
      </c>
      <c r="F709" s="1658">
        <v>3590</v>
      </c>
      <c r="G709" s="1658">
        <v>3485</v>
      </c>
      <c r="H709" s="1658">
        <v>56458</v>
      </c>
      <c r="I709" s="1658">
        <v>199875645</v>
      </c>
      <c r="J709" s="1658">
        <v>109925052860</v>
      </c>
      <c r="K709" s="1658">
        <v>31096196</v>
      </c>
    </row>
    <row r="710" spans="1:11" x14ac:dyDescent="0.3">
      <c r="A710" s="1657">
        <v>42691</v>
      </c>
      <c r="B710" s="1658">
        <v>3555</v>
      </c>
      <c r="C710" s="1658">
        <v>20</v>
      </c>
      <c r="D710" s="1659">
        <v>0.56999999999999995</v>
      </c>
      <c r="E710" s="1658">
        <v>3550</v>
      </c>
      <c r="F710" s="1658">
        <v>3575</v>
      </c>
      <c r="G710" s="1658">
        <v>3510</v>
      </c>
      <c r="H710" s="1658">
        <v>34910</v>
      </c>
      <c r="I710" s="1658">
        <v>123529265</v>
      </c>
      <c r="J710" s="1658">
        <v>110546976780</v>
      </c>
      <c r="K710" s="1658">
        <v>31096196</v>
      </c>
    </row>
    <row r="711" spans="1:11" x14ac:dyDescent="0.3">
      <c r="A711" s="1657">
        <v>42692</v>
      </c>
      <c r="B711" s="1658">
        <v>3425</v>
      </c>
      <c r="C711" s="1658">
        <v>-130</v>
      </c>
      <c r="D711" s="1659">
        <v>-3.66</v>
      </c>
      <c r="E711" s="1658">
        <v>3510</v>
      </c>
      <c r="F711" s="1658">
        <v>3520</v>
      </c>
      <c r="G711" s="1658">
        <v>3425</v>
      </c>
      <c r="H711" s="1658">
        <v>50207</v>
      </c>
      <c r="I711" s="1658">
        <v>174390265</v>
      </c>
      <c r="J711" s="1658">
        <v>106504471300</v>
      </c>
      <c r="K711" s="1658">
        <v>31096196</v>
      </c>
    </row>
    <row r="712" spans="1:11" x14ac:dyDescent="0.3">
      <c r="A712" s="1657">
        <v>42695</v>
      </c>
      <c r="B712" s="1658">
        <v>3425</v>
      </c>
      <c r="C712" s="1658">
        <v>0</v>
      </c>
      <c r="D712" s="1659">
        <v>0</v>
      </c>
      <c r="E712" s="1658">
        <v>3395</v>
      </c>
      <c r="F712" s="1658">
        <v>3475</v>
      </c>
      <c r="G712" s="1658">
        <v>3385</v>
      </c>
      <c r="H712" s="1658">
        <v>26543</v>
      </c>
      <c r="I712" s="1658">
        <v>90730170</v>
      </c>
      <c r="J712" s="1658">
        <v>106504471300</v>
      </c>
      <c r="K712" s="1658">
        <v>31096196</v>
      </c>
    </row>
    <row r="713" spans="1:11" x14ac:dyDescent="0.3">
      <c r="A713" s="1657">
        <v>42696</v>
      </c>
      <c r="B713" s="1658">
        <v>3395</v>
      </c>
      <c r="C713" s="1658">
        <v>-30</v>
      </c>
      <c r="D713" s="1659">
        <v>-0.88</v>
      </c>
      <c r="E713" s="1658">
        <v>3390</v>
      </c>
      <c r="F713" s="1658">
        <v>3470</v>
      </c>
      <c r="G713" s="1658">
        <v>3390</v>
      </c>
      <c r="H713" s="1658">
        <v>20290</v>
      </c>
      <c r="I713" s="1658">
        <v>69320150</v>
      </c>
      <c r="J713" s="1658">
        <v>105571585420</v>
      </c>
      <c r="K713" s="1658">
        <v>31096196</v>
      </c>
    </row>
    <row r="714" spans="1:11" x14ac:dyDescent="0.3">
      <c r="A714" s="1657">
        <v>42697</v>
      </c>
      <c r="B714" s="1658">
        <v>3305</v>
      </c>
      <c r="C714" s="1658">
        <v>-90</v>
      </c>
      <c r="D714" s="1659">
        <v>-2.65</v>
      </c>
      <c r="E714" s="1658">
        <v>3375</v>
      </c>
      <c r="F714" s="1658">
        <v>3435</v>
      </c>
      <c r="G714" s="1658">
        <v>3295</v>
      </c>
      <c r="H714" s="1658">
        <v>37273</v>
      </c>
      <c r="I714" s="1658">
        <v>125192545</v>
      </c>
      <c r="J714" s="1658">
        <v>102772927780</v>
      </c>
      <c r="K714" s="1658">
        <v>31096196</v>
      </c>
    </row>
    <row r="715" spans="1:11" x14ac:dyDescent="0.3">
      <c r="A715" s="1657">
        <v>42698</v>
      </c>
      <c r="B715" s="1658">
        <v>3220</v>
      </c>
      <c r="C715" s="1658">
        <v>-85</v>
      </c>
      <c r="D715" s="1659">
        <v>-2.57</v>
      </c>
      <c r="E715" s="1658">
        <v>3370</v>
      </c>
      <c r="F715" s="1658">
        <v>3370</v>
      </c>
      <c r="G715" s="1658">
        <v>3170</v>
      </c>
      <c r="H715" s="1658">
        <v>65823</v>
      </c>
      <c r="I715" s="1658">
        <v>211952395</v>
      </c>
      <c r="J715" s="1658">
        <v>100129751120</v>
      </c>
      <c r="K715" s="1658">
        <v>31096196</v>
      </c>
    </row>
    <row r="716" spans="1:11" x14ac:dyDescent="0.3">
      <c r="A716" s="1657">
        <v>42699</v>
      </c>
      <c r="B716" s="1658">
        <v>3230</v>
      </c>
      <c r="C716" s="1658">
        <v>10</v>
      </c>
      <c r="D716" s="1659">
        <v>0.31</v>
      </c>
      <c r="E716" s="1658">
        <v>3185</v>
      </c>
      <c r="F716" s="1658">
        <v>3295</v>
      </c>
      <c r="G716" s="1658">
        <v>3185</v>
      </c>
      <c r="H716" s="1658">
        <v>40724</v>
      </c>
      <c r="I716" s="1658">
        <v>130869720</v>
      </c>
      <c r="J716" s="1658">
        <v>100440713080</v>
      </c>
      <c r="K716" s="1658">
        <v>31096196</v>
      </c>
    </row>
    <row r="717" spans="1:11" x14ac:dyDescent="0.3">
      <c r="A717" s="1657">
        <v>42702</v>
      </c>
      <c r="B717" s="1658">
        <v>3230</v>
      </c>
      <c r="C717" s="1658">
        <v>0</v>
      </c>
      <c r="D717" s="1659">
        <v>0</v>
      </c>
      <c r="E717" s="1658">
        <v>3230</v>
      </c>
      <c r="F717" s="1658">
        <v>3290</v>
      </c>
      <c r="G717" s="1658">
        <v>3220</v>
      </c>
      <c r="H717" s="1658">
        <v>28935</v>
      </c>
      <c r="I717" s="1658">
        <v>93751860</v>
      </c>
      <c r="J717" s="1658">
        <v>100440713080</v>
      </c>
      <c r="K717" s="1658">
        <v>31096196</v>
      </c>
    </row>
    <row r="718" spans="1:11" x14ac:dyDescent="0.3">
      <c r="A718" s="1657">
        <v>42703</v>
      </c>
      <c r="B718" s="1658">
        <v>3215</v>
      </c>
      <c r="C718" s="1658">
        <v>-15</v>
      </c>
      <c r="D718" s="1659">
        <v>-0.46</v>
      </c>
      <c r="E718" s="1658">
        <v>3270</v>
      </c>
      <c r="F718" s="1658">
        <v>3270</v>
      </c>
      <c r="G718" s="1658">
        <v>3195</v>
      </c>
      <c r="H718" s="1658">
        <v>14173</v>
      </c>
      <c r="I718" s="1658">
        <v>45667565</v>
      </c>
      <c r="J718" s="1658">
        <v>99974270140</v>
      </c>
      <c r="K718" s="1658">
        <v>31096196</v>
      </c>
    </row>
    <row r="719" spans="1:11" x14ac:dyDescent="0.3">
      <c r="A719" s="1657">
        <v>42704</v>
      </c>
      <c r="B719" s="1658">
        <v>3190</v>
      </c>
      <c r="C719" s="1658">
        <v>-25</v>
      </c>
      <c r="D719" s="1659">
        <v>-0.78</v>
      </c>
      <c r="E719" s="1658">
        <v>3200</v>
      </c>
      <c r="F719" s="1658">
        <v>3225</v>
      </c>
      <c r="G719" s="1658">
        <v>3000</v>
      </c>
      <c r="H719" s="1658">
        <v>62400</v>
      </c>
      <c r="I719" s="1658">
        <v>197382115</v>
      </c>
      <c r="J719" s="1658">
        <v>99196865240</v>
      </c>
      <c r="K719" s="1658">
        <v>31096196</v>
      </c>
    </row>
    <row r="720" spans="1:11" x14ac:dyDescent="0.3">
      <c r="A720" s="1657">
        <v>42705</v>
      </c>
      <c r="B720" s="1658">
        <v>3165</v>
      </c>
      <c r="C720" s="1658">
        <v>-25</v>
      </c>
      <c r="D720" s="1659">
        <v>-0.78</v>
      </c>
      <c r="E720" s="1658">
        <v>3190</v>
      </c>
      <c r="F720" s="1658">
        <v>3285</v>
      </c>
      <c r="G720" s="1658">
        <v>3150</v>
      </c>
      <c r="H720" s="1658">
        <v>16053</v>
      </c>
      <c r="I720" s="1658">
        <v>51218495</v>
      </c>
      <c r="J720" s="1658">
        <v>98419460340</v>
      </c>
      <c r="K720" s="1658">
        <v>31096196</v>
      </c>
    </row>
    <row r="721" spans="1:11" x14ac:dyDescent="0.3">
      <c r="A721" s="1657">
        <v>42706</v>
      </c>
      <c r="B721" s="1658">
        <v>3245</v>
      </c>
      <c r="C721" s="1658">
        <v>80</v>
      </c>
      <c r="D721" s="1659">
        <v>2.5299999999999998</v>
      </c>
      <c r="E721" s="1658">
        <v>3165</v>
      </c>
      <c r="F721" s="1658">
        <v>3350</v>
      </c>
      <c r="G721" s="1658">
        <v>3110</v>
      </c>
      <c r="H721" s="1658">
        <v>37450</v>
      </c>
      <c r="I721" s="1658">
        <v>119766640</v>
      </c>
      <c r="J721" s="1658">
        <v>100907156020</v>
      </c>
      <c r="K721" s="1658">
        <v>31096196</v>
      </c>
    </row>
    <row r="722" spans="1:11" x14ac:dyDescent="0.3">
      <c r="A722" s="1657">
        <v>42709</v>
      </c>
      <c r="B722" s="1658">
        <v>3155</v>
      </c>
      <c r="C722" s="1658">
        <v>-90</v>
      </c>
      <c r="D722" s="1659">
        <v>-2.77</v>
      </c>
      <c r="E722" s="1658">
        <v>3285</v>
      </c>
      <c r="F722" s="1658">
        <v>3285</v>
      </c>
      <c r="G722" s="1658">
        <v>3150</v>
      </c>
      <c r="H722" s="1658">
        <v>33674</v>
      </c>
      <c r="I722" s="1658">
        <v>107259385</v>
      </c>
      <c r="J722" s="1658">
        <v>98108498380</v>
      </c>
      <c r="K722" s="1658">
        <v>31096196</v>
      </c>
    </row>
    <row r="723" spans="1:11" x14ac:dyDescent="0.3">
      <c r="A723" s="1657">
        <v>42710</v>
      </c>
      <c r="B723" s="1658">
        <v>3155</v>
      </c>
      <c r="C723" s="1658">
        <v>0</v>
      </c>
      <c r="D723" s="1659">
        <v>0</v>
      </c>
      <c r="E723" s="1658">
        <v>3115</v>
      </c>
      <c r="F723" s="1658">
        <v>3210</v>
      </c>
      <c r="G723" s="1658">
        <v>3115</v>
      </c>
      <c r="H723" s="1658">
        <v>29496</v>
      </c>
      <c r="I723" s="1658">
        <v>92878085</v>
      </c>
      <c r="J723" s="1658">
        <v>98108498380</v>
      </c>
      <c r="K723" s="1658">
        <v>31096196</v>
      </c>
    </row>
    <row r="724" spans="1:11" x14ac:dyDescent="0.3">
      <c r="A724" s="1657">
        <v>42711</v>
      </c>
      <c r="B724" s="1658">
        <v>3155</v>
      </c>
      <c r="C724" s="1658">
        <v>0</v>
      </c>
      <c r="D724" s="1659">
        <v>0</v>
      </c>
      <c r="E724" s="1658">
        <v>3155</v>
      </c>
      <c r="F724" s="1658">
        <v>3210</v>
      </c>
      <c r="G724" s="1658">
        <v>3110</v>
      </c>
      <c r="H724" s="1658">
        <v>37754</v>
      </c>
      <c r="I724" s="1658">
        <v>118546675</v>
      </c>
      <c r="J724" s="1658">
        <v>98108498380</v>
      </c>
      <c r="K724" s="1658">
        <v>31096196</v>
      </c>
    </row>
    <row r="725" spans="1:11" x14ac:dyDescent="0.3">
      <c r="A725" s="1657">
        <v>42712</v>
      </c>
      <c r="B725" s="1658">
        <v>3210</v>
      </c>
      <c r="C725" s="1658">
        <v>55</v>
      </c>
      <c r="D725" s="1659">
        <v>1.74</v>
      </c>
      <c r="E725" s="1658">
        <v>3170</v>
      </c>
      <c r="F725" s="1658">
        <v>3210</v>
      </c>
      <c r="G725" s="1658">
        <v>3155</v>
      </c>
      <c r="H725" s="1658">
        <v>38549</v>
      </c>
      <c r="I725" s="1658">
        <v>122864570</v>
      </c>
      <c r="J725" s="1658">
        <v>99818789160</v>
      </c>
      <c r="K725" s="1658">
        <v>31096196</v>
      </c>
    </row>
    <row r="726" spans="1:11" x14ac:dyDescent="0.3">
      <c r="A726" s="1657">
        <v>42713</v>
      </c>
      <c r="B726" s="1658">
        <v>3335</v>
      </c>
      <c r="C726" s="1658">
        <v>125</v>
      </c>
      <c r="D726" s="1659">
        <v>3.89</v>
      </c>
      <c r="E726" s="1658">
        <v>3210</v>
      </c>
      <c r="F726" s="1658">
        <v>3335</v>
      </c>
      <c r="G726" s="1658">
        <v>3195</v>
      </c>
      <c r="H726" s="1658">
        <v>44475</v>
      </c>
      <c r="I726" s="1658">
        <v>146548290</v>
      </c>
      <c r="J726" s="1658">
        <v>103705813660</v>
      </c>
      <c r="K726" s="1658">
        <v>31096196</v>
      </c>
    </row>
    <row r="727" spans="1:11" x14ac:dyDescent="0.3">
      <c r="A727" s="1657">
        <v>42716</v>
      </c>
      <c r="B727" s="1658">
        <v>3380</v>
      </c>
      <c r="C727" s="1658">
        <v>45</v>
      </c>
      <c r="D727" s="1659">
        <v>1.35</v>
      </c>
      <c r="E727" s="1658">
        <v>3340</v>
      </c>
      <c r="F727" s="1658">
        <v>3395</v>
      </c>
      <c r="G727" s="1658">
        <v>3340</v>
      </c>
      <c r="H727" s="1658">
        <v>22274</v>
      </c>
      <c r="I727" s="1658">
        <v>75085670</v>
      </c>
      <c r="J727" s="1658">
        <v>105105142480</v>
      </c>
      <c r="K727" s="1658">
        <v>31096196</v>
      </c>
    </row>
    <row r="728" spans="1:11" x14ac:dyDescent="0.3">
      <c r="A728" s="1657">
        <v>42717</v>
      </c>
      <c r="B728" s="1658">
        <v>3340</v>
      </c>
      <c r="C728" s="1658">
        <v>-40</v>
      </c>
      <c r="D728" s="1659">
        <v>-1.18</v>
      </c>
      <c r="E728" s="1658">
        <v>3360</v>
      </c>
      <c r="F728" s="1658">
        <v>3390</v>
      </c>
      <c r="G728" s="1658">
        <v>3325</v>
      </c>
      <c r="H728" s="1658">
        <v>36691</v>
      </c>
      <c r="I728" s="1658">
        <v>123294040</v>
      </c>
      <c r="J728" s="1658">
        <v>103861294640</v>
      </c>
      <c r="K728" s="1658">
        <v>31096196</v>
      </c>
    </row>
    <row r="729" spans="1:11" x14ac:dyDescent="0.3">
      <c r="A729" s="1657">
        <v>42718</v>
      </c>
      <c r="B729" s="1658">
        <v>3400</v>
      </c>
      <c r="C729" s="1658">
        <v>60</v>
      </c>
      <c r="D729" s="1659">
        <v>1.8</v>
      </c>
      <c r="E729" s="1658">
        <v>3390</v>
      </c>
      <c r="F729" s="1658">
        <v>3400</v>
      </c>
      <c r="G729" s="1658">
        <v>3345</v>
      </c>
      <c r="H729" s="1658">
        <v>29823</v>
      </c>
      <c r="I729" s="1658">
        <v>100419630</v>
      </c>
      <c r="J729" s="1658">
        <v>105727066400</v>
      </c>
      <c r="K729" s="1658">
        <v>31096196</v>
      </c>
    </row>
    <row r="730" spans="1:11" x14ac:dyDescent="0.3">
      <c r="A730" s="1657">
        <v>42719</v>
      </c>
      <c r="B730" s="1658">
        <v>3480</v>
      </c>
      <c r="C730" s="1658">
        <v>80</v>
      </c>
      <c r="D730" s="1659">
        <v>2.35</v>
      </c>
      <c r="E730" s="1658">
        <v>3400</v>
      </c>
      <c r="F730" s="1658">
        <v>3525</v>
      </c>
      <c r="G730" s="1658">
        <v>3400</v>
      </c>
      <c r="H730" s="1658">
        <v>67633</v>
      </c>
      <c r="I730" s="1658">
        <v>234445515</v>
      </c>
      <c r="J730" s="1658">
        <v>108214762080</v>
      </c>
      <c r="K730" s="1658">
        <v>31096196</v>
      </c>
    </row>
    <row r="731" spans="1:11" x14ac:dyDescent="0.3">
      <c r="A731" s="1657">
        <v>42720</v>
      </c>
      <c r="B731" s="1658">
        <v>3445</v>
      </c>
      <c r="C731" s="1658">
        <v>-35</v>
      </c>
      <c r="D731" s="1659">
        <v>-1.01</v>
      </c>
      <c r="E731" s="1658">
        <v>3480</v>
      </c>
      <c r="F731" s="1658">
        <v>3485</v>
      </c>
      <c r="G731" s="1658">
        <v>3330</v>
      </c>
      <c r="H731" s="1658">
        <v>22910</v>
      </c>
      <c r="I731" s="1658">
        <v>78395795</v>
      </c>
      <c r="J731" s="1658">
        <v>107126395220</v>
      </c>
      <c r="K731" s="1658">
        <v>31096196</v>
      </c>
    </row>
    <row r="732" spans="1:11" x14ac:dyDescent="0.3">
      <c r="A732" s="1657">
        <v>42723</v>
      </c>
      <c r="B732" s="1658">
        <v>3450</v>
      </c>
      <c r="C732" s="1658">
        <v>5</v>
      </c>
      <c r="D732" s="1659">
        <v>0.15</v>
      </c>
      <c r="E732" s="1658">
        <v>3445</v>
      </c>
      <c r="F732" s="1658">
        <v>3475</v>
      </c>
      <c r="G732" s="1658">
        <v>3360</v>
      </c>
      <c r="H732" s="1658">
        <v>22501</v>
      </c>
      <c r="I732" s="1658">
        <v>77098500</v>
      </c>
      <c r="J732" s="1658">
        <v>107281876200</v>
      </c>
      <c r="K732" s="1658">
        <v>31096196</v>
      </c>
    </row>
    <row r="733" spans="1:11" x14ac:dyDescent="0.3">
      <c r="A733" s="1657">
        <v>42724</v>
      </c>
      <c r="B733" s="1658">
        <v>3440</v>
      </c>
      <c r="C733" s="1658">
        <v>-10</v>
      </c>
      <c r="D733" s="1659">
        <v>-0.28999999999999998</v>
      </c>
      <c r="E733" s="1658">
        <v>3470</v>
      </c>
      <c r="F733" s="1658">
        <v>3480</v>
      </c>
      <c r="G733" s="1658">
        <v>3400</v>
      </c>
      <c r="H733" s="1658">
        <v>23147</v>
      </c>
      <c r="I733" s="1658">
        <v>79571265</v>
      </c>
      <c r="J733" s="1658">
        <v>106970914240</v>
      </c>
      <c r="K733" s="1658">
        <v>31096196</v>
      </c>
    </row>
    <row r="734" spans="1:11" x14ac:dyDescent="0.3">
      <c r="A734" s="1657">
        <v>42725</v>
      </c>
      <c r="B734" s="1658">
        <v>3415</v>
      </c>
      <c r="C734" s="1658">
        <v>-25</v>
      </c>
      <c r="D734" s="1659">
        <v>-0.73</v>
      </c>
      <c r="E734" s="1658">
        <v>3440</v>
      </c>
      <c r="F734" s="1658">
        <v>3460</v>
      </c>
      <c r="G734" s="1658">
        <v>3380</v>
      </c>
      <c r="H734" s="1658">
        <v>41045</v>
      </c>
      <c r="I734" s="1658">
        <v>140650680</v>
      </c>
      <c r="J734" s="1658">
        <v>106193509340</v>
      </c>
      <c r="K734" s="1658">
        <v>31096196</v>
      </c>
    </row>
    <row r="735" spans="1:11" x14ac:dyDescent="0.3">
      <c r="A735" s="1657">
        <v>42726</v>
      </c>
      <c r="B735" s="1658">
        <v>3340</v>
      </c>
      <c r="C735" s="1658">
        <v>-75</v>
      </c>
      <c r="D735" s="1659">
        <v>-2.2000000000000002</v>
      </c>
      <c r="E735" s="1658">
        <v>3385</v>
      </c>
      <c r="F735" s="1658">
        <v>3470</v>
      </c>
      <c r="G735" s="1658">
        <v>3335</v>
      </c>
      <c r="H735" s="1658">
        <v>53081</v>
      </c>
      <c r="I735" s="1658">
        <v>178724360</v>
      </c>
      <c r="J735" s="1658">
        <v>103861294640</v>
      </c>
      <c r="K735" s="1658">
        <v>31096196</v>
      </c>
    </row>
    <row r="736" spans="1:11" x14ac:dyDescent="0.3">
      <c r="A736" s="1657">
        <v>42727</v>
      </c>
      <c r="B736" s="1658">
        <v>3365</v>
      </c>
      <c r="C736" s="1658">
        <v>25</v>
      </c>
      <c r="D736" s="1659">
        <v>0.75</v>
      </c>
      <c r="E736" s="1658">
        <v>3335</v>
      </c>
      <c r="F736" s="1658">
        <v>3400</v>
      </c>
      <c r="G736" s="1658">
        <v>3335</v>
      </c>
      <c r="H736" s="1658">
        <v>24855</v>
      </c>
      <c r="I736" s="1658">
        <v>83549920</v>
      </c>
      <c r="J736" s="1658">
        <v>104638699540</v>
      </c>
      <c r="K736" s="1658">
        <v>31096196</v>
      </c>
    </row>
    <row r="737" spans="1:11" x14ac:dyDescent="0.3">
      <c r="A737" s="1657">
        <v>42730</v>
      </c>
      <c r="B737" s="1658">
        <v>3350</v>
      </c>
      <c r="C737" s="1658">
        <v>-15</v>
      </c>
      <c r="D737" s="1659">
        <v>-0.45</v>
      </c>
      <c r="E737" s="1658">
        <v>3335</v>
      </c>
      <c r="F737" s="1658">
        <v>3370</v>
      </c>
      <c r="G737" s="1658">
        <v>3320</v>
      </c>
      <c r="H737" s="1658">
        <v>20617</v>
      </c>
      <c r="I737" s="1658">
        <v>68973375</v>
      </c>
      <c r="J737" s="1658">
        <v>104172256600</v>
      </c>
      <c r="K737" s="1658">
        <v>31096196</v>
      </c>
    </row>
    <row r="738" spans="1:11" x14ac:dyDescent="0.3">
      <c r="A738" s="1657">
        <v>42731</v>
      </c>
      <c r="B738" s="1658">
        <v>4140</v>
      </c>
      <c r="C738" s="1658">
        <v>790</v>
      </c>
      <c r="D738" s="1659">
        <v>23.58</v>
      </c>
      <c r="E738" s="1658">
        <v>3340</v>
      </c>
      <c r="F738" s="1658">
        <v>4355</v>
      </c>
      <c r="G738" s="1658">
        <v>3340</v>
      </c>
      <c r="H738" s="1658">
        <v>10543519</v>
      </c>
      <c r="I738" s="1658">
        <v>44045604265</v>
      </c>
      <c r="J738" s="1658">
        <v>128738251440</v>
      </c>
      <c r="K738" s="1658">
        <v>31096196</v>
      </c>
    </row>
    <row r="739" spans="1:11" x14ac:dyDescent="0.3">
      <c r="A739" s="1657">
        <v>42732</v>
      </c>
      <c r="B739" s="1658">
        <v>5310</v>
      </c>
      <c r="C739" s="1658">
        <v>1170</v>
      </c>
      <c r="D739" s="1659">
        <v>28.26</v>
      </c>
      <c r="E739" s="1658">
        <v>4450</v>
      </c>
      <c r="F739" s="1658">
        <v>5310</v>
      </c>
      <c r="G739" s="1658">
        <v>4450</v>
      </c>
      <c r="H739" s="1658">
        <v>10274203</v>
      </c>
      <c r="I739" s="1658">
        <v>51371572970</v>
      </c>
      <c r="J739" s="1658">
        <v>165120800760</v>
      </c>
      <c r="K739" s="1658">
        <v>31096196</v>
      </c>
    </row>
    <row r="740" spans="1:11" x14ac:dyDescent="0.3">
      <c r="A740" s="1657">
        <v>42733</v>
      </c>
      <c r="B740" s="1658">
        <v>5400</v>
      </c>
      <c r="C740" s="1658">
        <v>90</v>
      </c>
      <c r="D740" s="1659">
        <v>1.69</v>
      </c>
      <c r="E740" s="1658">
        <v>5300</v>
      </c>
      <c r="F740" s="1658">
        <v>5770</v>
      </c>
      <c r="G740" s="1658">
        <v>5150</v>
      </c>
      <c r="H740" s="1658">
        <v>7640060</v>
      </c>
      <c r="I740" s="1658">
        <v>41270088080</v>
      </c>
      <c r="J740" s="1658">
        <v>167919458400</v>
      </c>
      <c r="K740" s="1658">
        <v>31096196</v>
      </c>
    </row>
    <row r="741" spans="1:11" x14ac:dyDescent="0.3">
      <c r="A741" s="1657">
        <v>42737</v>
      </c>
      <c r="B741" s="1658">
        <v>5400</v>
      </c>
      <c r="C741" s="1658">
        <v>0</v>
      </c>
      <c r="D741" s="1659">
        <v>0</v>
      </c>
      <c r="E741" s="1658">
        <v>5210</v>
      </c>
      <c r="F741" s="1658">
        <v>5420</v>
      </c>
      <c r="G741" s="1658">
        <v>5160</v>
      </c>
      <c r="H741" s="1658">
        <v>2758085</v>
      </c>
      <c r="I741" s="1658">
        <v>14803409780</v>
      </c>
      <c r="J741" s="1658">
        <v>167919458400</v>
      </c>
      <c r="K741" s="1658">
        <v>31096196</v>
      </c>
    </row>
    <row r="742" spans="1:11" x14ac:dyDescent="0.3">
      <c r="A742" s="1657">
        <v>42738</v>
      </c>
      <c r="B742" s="1658">
        <v>5480</v>
      </c>
      <c r="C742" s="1658">
        <v>80</v>
      </c>
      <c r="D742" s="1659">
        <v>1.48</v>
      </c>
      <c r="E742" s="1658">
        <v>5920</v>
      </c>
      <c r="F742" s="1658">
        <v>6140</v>
      </c>
      <c r="G742" s="1658">
        <v>5430</v>
      </c>
      <c r="H742" s="1658">
        <v>5362949</v>
      </c>
      <c r="I742" s="1658">
        <v>30753910850</v>
      </c>
      <c r="J742" s="1658">
        <v>170407154080</v>
      </c>
      <c r="K742" s="1658">
        <v>31096196</v>
      </c>
    </row>
    <row r="743" spans="1:11" x14ac:dyDescent="0.3">
      <c r="A743" s="1657">
        <v>42739</v>
      </c>
      <c r="B743" s="1658">
        <v>5290</v>
      </c>
      <c r="C743" s="1658">
        <v>-190</v>
      </c>
      <c r="D743" s="1659">
        <v>-3.47</v>
      </c>
      <c r="E743" s="1658">
        <v>5390</v>
      </c>
      <c r="F743" s="1658">
        <v>5400</v>
      </c>
      <c r="G743" s="1658">
        <v>5110</v>
      </c>
      <c r="H743" s="1658">
        <v>1562929</v>
      </c>
      <c r="I743" s="1658">
        <v>8190644120</v>
      </c>
      <c r="J743" s="1658">
        <v>164498876840</v>
      </c>
      <c r="K743" s="1658">
        <v>31096196</v>
      </c>
    </row>
    <row r="744" spans="1:11" x14ac:dyDescent="0.3">
      <c r="A744" s="1657">
        <v>42740</v>
      </c>
      <c r="B744" s="1658">
        <v>5250</v>
      </c>
      <c r="C744" s="1658">
        <v>-40</v>
      </c>
      <c r="D744" s="1659">
        <v>-0.76</v>
      </c>
      <c r="E744" s="1658">
        <v>5200</v>
      </c>
      <c r="F744" s="1658">
        <v>5350</v>
      </c>
      <c r="G744" s="1658">
        <v>5160</v>
      </c>
      <c r="H744" s="1658">
        <v>889316</v>
      </c>
      <c r="I744" s="1658">
        <v>4659028390</v>
      </c>
      <c r="J744" s="1658">
        <v>163255029000</v>
      </c>
      <c r="K744" s="1658">
        <v>31096196</v>
      </c>
    </row>
    <row r="745" spans="1:11" x14ac:dyDescent="0.3">
      <c r="A745" s="1657">
        <v>42741</v>
      </c>
      <c r="B745" s="1658">
        <v>5490</v>
      </c>
      <c r="C745" s="1658">
        <v>240</v>
      </c>
      <c r="D745" s="1659">
        <v>4.57</v>
      </c>
      <c r="E745" s="1658">
        <v>5220</v>
      </c>
      <c r="F745" s="1658">
        <v>5540</v>
      </c>
      <c r="G745" s="1658">
        <v>5160</v>
      </c>
      <c r="H745" s="1658">
        <v>2363163</v>
      </c>
      <c r="I745" s="1658">
        <v>12715528890</v>
      </c>
      <c r="J745" s="1658">
        <v>170718116040</v>
      </c>
      <c r="K745" s="1658">
        <v>31096196</v>
      </c>
    </row>
    <row r="746" spans="1:11" x14ac:dyDescent="0.3">
      <c r="A746" s="1657">
        <v>42744</v>
      </c>
      <c r="B746" s="1658">
        <v>5510</v>
      </c>
      <c r="C746" s="1658">
        <v>20</v>
      </c>
      <c r="D746" s="1659">
        <v>0.36</v>
      </c>
      <c r="E746" s="1658">
        <v>5490</v>
      </c>
      <c r="F746" s="1658">
        <v>5530</v>
      </c>
      <c r="G746" s="1658">
        <v>5280</v>
      </c>
      <c r="H746" s="1658">
        <v>1145050</v>
      </c>
      <c r="I746" s="1658">
        <v>6158331320</v>
      </c>
      <c r="J746" s="1658">
        <v>171340039960</v>
      </c>
      <c r="K746" s="1658">
        <v>31096196</v>
      </c>
    </row>
    <row r="747" spans="1:11" x14ac:dyDescent="0.3">
      <c r="A747" s="1657">
        <v>42745</v>
      </c>
      <c r="B747" s="1658">
        <v>5430</v>
      </c>
      <c r="C747" s="1658">
        <v>-80</v>
      </c>
      <c r="D747" s="1659">
        <v>-1.45</v>
      </c>
      <c r="E747" s="1658">
        <v>5600</v>
      </c>
      <c r="F747" s="1658">
        <v>5660</v>
      </c>
      <c r="G747" s="1658">
        <v>5280</v>
      </c>
      <c r="H747" s="1658">
        <v>918081</v>
      </c>
      <c r="I747" s="1658">
        <v>4959212940</v>
      </c>
      <c r="J747" s="1658">
        <v>168852344280</v>
      </c>
      <c r="K747" s="1658">
        <v>31096196</v>
      </c>
    </row>
    <row r="748" spans="1:11" x14ac:dyDescent="0.3">
      <c r="A748" s="1657">
        <v>42746</v>
      </c>
      <c r="B748" s="1658">
        <v>5250</v>
      </c>
      <c r="C748" s="1658">
        <v>-180</v>
      </c>
      <c r="D748" s="1659">
        <v>-3.31</v>
      </c>
      <c r="E748" s="1658">
        <v>5220</v>
      </c>
      <c r="F748" s="1658">
        <v>5390</v>
      </c>
      <c r="G748" s="1658">
        <v>5080</v>
      </c>
      <c r="H748" s="1658">
        <v>756732</v>
      </c>
      <c r="I748" s="1658">
        <v>3970686470</v>
      </c>
      <c r="J748" s="1658">
        <v>163255029000</v>
      </c>
      <c r="K748" s="1658">
        <v>31096196</v>
      </c>
    </row>
    <row r="749" spans="1:11" x14ac:dyDescent="0.3">
      <c r="A749" s="1657">
        <v>42747</v>
      </c>
      <c r="B749" s="1658">
        <v>4815</v>
      </c>
      <c r="C749" s="1658">
        <v>-435</v>
      </c>
      <c r="D749" s="1659">
        <v>-8.2899999999999991</v>
      </c>
      <c r="E749" s="1658">
        <v>5060</v>
      </c>
      <c r="F749" s="1658">
        <v>5140</v>
      </c>
      <c r="G749" s="1658">
        <v>4665</v>
      </c>
      <c r="H749" s="1658">
        <v>1384715</v>
      </c>
      <c r="I749" s="1658">
        <v>6737903205</v>
      </c>
      <c r="J749" s="1658">
        <v>149728183740</v>
      </c>
      <c r="K749" s="1658">
        <v>31096196</v>
      </c>
    </row>
    <row r="750" spans="1:11" x14ac:dyDescent="0.3">
      <c r="A750" s="1657">
        <v>42748</v>
      </c>
      <c r="B750" s="1658">
        <v>4670</v>
      </c>
      <c r="C750" s="1658">
        <v>-145</v>
      </c>
      <c r="D750" s="1659">
        <v>-3.01</v>
      </c>
      <c r="E750" s="1658">
        <v>4840</v>
      </c>
      <c r="F750" s="1658">
        <v>4875</v>
      </c>
      <c r="G750" s="1658">
        <v>4465</v>
      </c>
      <c r="H750" s="1658">
        <v>1117839</v>
      </c>
      <c r="I750" s="1658">
        <v>5214602535</v>
      </c>
      <c r="J750" s="1658">
        <v>145219235320</v>
      </c>
      <c r="K750" s="1658">
        <v>31096196</v>
      </c>
    </row>
    <row r="751" spans="1:11" x14ac:dyDescent="0.3">
      <c r="A751" s="1657">
        <v>42751</v>
      </c>
      <c r="B751" s="1658">
        <v>5090</v>
      </c>
      <c r="C751" s="1658">
        <v>420</v>
      </c>
      <c r="D751" s="1659">
        <v>8.99</v>
      </c>
      <c r="E751" s="1658">
        <v>4700</v>
      </c>
      <c r="F751" s="1658">
        <v>5380</v>
      </c>
      <c r="G751" s="1658">
        <v>4660</v>
      </c>
      <c r="H751" s="1658">
        <v>2606137</v>
      </c>
      <c r="I751" s="1658">
        <v>13058376095</v>
      </c>
      <c r="J751" s="1658">
        <v>158279637640</v>
      </c>
      <c r="K751" s="1658">
        <v>31096196</v>
      </c>
    </row>
    <row r="752" spans="1:11" x14ac:dyDescent="0.3">
      <c r="A752" s="1657">
        <v>42752</v>
      </c>
      <c r="B752" s="1658">
        <v>5270</v>
      </c>
      <c r="C752" s="1658">
        <v>180</v>
      </c>
      <c r="D752" s="1659">
        <v>3.54</v>
      </c>
      <c r="E752" s="1658">
        <v>5170</v>
      </c>
      <c r="F752" s="1658">
        <v>5350</v>
      </c>
      <c r="G752" s="1658">
        <v>5000</v>
      </c>
      <c r="H752" s="1658">
        <v>1153689</v>
      </c>
      <c r="I752" s="1658">
        <v>6000625190</v>
      </c>
      <c r="J752" s="1658">
        <v>163876952920</v>
      </c>
      <c r="K752" s="1658">
        <v>31096196</v>
      </c>
    </row>
    <row r="753" spans="1:11" x14ac:dyDescent="0.3">
      <c r="A753" s="1657">
        <v>42753</v>
      </c>
      <c r="B753" s="1658">
        <v>5070</v>
      </c>
      <c r="C753" s="1658">
        <v>-200</v>
      </c>
      <c r="D753" s="1659">
        <v>-3.8</v>
      </c>
      <c r="E753" s="1658">
        <v>5250</v>
      </c>
      <c r="F753" s="1658">
        <v>5250</v>
      </c>
      <c r="G753" s="1658">
        <v>4885</v>
      </c>
      <c r="H753" s="1658">
        <v>786317</v>
      </c>
      <c r="I753" s="1658">
        <v>3955232150</v>
      </c>
      <c r="J753" s="1658">
        <v>157657713720</v>
      </c>
      <c r="K753" s="1658">
        <v>31096196</v>
      </c>
    </row>
    <row r="754" spans="1:11" x14ac:dyDescent="0.3">
      <c r="A754" s="1657">
        <v>42754</v>
      </c>
      <c r="B754" s="1658">
        <v>4520</v>
      </c>
      <c r="C754" s="1658">
        <v>-550</v>
      </c>
      <c r="D754" s="1659">
        <v>-10.85</v>
      </c>
      <c r="E754" s="1658">
        <v>5130</v>
      </c>
      <c r="F754" s="1658">
        <v>5280</v>
      </c>
      <c r="G754" s="1658">
        <v>4450</v>
      </c>
      <c r="H754" s="1658">
        <v>1471291</v>
      </c>
      <c r="I754" s="1658">
        <v>7064888865</v>
      </c>
      <c r="J754" s="1658">
        <v>140554805920</v>
      </c>
      <c r="K754" s="1658">
        <v>31096196</v>
      </c>
    </row>
    <row r="755" spans="1:11" x14ac:dyDescent="0.3">
      <c r="A755" s="1657">
        <v>42755</v>
      </c>
      <c r="B755" s="1658">
        <v>4320</v>
      </c>
      <c r="C755" s="1658">
        <v>-200</v>
      </c>
      <c r="D755" s="1659">
        <v>-4.42</v>
      </c>
      <c r="E755" s="1658">
        <v>4400</v>
      </c>
      <c r="F755" s="1658">
        <v>4545</v>
      </c>
      <c r="G755" s="1658">
        <v>4280</v>
      </c>
      <c r="H755" s="1658">
        <v>821909</v>
      </c>
      <c r="I755" s="1658">
        <v>3606782730</v>
      </c>
      <c r="J755" s="1658">
        <v>134335566720</v>
      </c>
      <c r="K755" s="1658">
        <v>31096196</v>
      </c>
    </row>
    <row r="756" spans="1:11" x14ac:dyDescent="0.3">
      <c r="A756" s="1657">
        <v>42758</v>
      </c>
      <c r="B756" s="1658">
        <v>4145</v>
      </c>
      <c r="C756" s="1658">
        <v>-175</v>
      </c>
      <c r="D756" s="1659">
        <v>-4.05</v>
      </c>
      <c r="E756" s="1658">
        <v>4325</v>
      </c>
      <c r="F756" s="1658">
        <v>4445</v>
      </c>
      <c r="G756" s="1658">
        <v>4145</v>
      </c>
      <c r="H756" s="1658">
        <v>668910</v>
      </c>
      <c r="I756" s="1658">
        <v>2889815370</v>
      </c>
      <c r="J756" s="1658">
        <v>128893732420</v>
      </c>
      <c r="K756" s="1658">
        <v>31096196</v>
      </c>
    </row>
    <row r="757" spans="1:11" x14ac:dyDescent="0.3">
      <c r="A757" s="1657">
        <v>42759</v>
      </c>
      <c r="B757" s="1658">
        <v>4175</v>
      </c>
      <c r="C757" s="1658">
        <v>30</v>
      </c>
      <c r="D757" s="1659">
        <v>0.72</v>
      </c>
      <c r="E757" s="1658">
        <v>4140</v>
      </c>
      <c r="F757" s="1658">
        <v>4955</v>
      </c>
      <c r="G757" s="1658">
        <v>4115</v>
      </c>
      <c r="H757" s="1658">
        <v>3625712</v>
      </c>
      <c r="I757" s="1658">
        <v>16563829975</v>
      </c>
      <c r="J757" s="1658">
        <v>129826618300</v>
      </c>
      <c r="K757" s="1658">
        <v>31096196</v>
      </c>
    </row>
    <row r="758" spans="1:11" x14ac:dyDescent="0.3">
      <c r="A758" s="1657">
        <v>42760</v>
      </c>
      <c r="B758" s="1658">
        <v>4085</v>
      </c>
      <c r="C758" s="1658">
        <v>-90</v>
      </c>
      <c r="D758" s="1659">
        <v>-2.16</v>
      </c>
      <c r="E758" s="1658">
        <v>4230</v>
      </c>
      <c r="F758" s="1658">
        <v>4345</v>
      </c>
      <c r="G758" s="1658">
        <v>3985</v>
      </c>
      <c r="H758" s="1658">
        <v>630238</v>
      </c>
      <c r="I758" s="1658">
        <v>2624995865</v>
      </c>
      <c r="J758" s="1658">
        <v>127027960660</v>
      </c>
      <c r="K758" s="1658">
        <v>31096196</v>
      </c>
    </row>
    <row r="759" spans="1:11" x14ac:dyDescent="0.3">
      <c r="A759" s="1657">
        <v>42761</v>
      </c>
      <c r="B759" s="1658">
        <v>4180</v>
      </c>
      <c r="C759" s="1658">
        <v>95</v>
      </c>
      <c r="D759" s="1659">
        <v>2.33</v>
      </c>
      <c r="E759" s="1658">
        <v>4015</v>
      </c>
      <c r="F759" s="1658">
        <v>4180</v>
      </c>
      <c r="G759" s="1658">
        <v>4005</v>
      </c>
      <c r="H759" s="1658">
        <v>352902</v>
      </c>
      <c r="I759" s="1658">
        <v>1439057715</v>
      </c>
      <c r="J759" s="1658">
        <v>129982099280</v>
      </c>
      <c r="K759" s="1658">
        <v>31096196</v>
      </c>
    </row>
    <row r="760" spans="1:11" x14ac:dyDescent="0.3">
      <c r="A760" s="1657">
        <v>42766</v>
      </c>
      <c r="B760" s="1658">
        <v>4010</v>
      </c>
      <c r="C760" s="1658">
        <v>-170</v>
      </c>
      <c r="D760" s="1659">
        <v>-4.07</v>
      </c>
      <c r="E760" s="1658">
        <v>4100</v>
      </c>
      <c r="F760" s="1658">
        <v>4130</v>
      </c>
      <c r="G760" s="1658">
        <v>3920</v>
      </c>
      <c r="H760" s="1658">
        <v>594281</v>
      </c>
      <c r="I760" s="1658">
        <v>2389987900</v>
      </c>
      <c r="J760" s="1658">
        <v>124695745960</v>
      </c>
      <c r="K760" s="1658">
        <v>31096196</v>
      </c>
    </row>
    <row r="761" spans="1:11" x14ac:dyDescent="0.3">
      <c r="A761" s="1657">
        <v>42767</v>
      </c>
      <c r="B761" s="1658">
        <v>4075</v>
      </c>
      <c r="C761" s="1658">
        <v>65</v>
      </c>
      <c r="D761" s="1659">
        <v>1.62</v>
      </c>
      <c r="E761" s="1658">
        <v>3975</v>
      </c>
      <c r="F761" s="1658">
        <v>4075</v>
      </c>
      <c r="G761" s="1658">
        <v>3945</v>
      </c>
      <c r="H761" s="1658">
        <v>247782</v>
      </c>
      <c r="I761" s="1658">
        <v>992399295</v>
      </c>
      <c r="J761" s="1658">
        <v>126716998700</v>
      </c>
      <c r="K761" s="1658">
        <v>31096196</v>
      </c>
    </row>
    <row r="762" spans="1:11" x14ac:dyDescent="0.3">
      <c r="A762" s="1657">
        <v>42768</v>
      </c>
      <c r="B762" s="1658">
        <v>3330</v>
      </c>
      <c r="C762" s="1658">
        <v>-745</v>
      </c>
      <c r="D762" s="1659">
        <v>-18.28</v>
      </c>
      <c r="E762" s="1658">
        <v>3155</v>
      </c>
      <c r="F762" s="1658">
        <v>3510</v>
      </c>
      <c r="G762" s="1658">
        <v>3155</v>
      </c>
      <c r="H762" s="1658">
        <v>1723130</v>
      </c>
      <c r="I762" s="1658">
        <v>5753632655</v>
      </c>
      <c r="J762" s="1658">
        <v>103550332680</v>
      </c>
      <c r="K762" s="1658">
        <v>31096196</v>
      </c>
    </row>
    <row r="763" spans="1:11" x14ac:dyDescent="0.3">
      <c r="A763" s="1657">
        <v>42769</v>
      </c>
      <c r="B763" s="1658">
        <v>3300</v>
      </c>
      <c r="C763" s="1658">
        <v>-30</v>
      </c>
      <c r="D763" s="1659">
        <v>-0.9</v>
      </c>
      <c r="E763" s="1658">
        <v>3325</v>
      </c>
      <c r="F763" s="1658">
        <v>3390</v>
      </c>
      <c r="G763" s="1658">
        <v>3280</v>
      </c>
      <c r="H763" s="1658">
        <v>320298</v>
      </c>
      <c r="I763" s="1658">
        <v>1064462515</v>
      </c>
      <c r="J763" s="1658">
        <v>102617446800</v>
      </c>
      <c r="K763" s="1658">
        <v>31096196</v>
      </c>
    </row>
    <row r="764" spans="1:11" x14ac:dyDescent="0.3">
      <c r="A764" s="1657">
        <v>42772</v>
      </c>
      <c r="B764" s="1658">
        <v>3370</v>
      </c>
      <c r="C764" s="1658">
        <v>70</v>
      </c>
      <c r="D764" s="1659">
        <v>2.12</v>
      </c>
      <c r="E764" s="1658">
        <v>3255</v>
      </c>
      <c r="F764" s="1658">
        <v>3400</v>
      </c>
      <c r="G764" s="1658">
        <v>3255</v>
      </c>
      <c r="H764" s="1658">
        <v>250656</v>
      </c>
      <c r="I764" s="1658">
        <v>836986885</v>
      </c>
      <c r="J764" s="1658">
        <v>104794180520</v>
      </c>
      <c r="K764" s="1658">
        <v>31096196</v>
      </c>
    </row>
    <row r="765" spans="1:11" x14ac:dyDescent="0.3">
      <c r="A765" s="1657">
        <v>42773</v>
      </c>
      <c r="B765" s="1658">
        <v>3305</v>
      </c>
      <c r="C765" s="1658">
        <v>-65</v>
      </c>
      <c r="D765" s="1659">
        <v>-1.93</v>
      </c>
      <c r="E765" s="1658">
        <v>3340</v>
      </c>
      <c r="F765" s="1658">
        <v>3385</v>
      </c>
      <c r="G765" s="1658">
        <v>3300</v>
      </c>
      <c r="H765" s="1658">
        <v>177810</v>
      </c>
      <c r="I765" s="1658">
        <v>593213710</v>
      </c>
      <c r="J765" s="1658">
        <v>102772927780</v>
      </c>
      <c r="K765" s="1658">
        <v>31096196</v>
      </c>
    </row>
    <row r="766" spans="1:11" x14ac:dyDescent="0.3">
      <c r="A766" s="1657">
        <v>42774</v>
      </c>
      <c r="B766" s="1658">
        <v>3315</v>
      </c>
      <c r="C766" s="1658">
        <v>10</v>
      </c>
      <c r="D766" s="1659">
        <v>0.3</v>
      </c>
      <c r="E766" s="1658">
        <v>3310</v>
      </c>
      <c r="F766" s="1658">
        <v>3325</v>
      </c>
      <c r="G766" s="1658">
        <v>3190</v>
      </c>
      <c r="H766" s="1658">
        <v>236941</v>
      </c>
      <c r="I766" s="1658">
        <v>769275445</v>
      </c>
      <c r="J766" s="1658">
        <v>103083889740</v>
      </c>
      <c r="K766" s="1658">
        <v>31096196</v>
      </c>
    </row>
    <row r="767" spans="1:11" x14ac:dyDescent="0.3">
      <c r="A767" s="1657">
        <v>42775</v>
      </c>
      <c r="B767" s="1658">
        <v>3400</v>
      </c>
      <c r="C767" s="1658">
        <v>85</v>
      </c>
      <c r="D767" s="1659">
        <v>2.56</v>
      </c>
      <c r="E767" s="1658">
        <v>3300</v>
      </c>
      <c r="F767" s="1658">
        <v>3475</v>
      </c>
      <c r="G767" s="1658">
        <v>3275</v>
      </c>
      <c r="H767" s="1658">
        <v>338608</v>
      </c>
      <c r="I767" s="1658">
        <v>1146099740</v>
      </c>
      <c r="J767" s="1658">
        <v>105727066400</v>
      </c>
      <c r="K767" s="1658">
        <v>31096196</v>
      </c>
    </row>
    <row r="768" spans="1:11" x14ac:dyDescent="0.3">
      <c r="A768" s="1657">
        <v>42776</v>
      </c>
      <c r="B768" s="1658">
        <v>3300</v>
      </c>
      <c r="C768" s="1658">
        <v>-100</v>
      </c>
      <c r="D768" s="1659">
        <v>-2.94</v>
      </c>
      <c r="E768" s="1658">
        <v>3440</v>
      </c>
      <c r="F768" s="1658">
        <v>3440</v>
      </c>
      <c r="G768" s="1658">
        <v>3295</v>
      </c>
      <c r="H768" s="1658">
        <v>215186</v>
      </c>
      <c r="I768" s="1658">
        <v>718555100</v>
      </c>
      <c r="J768" s="1658">
        <v>102617446800</v>
      </c>
      <c r="K768" s="1658">
        <v>31096196</v>
      </c>
    </row>
    <row r="769" spans="1:11" x14ac:dyDescent="0.3">
      <c r="A769" s="1657">
        <v>42779</v>
      </c>
      <c r="B769" s="1658">
        <v>3360</v>
      </c>
      <c r="C769" s="1658">
        <v>60</v>
      </c>
      <c r="D769" s="1659">
        <v>1.82</v>
      </c>
      <c r="E769" s="1658">
        <v>3355</v>
      </c>
      <c r="F769" s="1658">
        <v>3840</v>
      </c>
      <c r="G769" s="1658">
        <v>3165</v>
      </c>
      <c r="H769" s="1658">
        <v>1252305</v>
      </c>
      <c r="I769" s="1658">
        <v>4441027280</v>
      </c>
      <c r="J769" s="1658">
        <v>104483218560</v>
      </c>
      <c r="K769" s="1658">
        <v>31096196</v>
      </c>
    </row>
    <row r="770" spans="1:11" x14ac:dyDescent="0.3">
      <c r="A770" s="1657">
        <v>42780</v>
      </c>
      <c r="B770" s="1658">
        <v>3380</v>
      </c>
      <c r="C770" s="1658">
        <v>20</v>
      </c>
      <c r="D770" s="1659">
        <v>0.6</v>
      </c>
      <c r="E770" s="1658">
        <v>3400</v>
      </c>
      <c r="F770" s="1658">
        <v>3410</v>
      </c>
      <c r="G770" s="1658">
        <v>3315</v>
      </c>
      <c r="H770" s="1658">
        <v>196744</v>
      </c>
      <c r="I770" s="1658">
        <v>660689585</v>
      </c>
      <c r="J770" s="1658">
        <v>105105142480</v>
      </c>
      <c r="K770" s="1658">
        <v>31096196</v>
      </c>
    </row>
    <row r="771" spans="1:11" x14ac:dyDescent="0.3">
      <c r="A771" s="1657">
        <v>42781</v>
      </c>
      <c r="B771" s="1658">
        <v>3440</v>
      </c>
      <c r="C771" s="1658">
        <v>60</v>
      </c>
      <c r="D771" s="1659">
        <v>1.78</v>
      </c>
      <c r="E771" s="1658">
        <v>3390</v>
      </c>
      <c r="F771" s="1658">
        <v>3475</v>
      </c>
      <c r="G771" s="1658">
        <v>3335</v>
      </c>
      <c r="H771" s="1658">
        <v>248181</v>
      </c>
      <c r="I771" s="1658">
        <v>848767175</v>
      </c>
      <c r="J771" s="1658">
        <v>106970914240</v>
      </c>
      <c r="K771" s="1658">
        <v>31096196</v>
      </c>
    </row>
    <row r="772" spans="1:11" x14ac:dyDescent="0.3">
      <c r="A772" s="1657">
        <v>42782</v>
      </c>
      <c r="B772" s="1658">
        <v>3395</v>
      </c>
      <c r="C772" s="1658">
        <v>-45</v>
      </c>
      <c r="D772" s="1659">
        <v>-1.31</v>
      </c>
      <c r="E772" s="1658">
        <v>3470</v>
      </c>
      <c r="F772" s="1658">
        <v>3490</v>
      </c>
      <c r="G772" s="1658">
        <v>3370</v>
      </c>
      <c r="H772" s="1658">
        <v>227729</v>
      </c>
      <c r="I772" s="1658">
        <v>780745820</v>
      </c>
      <c r="J772" s="1658">
        <v>105571585420</v>
      </c>
      <c r="K772" s="1658">
        <v>31096196</v>
      </c>
    </row>
    <row r="773" spans="1:11" x14ac:dyDescent="0.3">
      <c r="A773" s="1657">
        <v>42783</v>
      </c>
      <c r="B773" s="1658">
        <v>3370</v>
      </c>
      <c r="C773" s="1658">
        <v>-25</v>
      </c>
      <c r="D773" s="1659">
        <v>-0.74</v>
      </c>
      <c r="E773" s="1658">
        <v>3405</v>
      </c>
      <c r="F773" s="1658">
        <v>3435</v>
      </c>
      <c r="G773" s="1658">
        <v>3355</v>
      </c>
      <c r="H773" s="1658">
        <v>102668</v>
      </c>
      <c r="I773" s="1658">
        <v>347954630</v>
      </c>
      <c r="J773" s="1658">
        <v>104794180520</v>
      </c>
      <c r="K773" s="1658">
        <v>31096196</v>
      </c>
    </row>
    <row r="774" spans="1:11" x14ac:dyDescent="0.3">
      <c r="A774" s="1657">
        <v>42786</v>
      </c>
      <c r="B774" s="1658">
        <v>3340</v>
      </c>
      <c r="C774" s="1658">
        <v>-30</v>
      </c>
      <c r="D774" s="1659">
        <v>-0.89</v>
      </c>
      <c r="E774" s="1658">
        <v>3420</v>
      </c>
      <c r="F774" s="1658">
        <v>3535</v>
      </c>
      <c r="G774" s="1658">
        <v>3340</v>
      </c>
      <c r="H774" s="1658">
        <v>301921</v>
      </c>
      <c r="I774" s="1658">
        <v>1033256375</v>
      </c>
      <c r="J774" s="1658">
        <v>103861294640</v>
      </c>
      <c r="K774" s="1658">
        <v>31096196</v>
      </c>
    </row>
    <row r="775" spans="1:11" x14ac:dyDescent="0.3">
      <c r="A775" s="1657">
        <v>42787</v>
      </c>
      <c r="B775" s="1658">
        <v>3360</v>
      </c>
      <c r="C775" s="1658">
        <v>20</v>
      </c>
      <c r="D775" s="1659">
        <v>0.6</v>
      </c>
      <c r="E775" s="1658">
        <v>3340</v>
      </c>
      <c r="F775" s="1658">
        <v>3420</v>
      </c>
      <c r="G775" s="1658">
        <v>3340</v>
      </c>
      <c r="H775" s="1658">
        <v>103730</v>
      </c>
      <c r="I775" s="1658">
        <v>350166030</v>
      </c>
      <c r="J775" s="1658">
        <v>104483218560</v>
      </c>
      <c r="K775" s="1658">
        <v>31096196</v>
      </c>
    </row>
    <row r="776" spans="1:11" x14ac:dyDescent="0.3">
      <c r="A776" s="1657">
        <v>42788</v>
      </c>
      <c r="B776" s="1658">
        <v>3385</v>
      </c>
      <c r="C776" s="1658">
        <v>25</v>
      </c>
      <c r="D776" s="1659">
        <v>0.74</v>
      </c>
      <c r="E776" s="1658">
        <v>3360</v>
      </c>
      <c r="F776" s="1658">
        <v>3415</v>
      </c>
      <c r="G776" s="1658">
        <v>3355</v>
      </c>
      <c r="H776" s="1658">
        <v>87488</v>
      </c>
      <c r="I776" s="1658">
        <v>296754350</v>
      </c>
      <c r="J776" s="1658">
        <v>105260623460</v>
      </c>
      <c r="K776" s="1658">
        <v>31096196</v>
      </c>
    </row>
    <row r="777" spans="1:11" x14ac:dyDescent="0.3">
      <c r="A777" s="1657">
        <v>42789</v>
      </c>
      <c r="B777" s="1658">
        <v>3400</v>
      </c>
      <c r="C777" s="1658">
        <v>15</v>
      </c>
      <c r="D777" s="1659">
        <v>0.44</v>
      </c>
      <c r="E777" s="1658">
        <v>3390</v>
      </c>
      <c r="F777" s="1658">
        <v>3415</v>
      </c>
      <c r="G777" s="1658">
        <v>3350</v>
      </c>
      <c r="H777" s="1658">
        <v>84969</v>
      </c>
      <c r="I777" s="1658">
        <v>286809030</v>
      </c>
      <c r="J777" s="1658">
        <v>105727066400</v>
      </c>
      <c r="K777" s="1658">
        <v>31096196</v>
      </c>
    </row>
    <row r="778" spans="1:11" x14ac:dyDescent="0.3">
      <c r="A778" s="1657">
        <v>42790</v>
      </c>
      <c r="B778" s="1658">
        <v>3360</v>
      </c>
      <c r="C778" s="1658">
        <v>-40</v>
      </c>
      <c r="D778" s="1659">
        <v>-1.18</v>
      </c>
      <c r="E778" s="1658">
        <v>3415</v>
      </c>
      <c r="F778" s="1658">
        <v>3420</v>
      </c>
      <c r="G778" s="1658">
        <v>3350</v>
      </c>
      <c r="H778" s="1658">
        <v>129657</v>
      </c>
      <c r="I778" s="1658">
        <v>437343425</v>
      </c>
      <c r="J778" s="1658">
        <v>104483218560</v>
      </c>
      <c r="K778" s="1658">
        <v>31096196</v>
      </c>
    </row>
    <row r="779" spans="1:11" x14ac:dyDescent="0.3">
      <c r="A779" s="1657">
        <v>42793</v>
      </c>
      <c r="B779" s="1658">
        <v>3285</v>
      </c>
      <c r="C779" s="1658">
        <v>-75</v>
      </c>
      <c r="D779" s="1659">
        <v>-2.23</v>
      </c>
      <c r="E779" s="1658">
        <v>3395</v>
      </c>
      <c r="F779" s="1658">
        <v>3395</v>
      </c>
      <c r="G779" s="1658">
        <v>3270</v>
      </c>
      <c r="H779" s="1658">
        <v>184331</v>
      </c>
      <c r="I779" s="1658">
        <v>610658305</v>
      </c>
      <c r="J779" s="1658">
        <v>102151003860</v>
      </c>
      <c r="K779" s="1658">
        <v>31096196</v>
      </c>
    </row>
    <row r="780" spans="1:11" x14ac:dyDescent="0.3">
      <c r="A780" s="1657">
        <v>42794</v>
      </c>
      <c r="B780" s="1658">
        <v>3330</v>
      </c>
      <c r="C780" s="1658">
        <v>45</v>
      </c>
      <c r="D780" s="1659">
        <v>1.37</v>
      </c>
      <c r="E780" s="1658">
        <v>3285</v>
      </c>
      <c r="F780" s="1658">
        <v>3550</v>
      </c>
      <c r="G780" s="1658">
        <v>3250</v>
      </c>
      <c r="H780" s="1658">
        <v>489869</v>
      </c>
      <c r="I780" s="1658">
        <v>1677550860</v>
      </c>
      <c r="J780" s="1658">
        <v>103550332680</v>
      </c>
      <c r="K780" s="1658">
        <v>31096196</v>
      </c>
    </row>
    <row r="781" spans="1:11" x14ac:dyDescent="0.3">
      <c r="A781" s="1657">
        <v>42796</v>
      </c>
      <c r="B781" s="1658">
        <v>3320</v>
      </c>
      <c r="C781" s="1658">
        <v>-10</v>
      </c>
      <c r="D781" s="1659">
        <v>-0.3</v>
      </c>
      <c r="E781" s="1658">
        <v>3370</v>
      </c>
      <c r="F781" s="1658">
        <v>3370</v>
      </c>
      <c r="G781" s="1658">
        <v>3300</v>
      </c>
      <c r="H781" s="1658">
        <v>104212</v>
      </c>
      <c r="I781" s="1658">
        <v>346455930</v>
      </c>
      <c r="J781" s="1658">
        <v>103239370720</v>
      </c>
      <c r="K781" s="1658">
        <v>31096196</v>
      </c>
    </row>
    <row r="782" spans="1:11" x14ac:dyDescent="0.3">
      <c r="A782" s="1657">
        <v>42797</v>
      </c>
      <c r="B782" s="1658">
        <v>3240</v>
      </c>
      <c r="C782" s="1658">
        <v>-80</v>
      </c>
      <c r="D782" s="1659">
        <v>-2.41</v>
      </c>
      <c r="E782" s="1658">
        <v>3305</v>
      </c>
      <c r="F782" s="1658">
        <v>3335</v>
      </c>
      <c r="G782" s="1658">
        <v>3220</v>
      </c>
      <c r="H782" s="1658">
        <v>161965</v>
      </c>
      <c r="I782" s="1658">
        <v>527315065</v>
      </c>
      <c r="J782" s="1658">
        <v>100751675040</v>
      </c>
      <c r="K782" s="1658">
        <v>31096196</v>
      </c>
    </row>
    <row r="783" spans="1:11" x14ac:dyDescent="0.3">
      <c r="A783" s="1657">
        <v>42800</v>
      </c>
      <c r="B783" s="1658">
        <v>3260</v>
      </c>
      <c r="C783" s="1658">
        <v>20</v>
      </c>
      <c r="D783" s="1659">
        <v>0.62</v>
      </c>
      <c r="E783" s="1658">
        <v>3200</v>
      </c>
      <c r="F783" s="1658">
        <v>3280</v>
      </c>
      <c r="G783" s="1658">
        <v>3195</v>
      </c>
      <c r="H783" s="1658">
        <v>68250</v>
      </c>
      <c r="I783" s="1658">
        <v>220298935</v>
      </c>
      <c r="J783" s="1658">
        <v>101373598960</v>
      </c>
      <c r="K783" s="1658">
        <v>31096196</v>
      </c>
    </row>
    <row r="784" spans="1:11" x14ac:dyDescent="0.3">
      <c r="A784" s="1657">
        <v>42801</v>
      </c>
      <c r="B784" s="1658">
        <v>3230</v>
      </c>
      <c r="C784" s="1658">
        <v>-30</v>
      </c>
      <c r="D784" s="1659">
        <v>-0.92</v>
      </c>
      <c r="E784" s="1658">
        <v>3270</v>
      </c>
      <c r="F784" s="1658">
        <v>3270</v>
      </c>
      <c r="G784" s="1658">
        <v>3205</v>
      </c>
      <c r="H784" s="1658">
        <v>93838</v>
      </c>
      <c r="I784" s="1658">
        <v>302224030</v>
      </c>
      <c r="J784" s="1658">
        <v>100440713080</v>
      </c>
      <c r="K784" s="1658">
        <v>31096196</v>
      </c>
    </row>
    <row r="785" spans="1:11" x14ac:dyDescent="0.3">
      <c r="A785" s="1657">
        <v>42802</v>
      </c>
      <c r="B785" s="1658">
        <v>3260</v>
      </c>
      <c r="C785" s="1658">
        <v>30</v>
      </c>
      <c r="D785" s="1659">
        <v>0.93</v>
      </c>
      <c r="E785" s="1658">
        <v>3230</v>
      </c>
      <c r="F785" s="1658">
        <v>3315</v>
      </c>
      <c r="G785" s="1658">
        <v>3225</v>
      </c>
      <c r="H785" s="1658">
        <v>74011</v>
      </c>
      <c r="I785" s="1658">
        <v>241391845</v>
      </c>
      <c r="J785" s="1658">
        <v>101373598960</v>
      </c>
      <c r="K785" s="1658">
        <v>31096196</v>
      </c>
    </row>
    <row r="786" spans="1:11" x14ac:dyDescent="0.3">
      <c r="A786" s="1657">
        <v>42803</v>
      </c>
      <c r="B786" s="1658">
        <v>3250</v>
      </c>
      <c r="C786" s="1658">
        <v>-10</v>
      </c>
      <c r="D786" s="1659">
        <v>-0.31</v>
      </c>
      <c r="E786" s="1658">
        <v>3235</v>
      </c>
      <c r="F786" s="1658">
        <v>3320</v>
      </c>
      <c r="G786" s="1658">
        <v>3235</v>
      </c>
      <c r="H786" s="1658">
        <v>104103</v>
      </c>
      <c r="I786" s="1658">
        <v>341636610</v>
      </c>
      <c r="J786" s="1658">
        <v>101062637000</v>
      </c>
      <c r="K786" s="1658">
        <v>31096196</v>
      </c>
    </row>
    <row r="787" spans="1:11" x14ac:dyDescent="0.3">
      <c r="A787" s="1657">
        <v>42804</v>
      </c>
      <c r="B787" s="1658">
        <v>3335</v>
      </c>
      <c r="C787" s="1658">
        <v>85</v>
      </c>
      <c r="D787" s="1659">
        <v>2.62</v>
      </c>
      <c r="E787" s="1658">
        <v>3255</v>
      </c>
      <c r="F787" s="1658">
        <v>3340</v>
      </c>
      <c r="G787" s="1658">
        <v>3165</v>
      </c>
      <c r="H787" s="1658">
        <v>169620</v>
      </c>
      <c r="I787" s="1658">
        <v>555536400</v>
      </c>
      <c r="J787" s="1658">
        <v>103705813660</v>
      </c>
      <c r="K787" s="1658">
        <v>31096196</v>
      </c>
    </row>
    <row r="788" spans="1:11" x14ac:dyDescent="0.3">
      <c r="A788" s="1657">
        <v>42807</v>
      </c>
      <c r="B788" s="1658">
        <v>3370</v>
      </c>
      <c r="C788" s="1658">
        <v>35</v>
      </c>
      <c r="D788" s="1659">
        <v>1.05</v>
      </c>
      <c r="E788" s="1658">
        <v>3315</v>
      </c>
      <c r="F788" s="1658">
        <v>3390</v>
      </c>
      <c r="G788" s="1658">
        <v>3310</v>
      </c>
      <c r="H788" s="1658">
        <v>135393</v>
      </c>
      <c r="I788" s="1658">
        <v>455156165</v>
      </c>
      <c r="J788" s="1658">
        <v>104794180520</v>
      </c>
      <c r="K788" s="1658">
        <v>31096196</v>
      </c>
    </row>
    <row r="789" spans="1:11" x14ac:dyDescent="0.3">
      <c r="A789" s="1657">
        <v>42808</v>
      </c>
      <c r="B789" s="1658">
        <v>3335</v>
      </c>
      <c r="C789" s="1658">
        <v>-35</v>
      </c>
      <c r="D789" s="1659">
        <v>-1.04</v>
      </c>
      <c r="E789" s="1658">
        <v>3370</v>
      </c>
      <c r="F789" s="1658">
        <v>3375</v>
      </c>
      <c r="G789" s="1658">
        <v>3280</v>
      </c>
      <c r="H789" s="1658">
        <v>178024</v>
      </c>
      <c r="I789" s="1658">
        <v>592108995</v>
      </c>
      <c r="J789" s="1658">
        <v>103705813660</v>
      </c>
      <c r="K789" s="1658">
        <v>31096196</v>
      </c>
    </row>
    <row r="790" spans="1:11" x14ac:dyDescent="0.3">
      <c r="A790" s="1657">
        <v>42809</v>
      </c>
      <c r="B790" s="1658">
        <v>3395</v>
      </c>
      <c r="C790" s="1658">
        <v>60</v>
      </c>
      <c r="D790" s="1659">
        <v>1.8</v>
      </c>
      <c r="E790" s="1658">
        <v>3330</v>
      </c>
      <c r="F790" s="1658">
        <v>3570</v>
      </c>
      <c r="G790" s="1658">
        <v>3315</v>
      </c>
      <c r="H790" s="1658">
        <v>693535</v>
      </c>
      <c r="I790" s="1658">
        <v>2407727130</v>
      </c>
      <c r="J790" s="1658">
        <v>105571585420</v>
      </c>
      <c r="K790" s="1658">
        <v>31096196</v>
      </c>
    </row>
    <row r="791" spans="1:11" x14ac:dyDescent="0.3">
      <c r="A791" s="1657">
        <v>42810</v>
      </c>
      <c r="B791" s="1658">
        <v>3385</v>
      </c>
      <c r="C791" s="1658">
        <v>-10</v>
      </c>
      <c r="D791" s="1659">
        <v>-0.28999999999999998</v>
      </c>
      <c r="E791" s="1658">
        <v>3400</v>
      </c>
      <c r="F791" s="1658">
        <v>3445</v>
      </c>
      <c r="G791" s="1658">
        <v>3355</v>
      </c>
      <c r="H791" s="1658">
        <v>162906</v>
      </c>
      <c r="I791" s="1658">
        <v>552533885</v>
      </c>
      <c r="J791" s="1658">
        <v>105260623460</v>
      </c>
      <c r="K791" s="1658">
        <v>31096196</v>
      </c>
    </row>
    <row r="792" spans="1:11" x14ac:dyDescent="0.3">
      <c r="A792" s="1657">
        <v>42811</v>
      </c>
      <c r="B792" s="1658">
        <v>4400</v>
      </c>
      <c r="C792" s="1658">
        <v>1015</v>
      </c>
      <c r="D792" s="1659">
        <v>29.99</v>
      </c>
      <c r="E792" s="1658">
        <v>3380</v>
      </c>
      <c r="F792" s="1658">
        <v>4400</v>
      </c>
      <c r="G792" s="1658">
        <v>3320</v>
      </c>
      <c r="H792" s="1658">
        <v>7309296</v>
      </c>
      <c r="I792" s="1658">
        <v>29502859865</v>
      </c>
      <c r="J792" s="1658">
        <v>136823262400</v>
      </c>
      <c r="K792" s="1658">
        <v>31096196</v>
      </c>
    </row>
    <row r="793" spans="1:11" x14ac:dyDescent="0.3">
      <c r="A793" s="1657">
        <v>42814</v>
      </c>
      <c r="B793" s="1658">
        <v>4400</v>
      </c>
      <c r="C793" s="1658">
        <v>0</v>
      </c>
      <c r="D793" s="1659">
        <v>0</v>
      </c>
      <c r="E793" s="1658">
        <v>4700</v>
      </c>
      <c r="F793" s="1658">
        <v>4990</v>
      </c>
      <c r="G793" s="1658">
        <v>4275</v>
      </c>
      <c r="H793" s="1658">
        <v>8906399</v>
      </c>
      <c r="I793" s="1658">
        <v>41638435650</v>
      </c>
      <c r="J793" s="1658">
        <v>136823262400</v>
      </c>
      <c r="K793" s="1658">
        <v>31096196</v>
      </c>
    </row>
    <row r="794" spans="1:11" x14ac:dyDescent="0.3">
      <c r="A794" s="1657">
        <v>42815</v>
      </c>
      <c r="B794" s="1658">
        <v>4660</v>
      </c>
      <c r="C794" s="1658">
        <v>260</v>
      </c>
      <c r="D794" s="1659">
        <v>5.91</v>
      </c>
      <c r="E794" s="1658">
        <v>4450</v>
      </c>
      <c r="F794" s="1658">
        <v>5140</v>
      </c>
      <c r="G794" s="1658">
        <v>4385</v>
      </c>
      <c r="H794" s="1658">
        <v>13570471</v>
      </c>
      <c r="I794" s="1658">
        <v>65282342710</v>
      </c>
      <c r="J794" s="1658">
        <v>144908273360</v>
      </c>
      <c r="K794" s="1658">
        <v>31096196</v>
      </c>
    </row>
    <row r="795" spans="1:11" x14ac:dyDescent="0.3">
      <c r="A795" s="1657">
        <v>42816</v>
      </c>
      <c r="B795" s="1658">
        <v>4810</v>
      </c>
      <c r="C795" s="1658">
        <v>150</v>
      </c>
      <c r="D795" s="1659">
        <v>3.22</v>
      </c>
      <c r="E795" s="1658">
        <v>4680</v>
      </c>
      <c r="F795" s="1658">
        <v>4985</v>
      </c>
      <c r="G795" s="1658">
        <v>4515</v>
      </c>
      <c r="H795" s="1658">
        <v>4953620</v>
      </c>
      <c r="I795" s="1658">
        <v>23617056295</v>
      </c>
      <c r="J795" s="1658">
        <v>149572702760</v>
      </c>
      <c r="K795" s="1658">
        <v>31096196</v>
      </c>
    </row>
    <row r="796" spans="1:11" x14ac:dyDescent="0.3">
      <c r="A796" s="1657">
        <v>42817</v>
      </c>
      <c r="B796" s="1658">
        <v>4410</v>
      </c>
      <c r="C796" s="1658">
        <v>-400</v>
      </c>
      <c r="D796" s="1659">
        <v>-8.32</v>
      </c>
      <c r="E796" s="1658">
        <v>4715</v>
      </c>
      <c r="F796" s="1658">
        <v>4880</v>
      </c>
      <c r="G796" s="1658">
        <v>4250</v>
      </c>
      <c r="H796" s="1658">
        <v>3591286</v>
      </c>
      <c r="I796" s="1658">
        <v>16681526975</v>
      </c>
      <c r="J796" s="1658">
        <v>137134224360</v>
      </c>
      <c r="K796" s="1658">
        <v>31096196</v>
      </c>
    </row>
    <row r="797" spans="1:11" x14ac:dyDescent="0.3">
      <c r="A797" s="1657">
        <v>42818</v>
      </c>
      <c r="B797" s="1658">
        <v>4310</v>
      </c>
      <c r="C797" s="1658">
        <v>-100</v>
      </c>
      <c r="D797" s="1659">
        <v>-2.27</v>
      </c>
      <c r="E797" s="1658">
        <v>4470</v>
      </c>
      <c r="F797" s="1658">
        <v>4480</v>
      </c>
      <c r="G797" s="1658">
        <v>4210</v>
      </c>
      <c r="H797" s="1658">
        <v>1447297</v>
      </c>
      <c r="I797" s="1658">
        <v>6234378530</v>
      </c>
      <c r="J797" s="1658">
        <v>134024604760</v>
      </c>
      <c r="K797" s="1658">
        <v>31096196</v>
      </c>
    </row>
    <row r="798" spans="1:11" x14ac:dyDescent="0.3">
      <c r="A798" s="1657">
        <v>42821</v>
      </c>
      <c r="B798" s="1658">
        <v>5340</v>
      </c>
      <c r="C798" s="1658">
        <v>1030</v>
      </c>
      <c r="D798" s="1659">
        <v>23.9</v>
      </c>
      <c r="E798" s="1658">
        <v>4275</v>
      </c>
      <c r="F798" s="1658">
        <v>5600</v>
      </c>
      <c r="G798" s="1658">
        <v>4215</v>
      </c>
      <c r="H798" s="1658">
        <v>12719443</v>
      </c>
      <c r="I798" s="1658">
        <v>64176351830</v>
      </c>
      <c r="J798" s="1658">
        <v>166053686640</v>
      </c>
      <c r="K798" s="1658">
        <v>31096196</v>
      </c>
    </row>
    <row r="799" spans="1:11" x14ac:dyDescent="0.3">
      <c r="A799" s="1657">
        <v>42822</v>
      </c>
      <c r="B799" s="1658">
        <v>5240</v>
      </c>
      <c r="C799" s="1658">
        <v>-100</v>
      </c>
      <c r="D799" s="1659">
        <v>-1.87</v>
      </c>
      <c r="E799" s="1658">
        <v>5160</v>
      </c>
      <c r="F799" s="1658">
        <v>5280</v>
      </c>
      <c r="G799" s="1658">
        <v>5020</v>
      </c>
      <c r="H799" s="1658">
        <v>3193758</v>
      </c>
      <c r="I799" s="1658">
        <v>16480880860</v>
      </c>
      <c r="J799" s="1658">
        <v>162944067040</v>
      </c>
      <c r="K799" s="1658">
        <v>31096196</v>
      </c>
    </row>
    <row r="800" spans="1:11" x14ac:dyDescent="0.3">
      <c r="A800" s="1657">
        <v>42823</v>
      </c>
      <c r="B800" s="1658">
        <v>5340</v>
      </c>
      <c r="C800" s="1658">
        <v>100</v>
      </c>
      <c r="D800" s="1659">
        <v>1.91</v>
      </c>
      <c r="E800" s="1658">
        <v>5190</v>
      </c>
      <c r="F800" s="1658">
        <v>5500</v>
      </c>
      <c r="G800" s="1658">
        <v>5180</v>
      </c>
      <c r="H800" s="1658">
        <v>3170859</v>
      </c>
      <c r="I800" s="1658">
        <v>16945126750</v>
      </c>
      <c r="J800" s="1658">
        <v>166053686640</v>
      </c>
      <c r="K800" s="1658">
        <v>31096196</v>
      </c>
    </row>
    <row r="801" spans="1:11" x14ac:dyDescent="0.3">
      <c r="A801" s="1657">
        <v>42824</v>
      </c>
      <c r="B801" s="1658">
        <v>5100</v>
      </c>
      <c r="C801" s="1658">
        <v>-240</v>
      </c>
      <c r="D801" s="1659">
        <v>-4.49</v>
      </c>
      <c r="E801" s="1658">
        <v>5330</v>
      </c>
      <c r="F801" s="1658">
        <v>5390</v>
      </c>
      <c r="G801" s="1658">
        <v>5100</v>
      </c>
      <c r="H801" s="1658">
        <v>1553282</v>
      </c>
      <c r="I801" s="1658">
        <v>8122111570</v>
      </c>
      <c r="J801" s="1658">
        <v>158590599600</v>
      </c>
      <c r="K801" s="1658">
        <v>31096196</v>
      </c>
    </row>
    <row r="802" spans="1:11" x14ac:dyDescent="0.3">
      <c r="A802" s="1657">
        <v>42825</v>
      </c>
      <c r="B802" s="1658">
        <v>5800</v>
      </c>
      <c r="C802" s="1658">
        <v>700</v>
      </c>
      <c r="D802" s="1659">
        <v>13.73</v>
      </c>
      <c r="E802" s="1658">
        <v>5010</v>
      </c>
      <c r="F802" s="1658">
        <v>6400</v>
      </c>
      <c r="G802" s="1658">
        <v>4940</v>
      </c>
      <c r="H802" s="1658">
        <v>20051155</v>
      </c>
      <c r="I802" s="1658">
        <v>118308159215</v>
      </c>
      <c r="J802" s="1658">
        <v>180357936800</v>
      </c>
      <c r="K802" s="1658">
        <v>31096196</v>
      </c>
    </row>
    <row r="803" spans="1:11" x14ac:dyDescent="0.3">
      <c r="A803" s="1657">
        <v>42828</v>
      </c>
      <c r="B803" s="1658">
        <v>5830</v>
      </c>
      <c r="C803" s="1658">
        <v>30</v>
      </c>
      <c r="D803" s="1659">
        <v>0.52</v>
      </c>
      <c r="E803" s="1658">
        <v>5670</v>
      </c>
      <c r="F803" s="1658">
        <v>5910</v>
      </c>
      <c r="G803" s="1658">
        <v>5670</v>
      </c>
      <c r="H803" s="1658">
        <v>1293939</v>
      </c>
      <c r="I803" s="1658">
        <v>7483058280</v>
      </c>
      <c r="J803" s="1658">
        <v>181290822680</v>
      </c>
      <c r="K803" s="1658">
        <v>31096196</v>
      </c>
    </row>
    <row r="804" spans="1:11" x14ac:dyDescent="0.3">
      <c r="A804" s="1657">
        <v>42829</v>
      </c>
      <c r="B804" s="1658">
        <v>5600</v>
      </c>
      <c r="C804" s="1658">
        <v>-230</v>
      </c>
      <c r="D804" s="1659">
        <v>-3.95</v>
      </c>
      <c r="E804" s="1658">
        <v>5900</v>
      </c>
      <c r="F804" s="1658">
        <v>5950</v>
      </c>
      <c r="G804" s="1658">
        <v>5600</v>
      </c>
      <c r="H804" s="1658">
        <v>924972</v>
      </c>
      <c r="I804" s="1658">
        <v>5363677450</v>
      </c>
      <c r="J804" s="1658">
        <v>174138697600</v>
      </c>
      <c r="K804" s="1658">
        <v>31096196</v>
      </c>
    </row>
    <row r="805" spans="1:11" x14ac:dyDescent="0.3">
      <c r="A805" s="1657">
        <v>42830</v>
      </c>
      <c r="B805" s="1658">
        <v>5800</v>
      </c>
      <c r="C805" s="1658">
        <v>200</v>
      </c>
      <c r="D805" s="1659">
        <v>3.57</v>
      </c>
      <c r="E805" s="1658">
        <v>5710</v>
      </c>
      <c r="F805" s="1658">
        <v>5850</v>
      </c>
      <c r="G805" s="1658">
        <v>5710</v>
      </c>
      <c r="H805" s="1658">
        <v>840102</v>
      </c>
      <c r="I805" s="1658">
        <v>4864116300</v>
      </c>
      <c r="J805" s="1658">
        <v>180357936800</v>
      </c>
      <c r="K805" s="1658">
        <v>31096196</v>
      </c>
    </row>
    <row r="806" spans="1:11" x14ac:dyDescent="0.3">
      <c r="A806" s="1657">
        <v>42831</v>
      </c>
      <c r="B806" s="1658">
        <v>5670</v>
      </c>
      <c r="C806" s="1658">
        <v>-130</v>
      </c>
      <c r="D806" s="1659">
        <v>-2.2400000000000002</v>
      </c>
      <c r="E806" s="1658">
        <v>5910</v>
      </c>
      <c r="F806" s="1658">
        <v>6730</v>
      </c>
      <c r="G806" s="1658">
        <v>5650</v>
      </c>
      <c r="H806" s="1658">
        <v>9240061</v>
      </c>
      <c r="I806" s="1658">
        <v>56873459170</v>
      </c>
      <c r="J806" s="1658">
        <v>176315431320</v>
      </c>
      <c r="K806" s="1658">
        <v>31096196</v>
      </c>
    </row>
    <row r="807" spans="1:11" x14ac:dyDescent="0.3">
      <c r="A807" s="1657">
        <v>42832</v>
      </c>
      <c r="B807" s="1658">
        <v>5450</v>
      </c>
      <c r="C807" s="1658">
        <v>-220</v>
      </c>
      <c r="D807" s="1659">
        <v>-3.88</v>
      </c>
      <c r="E807" s="1658">
        <v>5700</v>
      </c>
      <c r="F807" s="1658">
        <v>5950</v>
      </c>
      <c r="G807" s="1658">
        <v>5340</v>
      </c>
      <c r="H807" s="1658">
        <v>2323670</v>
      </c>
      <c r="I807" s="1658">
        <v>13049716630</v>
      </c>
      <c r="J807" s="1658">
        <v>169474268200</v>
      </c>
      <c r="K807" s="1658">
        <v>31096196</v>
      </c>
    </row>
    <row r="808" spans="1:11" x14ac:dyDescent="0.3">
      <c r="A808" s="1657">
        <v>42835</v>
      </c>
      <c r="B808" s="1658">
        <v>5200</v>
      </c>
      <c r="C808" s="1658">
        <v>-250</v>
      </c>
      <c r="D808" s="1659">
        <v>-4.59</v>
      </c>
      <c r="E808" s="1658">
        <v>5520</v>
      </c>
      <c r="F808" s="1658">
        <v>5640</v>
      </c>
      <c r="G808" s="1658">
        <v>5040</v>
      </c>
      <c r="H808" s="1658">
        <v>1696617</v>
      </c>
      <c r="I808" s="1658">
        <v>8885694210</v>
      </c>
      <c r="J808" s="1658">
        <v>161700219200</v>
      </c>
      <c r="K808" s="1658">
        <v>31096196</v>
      </c>
    </row>
    <row r="809" spans="1:11" x14ac:dyDescent="0.3">
      <c r="A809" s="1657">
        <v>42836</v>
      </c>
      <c r="B809" s="1658">
        <v>5120</v>
      </c>
      <c r="C809" s="1658">
        <v>-80</v>
      </c>
      <c r="D809" s="1659">
        <v>-1.54</v>
      </c>
      <c r="E809" s="1658">
        <v>5170</v>
      </c>
      <c r="F809" s="1658">
        <v>5360</v>
      </c>
      <c r="G809" s="1658">
        <v>4850</v>
      </c>
      <c r="H809" s="1658">
        <v>1875942</v>
      </c>
      <c r="I809" s="1658">
        <v>9573424795</v>
      </c>
      <c r="J809" s="1658">
        <v>159212523520</v>
      </c>
      <c r="K809" s="1658">
        <v>31096196</v>
      </c>
    </row>
    <row r="810" spans="1:11" x14ac:dyDescent="0.3">
      <c r="A810" s="1657">
        <v>42837</v>
      </c>
      <c r="B810" s="1658">
        <v>5100</v>
      </c>
      <c r="C810" s="1658">
        <v>-20</v>
      </c>
      <c r="D810" s="1659">
        <v>-0.39</v>
      </c>
      <c r="E810" s="1658">
        <v>5140</v>
      </c>
      <c r="F810" s="1658">
        <v>5330</v>
      </c>
      <c r="G810" s="1658">
        <v>4910</v>
      </c>
      <c r="H810" s="1658">
        <v>1358175</v>
      </c>
      <c r="I810" s="1658">
        <v>6915094925</v>
      </c>
      <c r="J810" s="1658">
        <v>158590599600</v>
      </c>
      <c r="K810" s="1658">
        <v>31096196</v>
      </c>
    </row>
    <row r="811" spans="1:11" x14ac:dyDescent="0.3">
      <c r="A811" s="1657">
        <v>42838</v>
      </c>
      <c r="B811" s="1658">
        <v>5030</v>
      </c>
      <c r="C811" s="1658">
        <v>-70</v>
      </c>
      <c r="D811" s="1659">
        <v>-1.37</v>
      </c>
      <c r="E811" s="1658">
        <v>5320</v>
      </c>
      <c r="F811" s="1658">
        <v>5900</v>
      </c>
      <c r="G811" s="1658">
        <v>5030</v>
      </c>
      <c r="H811" s="1658">
        <v>7522047</v>
      </c>
      <c r="I811" s="1658">
        <v>41949596700</v>
      </c>
      <c r="J811" s="1658">
        <v>156413865880</v>
      </c>
      <c r="K811" s="1658">
        <v>31096196</v>
      </c>
    </row>
    <row r="812" spans="1:11" x14ac:dyDescent="0.3">
      <c r="A812" s="1657">
        <v>42839</v>
      </c>
      <c r="B812" s="1658">
        <v>4735</v>
      </c>
      <c r="C812" s="1658">
        <v>-295</v>
      </c>
      <c r="D812" s="1659">
        <v>-5.86</v>
      </c>
      <c r="E812" s="1658">
        <v>5080</v>
      </c>
      <c r="F812" s="1658">
        <v>5090</v>
      </c>
      <c r="G812" s="1658">
        <v>4670</v>
      </c>
      <c r="H812" s="1658">
        <v>1159424</v>
      </c>
      <c r="I812" s="1658">
        <v>5632425355</v>
      </c>
      <c r="J812" s="1658">
        <v>147240488060</v>
      </c>
      <c r="K812" s="1658">
        <v>31096196</v>
      </c>
    </row>
    <row r="813" spans="1:11" x14ac:dyDescent="0.3">
      <c r="A813" s="1657">
        <v>42842</v>
      </c>
      <c r="B813" s="1658">
        <v>4800</v>
      </c>
      <c r="C813" s="1658">
        <v>65</v>
      </c>
      <c r="D813" s="1659">
        <v>1.37</v>
      </c>
      <c r="E813" s="1658">
        <v>4730</v>
      </c>
      <c r="F813" s="1658">
        <v>4955</v>
      </c>
      <c r="G813" s="1658">
        <v>4730</v>
      </c>
      <c r="H813" s="1658">
        <v>610092</v>
      </c>
      <c r="I813" s="1658">
        <v>2950891515</v>
      </c>
      <c r="J813" s="1658">
        <v>149261740800</v>
      </c>
      <c r="K813" s="1658">
        <v>31096196</v>
      </c>
    </row>
    <row r="814" spans="1:11" x14ac:dyDescent="0.3">
      <c r="A814" s="1657">
        <v>42843</v>
      </c>
      <c r="B814" s="1658">
        <v>5100</v>
      </c>
      <c r="C814" s="1658">
        <v>300</v>
      </c>
      <c r="D814" s="1659">
        <v>6.25</v>
      </c>
      <c r="E814" s="1658">
        <v>4810</v>
      </c>
      <c r="F814" s="1658">
        <v>5430</v>
      </c>
      <c r="G814" s="1658">
        <v>4810</v>
      </c>
      <c r="H814" s="1658">
        <v>4594661</v>
      </c>
      <c r="I814" s="1658">
        <v>23841083945</v>
      </c>
      <c r="J814" s="1658">
        <v>158590599600</v>
      </c>
      <c r="K814" s="1658">
        <v>31096196</v>
      </c>
    </row>
    <row r="815" spans="1:11" x14ac:dyDescent="0.3">
      <c r="A815" s="1657">
        <v>42844</v>
      </c>
      <c r="B815" s="1658">
        <v>5200</v>
      </c>
      <c r="C815" s="1658">
        <v>100</v>
      </c>
      <c r="D815" s="1659">
        <v>1.96</v>
      </c>
      <c r="E815" s="1658">
        <v>5140</v>
      </c>
      <c r="F815" s="1658">
        <v>5330</v>
      </c>
      <c r="G815" s="1658">
        <v>5060</v>
      </c>
      <c r="H815" s="1658">
        <v>1493708</v>
      </c>
      <c r="I815" s="1658">
        <v>7777208070</v>
      </c>
      <c r="J815" s="1658">
        <v>161700219200</v>
      </c>
      <c r="K815" s="1658">
        <v>31096196</v>
      </c>
    </row>
    <row r="816" spans="1:11" x14ac:dyDescent="0.3">
      <c r="A816" s="1657">
        <v>42845</v>
      </c>
      <c r="B816" s="1658">
        <v>5330</v>
      </c>
      <c r="C816" s="1658">
        <v>130</v>
      </c>
      <c r="D816" s="1659">
        <v>2.5</v>
      </c>
      <c r="E816" s="1658">
        <v>5210</v>
      </c>
      <c r="F816" s="1658">
        <v>5730</v>
      </c>
      <c r="G816" s="1658">
        <v>5150</v>
      </c>
      <c r="H816" s="1658">
        <v>3044830</v>
      </c>
      <c r="I816" s="1658">
        <v>16639560420</v>
      </c>
      <c r="J816" s="1658">
        <v>165742724680</v>
      </c>
      <c r="K816" s="1658">
        <v>31096196</v>
      </c>
    </row>
    <row r="817" spans="1:11" x14ac:dyDescent="0.3">
      <c r="A817" s="1657">
        <v>42846</v>
      </c>
      <c r="B817" s="1658">
        <v>5210</v>
      </c>
      <c r="C817" s="1658">
        <v>-120</v>
      </c>
      <c r="D817" s="1659">
        <v>-2.25</v>
      </c>
      <c r="E817" s="1658">
        <v>5300</v>
      </c>
      <c r="F817" s="1658">
        <v>5450</v>
      </c>
      <c r="G817" s="1658">
        <v>5200</v>
      </c>
      <c r="H817" s="1658">
        <v>826687</v>
      </c>
      <c r="I817" s="1658">
        <v>4389102850</v>
      </c>
      <c r="J817" s="1658">
        <v>162011181160</v>
      </c>
      <c r="K817" s="1658">
        <v>31096196</v>
      </c>
    </row>
    <row r="818" spans="1:11" x14ac:dyDescent="0.3">
      <c r="A818" s="1657">
        <v>42849</v>
      </c>
      <c r="B818" s="1658">
        <v>4875</v>
      </c>
      <c r="C818" s="1658">
        <v>-335</v>
      </c>
      <c r="D818" s="1659">
        <v>-6.43</v>
      </c>
      <c r="E818" s="1658">
        <v>5270</v>
      </c>
      <c r="F818" s="1658">
        <v>5280</v>
      </c>
      <c r="G818" s="1658">
        <v>4855</v>
      </c>
      <c r="H818" s="1658">
        <v>664626</v>
      </c>
      <c r="I818" s="1658">
        <v>3308901030</v>
      </c>
      <c r="J818" s="1658">
        <v>151593955500</v>
      </c>
      <c r="K818" s="1658">
        <v>31096196</v>
      </c>
    </row>
    <row r="819" spans="1:11" x14ac:dyDescent="0.3">
      <c r="A819" s="1657">
        <v>42850</v>
      </c>
      <c r="B819" s="1658">
        <v>5180</v>
      </c>
      <c r="C819" s="1658">
        <v>305</v>
      </c>
      <c r="D819" s="1659">
        <v>6.26</v>
      </c>
      <c r="E819" s="1658">
        <v>4865</v>
      </c>
      <c r="F819" s="1658">
        <v>5570</v>
      </c>
      <c r="G819" s="1658">
        <v>4865</v>
      </c>
      <c r="H819" s="1658">
        <v>2209428</v>
      </c>
      <c r="I819" s="1658">
        <v>11656751030</v>
      </c>
      <c r="J819" s="1658">
        <v>161078295280</v>
      </c>
      <c r="K819" s="1658">
        <v>31096196</v>
      </c>
    </row>
    <row r="820" spans="1:11" x14ac:dyDescent="0.3">
      <c r="A820" s="1657">
        <v>42851</v>
      </c>
      <c r="B820" s="1658">
        <v>5750</v>
      </c>
      <c r="C820" s="1658">
        <v>570</v>
      </c>
      <c r="D820" s="1659">
        <v>11</v>
      </c>
      <c r="E820" s="1658">
        <v>5210</v>
      </c>
      <c r="F820" s="1658">
        <v>5880</v>
      </c>
      <c r="G820" s="1658">
        <v>5180</v>
      </c>
      <c r="H820" s="1658">
        <v>5097039</v>
      </c>
      <c r="I820" s="1658">
        <v>28510785180</v>
      </c>
      <c r="J820" s="1658">
        <v>178803127000</v>
      </c>
      <c r="K820" s="1658">
        <v>31096196</v>
      </c>
    </row>
    <row r="821" spans="1:11" x14ac:dyDescent="0.3">
      <c r="A821" s="1657">
        <v>42852</v>
      </c>
      <c r="B821" s="1658">
        <v>5530</v>
      </c>
      <c r="C821" s="1658">
        <v>-220</v>
      </c>
      <c r="D821" s="1659">
        <v>-3.83</v>
      </c>
      <c r="E821" s="1658">
        <v>5650</v>
      </c>
      <c r="F821" s="1658">
        <v>5790</v>
      </c>
      <c r="G821" s="1658">
        <v>5410</v>
      </c>
      <c r="H821" s="1658">
        <v>1508592</v>
      </c>
      <c r="I821" s="1658">
        <v>8369738130</v>
      </c>
      <c r="J821" s="1658">
        <v>171961963880</v>
      </c>
      <c r="K821" s="1658">
        <v>31096196</v>
      </c>
    </row>
    <row r="822" spans="1:11" x14ac:dyDescent="0.3">
      <c r="A822" s="1657">
        <v>42853</v>
      </c>
      <c r="B822" s="1658">
        <v>5950</v>
      </c>
      <c r="C822" s="1658">
        <v>420</v>
      </c>
      <c r="D822" s="1659">
        <v>7.59</v>
      </c>
      <c r="E822" s="1658">
        <v>5560</v>
      </c>
      <c r="F822" s="1658">
        <v>6030</v>
      </c>
      <c r="G822" s="1658">
        <v>5480</v>
      </c>
      <c r="H822" s="1658">
        <v>3837272</v>
      </c>
      <c r="I822" s="1658">
        <v>22338879630</v>
      </c>
      <c r="J822" s="1658">
        <v>185022366200</v>
      </c>
      <c r="K822" s="1658">
        <v>31096196</v>
      </c>
    </row>
    <row r="823" spans="1:11" x14ac:dyDescent="0.3">
      <c r="A823" s="1657">
        <v>42857</v>
      </c>
      <c r="B823" s="1658">
        <v>5720</v>
      </c>
      <c r="C823" s="1658">
        <v>-230</v>
      </c>
      <c r="D823" s="1659">
        <v>-3.87</v>
      </c>
      <c r="E823" s="1658">
        <v>6140</v>
      </c>
      <c r="F823" s="1658">
        <v>6140</v>
      </c>
      <c r="G823" s="1658">
        <v>5720</v>
      </c>
      <c r="H823" s="1658">
        <v>1867939</v>
      </c>
      <c r="I823" s="1658">
        <v>11051105200</v>
      </c>
      <c r="J823" s="1658">
        <v>177870241120</v>
      </c>
      <c r="K823" s="1658">
        <v>31096196</v>
      </c>
    </row>
    <row r="824" spans="1:11" x14ac:dyDescent="0.3">
      <c r="A824" s="1657">
        <v>42859</v>
      </c>
      <c r="B824" s="1658">
        <v>5620</v>
      </c>
      <c r="C824" s="1658">
        <v>-100</v>
      </c>
      <c r="D824" s="1659">
        <v>-1.75</v>
      </c>
      <c r="E824" s="1658">
        <v>5760</v>
      </c>
      <c r="F824" s="1658">
        <v>5940</v>
      </c>
      <c r="G824" s="1658">
        <v>5610</v>
      </c>
      <c r="H824" s="1658">
        <v>1018741</v>
      </c>
      <c r="I824" s="1658">
        <v>5845124680</v>
      </c>
      <c r="J824" s="1658">
        <v>174760621520</v>
      </c>
      <c r="K824" s="1658">
        <v>31096196</v>
      </c>
    </row>
    <row r="825" spans="1:11" x14ac:dyDescent="0.3">
      <c r="A825" s="1657">
        <v>42863</v>
      </c>
      <c r="B825" s="1658">
        <v>5610</v>
      </c>
      <c r="C825" s="1658">
        <v>-10</v>
      </c>
      <c r="D825" s="1659">
        <v>-0.18</v>
      </c>
      <c r="E825" s="1658">
        <v>5650</v>
      </c>
      <c r="F825" s="1658">
        <v>5720</v>
      </c>
      <c r="G825" s="1658">
        <v>5500</v>
      </c>
      <c r="H825" s="1658">
        <v>778148</v>
      </c>
      <c r="I825" s="1658">
        <v>4368675610</v>
      </c>
      <c r="J825" s="1658">
        <v>174449659560</v>
      </c>
      <c r="K825" s="1658">
        <v>31096196</v>
      </c>
    </row>
    <row r="826" spans="1:11" x14ac:dyDescent="0.3">
      <c r="A826" s="1657">
        <v>42865</v>
      </c>
      <c r="B826" s="1658">
        <v>5390</v>
      </c>
      <c r="C826" s="1658">
        <v>-220</v>
      </c>
      <c r="D826" s="1659">
        <v>-3.92</v>
      </c>
      <c r="E826" s="1658">
        <v>5650</v>
      </c>
      <c r="F826" s="1658">
        <v>5680</v>
      </c>
      <c r="G826" s="1658">
        <v>5330</v>
      </c>
      <c r="H826" s="1658">
        <v>990440</v>
      </c>
      <c r="I826" s="1658">
        <v>5466821640</v>
      </c>
      <c r="J826" s="1658">
        <v>167608496440</v>
      </c>
      <c r="K826" s="1658">
        <v>31096196</v>
      </c>
    </row>
    <row r="827" spans="1:11" x14ac:dyDescent="0.3">
      <c r="A827" s="1657">
        <v>42866</v>
      </c>
      <c r="B827" s="1658">
        <v>5730</v>
      </c>
      <c r="C827" s="1658">
        <v>340</v>
      </c>
      <c r="D827" s="1659">
        <v>6.31</v>
      </c>
      <c r="E827" s="1658">
        <v>5490</v>
      </c>
      <c r="F827" s="1658">
        <v>6070</v>
      </c>
      <c r="G827" s="1658">
        <v>5460</v>
      </c>
      <c r="H827" s="1658">
        <v>5135564</v>
      </c>
      <c r="I827" s="1658">
        <v>29840457680</v>
      </c>
      <c r="J827" s="1658">
        <v>178181203080</v>
      </c>
      <c r="K827" s="1658">
        <v>31096196</v>
      </c>
    </row>
    <row r="828" spans="1:11" x14ac:dyDescent="0.3">
      <c r="A828" s="1657">
        <v>42867</v>
      </c>
      <c r="B828" s="1658">
        <v>5700</v>
      </c>
      <c r="C828" s="1658">
        <v>-30</v>
      </c>
      <c r="D828" s="1659">
        <v>-0.52</v>
      </c>
      <c r="E828" s="1658">
        <v>5730</v>
      </c>
      <c r="F828" s="1658">
        <v>6090</v>
      </c>
      <c r="G828" s="1658">
        <v>5600</v>
      </c>
      <c r="H828" s="1658">
        <v>2102135</v>
      </c>
      <c r="I828" s="1658">
        <v>12356003170</v>
      </c>
      <c r="J828" s="1658">
        <v>177248317200</v>
      </c>
      <c r="K828" s="1658">
        <v>31096196</v>
      </c>
    </row>
    <row r="829" spans="1:11" x14ac:dyDescent="0.3">
      <c r="A829" s="1657">
        <v>42870</v>
      </c>
      <c r="B829" s="1658">
        <v>5920</v>
      </c>
      <c r="C829" s="1658">
        <v>220</v>
      </c>
      <c r="D829" s="1659">
        <v>3.86</v>
      </c>
      <c r="E829" s="1658">
        <v>5670</v>
      </c>
      <c r="F829" s="1658">
        <v>5960</v>
      </c>
      <c r="G829" s="1658">
        <v>5670</v>
      </c>
      <c r="H829" s="1658">
        <v>922248</v>
      </c>
      <c r="I829" s="1658">
        <v>5380005540</v>
      </c>
      <c r="J829" s="1658">
        <v>184089480320</v>
      </c>
      <c r="K829" s="1658">
        <v>31096196</v>
      </c>
    </row>
    <row r="830" spans="1:11" x14ac:dyDescent="0.3">
      <c r="A830" s="1657">
        <v>42871</v>
      </c>
      <c r="B830" s="1658">
        <v>5880</v>
      </c>
      <c r="C830" s="1658">
        <v>-40</v>
      </c>
      <c r="D830" s="1659">
        <v>-0.68</v>
      </c>
      <c r="E830" s="1658">
        <v>5850</v>
      </c>
      <c r="F830" s="1658">
        <v>5970</v>
      </c>
      <c r="G830" s="1658">
        <v>5760</v>
      </c>
      <c r="H830" s="1658">
        <v>669180</v>
      </c>
      <c r="I830" s="1658">
        <v>3917895630</v>
      </c>
      <c r="J830" s="1658">
        <v>182845632480</v>
      </c>
      <c r="K830" s="1658">
        <v>31096196</v>
      </c>
    </row>
    <row r="831" spans="1:11" x14ac:dyDescent="0.3">
      <c r="A831" s="1657">
        <v>42872</v>
      </c>
      <c r="B831" s="1658">
        <v>5830</v>
      </c>
      <c r="C831" s="1658">
        <v>-50</v>
      </c>
      <c r="D831" s="1659">
        <v>-0.85</v>
      </c>
      <c r="E831" s="1658">
        <v>5880</v>
      </c>
      <c r="F831" s="1658">
        <v>6160</v>
      </c>
      <c r="G831" s="1658">
        <v>5750</v>
      </c>
      <c r="H831" s="1658">
        <v>1423984</v>
      </c>
      <c r="I831" s="1658">
        <v>8418336220</v>
      </c>
      <c r="J831" s="1658">
        <v>181290822680</v>
      </c>
      <c r="K831" s="1658">
        <v>31096196</v>
      </c>
    </row>
    <row r="832" spans="1:11" x14ac:dyDescent="0.3">
      <c r="A832" s="1657">
        <v>42873</v>
      </c>
      <c r="B832" s="1658">
        <v>5640</v>
      </c>
      <c r="C832" s="1658">
        <v>-190</v>
      </c>
      <c r="D832" s="1659">
        <v>-3.26</v>
      </c>
      <c r="E832" s="1658">
        <v>5770</v>
      </c>
      <c r="F832" s="1658">
        <v>5910</v>
      </c>
      <c r="G832" s="1658">
        <v>5530</v>
      </c>
      <c r="H832" s="1658">
        <v>1202726</v>
      </c>
      <c r="I832" s="1658">
        <v>6903705350</v>
      </c>
      <c r="J832" s="1658">
        <v>175382545440</v>
      </c>
      <c r="K832" s="1658">
        <v>31096196</v>
      </c>
    </row>
    <row r="833" spans="1:11" x14ac:dyDescent="0.3">
      <c r="A833" s="1657">
        <v>42874</v>
      </c>
      <c r="B833" s="1658">
        <v>6120</v>
      </c>
      <c r="C833" s="1658">
        <v>480</v>
      </c>
      <c r="D833" s="1659">
        <v>8.51</v>
      </c>
      <c r="E833" s="1658">
        <v>5770</v>
      </c>
      <c r="F833" s="1658">
        <v>6120</v>
      </c>
      <c r="G833" s="1658">
        <v>5580</v>
      </c>
      <c r="H833" s="1658">
        <v>4173427</v>
      </c>
      <c r="I833" s="1658">
        <v>24775356040</v>
      </c>
      <c r="J833" s="1658">
        <v>190308719520</v>
      </c>
      <c r="K833" s="1658">
        <v>31096196</v>
      </c>
    </row>
    <row r="834" spans="1:11" x14ac:dyDescent="0.3">
      <c r="A834" s="1657">
        <v>42877</v>
      </c>
      <c r="B834" s="1658">
        <v>5890</v>
      </c>
      <c r="C834" s="1658">
        <v>-230</v>
      </c>
      <c r="D834" s="1659">
        <v>-3.76</v>
      </c>
      <c r="E834" s="1658">
        <v>5970</v>
      </c>
      <c r="F834" s="1658">
        <v>6050</v>
      </c>
      <c r="G834" s="1658">
        <v>5860</v>
      </c>
      <c r="H834" s="1658">
        <v>1306711</v>
      </c>
      <c r="I834" s="1658">
        <v>7774129680</v>
      </c>
      <c r="J834" s="1658">
        <v>183156594440</v>
      </c>
      <c r="K834" s="1658">
        <v>31096196</v>
      </c>
    </row>
    <row r="835" spans="1:11" x14ac:dyDescent="0.3">
      <c r="A835" s="1657">
        <v>42878</v>
      </c>
      <c r="B835" s="1658">
        <v>5640</v>
      </c>
      <c r="C835" s="1658">
        <v>-250</v>
      </c>
      <c r="D835" s="1659">
        <v>-4.24</v>
      </c>
      <c r="E835" s="1658">
        <v>5960</v>
      </c>
      <c r="F835" s="1658">
        <v>6070</v>
      </c>
      <c r="G835" s="1658">
        <v>5610</v>
      </c>
      <c r="H835" s="1658">
        <v>2062757</v>
      </c>
      <c r="I835" s="1658">
        <v>12040981950</v>
      </c>
      <c r="J835" s="1658">
        <v>175382545440</v>
      </c>
      <c r="K835" s="1658">
        <v>31096196</v>
      </c>
    </row>
    <row r="836" spans="1:11" x14ac:dyDescent="0.3">
      <c r="A836" s="1657">
        <v>42879</v>
      </c>
      <c r="B836" s="1658">
        <v>5410</v>
      </c>
      <c r="C836" s="1658">
        <v>-230</v>
      </c>
      <c r="D836" s="1659">
        <v>-4.08</v>
      </c>
      <c r="E836" s="1658">
        <v>5670</v>
      </c>
      <c r="F836" s="1658">
        <v>5720</v>
      </c>
      <c r="G836" s="1658">
        <v>5370</v>
      </c>
      <c r="H836" s="1658">
        <v>1195227</v>
      </c>
      <c r="I836" s="1658">
        <v>6547796360</v>
      </c>
      <c r="J836" s="1658">
        <v>168230420360</v>
      </c>
      <c r="K836" s="1658">
        <v>31096196</v>
      </c>
    </row>
    <row r="837" spans="1:11" x14ac:dyDescent="0.3">
      <c r="A837" s="1657">
        <v>42880</v>
      </c>
      <c r="B837" s="1658">
        <v>5180</v>
      </c>
      <c r="C837" s="1658">
        <v>-230</v>
      </c>
      <c r="D837" s="1659">
        <v>-4.25</v>
      </c>
      <c r="E837" s="1658">
        <v>5450</v>
      </c>
      <c r="F837" s="1658">
        <v>5540</v>
      </c>
      <c r="G837" s="1658">
        <v>5170</v>
      </c>
      <c r="H837" s="1658">
        <v>1106699</v>
      </c>
      <c r="I837" s="1658">
        <v>5883746080</v>
      </c>
      <c r="J837" s="1658">
        <v>161078295280</v>
      </c>
      <c r="K837" s="1658">
        <v>31096196</v>
      </c>
    </row>
    <row r="838" spans="1:11" x14ac:dyDescent="0.3">
      <c r="A838" s="1657">
        <v>42881</v>
      </c>
      <c r="B838" s="1658">
        <v>5180</v>
      </c>
      <c r="C838" s="1658">
        <v>0</v>
      </c>
      <c r="D838" s="1659">
        <v>0</v>
      </c>
      <c r="E838" s="1658">
        <v>5190</v>
      </c>
      <c r="F838" s="1658">
        <v>5330</v>
      </c>
      <c r="G838" s="1658">
        <v>5140</v>
      </c>
      <c r="H838" s="1658">
        <v>538631</v>
      </c>
      <c r="I838" s="1658">
        <v>2821102560</v>
      </c>
      <c r="J838" s="1658">
        <v>161078295280</v>
      </c>
      <c r="K838" s="1658">
        <v>31096196</v>
      </c>
    </row>
    <row r="839" spans="1:11" x14ac:dyDescent="0.3">
      <c r="A839" s="1657">
        <v>42884</v>
      </c>
      <c r="B839" s="1658">
        <v>5270</v>
      </c>
      <c r="C839" s="1658">
        <v>90</v>
      </c>
      <c r="D839" s="1659">
        <v>1.74</v>
      </c>
      <c r="E839" s="1658">
        <v>5200</v>
      </c>
      <c r="F839" s="1658">
        <v>5480</v>
      </c>
      <c r="G839" s="1658">
        <v>5180</v>
      </c>
      <c r="H839" s="1658">
        <v>781777</v>
      </c>
      <c r="I839" s="1658">
        <v>4176144330</v>
      </c>
      <c r="J839" s="1658">
        <v>163876952920</v>
      </c>
      <c r="K839" s="1658">
        <v>31096196</v>
      </c>
    </row>
    <row r="840" spans="1:11" x14ac:dyDescent="0.3">
      <c r="A840" s="1657">
        <v>42885</v>
      </c>
      <c r="B840" s="1658">
        <v>5200</v>
      </c>
      <c r="C840" s="1658">
        <v>-70</v>
      </c>
      <c r="D840" s="1659">
        <v>-1.33</v>
      </c>
      <c r="E840" s="1658">
        <v>5320</v>
      </c>
      <c r="F840" s="1658">
        <v>5390</v>
      </c>
      <c r="G840" s="1658">
        <v>5200</v>
      </c>
      <c r="H840" s="1658">
        <v>408688</v>
      </c>
      <c r="I840" s="1658">
        <v>2169162380</v>
      </c>
      <c r="J840" s="1658">
        <v>161700219200</v>
      </c>
      <c r="K840" s="1658">
        <v>31096196</v>
      </c>
    </row>
    <row r="841" spans="1:11" x14ac:dyDescent="0.3">
      <c r="A841" s="1657">
        <v>42886</v>
      </c>
      <c r="B841" s="1658">
        <v>5000</v>
      </c>
      <c r="C841" s="1658">
        <v>-200</v>
      </c>
      <c r="D841" s="1659">
        <v>-3.85</v>
      </c>
      <c r="E841" s="1658">
        <v>5190</v>
      </c>
      <c r="F841" s="1658">
        <v>5230</v>
      </c>
      <c r="G841" s="1658">
        <v>4810</v>
      </c>
      <c r="H841" s="1658">
        <v>1019600</v>
      </c>
      <c r="I841" s="1658">
        <v>5069606730</v>
      </c>
      <c r="J841" s="1658">
        <v>155480980000</v>
      </c>
      <c r="K841" s="1658">
        <v>31096196</v>
      </c>
    </row>
    <row r="842" spans="1:11" x14ac:dyDescent="0.3">
      <c r="A842" s="1657">
        <v>42887</v>
      </c>
      <c r="B842" s="1658">
        <v>4900</v>
      </c>
      <c r="C842" s="1658">
        <v>-100</v>
      </c>
      <c r="D842" s="1659">
        <v>-2</v>
      </c>
      <c r="E842" s="1658">
        <v>4990</v>
      </c>
      <c r="F842" s="1658">
        <v>5030</v>
      </c>
      <c r="G842" s="1658">
        <v>4890</v>
      </c>
      <c r="H842" s="1658">
        <v>356649</v>
      </c>
      <c r="I842" s="1658">
        <v>1757378080</v>
      </c>
      <c r="J842" s="1658">
        <v>152371360400</v>
      </c>
      <c r="K842" s="1658">
        <v>31096196</v>
      </c>
    </row>
    <row r="843" spans="1:11" x14ac:dyDescent="0.3">
      <c r="A843" s="1657">
        <v>42888</v>
      </c>
      <c r="B843" s="1658">
        <v>4810</v>
      </c>
      <c r="C843" s="1658">
        <v>-90</v>
      </c>
      <c r="D843" s="1659">
        <v>-1.84</v>
      </c>
      <c r="E843" s="1658">
        <v>4950</v>
      </c>
      <c r="F843" s="1658">
        <v>4955</v>
      </c>
      <c r="G843" s="1658">
        <v>4805</v>
      </c>
      <c r="H843" s="1658">
        <v>302682</v>
      </c>
      <c r="I843" s="1658">
        <v>1469420245</v>
      </c>
      <c r="J843" s="1658">
        <v>149572702760</v>
      </c>
      <c r="K843" s="1658">
        <v>31096196</v>
      </c>
    </row>
    <row r="844" spans="1:11" x14ac:dyDescent="0.3">
      <c r="A844" s="1657">
        <v>42891</v>
      </c>
      <c r="B844" s="1658">
        <v>4800</v>
      </c>
      <c r="C844" s="1658">
        <v>-10</v>
      </c>
      <c r="D844" s="1659">
        <v>-0.21</v>
      </c>
      <c r="E844" s="1658">
        <v>4850</v>
      </c>
      <c r="F844" s="1658">
        <v>5040</v>
      </c>
      <c r="G844" s="1658">
        <v>4800</v>
      </c>
      <c r="H844" s="1658">
        <v>368266</v>
      </c>
      <c r="I844" s="1658">
        <v>1798992850</v>
      </c>
      <c r="J844" s="1658">
        <v>149261740800</v>
      </c>
      <c r="K844" s="1658">
        <v>31096196</v>
      </c>
    </row>
    <row r="845" spans="1:11" x14ac:dyDescent="0.3">
      <c r="A845" s="1657">
        <v>42893</v>
      </c>
      <c r="B845" s="1658">
        <v>4855</v>
      </c>
      <c r="C845" s="1658">
        <v>55</v>
      </c>
      <c r="D845" s="1659">
        <v>1.1499999999999999</v>
      </c>
      <c r="E845" s="1658">
        <v>4750</v>
      </c>
      <c r="F845" s="1658">
        <v>4915</v>
      </c>
      <c r="G845" s="1658">
        <v>4750</v>
      </c>
      <c r="H845" s="1658">
        <v>185040</v>
      </c>
      <c r="I845" s="1658">
        <v>896941890</v>
      </c>
      <c r="J845" s="1658">
        <v>150972031580</v>
      </c>
      <c r="K845" s="1658">
        <v>31096196</v>
      </c>
    </row>
    <row r="846" spans="1:11" x14ac:dyDescent="0.3">
      <c r="A846" s="1657">
        <v>42894</v>
      </c>
      <c r="B846" s="1658">
        <v>4960</v>
      </c>
      <c r="C846" s="1658">
        <v>105</v>
      </c>
      <c r="D846" s="1659">
        <v>2.16</v>
      </c>
      <c r="E846" s="1658">
        <v>4870</v>
      </c>
      <c r="F846" s="1658">
        <v>4965</v>
      </c>
      <c r="G846" s="1658">
        <v>4850</v>
      </c>
      <c r="H846" s="1658">
        <v>283311</v>
      </c>
      <c r="I846" s="1658">
        <v>1394291930</v>
      </c>
      <c r="J846" s="1658">
        <v>154237132160</v>
      </c>
      <c r="K846" s="1658">
        <v>31096196</v>
      </c>
    </row>
    <row r="847" spans="1:11" x14ac:dyDescent="0.3">
      <c r="A847" s="1657">
        <v>42895</v>
      </c>
      <c r="B847" s="1658">
        <v>4840</v>
      </c>
      <c r="C847" s="1658">
        <v>-120</v>
      </c>
      <c r="D847" s="1659">
        <v>-2.42</v>
      </c>
      <c r="E847" s="1658">
        <v>4960</v>
      </c>
      <c r="F847" s="1658">
        <v>5000</v>
      </c>
      <c r="G847" s="1658">
        <v>4840</v>
      </c>
      <c r="H847" s="1658">
        <v>223280</v>
      </c>
      <c r="I847" s="1658">
        <v>1091194865</v>
      </c>
      <c r="J847" s="1658">
        <v>150505588640</v>
      </c>
      <c r="K847" s="1658">
        <v>31096196</v>
      </c>
    </row>
    <row r="848" spans="1:11" x14ac:dyDescent="0.3">
      <c r="A848" s="1657">
        <v>42898</v>
      </c>
      <c r="B848" s="1658">
        <v>4925</v>
      </c>
      <c r="C848" s="1658">
        <v>85</v>
      </c>
      <c r="D848" s="1659">
        <v>1.76</v>
      </c>
      <c r="E848" s="1658">
        <v>4840</v>
      </c>
      <c r="F848" s="1658">
        <v>4960</v>
      </c>
      <c r="G848" s="1658">
        <v>4805</v>
      </c>
      <c r="H848" s="1658">
        <v>214591</v>
      </c>
      <c r="I848" s="1658">
        <v>1046873290</v>
      </c>
      <c r="J848" s="1658">
        <v>153148765300</v>
      </c>
      <c r="K848" s="1658">
        <v>31096196</v>
      </c>
    </row>
    <row r="849" spans="1:11" x14ac:dyDescent="0.3">
      <c r="A849" s="1657">
        <v>42899</v>
      </c>
      <c r="B849" s="1658">
        <v>4800</v>
      </c>
      <c r="C849" s="1658">
        <v>-125</v>
      </c>
      <c r="D849" s="1659">
        <v>-2.54</v>
      </c>
      <c r="E849" s="1658">
        <v>4950</v>
      </c>
      <c r="F849" s="1658">
        <v>4995</v>
      </c>
      <c r="G849" s="1658">
        <v>4800</v>
      </c>
      <c r="H849" s="1658">
        <v>204999</v>
      </c>
      <c r="I849" s="1658">
        <v>997834465</v>
      </c>
      <c r="J849" s="1658">
        <v>149261740800</v>
      </c>
      <c r="K849" s="1658">
        <v>31096196</v>
      </c>
    </row>
    <row r="850" spans="1:11" x14ac:dyDescent="0.3">
      <c r="A850" s="1657">
        <v>42900</v>
      </c>
      <c r="B850" s="1658">
        <v>4895</v>
      </c>
      <c r="C850" s="1658">
        <v>95</v>
      </c>
      <c r="D850" s="1659">
        <v>1.98</v>
      </c>
      <c r="E850" s="1658">
        <v>4815</v>
      </c>
      <c r="F850" s="1658">
        <v>4975</v>
      </c>
      <c r="G850" s="1658">
        <v>4815</v>
      </c>
      <c r="H850" s="1658">
        <v>240737</v>
      </c>
      <c r="I850" s="1658">
        <v>1178807430</v>
      </c>
      <c r="J850" s="1658">
        <v>152215879420</v>
      </c>
      <c r="K850" s="1658">
        <v>31096196</v>
      </c>
    </row>
    <row r="851" spans="1:11" x14ac:dyDescent="0.3">
      <c r="A851" s="1657">
        <v>42901</v>
      </c>
      <c r="B851" s="1658">
        <v>4805</v>
      </c>
      <c r="C851" s="1658">
        <v>-90</v>
      </c>
      <c r="D851" s="1659">
        <v>-1.84</v>
      </c>
      <c r="E851" s="1658">
        <v>4940</v>
      </c>
      <c r="F851" s="1658">
        <v>4940</v>
      </c>
      <c r="G851" s="1658">
        <v>4775</v>
      </c>
      <c r="H851" s="1658">
        <v>148552</v>
      </c>
      <c r="I851" s="1658">
        <v>717334630</v>
      </c>
      <c r="J851" s="1658">
        <v>149417221780</v>
      </c>
      <c r="K851" s="1658">
        <v>31096196</v>
      </c>
    </row>
    <row r="852" spans="1:11" x14ac:dyDescent="0.3">
      <c r="A852" s="1657">
        <v>42902</v>
      </c>
      <c r="B852" s="1658">
        <v>4695</v>
      </c>
      <c r="C852" s="1658">
        <v>-110</v>
      </c>
      <c r="D852" s="1659">
        <v>-2.29</v>
      </c>
      <c r="E852" s="1658">
        <v>4815</v>
      </c>
      <c r="F852" s="1658">
        <v>4815</v>
      </c>
      <c r="G852" s="1658">
        <v>4695</v>
      </c>
      <c r="H852" s="1658">
        <v>220055</v>
      </c>
      <c r="I852" s="1658">
        <v>1039710495</v>
      </c>
      <c r="J852" s="1658">
        <v>145996640220</v>
      </c>
      <c r="K852" s="1658">
        <v>31096196</v>
      </c>
    </row>
    <row r="853" spans="1:11" x14ac:dyDescent="0.3">
      <c r="A853" s="1657">
        <v>42905</v>
      </c>
      <c r="B853" s="1658">
        <v>4655</v>
      </c>
      <c r="C853" s="1658">
        <v>-40</v>
      </c>
      <c r="D853" s="1659">
        <v>-0.85</v>
      </c>
      <c r="E853" s="1658">
        <v>4700</v>
      </c>
      <c r="F853" s="1658">
        <v>4740</v>
      </c>
      <c r="G853" s="1658">
        <v>4650</v>
      </c>
      <c r="H853" s="1658">
        <v>143482</v>
      </c>
      <c r="I853" s="1658">
        <v>671910155</v>
      </c>
      <c r="J853" s="1658">
        <v>144752792380</v>
      </c>
      <c r="K853" s="1658">
        <v>31096196</v>
      </c>
    </row>
    <row r="854" spans="1:11" x14ac:dyDescent="0.3">
      <c r="A854" s="1657">
        <v>42906</v>
      </c>
      <c r="B854" s="1658">
        <v>4475</v>
      </c>
      <c r="C854" s="1658">
        <v>-180</v>
      </c>
      <c r="D854" s="1659">
        <v>-3.87</v>
      </c>
      <c r="E854" s="1658">
        <v>4655</v>
      </c>
      <c r="F854" s="1658">
        <v>4680</v>
      </c>
      <c r="G854" s="1658">
        <v>4435</v>
      </c>
      <c r="H854" s="1658">
        <v>334633</v>
      </c>
      <c r="I854" s="1658">
        <v>1507848090</v>
      </c>
      <c r="J854" s="1658">
        <v>139155477100</v>
      </c>
      <c r="K854" s="1658">
        <v>31096196</v>
      </c>
    </row>
    <row r="855" spans="1:11" x14ac:dyDescent="0.3">
      <c r="A855" s="1657">
        <v>42907</v>
      </c>
      <c r="B855" s="1658">
        <v>4320</v>
      </c>
      <c r="C855" s="1658">
        <v>-155</v>
      </c>
      <c r="D855" s="1659">
        <v>-3.46</v>
      </c>
      <c r="E855" s="1658">
        <v>4515</v>
      </c>
      <c r="F855" s="1658">
        <v>4515</v>
      </c>
      <c r="G855" s="1658">
        <v>4300</v>
      </c>
      <c r="H855" s="1658">
        <v>291786</v>
      </c>
      <c r="I855" s="1658">
        <v>1269149965</v>
      </c>
      <c r="J855" s="1658">
        <v>134335566720</v>
      </c>
      <c r="K855" s="1658">
        <v>31096196</v>
      </c>
    </row>
    <row r="856" spans="1:11" x14ac:dyDescent="0.3">
      <c r="A856" s="1657">
        <v>42908</v>
      </c>
      <c r="B856" s="1658">
        <v>5520</v>
      </c>
      <c r="C856" s="1658">
        <v>1200</v>
      </c>
      <c r="D856" s="1659">
        <v>27.78</v>
      </c>
      <c r="E856" s="1658">
        <v>4290</v>
      </c>
      <c r="F856" s="1658">
        <v>5610</v>
      </c>
      <c r="G856" s="1658">
        <v>4290</v>
      </c>
      <c r="H856" s="1658">
        <v>13109155</v>
      </c>
      <c r="I856" s="1658">
        <v>67996627410</v>
      </c>
      <c r="J856" s="1658">
        <v>171651001920</v>
      </c>
      <c r="K856" s="1658">
        <v>31096196</v>
      </c>
    </row>
    <row r="857" spans="1:11" x14ac:dyDescent="0.3">
      <c r="A857" s="1657">
        <v>42909</v>
      </c>
      <c r="B857" s="1658">
        <v>5110</v>
      </c>
      <c r="C857" s="1658">
        <v>-410</v>
      </c>
      <c r="D857" s="1659">
        <v>-7.43</v>
      </c>
      <c r="E857" s="1658">
        <v>5350</v>
      </c>
      <c r="F857" s="1658">
        <v>5550</v>
      </c>
      <c r="G857" s="1658">
        <v>4980</v>
      </c>
      <c r="H857" s="1658">
        <v>2821401</v>
      </c>
      <c r="I857" s="1658">
        <v>14693081550</v>
      </c>
      <c r="J857" s="1658">
        <v>158901561560</v>
      </c>
      <c r="K857" s="1658">
        <v>31096196</v>
      </c>
    </row>
    <row r="858" spans="1:11" x14ac:dyDescent="0.3">
      <c r="A858" s="1657">
        <v>42912</v>
      </c>
      <c r="B858" s="1658">
        <v>5050</v>
      </c>
      <c r="C858" s="1658">
        <v>-60</v>
      </c>
      <c r="D858" s="1659">
        <v>-1.17</v>
      </c>
      <c r="E858" s="1658">
        <v>5160</v>
      </c>
      <c r="F858" s="1658">
        <v>5770</v>
      </c>
      <c r="G858" s="1658">
        <v>4975</v>
      </c>
      <c r="H858" s="1658">
        <v>6329778</v>
      </c>
      <c r="I858" s="1658">
        <v>34193690490</v>
      </c>
      <c r="J858" s="1658">
        <v>157035789800</v>
      </c>
      <c r="K858" s="1658">
        <v>31096196</v>
      </c>
    </row>
    <row r="859" spans="1:11" x14ac:dyDescent="0.3">
      <c r="A859" s="1657">
        <v>42913</v>
      </c>
      <c r="B859" s="1658">
        <v>5270</v>
      </c>
      <c r="C859" s="1658">
        <v>220</v>
      </c>
      <c r="D859" s="1659">
        <v>4.3600000000000003</v>
      </c>
      <c r="E859" s="1658">
        <v>5110</v>
      </c>
      <c r="F859" s="1658">
        <v>5270</v>
      </c>
      <c r="G859" s="1658">
        <v>5010</v>
      </c>
      <c r="H859" s="1658">
        <v>1725535</v>
      </c>
      <c r="I859" s="1658">
        <v>8884593850</v>
      </c>
      <c r="J859" s="1658">
        <v>163876952920</v>
      </c>
      <c r="K859" s="1658">
        <v>31096196</v>
      </c>
    </row>
    <row r="860" spans="1:11" x14ac:dyDescent="0.3">
      <c r="A860" s="1657">
        <v>42914</v>
      </c>
      <c r="B860" s="1658">
        <v>5100</v>
      </c>
      <c r="C860" s="1658">
        <v>-170</v>
      </c>
      <c r="D860" s="1659">
        <v>-3.23</v>
      </c>
      <c r="E860" s="1658">
        <v>5340</v>
      </c>
      <c r="F860" s="1658">
        <v>5550</v>
      </c>
      <c r="G860" s="1658">
        <v>5050</v>
      </c>
      <c r="H860" s="1658">
        <v>2229880</v>
      </c>
      <c r="I860" s="1658">
        <v>11841740660</v>
      </c>
      <c r="J860" s="1658">
        <v>158590599600</v>
      </c>
      <c r="K860" s="1658">
        <v>31096196</v>
      </c>
    </row>
    <row r="861" spans="1:11" x14ac:dyDescent="0.3">
      <c r="A861" s="1657">
        <v>42915</v>
      </c>
      <c r="B861" s="1658">
        <v>5160</v>
      </c>
      <c r="C861" s="1658">
        <v>60</v>
      </c>
      <c r="D861" s="1659">
        <v>1.18</v>
      </c>
      <c r="E861" s="1658">
        <v>5120</v>
      </c>
      <c r="F861" s="1658">
        <v>5200</v>
      </c>
      <c r="G861" s="1658">
        <v>5050</v>
      </c>
      <c r="H861" s="1658">
        <v>935548</v>
      </c>
      <c r="I861" s="1658">
        <v>4802225880</v>
      </c>
      <c r="J861" s="1658">
        <v>160456371360</v>
      </c>
      <c r="K861" s="1658">
        <v>31096196</v>
      </c>
    </row>
    <row r="862" spans="1:11" x14ac:dyDescent="0.3">
      <c r="A862" s="1657">
        <v>42916</v>
      </c>
      <c r="B862" s="1658">
        <v>5180</v>
      </c>
      <c r="C862" s="1658">
        <v>20</v>
      </c>
      <c r="D862" s="1659">
        <v>0.39</v>
      </c>
      <c r="E862" s="1658">
        <v>5090</v>
      </c>
      <c r="F862" s="1658">
        <v>5550</v>
      </c>
      <c r="G862" s="1658">
        <v>5080</v>
      </c>
      <c r="H862" s="1658">
        <v>3534466</v>
      </c>
      <c r="I862" s="1658">
        <v>18823339330</v>
      </c>
      <c r="J862" s="1658">
        <v>161078295280</v>
      </c>
      <c r="K862" s="1658">
        <v>31096196</v>
      </c>
    </row>
    <row r="863" spans="1:11" x14ac:dyDescent="0.3">
      <c r="A863" s="1657">
        <v>42919</v>
      </c>
      <c r="B863" s="1658">
        <v>5290</v>
      </c>
      <c r="C863" s="1658">
        <v>110</v>
      </c>
      <c r="D863" s="1659">
        <v>2.12</v>
      </c>
      <c r="E863" s="1658">
        <v>5190</v>
      </c>
      <c r="F863" s="1658">
        <v>5290</v>
      </c>
      <c r="G863" s="1658">
        <v>5100</v>
      </c>
      <c r="H863" s="1658">
        <v>1347651</v>
      </c>
      <c r="I863" s="1658">
        <v>7024014420</v>
      </c>
      <c r="J863" s="1658">
        <v>164498876840</v>
      </c>
      <c r="K863" s="1658">
        <v>31096196</v>
      </c>
    </row>
    <row r="864" spans="1:11" x14ac:dyDescent="0.3">
      <c r="A864" s="1657">
        <v>42920</v>
      </c>
      <c r="B864" s="1658">
        <v>5080</v>
      </c>
      <c r="C864" s="1658">
        <v>-210</v>
      </c>
      <c r="D864" s="1659">
        <v>-3.97</v>
      </c>
      <c r="E864" s="1658">
        <v>5300</v>
      </c>
      <c r="F864" s="1658">
        <v>5380</v>
      </c>
      <c r="G864" s="1658">
        <v>5060</v>
      </c>
      <c r="H864" s="1658">
        <v>1276145</v>
      </c>
      <c r="I864" s="1658">
        <v>6623245440</v>
      </c>
      <c r="J864" s="1658">
        <v>157968675680</v>
      </c>
      <c r="K864" s="1658">
        <v>31096196</v>
      </c>
    </row>
    <row r="865" spans="1:11" x14ac:dyDescent="0.3">
      <c r="A865" s="1657">
        <v>42921</v>
      </c>
      <c r="B865" s="1658">
        <v>5400</v>
      </c>
      <c r="C865" s="1658">
        <v>320</v>
      </c>
      <c r="D865" s="1659">
        <v>6.3</v>
      </c>
      <c r="E865" s="1658">
        <v>5160</v>
      </c>
      <c r="F865" s="1658">
        <v>5400</v>
      </c>
      <c r="G865" s="1658">
        <v>5120</v>
      </c>
      <c r="H865" s="1658">
        <v>2600238</v>
      </c>
      <c r="I865" s="1658">
        <v>13707399320</v>
      </c>
      <c r="J865" s="1658">
        <v>167919458400</v>
      </c>
      <c r="K865" s="1658">
        <v>31096196</v>
      </c>
    </row>
    <row r="866" spans="1:11" x14ac:dyDescent="0.3">
      <c r="A866" s="1657">
        <v>42922</v>
      </c>
      <c r="B866" s="1658">
        <v>5320</v>
      </c>
      <c r="C866" s="1658">
        <v>-80</v>
      </c>
      <c r="D866" s="1659">
        <v>-1.48</v>
      </c>
      <c r="E866" s="1658">
        <v>5500</v>
      </c>
      <c r="F866" s="1658">
        <v>5510</v>
      </c>
      <c r="G866" s="1658">
        <v>5230</v>
      </c>
      <c r="H866" s="1658">
        <v>1122959</v>
      </c>
      <c r="I866" s="1658">
        <v>5995021560</v>
      </c>
      <c r="J866" s="1658">
        <v>165431762720</v>
      </c>
      <c r="K866" s="1658">
        <v>31096196</v>
      </c>
    </row>
    <row r="867" spans="1:11" x14ac:dyDescent="0.3">
      <c r="A867" s="1657">
        <v>42923</v>
      </c>
      <c r="B867" s="1658">
        <v>5250</v>
      </c>
      <c r="C867" s="1658">
        <v>-70</v>
      </c>
      <c r="D867" s="1659">
        <v>-1.32</v>
      </c>
      <c r="E867" s="1658">
        <v>5310</v>
      </c>
      <c r="F867" s="1658">
        <v>5350</v>
      </c>
      <c r="G867" s="1658">
        <v>5200</v>
      </c>
      <c r="H867" s="1658">
        <v>492779</v>
      </c>
      <c r="I867" s="1658">
        <v>2585879670</v>
      </c>
      <c r="J867" s="1658">
        <v>163255029000</v>
      </c>
      <c r="K867" s="1658">
        <v>31096196</v>
      </c>
    </row>
    <row r="868" spans="1:11" x14ac:dyDescent="0.3">
      <c r="A868" s="1657">
        <v>42926</v>
      </c>
      <c r="B868" s="1658">
        <v>5100</v>
      </c>
      <c r="C868" s="1658">
        <v>-150</v>
      </c>
      <c r="D868" s="1659">
        <v>-2.86</v>
      </c>
      <c r="E868" s="1658">
        <v>5290</v>
      </c>
      <c r="F868" s="1658">
        <v>5300</v>
      </c>
      <c r="G868" s="1658">
        <v>5100</v>
      </c>
      <c r="H868" s="1658">
        <v>419886</v>
      </c>
      <c r="I868" s="1658">
        <v>2170632930</v>
      </c>
      <c r="J868" s="1658">
        <v>158590599600</v>
      </c>
      <c r="K868" s="1658">
        <v>31096196</v>
      </c>
    </row>
    <row r="869" spans="1:11" x14ac:dyDescent="0.3">
      <c r="A869" s="1657">
        <v>42927</v>
      </c>
      <c r="B869" s="1658">
        <v>5140</v>
      </c>
      <c r="C869" s="1658">
        <v>40</v>
      </c>
      <c r="D869" s="1659">
        <v>0.78</v>
      </c>
      <c r="E869" s="1658">
        <v>5100</v>
      </c>
      <c r="F869" s="1658">
        <v>5210</v>
      </c>
      <c r="G869" s="1658">
        <v>5090</v>
      </c>
      <c r="H869" s="1658">
        <v>325229</v>
      </c>
      <c r="I869" s="1658">
        <v>1672593490</v>
      </c>
      <c r="J869" s="1658">
        <v>159834447440</v>
      </c>
      <c r="K869" s="1658">
        <v>31096196</v>
      </c>
    </row>
    <row r="870" spans="1:11" x14ac:dyDescent="0.3">
      <c r="A870" s="1657">
        <v>42928</v>
      </c>
      <c r="B870" s="1658">
        <v>5200</v>
      </c>
      <c r="C870" s="1658">
        <v>60</v>
      </c>
      <c r="D870" s="1659">
        <v>1.17</v>
      </c>
      <c r="E870" s="1658">
        <v>5180</v>
      </c>
      <c r="F870" s="1658">
        <v>5430</v>
      </c>
      <c r="G870" s="1658">
        <v>5180</v>
      </c>
      <c r="H870" s="1658">
        <v>1238975</v>
      </c>
      <c r="I870" s="1658">
        <v>6568352530</v>
      </c>
      <c r="J870" s="1658">
        <v>161700219200</v>
      </c>
      <c r="K870" s="1658">
        <v>31096196</v>
      </c>
    </row>
    <row r="871" spans="1:11" x14ac:dyDescent="0.3">
      <c r="A871" s="1657">
        <v>42929</v>
      </c>
      <c r="B871" s="1658">
        <v>5290</v>
      </c>
      <c r="C871" s="1658">
        <v>90</v>
      </c>
      <c r="D871" s="1659">
        <v>1.73</v>
      </c>
      <c r="E871" s="1658">
        <v>5230</v>
      </c>
      <c r="F871" s="1658">
        <v>5410</v>
      </c>
      <c r="G871" s="1658">
        <v>5220</v>
      </c>
      <c r="H871" s="1658">
        <v>761278</v>
      </c>
      <c r="I871" s="1658">
        <v>4056529400</v>
      </c>
      <c r="J871" s="1658">
        <v>164498876840</v>
      </c>
      <c r="K871" s="1658">
        <v>31096196</v>
      </c>
    </row>
    <row r="872" spans="1:11" x14ac:dyDescent="0.3">
      <c r="A872" s="1657">
        <v>42930</v>
      </c>
      <c r="B872" s="1658">
        <v>5420</v>
      </c>
      <c r="C872" s="1658">
        <v>130</v>
      </c>
      <c r="D872" s="1659">
        <v>2.46</v>
      </c>
      <c r="E872" s="1658">
        <v>5330</v>
      </c>
      <c r="F872" s="1658">
        <v>5480</v>
      </c>
      <c r="G872" s="1658">
        <v>5240</v>
      </c>
      <c r="H872" s="1658">
        <v>1035552</v>
      </c>
      <c r="I872" s="1658">
        <v>5576160270</v>
      </c>
      <c r="J872" s="1658">
        <v>168541382320</v>
      </c>
      <c r="K872" s="1658">
        <v>31096196</v>
      </c>
    </row>
    <row r="873" spans="1:11" x14ac:dyDescent="0.3">
      <c r="A873" s="1657">
        <v>42933</v>
      </c>
      <c r="B873" s="1658">
        <v>5420</v>
      </c>
      <c r="C873" s="1658">
        <v>0</v>
      </c>
      <c r="D873" s="1659">
        <v>0</v>
      </c>
      <c r="E873" s="1658">
        <v>0</v>
      </c>
      <c r="F873" s="1658">
        <v>0</v>
      </c>
      <c r="G873" s="1658">
        <v>0</v>
      </c>
      <c r="H873" s="1658">
        <v>12771</v>
      </c>
      <c r="I873" s="1658">
        <v>69218820</v>
      </c>
      <c r="J873" s="1658">
        <v>168541382320</v>
      </c>
      <c r="K873" s="1658">
        <v>31096196</v>
      </c>
    </row>
    <row r="874" spans="1:11" x14ac:dyDescent="0.3">
      <c r="A874" s="1657">
        <v>42934</v>
      </c>
      <c r="B874" s="1658">
        <v>7040</v>
      </c>
      <c r="C874" s="1658">
        <v>1620</v>
      </c>
      <c r="D874" s="1659">
        <v>29.89</v>
      </c>
      <c r="E874" s="1658">
        <v>7040</v>
      </c>
      <c r="F874" s="1658">
        <v>7040</v>
      </c>
      <c r="G874" s="1658">
        <v>7040</v>
      </c>
      <c r="H874" s="1658">
        <v>1305597</v>
      </c>
      <c r="I874" s="1658">
        <v>9191402880</v>
      </c>
      <c r="J874" s="1658">
        <v>218917219840</v>
      </c>
      <c r="K874" s="1658">
        <v>31096196</v>
      </c>
    </row>
    <row r="875" spans="1:11" x14ac:dyDescent="0.3">
      <c r="A875" s="1657">
        <v>42935</v>
      </c>
      <c r="B875" s="1658">
        <v>8140</v>
      </c>
      <c r="C875" s="1658">
        <v>1100</v>
      </c>
      <c r="D875" s="1659">
        <v>15.63</v>
      </c>
      <c r="E875" s="1658">
        <v>7400</v>
      </c>
      <c r="F875" s="1658">
        <v>8680</v>
      </c>
      <c r="G875" s="1658">
        <v>7380</v>
      </c>
      <c r="H875" s="1658">
        <v>14648606</v>
      </c>
      <c r="I875" s="1658">
        <v>120109053440</v>
      </c>
      <c r="J875" s="1658">
        <v>253123035440</v>
      </c>
      <c r="K875" s="1658">
        <v>31096196</v>
      </c>
    </row>
    <row r="876" spans="1:11" x14ac:dyDescent="0.3">
      <c r="A876" s="1657">
        <v>42936</v>
      </c>
      <c r="B876" s="1658">
        <v>7990</v>
      </c>
      <c r="C876" s="1658">
        <v>-150</v>
      </c>
      <c r="D876" s="1659">
        <v>-1.84</v>
      </c>
      <c r="E876" s="1658">
        <v>8200</v>
      </c>
      <c r="F876" s="1658">
        <v>8220</v>
      </c>
      <c r="G876" s="1658">
        <v>7680</v>
      </c>
      <c r="H876" s="1658">
        <v>4281350</v>
      </c>
      <c r="I876" s="1658">
        <v>33755402550</v>
      </c>
      <c r="J876" s="1658">
        <v>248458606040</v>
      </c>
      <c r="K876" s="1658">
        <v>31096196</v>
      </c>
    </row>
    <row r="877" spans="1:11" x14ac:dyDescent="0.3">
      <c r="A877" s="1657">
        <v>42937</v>
      </c>
      <c r="B877" s="1658">
        <v>8010</v>
      </c>
      <c r="C877" s="1658">
        <v>20</v>
      </c>
      <c r="D877" s="1659">
        <v>0.25</v>
      </c>
      <c r="E877" s="1658">
        <v>8000</v>
      </c>
      <c r="F877" s="1658">
        <v>8150</v>
      </c>
      <c r="G877" s="1658">
        <v>7770</v>
      </c>
      <c r="H877" s="1658">
        <v>4004367</v>
      </c>
      <c r="I877" s="1658">
        <v>32051735830</v>
      </c>
      <c r="J877" s="1658">
        <v>249080529960</v>
      </c>
      <c r="K877" s="1658">
        <v>31096196</v>
      </c>
    </row>
    <row r="878" spans="1:11" x14ac:dyDescent="0.3">
      <c r="A878" s="1657">
        <v>42940</v>
      </c>
      <c r="B878" s="1658">
        <v>7450</v>
      </c>
      <c r="C878" s="1658">
        <v>-560</v>
      </c>
      <c r="D878" s="1659">
        <v>-6.99</v>
      </c>
      <c r="E878" s="1658">
        <v>7900</v>
      </c>
      <c r="F878" s="1658">
        <v>7930</v>
      </c>
      <c r="G878" s="1658">
        <v>7430</v>
      </c>
      <c r="H878" s="1658">
        <v>2593245</v>
      </c>
      <c r="I878" s="1658">
        <v>19707391840</v>
      </c>
      <c r="J878" s="1658">
        <v>231666660200</v>
      </c>
      <c r="K878" s="1658">
        <v>31096196</v>
      </c>
    </row>
    <row r="879" spans="1:11" x14ac:dyDescent="0.3">
      <c r="A879" s="1657">
        <v>42941</v>
      </c>
      <c r="B879" s="1658">
        <v>7430</v>
      </c>
      <c r="C879" s="1658">
        <v>-20</v>
      </c>
      <c r="D879" s="1659">
        <v>-0.27</v>
      </c>
      <c r="E879" s="1658">
        <v>7260</v>
      </c>
      <c r="F879" s="1658">
        <v>7560</v>
      </c>
      <c r="G879" s="1658">
        <v>7070</v>
      </c>
      <c r="H879" s="1658">
        <v>2857231</v>
      </c>
      <c r="I879" s="1658">
        <v>20870163900</v>
      </c>
      <c r="J879" s="1658">
        <v>231044736280</v>
      </c>
      <c r="K879" s="1658">
        <v>31096196</v>
      </c>
    </row>
    <row r="880" spans="1:11" x14ac:dyDescent="0.3">
      <c r="A880" s="1657">
        <v>42942</v>
      </c>
      <c r="B880" s="1658">
        <v>7430</v>
      </c>
      <c r="C880" s="1658">
        <v>0</v>
      </c>
      <c r="D880" s="1659">
        <v>0</v>
      </c>
      <c r="E880" s="1658">
        <v>7300</v>
      </c>
      <c r="F880" s="1658">
        <v>7520</v>
      </c>
      <c r="G880" s="1658">
        <v>7180</v>
      </c>
      <c r="H880" s="1658">
        <v>1730307</v>
      </c>
      <c r="I880" s="1658">
        <v>12710992850</v>
      </c>
      <c r="J880" s="1658">
        <v>231044736280</v>
      </c>
      <c r="K880" s="1658">
        <v>31096196</v>
      </c>
    </row>
    <row r="881" spans="1:11" x14ac:dyDescent="0.3">
      <c r="A881" s="1657">
        <v>42943</v>
      </c>
      <c r="B881" s="1658">
        <v>6650</v>
      </c>
      <c r="C881" s="1658">
        <v>-780</v>
      </c>
      <c r="D881" s="1659">
        <v>-10.5</v>
      </c>
      <c r="E881" s="1658">
        <v>7470</v>
      </c>
      <c r="F881" s="1658">
        <v>7520</v>
      </c>
      <c r="G881" s="1658">
        <v>6650</v>
      </c>
      <c r="H881" s="1658">
        <v>2489024</v>
      </c>
      <c r="I881" s="1658">
        <v>17464569210</v>
      </c>
      <c r="J881" s="1658">
        <v>206789703400</v>
      </c>
      <c r="K881" s="1658">
        <v>31096196</v>
      </c>
    </row>
    <row r="882" spans="1:11" x14ac:dyDescent="0.3">
      <c r="A882" s="1657">
        <v>42944</v>
      </c>
      <c r="B882" s="1658">
        <v>6550</v>
      </c>
      <c r="C882" s="1658">
        <v>-100</v>
      </c>
      <c r="D882" s="1659">
        <v>-1.5</v>
      </c>
      <c r="E882" s="1658">
        <v>6700</v>
      </c>
      <c r="F882" s="1658">
        <v>6890</v>
      </c>
      <c r="G882" s="1658">
        <v>6350</v>
      </c>
      <c r="H882" s="1658">
        <v>1783157</v>
      </c>
      <c r="I882" s="1658">
        <v>11826838790</v>
      </c>
      <c r="J882" s="1658">
        <v>203680083800</v>
      </c>
      <c r="K882" s="1658">
        <v>31096196</v>
      </c>
    </row>
    <row r="883" spans="1:11" x14ac:dyDescent="0.3">
      <c r="A883" s="1657">
        <v>42947</v>
      </c>
      <c r="B883" s="1658">
        <v>6480</v>
      </c>
      <c r="C883" s="1658">
        <v>-70</v>
      </c>
      <c r="D883" s="1659">
        <v>-1.07</v>
      </c>
      <c r="E883" s="1658">
        <v>6470</v>
      </c>
      <c r="F883" s="1658">
        <v>6720</v>
      </c>
      <c r="G883" s="1658">
        <v>6440</v>
      </c>
      <c r="H883" s="1658">
        <v>1275265</v>
      </c>
      <c r="I883" s="1658">
        <v>8381594200</v>
      </c>
      <c r="J883" s="1658">
        <v>201503350080</v>
      </c>
      <c r="K883" s="1658">
        <v>31096196</v>
      </c>
    </row>
    <row r="884" spans="1:11" x14ac:dyDescent="0.3">
      <c r="A884" s="1657">
        <v>42948</v>
      </c>
      <c r="B884" s="1658">
        <v>6560</v>
      </c>
      <c r="C884" s="1658">
        <v>80</v>
      </c>
      <c r="D884" s="1659">
        <v>1.23</v>
      </c>
      <c r="E884" s="1658">
        <v>6530</v>
      </c>
      <c r="F884" s="1658">
        <v>6790</v>
      </c>
      <c r="G884" s="1658">
        <v>6520</v>
      </c>
      <c r="H884" s="1658">
        <v>1570925</v>
      </c>
      <c r="I884" s="1658">
        <v>10460863060</v>
      </c>
      <c r="J884" s="1658">
        <v>203991045760</v>
      </c>
      <c r="K884" s="1658">
        <v>31096196</v>
      </c>
    </row>
    <row r="885" spans="1:11" x14ac:dyDescent="0.3">
      <c r="A885" s="1657">
        <v>42949</v>
      </c>
      <c r="B885" s="1658">
        <v>6760</v>
      </c>
      <c r="C885" s="1658">
        <v>200</v>
      </c>
      <c r="D885" s="1659">
        <v>3.05</v>
      </c>
      <c r="E885" s="1658">
        <v>6720</v>
      </c>
      <c r="F885" s="1658">
        <v>7190</v>
      </c>
      <c r="G885" s="1658">
        <v>6680</v>
      </c>
      <c r="H885" s="1658">
        <v>3979629</v>
      </c>
      <c r="I885" s="1658">
        <v>27623397250</v>
      </c>
      <c r="J885" s="1658">
        <v>210210284960</v>
      </c>
      <c r="K885" s="1658">
        <v>31096196</v>
      </c>
    </row>
    <row r="886" spans="1:11" x14ac:dyDescent="0.3">
      <c r="A886" s="1657">
        <v>42950</v>
      </c>
      <c r="B886" s="1658">
        <v>6730</v>
      </c>
      <c r="C886" s="1658">
        <v>-30</v>
      </c>
      <c r="D886" s="1659">
        <v>-0.44</v>
      </c>
      <c r="E886" s="1658">
        <v>6860</v>
      </c>
      <c r="F886" s="1658">
        <v>6940</v>
      </c>
      <c r="G886" s="1658">
        <v>6660</v>
      </c>
      <c r="H886" s="1658">
        <v>1045260</v>
      </c>
      <c r="I886" s="1658">
        <v>7099354050</v>
      </c>
      <c r="J886" s="1658">
        <v>209277399080</v>
      </c>
      <c r="K886" s="1658">
        <v>31096196</v>
      </c>
    </row>
    <row r="887" spans="1:11" x14ac:dyDescent="0.3">
      <c r="A887" s="1657">
        <v>42951</v>
      </c>
      <c r="B887" s="1658">
        <v>6320</v>
      </c>
      <c r="C887" s="1658">
        <v>-410</v>
      </c>
      <c r="D887" s="1659">
        <v>-6.09</v>
      </c>
      <c r="E887" s="1658">
        <v>6690</v>
      </c>
      <c r="F887" s="1658">
        <v>6810</v>
      </c>
      <c r="G887" s="1658">
        <v>6270</v>
      </c>
      <c r="H887" s="1658">
        <v>1202152</v>
      </c>
      <c r="I887" s="1658">
        <v>7793798540</v>
      </c>
      <c r="J887" s="1658">
        <v>196527958720</v>
      </c>
      <c r="K887" s="1658">
        <v>31096196</v>
      </c>
    </row>
    <row r="888" spans="1:11" x14ac:dyDescent="0.3">
      <c r="A888" s="1657">
        <v>42954</v>
      </c>
      <c r="B888" s="1658">
        <v>6330</v>
      </c>
      <c r="C888" s="1658">
        <v>10</v>
      </c>
      <c r="D888" s="1659">
        <v>0.16</v>
      </c>
      <c r="E888" s="1658">
        <v>6320</v>
      </c>
      <c r="F888" s="1658">
        <v>6520</v>
      </c>
      <c r="G888" s="1658">
        <v>6240</v>
      </c>
      <c r="H888" s="1658">
        <v>725548</v>
      </c>
      <c r="I888" s="1658">
        <v>4646467740</v>
      </c>
      <c r="J888" s="1658">
        <v>196838920680</v>
      </c>
      <c r="K888" s="1658">
        <v>31096196</v>
      </c>
    </row>
    <row r="889" spans="1:11" x14ac:dyDescent="0.3">
      <c r="A889" s="1657">
        <v>42955</v>
      </c>
      <c r="B889" s="1658">
        <v>6150</v>
      </c>
      <c r="C889" s="1658">
        <v>-180</v>
      </c>
      <c r="D889" s="1659">
        <v>-2.84</v>
      </c>
      <c r="E889" s="1658">
        <v>6430</v>
      </c>
      <c r="F889" s="1658">
        <v>6490</v>
      </c>
      <c r="G889" s="1658">
        <v>6090</v>
      </c>
      <c r="H889" s="1658">
        <v>1220594</v>
      </c>
      <c r="I889" s="1658">
        <v>7621696340</v>
      </c>
      <c r="J889" s="1658">
        <v>191241605400</v>
      </c>
      <c r="K889" s="1658">
        <v>31096196</v>
      </c>
    </row>
    <row r="890" spans="1:11" x14ac:dyDescent="0.3">
      <c r="A890" s="1657">
        <v>42956</v>
      </c>
      <c r="B890" s="1658">
        <v>6510</v>
      </c>
      <c r="C890" s="1658">
        <v>360</v>
      </c>
      <c r="D890" s="1659">
        <v>5.85</v>
      </c>
      <c r="E890" s="1658">
        <v>6120</v>
      </c>
      <c r="F890" s="1658">
        <v>7170</v>
      </c>
      <c r="G890" s="1658">
        <v>6100</v>
      </c>
      <c r="H890" s="1658">
        <v>7360600</v>
      </c>
      <c r="I890" s="1658">
        <v>49564711720</v>
      </c>
      <c r="J890" s="1658">
        <v>202436235960</v>
      </c>
      <c r="K890" s="1658">
        <v>31096196</v>
      </c>
    </row>
    <row r="891" spans="1:11" x14ac:dyDescent="0.3">
      <c r="A891" s="1657">
        <v>42957</v>
      </c>
      <c r="B891" s="1658">
        <v>6320</v>
      </c>
      <c r="C891" s="1658">
        <v>-190</v>
      </c>
      <c r="D891" s="1659">
        <v>-2.92</v>
      </c>
      <c r="E891" s="1658">
        <v>6450</v>
      </c>
      <c r="F891" s="1658">
        <v>6580</v>
      </c>
      <c r="G891" s="1658">
        <v>6150</v>
      </c>
      <c r="H891" s="1658">
        <v>1274470</v>
      </c>
      <c r="I891" s="1658">
        <v>8079698500</v>
      </c>
      <c r="J891" s="1658">
        <v>196527958720</v>
      </c>
      <c r="K891" s="1658">
        <v>31096196</v>
      </c>
    </row>
    <row r="892" spans="1:11" x14ac:dyDescent="0.3">
      <c r="A892" s="1657">
        <v>42958</v>
      </c>
      <c r="B892" s="1658">
        <v>6050</v>
      </c>
      <c r="C892" s="1658">
        <v>-270</v>
      </c>
      <c r="D892" s="1659">
        <v>-4.2699999999999996</v>
      </c>
      <c r="E892" s="1658">
        <v>6160</v>
      </c>
      <c r="F892" s="1658">
        <v>6250</v>
      </c>
      <c r="G892" s="1658">
        <v>6010</v>
      </c>
      <c r="H892" s="1658">
        <v>740102</v>
      </c>
      <c r="I892" s="1658">
        <v>4526496270</v>
      </c>
      <c r="J892" s="1658">
        <v>188131985800</v>
      </c>
      <c r="K892" s="1658">
        <v>31096196</v>
      </c>
    </row>
    <row r="893" spans="1:11" x14ac:dyDescent="0.3">
      <c r="A893" s="1657">
        <v>42961</v>
      </c>
      <c r="B893" s="1658">
        <v>6060</v>
      </c>
      <c r="C893" s="1658">
        <v>10</v>
      </c>
      <c r="D893" s="1659">
        <v>0.17</v>
      </c>
      <c r="E893" s="1658">
        <v>6050</v>
      </c>
      <c r="F893" s="1658">
        <v>6190</v>
      </c>
      <c r="G893" s="1658">
        <v>6000</v>
      </c>
      <c r="H893" s="1658">
        <v>323823</v>
      </c>
      <c r="I893" s="1658">
        <v>1970420550</v>
      </c>
      <c r="J893" s="1658">
        <v>188442947760</v>
      </c>
      <c r="K893" s="1658">
        <v>31096196</v>
      </c>
    </row>
    <row r="894" spans="1:11" x14ac:dyDescent="0.3">
      <c r="A894" s="1657">
        <v>42963</v>
      </c>
      <c r="B894" s="1658">
        <v>6350</v>
      </c>
      <c r="C894" s="1658">
        <v>290</v>
      </c>
      <c r="D894" s="1659">
        <v>4.79</v>
      </c>
      <c r="E894" s="1658">
        <v>6080</v>
      </c>
      <c r="F894" s="1658">
        <v>6460</v>
      </c>
      <c r="G894" s="1658">
        <v>6070</v>
      </c>
      <c r="H894" s="1658">
        <v>1028024</v>
      </c>
      <c r="I894" s="1658">
        <v>6486979080</v>
      </c>
      <c r="J894" s="1658">
        <v>197460844600</v>
      </c>
      <c r="K894" s="1658">
        <v>31096196</v>
      </c>
    </row>
    <row r="895" spans="1:11" x14ac:dyDescent="0.3">
      <c r="A895" s="1657">
        <v>42964</v>
      </c>
      <c r="B895" s="1658">
        <v>6470</v>
      </c>
      <c r="C895" s="1658">
        <v>120</v>
      </c>
      <c r="D895" s="1659">
        <v>1.89</v>
      </c>
      <c r="E895" s="1658">
        <v>6390</v>
      </c>
      <c r="F895" s="1658">
        <v>6610</v>
      </c>
      <c r="G895" s="1658">
        <v>6250</v>
      </c>
      <c r="H895" s="1658">
        <v>991639</v>
      </c>
      <c r="I895" s="1658">
        <v>6414718380</v>
      </c>
      <c r="J895" s="1658">
        <v>201192388120</v>
      </c>
      <c r="K895" s="1658">
        <v>31096196</v>
      </c>
    </row>
    <row r="896" spans="1:11" x14ac:dyDescent="0.3">
      <c r="A896" s="1657">
        <v>42965</v>
      </c>
      <c r="B896" s="1658">
        <v>6450</v>
      </c>
      <c r="C896" s="1658">
        <v>-20</v>
      </c>
      <c r="D896" s="1659">
        <v>-0.31</v>
      </c>
      <c r="E896" s="1658">
        <v>6330</v>
      </c>
      <c r="F896" s="1658">
        <v>6590</v>
      </c>
      <c r="G896" s="1658">
        <v>6260</v>
      </c>
      <c r="H896" s="1658">
        <v>497933</v>
      </c>
      <c r="I896" s="1658">
        <v>3190930600</v>
      </c>
      <c r="J896" s="1658">
        <v>200570464200</v>
      </c>
      <c r="K896" s="1658">
        <v>31096196</v>
      </c>
    </row>
    <row r="897" spans="1:11" x14ac:dyDescent="0.3">
      <c r="A897" s="1657">
        <v>42968</v>
      </c>
      <c r="B897" s="1658">
        <v>6440</v>
      </c>
      <c r="C897" s="1658">
        <v>-10</v>
      </c>
      <c r="D897" s="1659">
        <v>-0.16</v>
      </c>
      <c r="E897" s="1658">
        <v>6460</v>
      </c>
      <c r="F897" s="1658">
        <v>6580</v>
      </c>
      <c r="G897" s="1658">
        <v>6400</v>
      </c>
      <c r="H897" s="1658">
        <v>330548</v>
      </c>
      <c r="I897" s="1658">
        <v>2140573460</v>
      </c>
      <c r="J897" s="1658">
        <v>200259502240</v>
      </c>
      <c r="K897" s="1658">
        <v>31096196</v>
      </c>
    </row>
    <row r="898" spans="1:11" x14ac:dyDescent="0.3">
      <c r="A898" s="1657">
        <v>42969</v>
      </c>
      <c r="B898" s="1658">
        <v>6730</v>
      </c>
      <c r="C898" s="1658">
        <v>290</v>
      </c>
      <c r="D898" s="1659">
        <v>4.5</v>
      </c>
      <c r="E898" s="1658">
        <v>6430</v>
      </c>
      <c r="F898" s="1658">
        <v>7050</v>
      </c>
      <c r="G898" s="1658">
        <v>6430</v>
      </c>
      <c r="H898" s="1658">
        <v>3719174</v>
      </c>
      <c r="I898" s="1658">
        <v>25375818380</v>
      </c>
      <c r="J898" s="1658">
        <v>209704754080</v>
      </c>
      <c r="K898" s="1658">
        <v>31159696</v>
      </c>
    </row>
    <row r="899" spans="1:11" x14ac:dyDescent="0.3">
      <c r="A899" s="1657">
        <v>42970</v>
      </c>
      <c r="B899" s="1658">
        <v>6960</v>
      </c>
      <c r="C899" s="1658">
        <v>230</v>
      </c>
      <c r="D899" s="1659">
        <v>3.42</v>
      </c>
      <c r="E899" s="1658">
        <v>6800</v>
      </c>
      <c r="F899" s="1658">
        <v>7100</v>
      </c>
      <c r="G899" s="1658">
        <v>6630</v>
      </c>
      <c r="H899" s="1658">
        <v>1722028</v>
      </c>
      <c r="I899" s="1658">
        <v>11901408360</v>
      </c>
      <c r="J899" s="1658">
        <v>216871484160</v>
      </c>
      <c r="K899" s="1658">
        <v>31159696</v>
      </c>
    </row>
    <row r="900" spans="1:11" x14ac:dyDescent="0.3">
      <c r="A900" s="1657">
        <v>42971</v>
      </c>
      <c r="B900" s="1658">
        <v>7030</v>
      </c>
      <c r="C900" s="1658">
        <v>70</v>
      </c>
      <c r="D900" s="1659">
        <v>1.01</v>
      </c>
      <c r="E900" s="1658">
        <v>6950</v>
      </c>
      <c r="F900" s="1658">
        <v>7240</v>
      </c>
      <c r="G900" s="1658">
        <v>6840</v>
      </c>
      <c r="H900" s="1658">
        <v>1581836</v>
      </c>
      <c r="I900" s="1658">
        <v>11243933630</v>
      </c>
      <c r="J900" s="1658">
        <v>219052662880</v>
      </c>
      <c r="K900" s="1658">
        <v>31159696</v>
      </c>
    </row>
    <row r="901" spans="1:11" x14ac:dyDescent="0.3">
      <c r="A901" s="1657">
        <v>42972</v>
      </c>
      <c r="B901" s="1658">
        <v>7230</v>
      </c>
      <c r="C901" s="1658">
        <v>200</v>
      </c>
      <c r="D901" s="1659">
        <v>2.84</v>
      </c>
      <c r="E901" s="1658">
        <v>7010</v>
      </c>
      <c r="F901" s="1658">
        <v>7240</v>
      </c>
      <c r="G901" s="1658">
        <v>6980</v>
      </c>
      <c r="H901" s="1658">
        <v>790216</v>
      </c>
      <c r="I901" s="1658">
        <v>5645313280</v>
      </c>
      <c r="J901" s="1658">
        <v>225284602080</v>
      </c>
      <c r="K901" s="1658">
        <v>31159696</v>
      </c>
    </row>
    <row r="902" spans="1:11" x14ac:dyDescent="0.3">
      <c r="A902" s="1657">
        <v>42975</v>
      </c>
      <c r="B902" s="1658">
        <v>7020</v>
      </c>
      <c r="C902" s="1658">
        <v>-210</v>
      </c>
      <c r="D902" s="1659">
        <v>-2.9</v>
      </c>
      <c r="E902" s="1658">
        <v>7500</v>
      </c>
      <c r="F902" s="1658">
        <v>7510</v>
      </c>
      <c r="G902" s="1658">
        <v>6970</v>
      </c>
      <c r="H902" s="1658">
        <v>1051898</v>
      </c>
      <c r="I902" s="1658">
        <v>7503295900</v>
      </c>
      <c r="J902" s="1658">
        <v>218741065920</v>
      </c>
      <c r="K902" s="1658">
        <v>31159696</v>
      </c>
    </row>
    <row r="903" spans="1:11" x14ac:dyDescent="0.3">
      <c r="A903" s="1657">
        <v>42976</v>
      </c>
      <c r="B903" s="1658">
        <v>7110</v>
      </c>
      <c r="C903" s="1658">
        <v>90</v>
      </c>
      <c r="D903" s="1659">
        <v>1.28</v>
      </c>
      <c r="E903" s="1658">
        <v>6900</v>
      </c>
      <c r="F903" s="1658">
        <v>7110</v>
      </c>
      <c r="G903" s="1658">
        <v>6730</v>
      </c>
      <c r="H903" s="1658">
        <v>828920</v>
      </c>
      <c r="I903" s="1658">
        <v>5731611190</v>
      </c>
      <c r="J903" s="1658">
        <v>221545438560</v>
      </c>
      <c r="K903" s="1658">
        <v>31159696</v>
      </c>
    </row>
    <row r="904" spans="1:11" x14ac:dyDescent="0.3">
      <c r="A904" s="1657">
        <v>42977</v>
      </c>
      <c r="B904" s="1658">
        <v>6810</v>
      </c>
      <c r="C904" s="1658">
        <v>-300</v>
      </c>
      <c r="D904" s="1659">
        <v>-4.22</v>
      </c>
      <c r="E904" s="1658">
        <v>7070</v>
      </c>
      <c r="F904" s="1658">
        <v>7090</v>
      </c>
      <c r="G904" s="1658">
        <v>6810</v>
      </c>
      <c r="H904" s="1658">
        <v>776009</v>
      </c>
      <c r="I904" s="1658">
        <v>5333894290</v>
      </c>
      <c r="J904" s="1658">
        <v>212197529760</v>
      </c>
      <c r="K904" s="1658">
        <v>31159696</v>
      </c>
    </row>
    <row r="905" spans="1:11" x14ac:dyDescent="0.3">
      <c r="A905" s="1657">
        <v>42978</v>
      </c>
      <c r="B905" s="1658">
        <v>6780</v>
      </c>
      <c r="C905" s="1658">
        <v>-30</v>
      </c>
      <c r="D905" s="1659">
        <v>-0.44</v>
      </c>
      <c r="E905" s="1658">
        <v>6790</v>
      </c>
      <c r="F905" s="1658">
        <v>7070</v>
      </c>
      <c r="G905" s="1658">
        <v>6750</v>
      </c>
      <c r="H905" s="1658">
        <v>626857</v>
      </c>
      <c r="I905" s="1658">
        <v>4296154480</v>
      </c>
      <c r="J905" s="1658">
        <v>211262738880</v>
      </c>
      <c r="K905" s="1658">
        <v>31159696</v>
      </c>
    </row>
    <row r="906" spans="1:11" x14ac:dyDescent="0.3">
      <c r="A906" s="1657">
        <v>42979</v>
      </c>
      <c r="B906" s="1658">
        <v>6660</v>
      </c>
      <c r="C906" s="1658">
        <v>-120</v>
      </c>
      <c r="D906" s="1659">
        <v>-1.77</v>
      </c>
      <c r="E906" s="1658">
        <v>6800</v>
      </c>
      <c r="F906" s="1658">
        <v>6850</v>
      </c>
      <c r="G906" s="1658">
        <v>6650</v>
      </c>
      <c r="H906" s="1658">
        <v>380460</v>
      </c>
      <c r="I906" s="1658">
        <v>2547651800</v>
      </c>
      <c r="J906" s="1658">
        <v>207523575360</v>
      </c>
      <c r="K906" s="1658">
        <v>31159696</v>
      </c>
    </row>
    <row r="907" spans="1:11" x14ac:dyDescent="0.3">
      <c r="A907" s="1657">
        <v>42982</v>
      </c>
      <c r="B907" s="1658">
        <v>6390</v>
      </c>
      <c r="C907" s="1658">
        <v>-270</v>
      </c>
      <c r="D907" s="1659">
        <v>-4.05</v>
      </c>
      <c r="E907" s="1658">
        <v>6300</v>
      </c>
      <c r="F907" s="1658">
        <v>6580</v>
      </c>
      <c r="G907" s="1658">
        <v>6290</v>
      </c>
      <c r="H907" s="1658">
        <v>491620</v>
      </c>
      <c r="I907" s="1658">
        <v>3167870240</v>
      </c>
      <c r="J907" s="1658">
        <v>199110457440</v>
      </c>
      <c r="K907" s="1658">
        <v>31159696</v>
      </c>
    </row>
    <row r="908" spans="1:11" x14ac:dyDescent="0.3">
      <c r="A908" s="1657">
        <v>42983</v>
      </c>
      <c r="B908" s="1658">
        <v>6420</v>
      </c>
      <c r="C908" s="1658">
        <v>30</v>
      </c>
      <c r="D908" s="1659">
        <v>0.47</v>
      </c>
      <c r="E908" s="1658">
        <v>6440</v>
      </c>
      <c r="F908" s="1658">
        <v>6560</v>
      </c>
      <c r="G908" s="1658">
        <v>6320</v>
      </c>
      <c r="H908" s="1658">
        <v>366899</v>
      </c>
      <c r="I908" s="1658">
        <v>2356250970</v>
      </c>
      <c r="J908" s="1658">
        <v>200045248320</v>
      </c>
      <c r="K908" s="1658">
        <v>31159696</v>
      </c>
    </row>
    <row r="909" spans="1:11" x14ac:dyDescent="0.3">
      <c r="A909" s="1657">
        <v>42984</v>
      </c>
      <c r="B909" s="1658">
        <v>6710</v>
      </c>
      <c r="C909" s="1658">
        <v>290</v>
      </c>
      <c r="D909" s="1659">
        <v>4.5199999999999996</v>
      </c>
      <c r="E909" s="1658">
        <v>6500</v>
      </c>
      <c r="F909" s="1658">
        <v>7030</v>
      </c>
      <c r="G909" s="1658">
        <v>6500</v>
      </c>
      <c r="H909" s="1658">
        <v>1676163</v>
      </c>
      <c r="I909" s="1658">
        <v>11447429290</v>
      </c>
      <c r="J909" s="1658">
        <v>209081560160</v>
      </c>
      <c r="K909" s="1658">
        <v>31159696</v>
      </c>
    </row>
    <row r="910" spans="1:11" x14ac:dyDescent="0.3">
      <c r="A910" s="1657">
        <v>42985</v>
      </c>
      <c r="B910" s="1658">
        <v>6940</v>
      </c>
      <c r="C910" s="1658">
        <v>230</v>
      </c>
      <c r="D910" s="1659">
        <v>3.43</v>
      </c>
      <c r="E910" s="1658">
        <v>6780</v>
      </c>
      <c r="F910" s="1658">
        <v>7100</v>
      </c>
      <c r="G910" s="1658">
        <v>6690</v>
      </c>
      <c r="H910" s="1658">
        <v>1330183</v>
      </c>
      <c r="I910" s="1658">
        <v>9252194510</v>
      </c>
      <c r="J910" s="1658">
        <v>216248290240</v>
      </c>
      <c r="K910" s="1658">
        <v>31159696</v>
      </c>
    </row>
    <row r="911" spans="1:11" x14ac:dyDescent="0.3">
      <c r="A911" s="1657">
        <v>42986</v>
      </c>
      <c r="B911" s="1658">
        <v>6730</v>
      </c>
      <c r="C911" s="1658">
        <v>-210</v>
      </c>
      <c r="D911" s="1659">
        <v>-3.03</v>
      </c>
      <c r="E911" s="1658">
        <v>6900</v>
      </c>
      <c r="F911" s="1658">
        <v>6990</v>
      </c>
      <c r="G911" s="1658">
        <v>6730</v>
      </c>
      <c r="H911" s="1658">
        <v>457669</v>
      </c>
      <c r="I911" s="1658">
        <v>3137943260</v>
      </c>
      <c r="J911" s="1658">
        <v>209704754080</v>
      </c>
      <c r="K911" s="1658">
        <v>31159696</v>
      </c>
    </row>
    <row r="912" spans="1:11" x14ac:dyDescent="0.3">
      <c r="A912" s="1657">
        <v>42989</v>
      </c>
      <c r="B912" s="1658">
        <v>6780</v>
      </c>
      <c r="C912" s="1658">
        <v>50</v>
      </c>
      <c r="D912" s="1659">
        <v>0.74</v>
      </c>
      <c r="E912" s="1658">
        <v>6730</v>
      </c>
      <c r="F912" s="1658">
        <v>6950</v>
      </c>
      <c r="G912" s="1658">
        <v>6730</v>
      </c>
      <c r="H912" s="1658">
        <v>364962</v>
      </c>
      <c r="I912" s="1658">
        <v>2495061190</v>
      </c>
      <c r="J912" s="1658">
        <v>211262738880</v>
      </c>
      <c r="K912" s="1658">
        <v>31159696</v>
      </c>
    </row>
    <row r="913" spans="1:11" x14ac:dyDescent="0.3">
      <c r="A913" s="1657">
        <v>42990</v>
      </c>
      <c r="B913" s="1658">
        <v>6890</v>
      </c>
      <c r="C913" s="1658">
        <v>110</v>
      </c>
      <c r="D913" s="1659">
        <v>1.62</v>
      </c>
      <c r="E913" s="1658">
        <v>6770</v>
      </c>
      <c r="F913" s="1658">
        <v>6950</v>
      </c>
      <c r="G913" s="1658">
        <v>6770</v>
      </c>
      <c r="H913" s="1658">
        <v>408525</v>
      </c>
      <c r="I913" s="1658">
        <v>2796018650</v>
      </c>
      <c r="J913" s="1658">
        <v>214690305440</v>
      </c>
      <c r="K913" s="1658">
        <v>31159696</v>
      </c>
    </row>
    <row r="914" spans="1:11" x14ac:dyDescent="0.3">
      <c r="A914" s="1657">
        <v>42991</v>
      </c>
      <c r="B914" s="1658">
        <v>6880</v>
      </c>
      <c r="C914" s="1658">
        <v>-10</v>
      </c>
      <c r="D914" s="1659">
        <v>-0.15</v>
      </c>
      <c r="E914" s="1658">
        <v>6890</v>
      </c>
      <c r="F914" s="1658">
        <v>7140</v>
      </c>
      <c r="G914" s="1658">
        <v>6770</v>
      </c>
      <c r="H914" s="1658">
        <v>972125</v>
      </c>
      <c r="I914" s="1658">
        <v>6774202680</v>
      </c>
      <c r="J914" s="1658">
        <v>298438851200</v>
      </c>
      <c r="K914" s="1658">
        <v>43377740</v>
      </c>
    </row>
    <row r="915" spans="1:11" x14ac:dyDescent="0.3">
      <c r="A915" s="1657">
        <v>42992</v>
      </c>
      <c r="B915" s="1658">
        <v>6850</v>
      </c>
      <c r="C915" s="1658">
        <v>-30</v>
      </c>
      <c r="D915" s="1659">
        <v>-0.44</v>
      </c>
      <c r="E915" s="1658">
        <v>6910</v>
      </c>
      <c r="F915" s="1658">
        <v>7020</v>
      </c>
      <c r="G915" s="1658">
        <v>6660</v>
      </c>
      <c r="H915" s="1658">
        <v>762316</v>
      </c>
      <c r="I915" s="1658">
        <v>5221696210</v>
      </c>
      <c r="J915" s="1658">
        <v>297137519000</v>
      </c>
      <c r="K915" s="1658">
        <v>43377740</v>
      </c>
    </row>
    <row r="916" spans="1:11" x14ac:dyDescent="0.3">
      <c r="A916" s="1657">
        <v>42993</v>
      </c>
      <c r="B916" s="1658">
        <v>6700</v>
      </c>
      <c r="C916" s="1658">
        <v>-150</v>
      </c>
      <c r="D916" s="1659">
        <v>-2.19</v>
      </c>
      <c r="E916" s="1658">
        <v>6780</v>
      </c>
      <c r="F916" s="1658">
        <v>6810</v>
      </c>
      <c r="G916" s="1658">
        <v>6690</v>
      </c>
      <c r="H916" s="1658">
        <v>300322</v>
      </c>
      <c r="I916" s="1658">
        <v>2024727600</v>
      </c>
      <c r="J916" s="1658">
        <v>290630858000</v>
      </c>
      <c r="K916" s="1658">
        <v>43377740</v>
      </c>
    </row>
    <row r="917" spans="1:11" x14ac:dyDescent="0.3">
      <c r="A917" s="1657">
        <v>42996</v>
      </c>
      <c r="B917" s="1658">
        <v>6530</v>
      </c>
      <c r="C917" s="1658">
        <v>-170</v>
      </c>
      <c r="D917" s="1659">
        <v>-2.54</v>
      </c>
      <c r="E917" s="1658">
        <v>6710</v>
      </c>
      <c r="F917" s="1658">
        <v>6790</v>
      </c>
      <c r="G917" s="1658">
        <v>6530</v>
      </c>
      <c r="H917" s="1658">
        <v>347812</v>
      </c>
      <c r="I917" s="1658">
        <v>2297349860</v>
      </c>
      <c r="J917" s="1658">
        <v>283256642200</v>
      </c>
      <c r="K917" s="1658">
        <v>43377740</v>
      </c>
    </row>
    <row r="918" spans="1:11" x14ac:dyDescent="0.3">
      <c r="A918" s="1657">
        <v>42997</v>
      </c>
      <c r="B918" s="1658">
        <v>6530</v>
      </c>
      <c r="C918" s="1658">
        <v>0</v>
      </c>
      <c r="D918" s="1659">
        <v>0</v>
      </c>
      <c r="E918" s="1658">
        <v>6500</v>
      </c>
      <c r="F918" s="1658">
        <v>6650</v>
      </c>
      <c r="G918" s="1658">
        <v>6490</v>
      </c>
      <c r="H918" s="1658">
        <v>194263</v>
      </c>
      <c r="I918" s="1658">
        <v>1271384590</v>
      </c>
      <c r="J918" s="1658">
        <v>283256642200</v>
      </c>
      <c r="K918" s="1658">
        <v>43377740</v>
      </c>
    </row>
    <row r="919" spans="1:11" x14ac:dyDescent="0.3">
      <c r="A919" s="1657">
        <v>42998</v>
      </c>
      <c r="B919" s="1658">
        <v>6420</v>
      </c>
      <c r="C919" s="1658">
        <v>-110</v>
      </c>
      <c r="D919" s="1659">
        <v>-1.68</v>
      </c>
      <c r="E919" s="1658">
        <v>6560</v>
      </c>
      <c r="F919" s="1658">
        <v>6600</v>
      </c>
      <c r="G919" s="1658">
        <v>6360</v>
      </c>
      <c r="H919" s="1658">
        <v>322457</v>
      </c>
      <c r="I919" s="1658">
        <v>2078589220</v>
      </c>
      <c r="J919" s="1658">
        <v>278485090800</v>
      </c>
      <c r="K919" s="1658">
        <v>43377740</v>
      </c>
    </row>
    <row r="920" spans="1:11" x14ac:dyDescent="0.3">
      <c r="A920" s="1657">
        <v>42999</v>
      </c>
      <c r="B920" s="1658">
        <v>6360</v>
      </c>
      <c r="C920" s="1658">
        <v>-60</v>
      </c>
      <c r="D920" s="1659">
        <v>-0.93</v>
      </c>
      <c r="E920" s="1658">
        <v>6470</v>
      </c>
      <c r="F920" s="1658">
        <v>7100</v>
      </c>
      <c r="G920" s="1658">
        <v>6260</v>
      </c>
      <c r="H920" s="1658">
        <v>2237183</v>
      </c>
      <c r="I920" s="1658">
        <v>15048893940</v>
      </c>
      <c r="J920" s="1658">
        <v>275882426400</v>
      </c>
      <c r="K920" s="1658">
        <v>43377740</v>
      </c>
    </row>
    <row r="921" spans="1:11" x14ac:dyDescent="0.3">
      <c r="A921" s="1657">
        <v>43000</v>
      </c>
      <c r="B921" s="1658">
        <v>6250</v>
      </c>
      <c r="C921" s="1658">
        <v>-110</v>
      </c>
      <c r="D921" s="1659">
        <v>-1.73</v>
      </c>
      <c r="E921" s="1658">
        <v>6340</v>
      </c>
      <c r="F921" s="1658">
        <v>6480</v>
      </c>
      <c r="G921" s="1658">
        <v>6220</v>
      </c>
      <c r="H921" s="1658">
        <v>358135</v>
      </c>
      <c r="I921" s="1658">
        <v>2257874430</v>
      </c>
      <c r="J921" s="1658">
        <v>271110875000</v>
      </c>
      <c r="K921" s="1658">
        <v>43377740</v>
      </c>
    </row>
    <row r="922" spans="1:11" x14ac:dyDescent="0.3">
      <c r="A922" s="1657">
        <v>43003</v>
      </c>
      <c r="B922" s="1658">
        <v>6050</v>
      </c>
      <c r="C922" s="1658">
        <v>-200</v>
      </c>
      <c r="D922" s="1659">
        <v>-3.2</v>
      </c>
      <c r="E922" s="1658">
        <v>6200</v>
      </c>
      <c r="F922" s="1658">
        <v>6370</v>
      </c>
      <c r="G922" s="1658">
        <v>6050</v>
      </c>
      <c r="H922" s="1658">
        <v>306837</v>
      </c>
      <c r="I922" s="1658">
        <v>1909220240</v>
      </c>
      <c r="J922" s="1658">
        <v>262435327000</v>
      </c>
      <c r="K922" s="1658">
        <v>43377740</v>
      </c>
    </row>
    <row r="923" spans="1:11" x14ac:dyDescent="0.3">
      <c r="A923" s="1657">
        <v>43004</v>
      </c>
      <c r="B923" s="1658">
        <v>5950</v>
      </c>
      <c r="C923" s="1658">
        <v>-100</v>
      </c>
      <c r="D923" s="1659">
        <v>-1.65</v>
      </c>
      <c r="E923" s="1658">
        <v>5910</v>
      </c>
      <c r="F923" s="1658">
        <v>6150</v>
      </c>
      <c r="G923" s="1658">
        <v>5910</v>
      </c>
      <c r="H923" s="1658">
        <v>204818</v>
      </c>
      <c r="I923" s="1658">
        <v>1227867550</v>
      </c>
      <c r="J923" s="1658">
        <v>258097553000</v>
      </c>
      <c r="K923" s="1658">
        <v>43377740</v>
      </c>
    </row>
    <row r="924" spans="1:11" x14ac:dyDescent="0.3">
      <c r="A924" s="1657">
        <v>43005</v>
      </c>
      <c r="B924" s="1658">
        <v>5920</v>
      </c>
      <c r="C924" s="1658">
        <v>-30</v>
      </c>
      <c r="D924" s="1659">
        <v>-0.5</v>
      </c>
      <c r="E924" s="1658">
        <v>5930</v>
      </c>
      <c r="F924" s="1658">
        <v>6100</v>
      </c>
      <c r="G924" s="1658">
        <v>5900</v>
      </c>
      <c r="H924" s="1658">
        <v>200589</v>
      </c>
      <c r="I924" s="1658">
        <v>1199894590</v>
      </c>
      <c r="J924" s="1658">
        <v>256796220800</v>
      </c>
      <c r="K924" s="1658">
        <v>43377740</v>
      </c>
    </row>
    <row r="925" spans="1:11" x14ac:dyDescent="0.3">
      <c r="A925" s="1657">
        <v>43006</v>
      </c>
      <c r="B925" s="1658">
        <v>5900</v>
      </c>
      <c r="C925" s="1658">
        <v>-20</v>
      </c>
      <c r="D925" s="1659">
        <v>-0.34</v>
      </c>
      <c r="E925" s="1658">
        <v>5920</v>
      </c>
      <c r="F925" s="1658">
        <v>6090</v>
      </c>
      <c r="G925" s="1658">
        <v>5860</v>
      </c>
      <c r="H925" s="1658">
        <v>170334</v>
      </c>
      <c r="I925" s="1658">
        <v>1012738630</v>
      </c>
      <c r="J925" s="1658">
        <v>255928666000</v>
      </c>
      <c r="K925" s="1658">
        <v>43377740</v>
      </c>
    </row>
    <row r="926" spans="1:11" x14ac:dyDescent="0.3">
      <c r="A926" s="1657">
        <v>43007</v>
      </c>
      <c r="B926" s="1658">
        <v>5910</v>
      </c>
      <c r="C926" s="1658">
        <v>10</v>
      </c>
      <c r="D926" s="1659">
        <v>0.17</v>
      </c>
      <c r="E926" s="1658">
        <v>5920</v>
      </c>
      <c r="F926" s="1658">
        <v>6110</v>
      </c>
      <c r="G926" s="1658">
        <v>5910</v>
      </c>
      <c r="H926" s="1658">
        <v>307515</v>
      </c>
      <c r="I926" s="1658">
        <v>1848966880</v>
      </c>
      <c r="J926" s="1658">
        <v>256362443400</v>
      </c>
      <c r="K926" s="1658">
        <v>43377740</v>
      </c>
    </row>
    <row r="927" spans="1:11" x14ac:dyDescent="0.3">
      <c r="A927" s="1657">
        <v>43018</v>
      </c>
      <c r="B927" s="1658">
        <v>5910</v>
      </c>
      <c r="C927" s="1658">
        <v>0</v>
      </c>
      <c r="D927" s="1659">
        <v>0</v>
      </c>
      <c r="E927" s="1658">
        <v>5940</v>
      </c>
      <c r="F927" s="1658">
        <v>6140</v>
      </c>
      <c r="G927" s="1658">
        <v>5860</v>
      </c>
      <c r="H927" s="1658">
        <v>216039</v>
      </c>
      <c r="I927" s="1658">
        <v>1295677060</v>
      </c>
      <c r="J927" s="1658">
        <v>256362443400</v>
      </c>
      <c r="K927" s="1658">
        <v>43377740</v>
      </c>
    </row>
    <row r="928" spans="1:11" x14ac:dyDescent="0.3">
      <c r="A928" s="1657">
        <v>43019</v>
      </c>
      <c r="B928" s="1658">
        <v>6000</v>
      </c>
      <c r="C928" s="1658">
        <v>90</v>
      </c>
      <c r="D928" s="1659">
        <v>1.52</v>
      </c>
      <c r="E928" s="1658">
        <v>5870</v>
      </c>
      <c r="F928" s="1658">
        <v>6050</v>
      </c>
      <c r="G928" s="1658">
        <v>5870</v>
      </c>
      <c r="H928" s="1658">
        <v>167415</v>
      </c>
      <c r="I928" s="1658">
        <v>1002896420</v>
      </c>
      <c r="J928" s="1658">
        <v>260266440000</v>
      </c>
      <c r="K928" s="1658">
        <v>43377740</v>
      </c>
    </row>
    <row r="929" spans="1:11" x14ac:dyDescent="0.3">
      <c r="A929" s="1657">
        <v>43020</v>
      </c>
      <c r="B929" s="1658">
        <v>5980</v>
      </c>
      <c r="C929" s="1658">
        <v>-20</v>
      </c>
      <c r="D929" s="1659">
        <v>-0.33</v>
      </c>
      <c r="E929" s="1658">
        <v>5980</v>
      </c>
      <c r="F929" s="1658">
        <v>6150</v>
      </c>
      <c r="G929" s="1658">
        <v>5940</v>
      </c>
      <c r="H929" s="1658">
        <v>255555</v>
      </c>
      <c r="I929" s="1658">
        <v>1543228420</v>
      </c>
      <c r="J929" s="1658">
        <v>259398885200</v>
      </c>
      <c r="K929" s="1658">
        <v>43377740</v>
      </c>
    </row>
    <row r="930" spans="1:11" x14ac:dyDescent="0.3">
      <c r="A930" s="1657">
        <v>43021</v>
      </c>
      <c r="B930" s="1658">
        <v>5700</v>
      </c>
      <c r="C930" s="1658">
        <v>-280</v>
      </c>
      <c r="D930" s="1659">
        <v>-4.68</v>
      </c>
      <c r="E930" s="1658">
        <v>6000</v>
      </c>
      <c r="F930" s="1658">
        <v>6050</v>
      </c>
      <c r="G930" s="1658">
        <v>5650</v>
      </c>
      <c r="H930" s="1658">
        <v>361954</v>
      </c>
      <c r="I930" s="1658">
        <v>2086260610</v>
      </c>
      <c r="J930" s="1658">
        <v>247253118000</v>
      </c>
      <c r="K930" s="1658">
        <v>43377740</v>
      </c>
    </row>
    <row r="931" spans="1:11" x14ac:dyDescent="0.3">
      <c r="A931" s="1657">
        <v>43024</v>
      </c>
      <c r="B931" s="1658">
        <v>5570</v>
      </c>
      <c r="C931" s="1658">
        <v>-130</v>
      </c>
      <c r="D931" s="1659">
        <v>-2.2799999999999998</v>
      </c>
      <c r="E931" s="1658">
        <v>5670</v>
      </c>
      <c r="F931" s="1658">
        <v>5670</v>
      </c>
      <c r="G931" s="1658">
        <v>5480</v>
      </c>
      <c r="H931" s="1658">
        <v>284330</v>
      </c>
      <c r="I931" s="1658">
        <v>1579794810</v>
      </c>
      <c r="J931" s="1658">
        <v>241614011800</v>
      </c>
      <c r="K931" s="1658">
        <v>43377740</v>
      </c>
    </row>
    <row r="932" spans="1:11" x14ac:dyDescent="0.3">
      <c r="A932" s="1657">
        <v>43025</v>
      </c>
      <c r="B932" s="1658">
        <v>5540</v>
      </c>
      <c r="C932" s="1658">
        <v>-30</v>
      </c>
      <c r="D932" s="1659">
        <v>-0.54</v>
      </c>
      <c r="E932" s="1658">
        <v>5550</v>
      </c>
      <c r="F932" s="1658">
        <v>5700</v>
      </c>
      <c r="G932" s="1658">
        <v>5520</v>
      </c>
      <c r="H932" s="1658">
        <v>165809</v>
      </c>
      <c r="I932" s="1658">
        <v>927354830</v>
      </c>
      <c r="J932" s="1658">
        <v>240312679600</v>
      </c>
      <c r="K932" s="1658">
        <v>43377740</v>
      </c>
    </row>
    <row r="933" spans="1:11" x14ac:dyDescent="0.3">
      <c r="A933" s="1657">
        <v>43026</v>
      </c>
      <c r="B933" s="1658">
        <v>5330</v>
      </c>
      <c r="C933" s="1658">
        <v>-210</v>
      </c>
      <c r="D933" s="1659">
        <v>-3.79</v>
      </c>
      <c r="E933" s="1658">
        <v>5680</v>
      </c>
      <c r="F933" s="1658">
        <v>5700</v>
      </c>
      <c r="G933" s="1658">
        <v>5130</v>
      </c>
      <c r="H933" s="1658">
        <v>291034</v>
      </c>
      <c r="I933" s="1658">
        <v>1575636730</v>
      </c>
      <c r="J933" s="1658">
        <v>231203354200</v>
      </c>
      <c r="K933" s="1658">
        <v>43377740</v>
      </c>
    </row>
    <row r="934" spans="1:11" x14ac:dyDescent="0.3">
      <c r="A934" s="1657">
        <v>43027</v>
      </c>
      <c r="B934" s="1658">
        <v>5500</v>
      </c>
      <c r="C934" s="1658">
        <v>170</v>
      </c>
      <c r="D934" s="1659">
        <v>3.19</v>
      </c>
      <c r="E934" s="1658">
        <v>5350</v>
      </c>
      <c r="F934" s="1658">
        <v>5580</v>
      </c>
      <c r="G934" s="1658">
        <v>5280</v>
      </c>
      <c r="H934" s="1658">
        <v>189461</v>
      </c>
      <c r="I934" s="1658">
        <v>1032491090</v>
      </c>
      <c r="J934" s="1658">
        <v>238577570000</v>
      </c>
      <c r="K934" s="1658">
        <v>43377740</v>
      </c>
    </row>
    <row r="935" spans="1:11" x14ac:dyDescent="0.3">
      <c r="A935" s="1657">
        <v>43028</v>
      </c>
      <c r="B935" s="1658">
        <v>5540</v>
      </c>
      <c r="C935" s="1658">
        <v>40</v>
      </c>
      <c r="D935" s="1659">
        <v>0.73</v>
      </c>
      <c r="E935" s="1658">
        <v>5440</v>
      </c>
      <c r="F935" s="1658">
        <v>5640</v>
      </c>
      <c r="G935" s="1658">
        <v>5440</v>
      </c>
      <c r="H935" s="1658">
        <v>171749</v>
      </c>
      <c r="I935" s="1658">
        <v>951789320</v>
      </c>
      <c r="J935" s="1658">
        <v>240312679600</v>
      </c>
      <c r="K935" s="1658">
        <v>43377740</v>
      </c>
    </row>
    <row r="936" spans="1:11" x14ac:dyDescent="0.3">
      <c r="A936" s="1657">
        <v>43031</v>
      </c>
      <c r="B936" s="1658">
        <v>5570</v>
      </c>
      <c r="C936" s="1658">
        <v>30</v>
      </c>
      <c r="D936" s="1659">
        <v>0.54</v>
      </c>
      <c r="E936" s="1658">
        <v>5570</v>
      </c>
      <c r="F936" s="1658">
        <v>5790</v>
      </c>
      <c r="G936" s="1658">
        <v>5560</v>
      </c>
      <c r="H936" s="1658">
        <v>327313</v>
      </c>
      <c r="I936" s="1658">
        <v>1854720040</v>
      </c>
      <c r="J936" s="1658">
        <v>241614011800</v>
      </c>
      <c r="K936" s="1658">
        <v>43377740</v>
      </c>
    </row>
    <row r="937" spans="1:11" x14ac:dyDescent="0.3">
      <c r="A937" s="1657">
        <v>43032</v>
      </c>
      <c r="B937" s="1658">
        <v>5630</v>
      </c>
      <c r="C937" s="1658">
        <v>60</v>
      </c>
      <c r="D937" s="1659">
        <v>1.08</v>
      </c>
      <c r="E937" s="1658">
        <v>5510</v>
      </c>
      <c r="F937" s="1658">
        <v>5770</v>
      </c>
      <c r="G937" s="1658">
        <v>5510</v>
      </c>
      <c r="H937" s="1658">
        <v>221970</v>
      </c>
      <c r="I937" s="1658">
        <v>1249613360</v>
      </c>
      <c r="J937" s="1658">
        <v>244216676200</v>
      </c>
      <c r="K937" s="1658">
        <v>43377740</v>
      </c>
    </row>
    <row r="938" spans="1:11" x14ac:dyDescent="0.3">
      <c r="A938" s="1657">
        <v>43033</v>
      </c>
      <c r="B938" s="1658">
        <v>5640</v>
      </c>
      <c r="C938" s="1658">
        <v>10</v>
      </c>
      <c r="D938" s="1659">
        <v>0.18</v>
      </c>
      <c r="E938" s="1658">
        <v>5750</v>
      </c>
      <c r="F938" s="1658">
        <v>5750</v>
      </c>
      <c r="G938" s="1658">
        <v>5550</v>
      </c>
      <c r="H938" s="1658">
        <v>130431</v>
      </c>
      <c r="I938" s="1658">
        <v>735935340</v>
      </c>
      <c r="J938" s="1658">
        <v>268174058880</v>
      </c>
      <c r="K938" s="1658">
        <v>47548592</v>
      </c>
    </row>
    <row r="939" spans="1:11" x14ac:dyDescent="0.3">
      <c r="A939" s="1657">
        <v>43034</v>
      </c>
      <c r="B939" s="1658">
        <v>5480</v>
      </c>
      <c r="C939" s="1658">
        <v>-160</v>
      </c>
      <c r="D939" s="1659">
        <v>-2.84</v>
      </c>
      <c r="E939" s="1658">
        <v>5650</v>
      </c>
      <c r="F939" s="1658">
        <v>5680</v>
      </c>
      <c r="G939" s="1658">
        <v>5430</v>
      </c>
      <c r="H939" s="1658">
        <v>115964</v>
      </c>
      <c r="I939" s="1658">
        <v>645208440</v>
      </c>
      <c r="J939" s="1658">
        <v>260566284160</v>
      </c>
      <c r="K939" s="1658">
        <v>47548592</v>
      </c>
    </row>
    <row r="940" spans="1:11" x14ac:dyDescent="0.3">
      <c r="A940" s="1657">
        <v>43035</v>
      </c>
      <c r="B940" s="1658">
        <v>5620</v>
      </c>
      <c r="C940" s="1658">
        <v>140</v>
      </c>
      <c r="D940" s="1659">
        <v>2.5499999999999998</v>
      </c>
      <c r="E940" s="1658">
        <v>5480</v>
      </c>
      <c r="F940" s="1658">
        <v>5620</v>
      </c>
      <c r="G940" s="1658">
        <v>5400</v>
      </c>
      <c r="H940" s="1658">
        <v>107349</v>
      </c>
      <c r="I940" s="1658">
        <v>593260960</v>
      </c>
      <c r="J940" s="1658">
        <v>267223087040</v>
      </c>
      <c r="K940" s="1658">
        <v>47548592</v>
      </c>
    </row>
    <row r="941" spans="1:11" x14ac:dyDescent="0.3">
      <c r="A941" s="1657">
        <v>43038</v>
      </c>
      <c r="B941" s="1658">
        <v>5890</v>
      </c>
      <c r="C941" s="1658">
        <v>270</v>
      </c>
      <c r="D941" s="1659">
        <v>4.8</v>
      </c>
      <c r="E941" s="1658">
        <v>5630</v>
      </c>
      <c r="F941" s="1658">
        <v>6330</v>
      </c>
      <c r="G941" s="1658">
        <v>5630</v>
      </c>
      <c r="H941" s="1658">
        <v>1699945</v>
      </c>
      <c r="I941" s="1658">
        <v>10290873200</v>
      </c>
      <c r="J941" s="1658">
        <v>280061206880</v>
      </c>
      <c r="K941" s="1658">
        <v>47548592</v>
      </c>
    </row>
    <row r="942" spans="1:11" x14ac:dyDescent="0.3">
      <c r="A942" s="1657">
        <v>43039</v>
      </c>
      <c r="B942" s="1658">
        <v>5930</v>
      </c>
      <c r="C942" s="1658">
        <v>40</v>
      </c>
      <c r="D942" s="1659">
        <v>0.68</v>
      </c>
      <c r="E942" s="1658">
        <v>5850</v>
      </c>
      <c r="F942" s="1658">
        <v>6030</v>
      </c>
      <c r="G942" s="1658">
        <v>5830</v>
      </c>
      <c r="H942" s="1658">
        <v>231409</v>
      </c>
      <c r="I942" s="1658">
        <v>1374276200</v>
      </c>
      <c r="J942" s="1658">
        <v>281963150560</v>
      </c>
      <c r="K942" s="1658">
        <v>47548592</v>
      </c>
    </row>
    <row r="943" spans="1:11" x14ac:dyDescent="0.3">
      <c r="A943" s="1657">
        <v>43040</v>
      </c>
      <c r="B943" s="1658">
        <v>5820</v>
      </c>
      <c r="C943" s="1658">
        <v>-110</v>
      </c>
      <c r="D943" s="1659">
        <v>-1.85</v>
      </c>
      <c r="E943" s="1658">
        <v>5920</v>
      </c>
      <c r="F943" s="1658">
        <v>5970</v>
      </c>
      <c r="G943" s="1658">
        <v>5820</v>
      </c>
      <c r="H943" s="1658">
        <v>209158</v>
      </c>
      <c r="I943" s="1658">
        <v>1231328110</v>
      </c>
      <c r="J943" s="1658">
        <v>276732805440</v>
      </c>
      <c r="K943" s="1658">
        <v>47548592</v>
      </c>
    </row>
    <row r="944" spans="1:11" x14ac:dyDescent="0.3">
      <c r="A944" s="1657">
        <v>43041</v>
      </c>
      <c r="B944" s="1658">
        <v>5920</v>
      </c>
      <c r="C944" s="1658">
        <v>100</v>
      </c>
      <c r="D944" s="1659">
        <v>1.72</v>
      </c>
      <c r="E944" s="1658">
        <v>5860</v>
      </c>
      <c r="F944" s="1658">
        <v>6020</v>
      </c>
      <c r="G944" s="1658">
        <v>5840</v>
      </c>
      <c r="H944" s="1658">
        <v>210532</v>
      </c>
      <c r="I944" s="1658">
        <v>1250610030</v>
      </c>
      <c r="J944" s="1658">
        <v>281487664640</v>
      </c>
      <c r="K944" s="1658">
        <v>47548592</v>
      </c>
    </row>
    <row r="945" spans="1:11" x14ac:dyDescent="0.3">
      <c r="A945" s="1657">
        <v>43042</v>
      </c>
      <c r="B945" s="1658">
        <v>5980</v>
      </c>
      <c r="C945" s="1658">
        <v>60</v>
      </c>
      <c r="D945" s="1659">
        <v>1.01</v>
      </c>
      <c r="E945" s="1658">
        <v>6040</v>
      </c>
      <c r="F945" s="1658">
        <v>6240</v>
      </c>
      <c r="G945" s="1658">
        <v>5920</v>
      </c>
      <c r="H945" s="1658">
        <v>400009</v>
      </c>
      <c r="I945" s="1658">
        <v>2436175020</v>
      </c>
      <c r="J945" s="1658">
        <v>284340580160</v>
      </c>
      <c r="K945" s="1658">
        <v>47548592</v>
      </c>
    </row>
    <row r="946" spans="1:11" x14ac:dyDescent="0.3">
      <c r="A946" s="1657">
        <v>43045</v>
      </c>
      <c r="B946" s="1658">
        <v>5760</v>
      </c>
      <c r="C946" s="1658">
        <v>-220</v>
      </c>
      <c r="D946" s="1659">
        <v>-3.68</v>
      </c>
      <c r="E946" s="1658">
        <v>5920</v>
      </c>
      <c r="F946" s="1658">
        <v>5950</v>
      </c>
      <c r="G946" s="1658">
        <v>5760</v>
      </c>
      <c r="H946" s="1658">
        <v>219666</v>
      </c>
      <c r="I946" s="1658">
        <v>1276812120</v>
      </c>
      <c r="J946" s="1658">
        <v>273879889920</v>
      </c>
      <c r="K946" s="1658">
        <v>47548592</v>
      </c>
    </row>
    <row r="947" spans="1:11" x14ac:dyDescent="0.3">
      <c r="A947" s="1657">
        <v>43046</v>
      </c>
      <c r="B947" s="1658">
        <v>5800</v>
      </c>
      <c r="C947" s="1658">
        <v>40</v>
      </c>
      <c r="D947" s="1659">
        <v>0.69</v>
      </c>
      <c r="E947" s="1658">
        <v>5760</v>
      </c>
      <c r="F947" s="1658">
        <v>5880</v>
      </c>
      <c r="G947" s="1658">
        <v>5700</v>
      </c>
      <c r="H947" s="1658">
        <v>119780</v>
      </c>
      <c r="I947" s="1658">
        <v>692485190</v>
      </c>
      <c r="J947" s="1658">
        <v>275781833600</v>
      </c>
      <c r="K947" s="1658">
        <v>47548592</v>
      </c>
    </row>
    <row r="948" spans="1:11" x14ac:dyDescent="0.3">
      <c r="A948" s="1657">
        <v>43047</v>
      </c>
      <c r="B948" s="1658">
        <v>5790</v>
      </c>
      <c r="C948" s="1658">
        <v>-10</v>
      </c>
      <c r="D948" s="1659">
        <v>-0.17</v>
      </c>
      <c r="E948" s="1658">
        <v>5740</v>
      </c>
      <c r="F948" s="1658">
        <v>5790</v>
      </c>
      <c r="G948" s="1658">
        <v>5630</v>
      </c>
      <c r="H948" s="1658">
        <v>212845</v>
      </c>
      <c r="I948" s="1658">
        <v>1211814920</v>
      </c>
      <c r="J948" s="1658">
        <v>275306347680</v>
      </c>
      <c r="K948" s="1658">
        <v>47548592</v>
      </c>
    </row>
    <row r="949" spans="1:11" x14ac:dyDescent="0.3">
      <c r="A949" s="1657">
        <v>43048</v>
      </c>
      <c r="B949" s="1658">
        <v>5710</v>
      </c>
      <c r="C949" s="1658">
        <v>-80</v>
      </c>
      <c r="D949" s="1659">
        <v>-1.38</v>
      </c>
      <c r="E949" s="1658">
        <v>5820</v>
      </c>
      <c r="F949" s="1658">
        <v>5850</v>
      </c>
      <c r="G949" s="1658">
        <v>5700</v>
      </c>
      <c r="H949" s="1658">
        <v>105549</v>
      </c>
      <c r="I949" s="1658">
        <v>605807640</v>
      </c>
      <c r="J949" s="1658">
        <v>271502460320</v>
      </c>
      <c r="K949" s="1658">
        <v>47548592</v>
      </c>
    </row>
    <row r="950" spans="1:11" x14ac:dyDescent="0.3">
      <c r="A950" s="1657">
        <v>43049</v>
      </c>
      <c r="B950" s="1658">
        <v>5880</v>
      </c>
      <c r="C950" s="1658">
        <v>170</v>
      </c>
      <c r="D950" s="1659">
        <v>2.98</v>
      </c>
      <c r="E950" s="1658">
        <v>5710</v>
      </c>
      <c r="F950" s="1658">
        <v>6030</v>
      </c>
      <c r="G950" s="1658">
        <v>5710</v>
      </c>
      <c r="H950" s="1658">
        <v>364657</v>
      </c>
      <c r="I950" s="1658">
        <v>2152988800</v>
      </c>
      <c r="J950" s="1658">
        <v>279585720960</v>
      </c>
      <c r="K950" s="1658">
        <v>47548592</v>
      </c>
    </row>
    <row r="951" spans="1:11" x14ac:dyDescent="0.3">
      <c r="A951" s="1657">
        <v>43052</v>
      </c>
      <c r="B951" s="1658">
        <v>6060</v>
      </c>
      <c r="C951" s="1658">
        <v>180</v>
      </c>
      <c r="D951" s="1659">
        <v>3.06</v>
      </c>
      <c r="E951" s="1658">
        <v>5900</v>
      </c>
      <c r="F951" s="1658">
        <v>6150</v>
      </c>
      <c r="G951" s="1658">
        <v>5810</v>
      </c>
      <c r="H951" s="1658">
        <v>380129</v>
      </c>
      <c r="I951" s="1658">
        <v>2281794820</v>
      </c>
      <c r="J951" s="1658">
        <v>288144467520</v>
      </c>
      <c r="K951" s="1658">
        <v>47548592</v>
      </c>
    </row>
    <row r="952" spans="1:11" x14ac:dyDescent="0.3">
      <c r="A952" s="1657">
        <v>43053</v>
      </c>
      <c r="B952" s="1658">
        <v>6140</v>
      </c>
      <c r="C952" s="1658">
        <v>80</v>
      </c>
      <c r="D952" s="1659">
        <v>1.32</v>
      </c>
      <c r="E952" s="1658">
        <v>6110</v>
      </c>
      <c r="F952" s="1658">
        <v>6170</v>
      </c>
      <c r="G952" s="1658">
        <v>6020</v>
      </c>
      <c r="H952" s="1658">
        <v>376615</v>
      </c>
      <c r="I952" s="1658">
        <v>2293043430</v>
      </c>
      <c r="J952" s="1658">
        <v>291948354880</v>
      </c>
      <c r="K952" s="1658">
        <v>47548592</v>
      </c>
    </row>
    <row r="953" spans="1:11" x14ac:dyDescent="0.3">
      <c r="A953" s="1657">
        <v>43054</v>
      </c>
      <c r="B953" s="1658">
        <v>5890</v>
      </c>
      <c r="C953" s="1658">
        <v>-250</v>
      </c>
      <c r="D953" s="1659">
        <v>-4.07</v>
      </c>
      <c r="E953" s="1658">
        <v>6100</v>
      </c>
      <c r="F953" s="1658">
        <v>6180</v>
      </c>
      <c r="G953" s="1658">
        <v>5870</v>
      </c>
      <c r="H953" s="1658">
        <v>282801</v>
      </c>
      <c r="I953" s="1658">
        <v>1691425860</v>
      </c>
      <c r="J953" s="1658">
        <v>280061206880</v>
      </c>
      <c r="K953" s="1658">
        <v>47548592</v>
      </c>
    </row>
    <row r="954" spans="1:11" x14ac:dyDescent="0.3">
      <c r="A954" s="1657">
        <v>43055</v>
      </c>
      <c r="B954" s="1658">
        <v>5790</v>
      </c>
      <c r="C954" s="1658">
        <v>-100</v>
      </c>
      <c r="D954" s="1659">
        <v>-1.7</v>
      </c>
      <c r="E954" s="1658">
        <v>5960</v>
      </c>
      <c r="F954" s="1658">
        <v>5980</v>
      </c>
      <c r="G954" s="1658">
        <v>5790</v>
      </c>
      <c r="H954" s="1658">
        <v>226367</v>
      </c>
      <c r="I954" s="1658">
        <v>1324998300</v>
      </c>
      <c r="J954" s="1658">
        <v>275306347680</v>
      </c>
      <c r="K954" s="1658">
        <v>47548592</v>
      </c>
    </row>
    <row r="955" spans="1:11" x14ac:dyDescent="0.3">
      <c r="A955" s="1657">
        <v>43056</v>
      </c>
      <c r="B955" s="1658">
        <v>5760</v>
      </c>
      <c r="C955" s="1658">
        <v>-30</v>
      </c>
      <c r="D955" s="1659">
        <v>-0.52</v>
      </c>
      <c r="E955" s="1658">
        <v>5880</v>
      </c>
      <c r="F955" s="1658">
        <v>5880</v>
      </c>
      <c r="G955" s="1658">
        <v>5760</v>
      </c>
      <c r="H955" s="1658">
        <v>127137</v>
      </c>
      <c r="I955" s="1658">
        <v>737232240</v>
      </c>
      <c r="J955" s="1658">
        <v>273879889920</v>
      </c>
      <c r="K955" s="1658">
        <v>47548592</v>
      </c>
    </row>
    <row r="956" spans="1:11" x14ac:dyDescent="0.3">
      <c r="A956" s="1657">
        <v>43059</v>
      </c>
      <c r="B956" s="1658">
        <v>5700</v>
      </c>
      <c r="C956" s="1658">
        <v>-60</v>
      </c>
      <c r="D956" s="1659">
        <v>-1.04</v>
      </c>
      <c r="E956" s="1658">
        <v>5800</v>
      </c>
      <c r="F956" s="1658">
        <v>5840</v>
      </c>
      <c r="G956" s="1658">
        <v>5700</v>
      </c>
      <c r="H956" s="1658">
        <v>179464</v>
      </c>
      <c r="I956" s="1658">
        <v>1030245770</v>
      </c>
      <c r="J956" s="1658">
        <v>271026974400</v>
      </c>
      <c r="K956" s="1658">
        <v>47548592</v>
      </c>
    </row>
    <row r="957" spans="1:11" x14ac:dyDescent="0.3">
      <c r="A957" s="1657">
        <v>43060</v>
      </c>
      <c r="B957" s="1658">
        <v>6140</v>
      </c>
      <c r="C957" s="1658">
        <v>440</v>
      </c>
      <c r="D957" s="1659">
        <v>7.72</v>
      </c>
      <c r="E957" s="1658">
        <v>5690</v>
      </c>
      <c r="F957" s="1658">
        <v>6590</v>
      </c>
      <c r="G957" s="1658">
        <v>5690</v>
      </c>
      <c r="H957" s="1658">
        <v>3340684</v>
      </c>
      <c r="I957" s="1658">
        <v>20885677360</v>
      </c>
      <c r="J957" s="1658">
        <v>291948354880</v>
      </c>
      <c r="K957" s="1658">
        <v>47548592</v>
      </c>
    </row>
    <row r="958" spans="1:11" x14ac:dyDescent="0.3">
      <c r="A958" s="1657">
        <v>43061</v>
      </c>
      <c r="B958" s="1658">
        <v>6380</v>
      </c>
      <c r="C958" s="1658">
        <v>240</v>
      </c>
      <c r="D958" s="1659">
        <v>3.91</v>
      </c>
      <c r="E958" s="1658">
        <v>6140</v>
      </c>
      <c r="F958" s="1658">
        <v>6400</v>
      </c>
      <c r="G958" s="1658">
        <v>6010</v>
      </c>
      <c r="H958" s="1658">
        <v>781493</v>
      </c>
      <c r="I958" s="1658">
        <v>4862234220</v>
      </c>
      <c r="J958" s="1658">
        <v>303360016960</v>
      </c>
      <c r="K958" s="1658">
        <v>47548592</v>
      </c>
    </row>
    <row r="959" spans="1:11" x14ac:dyDescent="0.3">
      <c r="A959" s="1657">
        <v>43062</v>
      </c>
      <c r="B959" s="1658">
        <v>6390</v>
      </c>
      <c r="C959" s="1658">
        <v>10</v>
      </c>
      <c r="D959" s="1659">
        <v>0.16</v>
      </c>
      <c r="E959" s="1658">
        <v>6350</v>
      </c>
      <c r="F959" s="1658">
        <v>6500</v>
      </c>
      <c r="G959" s="1658">
        <v>6200</v>
      </c>
      <c r="H959" s="1658">
        <v>451198</v>
      </c>
      <c r="I959" s="1658">
        <v>2869226070</v>
      </c>
      <c r="J959" s="1658">
        <v>303835502880</v>
      </c>
      <c r="K959" s="1658">
        <v>47548592</v>
      </c>
    </row>
    <row r="960" spans="1:11" x14ac:dyDescent="0.3">
      <c r="A960" s="1657">
        <v>43063</v>
      </c>
      <c r="B960" s="1658">
        <v>6350</v>
      </c>
      <c r="C960" s="1658">
        <v>-40</v>
      </c>
      <c r="D960" s="1659">
        <v>-0.63</v>
      </c>
      <c r="E960" s="1658">
        <v>6440</v>
      </c>
      <c r="F960" s="1658">
        <v>6530</v>
      </c>
      <c r="G960" s="1658">
        <v>6290</v>
      </c>
      <c r="H960" s="1658">
        <v>229591</v>
      </c>
      <c r="I960" s="1658">
        <v>1460291790</v>
      </c>
      <c r="J960" s="1658">
        <v>301933559200</v>
      </c>
      <c r="K960" s="1658">
        <v>47548592</v>
      </c>
    </row>
    <row r="961" spans="1:11" x14ac:dyDescent="0.3">
      <c r="A961" s="1657">
        <v>43066</v>
      </c>
      <c r="B961" s="1658">
        <v>6090</v>
      </c>
      <c r="C961" s="1658">
        <v>-260</v>
      </c>
      <c r="D961" s="1659">
        <v>-4.09</v>
      </c>
      <c r="E961" s="1658">
        <v>6300</v>
      </c>
      <c r="F961" s="1658">
        <v>6360</v>
      </c>
      <c r="G961" s="1658">
        <v>6040</v>
      </c>
      <c r="H961" s="1658">
        <v>319655</v>
      </c>
      <c r="I961" s="1658">
        <v>1972486890</v>
      </c>
      <c r="J961" s="1658">
        <v>289570925280</v>
      </c>
      <c r="K961" s="1658">
        <v>47548592</v>
      </c>
    </row>
    <row r="962" spans="1:11" x14ac:dyDescent="0.3">
      <c r="A962" s="1657">
        <v>43067</v>
      </c>
      <c r="B962" s="1658">
        <v>6180</v>
      </c>
      <c r="C962" s="1658">
        <v>90</v>
      </c>
      <c r="D962" s="1659">
        <v>1.48</v>
      </c>
      <c r="E962" s="1658">
        <v>6120</v>
      </c>
      <c r="F962" s="1658">
        <v>6220</v>
      </c>
      <c r="G962" s="1658">
        <v>5950</v>
      </c>
      <c r="H962" s="1658">
        <v>283017</v>
      </c>
      <c r="I962" s="1658">
        <v>1727639710</v>
      </c>
      <c r="J962" s="1658">
        <v>293850298560</v>
      </c>
      <c r="K962" s="1658">
        <v>47548592</v>
      </c>
    </row>
    <row r="963" spans="1:11" x14ac:dyDescent="0.3">
      <c r="A963" s="1657">
        <v>43068</v>
      </c>
      <c r="B963" s="1658">
        <v>5990</v>
      </c>
      <c r="C963" s="1658">
        <v>-190</v>
      </c>
      <c r="D963" s="1659">
        <v>-3.07</v>
      </c>
      <c r="E963" s="1658">
        <v>6180</v>
      </c>
      <c r="F963" s="1658">
        <v>6240</v>
      </c>
      <c r="G963" s="1658">
        <v>5990</v>
      </c>
      <c r="H963" s="1658">
        <v>199503</v>
      </c>
      <c r="I963" s="1658">
        <v>1212385530</v>
      </c>
      <c r="J963" s="1658">
        <v>284816066080</v>
      </c>
      <c r="K963" s="1658">
        <v>47548592</v>
      </c>
    </row>
    <row r="964" spans="1:11" x14ac:dyDescent="0.3">
      <c r="A964" s="1657">
        <v>43069</v>
      </c>
      <c r="B964" s="1658">
        <v>6120</v>
      </c>
      <c r="C964" s="1658">
        <v>130</v>
      </c>
      <c r="D964" s="1659">
        <v>2.17</v>
      </c>
      <c r="E964" s="1658">
        <v>5980</v>
      </c>
      <c r="F964" s="1658">
        <v>6540</v>
      </c>
      <c r="G964" s="1658">
        <v>5880</v>
      </c>
      <c r="H964" s="1658">
        <v>1314661</v>
      </c>
      <c r="I964" s="1658">
        <v>8216786600</v>
      </c>
      <c r="J964" s="1658">
        <v>290997383040</v>
      </c>
      <c r="K964" s="1658">
        <v>47548592</v>
      </c>
    </row>
    <row r="965" spans="1:11" x14ac:dyDescent="0.3">
      <c r="A965" s="1657">
        <v>43070</v>
      </c>
      <c r="B965" s="1658">
        <v>6450</v>
      </c>
      <c r="C965" s="1658">
        <v>330</v>
      </c>
      <c r="D965" s="1659">
        <v>5.39</v>
      </c>
      <c r="E965" s="1658">
        <v>6130</v>
      </c>
      <c r="F965" s="1658">
        <v>6500</v>
      </c>
      <c r="G965" s="1658">
        <v>6010</v>
      </c>
      <c r="H965" s="1658">
        <v>777939</v>
      </c>
      <c r="I965" s="1658">
        <v>4928917140</v>
      </c>
      <c r="J965" s="1658">
        <v>306688418400</v>
      </c>
      <c r="K965" s="1658">
        <v>47548592</v>
      </c>
    </row>
    <row r="966" spans="1:11" x14ac:dyDescent="0.3">
      <c r="A966" s="1657">
        <v>43073</v>
      </c>
      <c r="B966" s="1658">
        <v>6430</v>
      </c>
      <c r="C966" s="1658">
        <v>-20</v>
      </c>
      <c r="D966" s="1659">
        <v>-0.31</v>
      </c>
      <c r="E966" s="1658">
        <v>6430</v>
      </c>
      <c r="F966" s="1658">
        <v>6570</v>
      </c>
      <c r="G966" s="1658">
        <v>6270</v>
      </c>
      <c r="H966" s="1658">
        <v>504794</v>
      </c>
      <c r="I966" s="1658">
        <v>3229542880</v>
      </c>
      <c r="J966" s="1658">
        <v>305737446560</v>
      </c>
      <c r="K966" s="1658">
        <v>47548592</v>
      </c>
    </row>
    <row r="967" spans="1:11" x14ac:dyDescent="0.3">
      <c r="A967" s="1657">
        <v>43074</v>
      </c>
      <c r="B967" s="1658">
        <v>6310</v>
      </c>
      <c r="C967" s="1658">
        <v>-120</v>
      </c>
      <c r="D967" s="1659">
        <v>-1.87</v>
      </c>
      <c r="E967" s="1658">
        <v>6450</v>
      </c>
      <c r="F967" s="1658">
        <v>6510</v>
      </c>
      <c r="G967" s="1658">
        <v>6230</v>
      </c>
      <c r="H967" s="1658">
        <v>435040</v>
      </c>
      <c r="I967" s="1658">
        <v>2771525520</v>
      </c>
      <c r="J967" s="1658">
        <v>300031615520</v>
      </c>
      <c r="K967" s="1658">
        <v>47548592</v>
      </c>
    </row>
    <row r="968" spans="1:11" x14ac:dyDescent="0.3">
      <c r="A968" s="1657">
        <v>43075</v>
      </c>
      <c r="B968" s="1658">
        <v>6290</v>
      </c>
      <c r="C968" s="1658">
        <v>-20</v>
      </c>
      <c r="D968" s="1659">
        <v>-0.32</v>
      </c>
      <c r="E968" s="1658">
        <v>6320</v>
      </c>
      <c r="F968" s="1658">
        <v>6470</v>
      </c>
      <c r="G968" s="1658">
        <v>6260</v>
      </c>
      <c r="H968" s="1658">
        <v>290345</v>
      </c>
      <c r="I968" s="1658">
        <v>1845329630</v>
      </c>
      <c r="J968" s="1658">
        <v>299080643680</v>
      </c>
      <c r="K968" s="1658">
        <v>47548592</v>
      </c>
    </row>
    <row r="969" spans="1:11" x14ac:dyDescent="0.3">
      <c r="A969" s="1657">
        <v>43076</v>
      </c>
      <c r="B969" s="1658">
        <v>6150</v>
      </c>
      <c r="C969" s="1658">
        <v>-140</v>
      </c>
      <c r="D969" s="1659">
        <v>-2.23</v>
      </c>
      <c r="E969" s="1658">
        <v>6290</v>
      </c>
      <c r="F969" s="1658">
        <v>6330</v>
      </c>
      <c r="G969" s="1658">
        <v>5960</v>
      </c>
      <c r="H969" s="1658">
        <v>365161</v>
      </c>
      <c r="I969" s="1658">
        <v>2223868240</v>
      </c>
      <c r="J969" s="1658">
        <v>292423840800</v>
      </c>
      <c r="K969" s="1658">
        <v>47548592</v>
      </c>
    </row>
    <row r="970" spans="1:11" x14ac:dyDescent="0.3">
      <c r="A970" s="1657">
        <v>43077</v>
      </c>
      <c r="B970" s="1658">
        <v>5920</v>
      </c>
      <c r="C970" s="1658">
        <v>-230</v>
      </c>
      <c r="D970" s="1659">
        <v>-3.74</v>
      </c>
      <c r="E970" s="1658">
        <v>6160</v>
      </c>
      <c r="F970" s="1658">
        <v>6160</v>
      </c>
      <c r="G970" s="1658">
        <v>5830</v>
      </c>
      <c r="H970" s="1658">
        <v>291867</v>
      </c>
      <c r="I970" s="1658">
        <v>1750791820</v>
      </c>
      <c r="J970" s="1658">
        <v>281487664640</v>
      </c>
      <c r="K970" s="1658">
        <v>47548592</v>
      </c>
    </row>
    <row r="971" spans="1:11" x14ac:dyDescent="0.3">
      <c r="A971" s="1657">
        <v>43080</v>
      </c>
      <c r="B971" s="1658">
        <v>5880</v>
      </c>
      <c r="C971" s="1658">
        <v>-40</v>
      </c>
      <c r="D971" s="1659">
        <v>-0.68</v>
      </c>
      <c r="E971" s="1658">
        <v>6050</v>
      </c>
      <c r="F971" s="1658">
        <v>6050</v>
      </c>
      <c r="G971" s="1658">
        <v>5840</v>
      </c>
      <c r="H971" s="1658">
        <v>120204</v>
      </c>
      <c r="I971" s="1658">
        <v>710707450</v>
      </c>
      <c r="J971" s="1658">
        <v>279585720960</v>
      </c>
      <c r="K971" s="1658">
        <v>47548592</v>
      </c>
    </row>
    <row r="972" spans="1:11" x14ac:dyDescent="0.3">
      <c r="A972" s="1657">
        <v>43081</v>
      </c>
      <c r="B972" s="1658">
        <v>5870</v>
      </c>
      <c r="C972" s="1658">
        <v>-10</v>
      </c>
      <c r="D972" s="1659">
        <v>-0.17</v>
      </c>
      <c r="E972" s="1658">
        <v>5850</v>
      </c>
      <c r="F972" s="1658">
        <v>6010</v>
      </c>
      <c r="G972" s="1658">
        <v>5820</v>
      </c>
      <c r="H972" s="1658">
        <v>148376</v>
      </c>
      <c r="I972" s="1658">
        <v>875582750</v>
      </c>
      <c r="J972" s="1658">
        <v>279110235040</v>
      </c>
      <c r="K972" s="1658">
        <v>47548592</v>
      </c>
    </row>
    <row r="973" spans="1:11" x14ac:dyDescent="0.3">
      <c r="A973" s="1657">
        <v>43082</v>
      </c>
      <c r="B973" s="1658">
        <v>6000</v>
      </c>
      <c r="C973" s="1658">
        <v>130</v>
      </c>
      <c r="D973" s="1659">
        <v>2.21</v>
      </c>
      <c r="E973" s="1658">
        <v>5850</v>
      </c>
      <c r="F973" s="1658">
        <v>6100</v>
      </c>
      <c r="G973" s="1658">
        <v>5820</v>
      </c>
      <c r="H973" s="1658">
        <v>226075</v>
      </c>
      <c r="I973" s="1658">
        <v>1354638850</v>
      </c>
      <c r="J973" s="1658">
        <v>285291552000</v>
      </c>
      <c r="K973" s="1658">
        <v>47548592</v>
      </c>
    </row>
    <row r="974" spans="1:11" x14ac:dyDescent="0.3">
      <c r="A974" s="1657">
        <v>43083</v>
      </c>
      <c r="B974" s="1658">
        <v>5900</v>
      </c>
      <c r="C974" s="1658">
        <v>-100</v>
      </c>
      <c r="D974" s="1659">
        <v>-1.67</v>
      </c>
      <c r="E974" s="1658">
        <v>6000</v>
      </c>
      <c r="F974" s="1658">
        <v>6060</v>
      </c>
      <c r="G974" s="1658">
        <v>5870</v>
      </c>
      <c r="H974" s="1658">
        <v>168771</v>
      </c>
      <c r="I974" s="1658">
        <v>1001124120</v>
      </c>
      <c r="J974" s="1658">
        <v>280536692800</v>
      </c>
      <c r="K974" s="1658">
        <v>47548592</v>
      </c>
    </row>
    <row r="975" spans="1:11" x14ac:dyDescent="0.3">
      <c r="A975" s="1657">
        <v>43084</v>
      </c>
      <c r="B975" s="1658">
        <v>5800</v>
      </c>
      <c r="C975" s="1658">
        <v>-100</v>
      </c>
      <c r="D975" s="1659">
        <v>-1.69</v>
      </c>
      <c r="E975" s="1658">
        <v>5950</v>
      </c>
      <c r="F975" s="1658">
        <v>5950</v>
      </c>
      <c r="G975" s="1658">
        <v>5760</v>
      </c>
      <c r="H975" s="1658">
        <v>173718</v>
      </c>
      <c r="I975" s="1658">
        <v>1014954990</v>
      </c>
      <c r="J975" s="1658">
        <v>275781833600</v>
      </c>
      <c r="K975" s="1658">
        <v>47548592</v>
      </c>
    </row>
    <row r="976" spans="1:11" x14ac:dyDescent="0.3">
      <c r="A976" s="1657">
        <v>43087</v>
      </c>
      <c r="B976" s="1658">
        <v>5970</v>
      </c>
      <c r="C976" s="1658">
        <v>170</v>
      </c>
      <c r="D976" s="1659">
        <v>2.93</v>
      </c>
      <c r="E976" s="1658">
        <v>5750</v>
      </c>
      <c r="F976" s="1658">
        <v>6080</v>
      </c>
      <c r="G976" s="1658">
        <v>5670</v>
      </c>
      <c r="H976" s="1658">
        <v>383007</v>
      </c>
      <c r="I976" s="1658">
        <v>2268300290</v>
      </c>
      <c r="J976" s="1658">
        <v>283865094240</v>
      </c>
      <c r="K976" s="1658">
        <v>47548592</v>
      </c>
    </row>
    <row r="977" spans="1:11" x14ac:dyDescent="0.3">
      <c r="A977" s="1657">
        <v>43088</v>
      </c>
      <c r="B977" s="1658">
        <v>6140</v>
      </c>
      <c r="C977" s="1658">
        <v>170</v>
      </c>
      <c r="D977" s="1659">
        <v>2.85</v>
      </c>
      <c r="E977" s="1658">
        <v>6000</v>
      </c>
      <c r="F977" s="1658">
        <v>6300</v>
      </c>
      <c r="G977" s="1658">
        <v>5900</v>
      </c>
      <c r="H977" s="1658">
        <v>1119808</v>
      </c>
      <c r="I977" s="1658">
        <v>6863697460</v>
      </c>
      <c r="J977" s="1658">
        <v>291948354880</v>
      </c>
      <c r="K977" s="1658">
        <v>47548592</v>
      </c>
    </row>
    <row r="978" spans="1:11" x14ac:dyDescent="0.3">
      <c r="A978" s="1657">
        <v>43089</v>
      </c>
      <c r="B978" s="1658">
        <v>5950</v>
      </c>
      <c r="C978" s="1658">
        <v>-190</v>
      </c>
      <c r="D978" s="1659">
        <v>-3.09</v>
      </c>
      <c r="E978" s="1658">
        <v>6200</v>
      </c>
      <c r="F978" s="1658">
        <v>6200</v>
      </c>
      <c r="G978" s="1658">
        <v>5950</v>
      </c>
      <c r="H978" s="1658">
        <v>264596</v>
      </c>
      <c r="I978" s="1658">
        <v>1599555950</v>
      </c>
      <c r="J978" s="1658">
        <v>282914122400</v>
      </c>
      <c r="K978" s="1658">
        <v>47548592</v>
      </c>
    </row>
    <row r="979" spans="1:11" x14ac:dyDescent="0.3">
      <c r="A979" s="1657">
        <v>43090</v>
      </c>
      <c r="B979" s="1658">
        <v>5780</v>
      </c>
      <c r="C979" s="1658">
        <v>-170</v>
      </c>
      <c r="D979" s="1659">
        <v>-2.86</v>
      </c>
      <c r="E979" s="1658">
        <v>5940</v>
      </c>
      <c r="F979" s="1658">
        <v>6020</v>
      </c>
      <c r="G979" s="1658">
        <v>5760</v>
      </c>
      <c r="H979" s="1658">
        <v>227217</v>
      </c>
      <c r="I979" s="1658">
        <v>1331278390</v>
      </c>
      <c r="J979" s="1658">
        <v>274830861760</v>
      </c>
      <c r="K979" s="1658">
        <v>47548592</v>
      </c>
    </row>
    <row r="980" spans="1:11" x14ac:dyDescent="0.3">
      <c r="A980" s="1657">
        <v>43091</v>
      </c>
      <c r="B980" s="1658">
        <v>5660</v>
      </c>
      <c r="C980" s="1658">
        <v>-120</v>
      </c>
      <c r="D980" s="1659">
        <v>-2.08</v>
      </c>
      <c r="E980" s="1658">
        <v>5830</v>
      </c>
      <c r="F980" s="1658">
        <v>5830</v>
      </c>
      <c r="G980" s="1658">
        <v>5540</v>
      </c>
      <c r="H980" s="1658">
        <v>303148</v>
      </c>
      <c r="I980" s="1658">
        <v>1708191130</v>
      </c>
      <c r="J980" s="1658">
        <v>269125030720</v>
      </c>
      <c r="K980" s="1658">
        <v>47548592</v>
      </c>
    </row>
    <row r="981" spans="1:11" x14ac:dyDescent="0.3">
      <c r="A981" s="1657">
        <v>43095</v>
      </c>
      <c r="B981" s="1658">
        <v>5580</v>
      </c>
      <c r="C981" s="1658">
        <v>-80</v>
      </c>
      <c r="D981" s="1659">
        <v>-1.41</v>
      </c>
      <c r="E981" s="1658">
        <v>5660</v>
      </c>
      <c r="F981" s="1658">
        <v>5760</v>
      </c>
      <c r="G981" s="1658">
        <v>5580</v>
      </c>
      <c r="H981" s="1658">
        <v>157654</v>
      </c>
      <c r="I981" s="1658">
        <v>884106120</v>
      </c>
      <c r="J981" s="1658">
        <v>265321143360</v>
      </c>
      <c r="K981" s="1658">
        <v>47548592</v>
      </c>
    </row>
    <row r="982" spans="1:11" x14ac:dyDescent="0.3">
      <c r="A982" s="1657">
        <v>43096</v>
      </c>
      <c r="B982" s="1658">
        <v>5600</v>
      </c>
      <c r="C982" s="1658">
        <v>20</v>
      </c>
      <c r="D982" s="1659">
        <v>0.36</v>
      </c>
      <c r="E982" s="1658">
        <v>5550</v>
      </c>
      <c r="F982" s="1658">
        <v>5690</v>
      </c>
      <c r="G982" s="1658">
        <v>5550</v>
      </c>
      <c r="H982" s="1658">
        <v>116458</v>
      </c>
      <c r="I982" s="1658">
        <v>651493890</v>
      </c>
      <c r="J982" s="1658">
        <v>266272115200</v>
      </c>
      <c r="K982" s="1658">
        <v>47548592</v>
      </c>
    </row>
    <row r="983" spans="1:11" x14ac:dyDescent="0.3">
      <c r="A983" s="1657">
        <v>43097</v>
      </c>
      <c r="B983" s="1658">
        <v>5580</v>
      </c>
      <c r="C983" s="1658">
        <v>-20</v>
      </c>
      <c r="D983" s="1659">
        <v>-0.36</v>
      </c>
      <c r="E983" s="1658">
        <v>5680</v>
      </c>
      <c r="F983" s="1658">
        <v>5680</v>
      </c>
      <c r="G983" s="1658">
        <v>5570</v>
      </c>
      <c r="H983" s="1658">
        <v>132109</v>
      </c>
      <c r="I983" s="1658">
        <v>740417330</v>
      </c>
      <c r="J983" s="1658">
        <v>265321143360</v>
      </c>
      <c r="K983" s="1658">
        <v>47548592</v>
      </c>
    </row>
    <row r="984" spans="1:11" x14ac:dyDescent="0.3">
      <c r="A984" s="1657">
        <v>43102</v>
      </c>
      <c r="B984" s="1658">
        <v>5550</v>
      </c>
      <c r="C984" s="1658">
        <v>-30</v>
      </c>
      <c r="D984" s="1659">
        <v>-0.54</v>
      </c>
      <c r="E984" s="1658">
        <v>5580</v>
      </c>
      <c r="F984" s="1658">
        <v>5650</v>
      </c>
      <c r="G984" s="1658">
        <v>5510</v>
      </c>
      <c r="H984" s="1658">
        <v>267222</v>
      </c>
      <c r="I984" s="1658">
        <v>1484139510</v>
      </c>
      <c r="J984" s="1658">
        <v>263894685600</v>
      </c>
      <c r="K984" s="1658">
        <v>47548592</v>
      </c>
    </row>
    <row r="985" spans="1:11" x14ac:dyDescent="0.3">
      <c r="A985" s="1657">
        <v>43103</v>
      </c>
      <c r="B985" s="1658">
        <v>5730</v>
      </c>
      <c r="C985" s="1658">
        <v>180</v>
      </c>
      <c r="D985" s="1659">
        <v>3.24</v>
      </c>
      <c r="E985" s="1658">
        <v>5580</v>
      </c>
      <c r="F985" s="1658">
        <v>5750</v>
      </c>
      <c r="G985" s="1658">
        <v>5570</v>
      </c>
      <c r="H985" s="1658">
        <v>273454</v>
      </c>
      <c r="I985" s="1658">
        <v>1553908850</v>
      </c>
      <c r="J985" s="1658">
        <v>272453432160</v>
      </c>
      <c r="K985" s="1658">
        <v>47548592</v>
      </c>
    </row>
    <row r="986" spans="1:11" x14ac:dyDescent="0.3">
      <c r="A986" s="1657">
        <v>43104</v>
      </c>
      <c r="B986" s="1658">
        <v>5780</v>
      </c>
      <c r="C986" s="1658">
        <v>50</v>
      </c>
      <c r="D986" s="1659">
        <v>0.87</v>
      </c>
      <c r="E986" s="1658">
        <v>5790</v>
      </c>
      <c r="F986" s="1658">
        <v>5820</v>
      </c>
      <c r="G986" s="1658">
        <v>5660</v>
      </c>
      <c r="H986" s="1658">
        <v>241324</v>
      </c>
      <c r="I986" s="1658">
        <v>1388173260</v>
      </c>
      <c r="J986" s="1658">
        <v>274830861760</v>
      </c>
      <c r="K986" s="1658">
        <v>47548592</v>
      </c>
    </row>
    <row r="987" spans="1:11" x14ac:dyDescent="0.3">
      <c r="A987" s="1657">
        <v>43105</v>
      </c>
      <c r="B987" s="1658">
        <v>5750</v>
      </c>
      <c r="C987" s="1658">
        <v>-30</v>
      </c>
      <c r="D987" s="1659">
        <v>-0.52</v>
      </c>
      <c r="E987" s="1658">
        <v>5750</v>
      </c>
      <c r="F987" s="1658">
        <v>5830</v>
      </c>
      <c r="G987" s="1658">
        <v>5740</v>
      </c>
      <c r="H987" s="1658">
        <v>180134</v>
      </c>
      <c r="I987" s="1658">
        <v>1042769830</v>
      </c>
      <c r="J987" s="1658">
        <v>273404404000</v>
      </c>
      <c r="K987" s="1658">
        <v>47548592</v>
      </c>
    </row>
    <row r="988" spans="1:11" x14ac:dyDescent="0.3">
      <c r="A988" s="1657">
        <v>43108</v>
      </c>
      <c r="B988" s="1658">
        <v>5590</v>
      </c>
      <c r="C988" s="1658">
        <v>-160</v>
      </c>
      <c r="D988" s="1659">
        <v>-2.78</v>
      </c>
      <c r="E988" s="1658">
        <v>5810</v>
      </c>
      <c r="F988" s="1658">
        <v>5830</v>
      </c>
      <c r="G988" s="1658">
        <v>5580</v>
      </c>
      <c r="H988" s="1658">
        <v>326540</v>
      </c>
      <c r="I988" s="1658">
        <v>1849579630</v>
      </c>
      <c r="J988" s="1658">
        <v>265796629280</v>
      </c>
      <c r="K988" s="1658">
        <v>47548592</v>
      </c>
    </row>
    <row r="989" spans="1:11" x14ac:dyDescent="0.3">
      <c r="A989" s="1657">
        <v>43109</v>
      </c>
      <c r="B989" s="1658">
        <v>5890</v>
      </c>
      <c r="C989" s="1658">
        <v>300</v>
      </c>
      <c r="D989" s="1659">
        <v>5.37</v>
      </c>
      <c r="E989" s="1658">
        <v>5610</v>
      </c>
      <c r="F989" s="1658">
        <v>6180</v>
      </c>
      <c r="G989" s="1658">
        <v>5590</v>
      </c>
      <c r="H989" s="1658">
        <v>1248637</v>
      </c>
      <c r="I989" s="1658">
        <v>7422043950</v>
      </c>
      <c r="J989" s="1658">
        <v>280061206880</v>
      </c>
      <c r="K989" s="1658">
        <v>47548592</v>
      </c>
    </row>
    <row r="990" spans="1:11" x14ac:dyDescent="0.3">
      <c r="A990" s="1657">
        <v>43110</v>
      </c>
      <c r="B990" s="1658">
        <v>5980</v>
      </c>
      <c r="C990" s="1658">
        <v>90</v>
      </c>
      <c r="D990" s="1659">
        <v>1.53</v>
      </c>
      <c r="E990" s="1658">
        <v>6020</v>
      </c>
      <c r="F990" s="1658">
        <v>6030</v>
      </c>
      <c r="G990" s="1658">
        <v>5790</v>
      </c>
      <c r="H990" s="1658">
        <v>498762</v>
      </c>
      <c r="I990" s="1658">
        <v>2956324070</v>
      </c>
      <c r="J990" s="1658">
        <v>284340580160</v>
      </c>
      <c r="K990" s="1658">
        <v>47548592</v>
      </c>
    </row>
    <row r="991" spans="1:11" x14ac:dyDescent="0.3">
      <c r="A991" s="1657">
        <v>43111</v>
      </c>
      <c r="B991" s="1658">
        <v>5950</v>
      </c>
      <c r="C991" s="1658">
        <v>-30</v>
      </c>
      <c r="D991" s="1659">
        <v>-0.5</v>
      </c>
      <c r="E991" s="1658">
        <v>5990</v>
      </c>
      <c r="F991" s="1658">
        <v>6100</v>
      </c>
      <c r="G991" s="1658">
        <v>5840</v>
      </c>
      <c r="H991" s="1658">
        <v>385629</v>
      </c>
      <c r="I991" s="1658">
        <v>2295972510</v>
      </c>
      <c r="J991" s="1658">
        <v>282914122400</v>
      </c>
      <c r="K991" s="1658">
        <v>47548592</v>
      </c>
    </row>
    <row r="992" spans="1:11" x14ac:dyDescent="0.3">
      <c r="A992" s="1657">
        <v>43112</v>
      </c>
      <c r="B992" s="1658">
        <v>5740</v>
      </c>
      <c r="C992" s="1658">
        <v>-210</v>
      </c>
      <c r="D992" s="1659">
        <v>-3.53</v>
      </c>
      <c r="E992" s="1658">
        <v>5870</v>
      </c>
      <c r="F992" s="1658">
        <v>5950</v>
      </c>
      <c r="G992" s="1658">
        <v>5720</v>
      </c>
      <c r="H992" s="1658">
        <v>321078</v>
      </c>
      <c r="I992" s="1658">
        <v>1858193110</v>
      </c>
      <c r="J992" s="1658">
        <v>272928918080</v>
      </c>
      <c r="K992" s="1658">
        <v>47548592</v>
      </c>
    </row>
    <row r="993" spans="1:11" x14ac:dyDescent="0.3">
      <c r="A993" s="1657">
        <v>43115</v>
      </c>
      <c r="B993" s="1658">
        <v>5690</v>
      </c>
      <c r="C993" s="1658">
        <v>-50</v>
      </c>
      <c r="D993" s="1659">
        <v>-0.87</v>
      </c>
      <c r="E993" s="1658">
        <v>5710</v>
      </c>
      <c r="F993" s="1658">
        <v>5800</v>
      </c>
      <c r="G993" s="1658">
        <v>5660</v>
      </c>
      <c r="H993" s="1658">
        <v>137313</v>
      </c>
      <c r="I993" s="1658">
        <v>782821070</v>
      </c>
      <c r="J993" s="1658">
        <v>270551488480</v>
      </c>
      <c r="K993" s="1658">
        <v>47548592</v>
      </c>
    </row>
    <row r="994" spans="1:11" x14ac:dyDescent="0.3">
      <c r="A994" s="1657">
        <v>43116</v>
      </c>
      <c r="B994" s="1658">
        <v>5770</v>
      </c>
      <c r="C994" s="1658">
        <v>80</v>
      </c>
      <c r="D994" s="1659">
        <v>1.41</v>
      </c>
      <c r="E994" s="1658">
        <v>5680</v>
      </c>
      <c r="F994" s="1658">
        <v>5790</v>
      </c>
      <c r="G994" s="1658">
        <v>5650</v>
      </c>
      <c r="H994" s="1658">
        <v>115987</v>
      </c>
      <c r="I994" s="1658">
        <v>662418710</v>
      </c>
      <c r="J994" s="1658">
        <v>274355375840</v>
      </c>
      <c r="K994" s="1658">
        <v>47548592</v>
      </c>
    </row>
    <row r="995" spans="1:11" x14ac:dyDescent="0.3">
      <c r="A995" s="1657">
        <v>43117</v>
      </c>
      <c r="B995" s="1658">
        <v>5680</v>
      </c>
      <c r="C995" s="1658">
        <v>-90</v>
      </c>
      <c r="D995" s="1659">
        <v>-1.56</v>
      </c>
      <c r="E995" s="1658">
        <v>5710</v>
      </c>
      <c r="F995" s="1658">
        <v>5760</v>
      </c>
      <c r="G995" s="1658">
        <v>5660</v>
      </c>
      <c r="H995" s="1658">
        <v>137554</v>
      </c>
      <c r="I995" s="1658">
        <v>782714850</v>
      </c>
      <c r="J995" s="1658">
        <v>270076002560</v>
      </c>
      <c r="K995" s="1658">
        <v>47548592</v>
      </c>
    </row>
    <row r="996" spans="1:11" x14ac:dyDescent="0.3">
      <c r="A996" s="1657">
        <v>43118</v>
      </c>
      <c r="B996" s="1658">
        <v>5870</v>
      </c>
      <c r="C996" s="1658">
        <v>190</v>
      </c>
      <c r="D996" s="1659">
        <v>3.35</v>
      </c>
      <c r="E996" s="1658">
        <v>5690</v>
      </c>
      <c r="F996" s="1658">
        <v>6000</v>
      </c>
      <c r="G996" s="1658">
        <v>5690</v>
      </c>
      <c r="H996" s="1658">
        <v>361906</v>
      </c>
      <c r="I996" s="1658">
        <v>2127539270</v>
      </c>
      <c r="J996" s="1658">
        <v>279110235040</v>
      </c>
      <c r="K996" s="1658">
        <v>47548592</v>
      </c>
    </row>
    <row r="997" spans="1:11" x14ac:dyDescent="0.3">
      <c r="A997" s="1657">
        <v>43119</v>
      </c>
      <c r="B997" s="1658">
        <v>5870</v>
      </c>
      <c r="C997" s="1658">
        <v>0</v>
      </c>
      <c r="D997" s="1659">
        <v>0</v>
      </c>
      <c r="E997" s="1658">
        <v>5940</v>
      </c>
      <c r="F997" s="1658">
        <v>5980</v>
      </c>
      <c r="G997" s="1658">
        <v>5800</v>
      </c>
      <c r="H997" s="1658">
        <v>185507</v>
      </c>
      <c r="I997" s="1658">
        <v>1088446200</v>
      </c>
      <c r="J997" s="1658">
        <v>279110235040</v>
      </c>
      <c r="K997" s="1658">
        <v>47548592</v>
      </c>
    </row>
    <row r="998" spans="1:11" x14ac:dyDescent="0.3">
      <c r="A998" s="1657">
        <v>43122</v>
      </c>
      <c r="B998" s="1658">
        <v>5820</v>
      </c>
      <c r="C998" s="1658">
        <v>-50</v>
      </c>
      <c r="D998" s="1659">
        <v>-0.85</v>
      </c>
      <c r="E998" s="1658">
        <v>5870</v>
      </c>
      <c r="F998" s="1658">
        <v>5900</v>
      </c>
      <c r="G998" s="1658">
        <v>5810</v>
      </c>
      <c r="H998" s="1658">
        <v>109598</v>
      </c>
      <c r="I998" s="1658">
        <v>640516340</v>
      </c>
      <c r="J998" s="1658">
        <v>276732805440</v>
      </c>
      <c r="K998" s="1658">
        <v>47548592</v>
      </c>
    </row>
    <row r="999" spans="1:11" x14ac:dyDescent="0.3">
      <c r="A999" s="1657">
        <v>43123</v>
      </c>
      <c r="B999" s="1658">
        <v>5850</v>
      </c>
      <c r="C999" s="1658">
        <v>30</v>
      </c>
      <c r="D999" s="1659">
        <v>0.52</v>
      </c>
      <c r="E999" s="1658">
        <v>5780</v>
      </c>
      <c r="F999" s="1658">
        <v>5930</v>
      </c>
      <c r="G999" s="1658">
        <v>5780</v>
      </c>
      <c r="H999" s="1658">
        <v>172240</v>
      </c>
      <c r="I999" s="1658">
        <v>1007834560</v>
      </c>
      <c r="J999" s="1658">
        <v>278159263200</v>
      </c>
      <c r="K999" s="1658">
        <v>47548592</v>
      </c>
    </row>
    <row r="1000" spans="1:11" x14ac:dyDescent="0.3">
      <c r="A1000" s="1657">
        <v>43124</v>
      </c>
      <c r="B1000" s="1658">
        <v>6110</v>
      </c>
      <c r="C1000" s="1658">
        <v>260</v>
      </c>
      <c r="D1000" s="1659">
        <v>4.4400000000000004</v>
      </c>
      <c r="E1000" s="1658">
        <v>5850</v>
      </c>
      <c r="F1000" s="1658">
        <v>6140</v>
      </c>
      <c r="G1000" s="1658">
        <v>5830</v>
      </c>
      <c r="H1000" s="1658">
        <v>852747</v>
      </c>
      <c r="I1000" s="1658">
        <v>5138822110</v>
      </c>
      <c r="J1000" s="1658">
        <v>290521897120</v>
      </c>
      <c r="K1000" s="1658">
        <v>47548592</v>
      </c>
    </row>
    <row r="1001" spans="1:11" x14ac:dyDescent="0.3">
      <c r="A1001" s="1657">
        <v>43125</v>
      </c>
      <c r="B1001" s="1658">
        <v>6210</v>
      </c>
      <c r="C1001" s="1658">
        <v>100</v>
      </c>
      <c r="D1001" s="1659">
        <v>1.64</v>
      </c>
      <c r="E1001" s="1658">
        <v>6130</v>
      </c>
      <c r="F1001" s="1658">
        <v>6270</v>
      </c>
      <c r="G1001" s="1658">
        <v>6040</v>
      </c>
      <c r="H1001" s="1658">
        <v>601002</v>
      </c>
      <c r="I1001" s="1658">
        <v>3707338240</v>
      </c>
      <c r="J1001" s="1658">
        <v>295276756320</v>
      </c>
      <c r="K1001" s="1658">
        <v>47548592</v>
      </c>
    </row>
    <row r="1002" spans="1:11" x14ac:dyDescent="0.3">
      <c r="A1002" s="1657">
        <v>43126</v>
      </c>
      <c r="B1002" s="1658">
        <v>6140</v>
      </c>
      <c r="C1002" s="1658">
        <v>-70</v>
      </c>
      <c r="D1002" s="1659">
        <v>-1.1299999999999999</v>
      </c>
      <c r="E1002" s="1658">
        <v>6210</v>
      </c>
      <c r="F1002" s="1658">
        <v>6270</v>
      </c>
      <c r="G1002" s="1658">
        <v>6070</v>
      </c>
      <c r="H1002" s="1658">
        <v>225342</v>
      </c>
      <c r="I1002" s="1658">
        <v>1381984050</v>
      </c>
      <c r="J1002" s="1658">
        <v>291948354880</v>
      </c>
      <c r="K1002" s="1658">
        <v>47548592</v>
      </c>
    </row>
    <row r="1003" spans="1:11" x14ac:dyDescent="0.3">
      <c r="A1003" s="1657">
        <v>43129</v>
      </c>
      <c r="B1003" s="1658">
        <v>6500</v>
      </c>
      <c r="C1003" s="1658">
        <v>360</v>
      </c>
      <c r="D1003" s="1659">
        <v>5.86</v>
      </c>
      <c r="E1003" s="1658">
        <v>6140</v>
      </c>
      <c r="F1003" s="1658">
        <v>6700</v>
      </c>
      <c r="G1003" s="1658">
        <v>6140</v>
      </c>
      <c r="H1003" s="1658">
        <v>2261275</v>
      </c>
      <c r="I1003" s="1658">
        <v>14694257820</v>
      </c>
      <c r="J1003" s="1658">
        <v>309065848000</v>
      </c>
      <c r="K1003" s="1658">
        <v>47548592</v>
      </c>
    </row>
    <row r="1004" spans="1:11" x14ac:dyDescent="0.3">
      <c r="A1004" s="1657">
        <v>43130</v>
      </c>
      <c r="B1004" s="1658">
        <v>6650</v>
      </c>
      <c r="C1004" s="1658">
        <v>150</v>
      </c>
      <c r="D1004" s="1659">
        <v>2.31</v>
      </c>
      <c r="E1004" s="1658">
        <v>6530</v>
      </c>
      <c r="F1004" s="1658">
        <v>6660</v>
      </c>
      <c r="G1004" s="1658">
        <v>6370</v>
      </c>
      <c r="H1004" s="1658">
        <v>804079</v>
      </c>
      <c r="I1004" s="1658">
        <v>5249021000</v>
      </c>
      <c r="J1004" s="1658">
        <v>316198136800</v>
      </c>
      <c r="K1004" s="1658">
        <v>47548592</v>
      </c>
    </row>
    <row r="1005" spans="1:11" x14ac:dyDescent="0.3">
      <c r="A1005" s="1657">
        <v>43131</v>
      </c>
      <c r="B1005" s="1658">
        <v>8640</v>
      </c>
      <c r="C1005" s="1658">
        <v>1990</v>
      </c>
      <c r="D1005" s="1659">
        <v>29.92</v>
      </c>
      <c r="E1005" s="1658">
        <v>6720</v>
      </c>
      <c r="F1005" s="1658">
        <v>8640</v>
      </c>
      <c r="G1005" s="1658">
        <v>6510</v>
      </c>
      <c r="H1005" s="1658">
        <v>17763709</v>
      </c>
      <c r="I1005" s="1658">
        <v>141185199130</v>
      </c>
      <c r="J1005" s="1658">
        <v>410819834880</v>
      </c>
      <c r="K1005" s="1658">
        <v>47548592</v>
      </c>
    </row>
    <row r="1006" spans="1:11" x14ac:dyDescent="0.3">
      <c r="A1006" s="1657">
        <v>43132</v>
      </c>
      <c r="B1006" s="1658">
        <v>8770</v>
      </c>
      <c r="C1006" s="1658">
        <v>130</v>
      </c>
      <c r="D1006" s="1659">
        <v>1.5</v>
      </c>
      <c r="E1006" s="1658">
        <v>8590</v>
      </c>
      <c r="F1006" s="1658">
        <v>9500</v>
      </c>
      <c r="G1006" s="1658">
        <v>8400</v>
      </c>
      <c r="H1006" s="1658">
        <v>11336570</v>
      </c>
      <c r="I1006" s="1658">
        <v>99725109300</v>
      </c>
      <c r="J1006" s="1658">
        <v>417001151840</v>
      </c>
      <c r="K1006" s="1658">
        <v>47548592</v>
      </c>
    </row>
    <row r="1007" spans="1:11" x14ac:dyDescent="0.3">
      <c r="A1007" s="1657">
        <v>43133</v>
      </c>
      <c r="B1007" s="1658">
        <v>8900</v>
      </c>
      <c r="C1007" s="1658">
        <v>130</v>
      </c>
      <c r="D1007" s="1659">
        <v>1.48</v>
      </c>
      <c r="E1007" s="1658">
        <v>8770</v>
      </c>
      <c r="F1007" s="1658">
        <v>9280</v>
      </c>
      <c r="G1007" s="1658">
        <v>8690</v>
      </c>
      <c r="H1007" s="1658">
        <v>5161749</v>
      </c>
      <c r="I1007" s="1658">
        <v>46045448390</v>
      </c>
      <c r="J1007" s="1658">
        <v>423182468800</v>
      </c>
      <c r="K1007" s="1658">
        <v>47548592</v>
      </c>
    </row>
    <row r="1008" spans="1:11" x14ac:dyDescent="0.3">
      <c r="A1008" s="1657">
        <v>43136</v>
      </c>
      <c r="B1008" s="1658">
        <v>8610</v>
      </c>
      <c r="C1008" s="1658">
        <v>-290</v>
      </c>
      <c r="D1008" s="1659">
        <v>-3.26</v>
      </c>
      <c r="E1008" s="1658">
        <v>8710</v>
      </c>
      <c r="F1008" s="1658">
        <v>8790</v>
      </c>
      <c r="G1008" s="1658">
        <v>8550</v>
      </c>
      <c r="H1008" s="1658">
        <v>778356</v>
      </c>
      <c r="I1008" s="1658">
        <v>6739869780</v>
      </c>
      <c r="J1008" s="1658">
        <v>409393377120</v>
      </c>
      <c r="K1008" s="1658">
        <v>47548592</v>
      </c>
    </row>
    <row r="1009" spans="1:11" x14ac:dyDescent="0.3">
      <c r="A1009" s="1657">
        <v>43137</v>
      </c>
      <c r="B1009" s="1658">
        <v>8200</v>
      </c>
      <c r="C1009" s="1658">
        <v>-410</v>
      </c>
      <c r="D1009" s="1659">
        <v>-4.76</v>
      </c>
      <c r="E1009" s="1658">
        <v>8010</v>
      </c>
      <c r="F1009" s="1658">
        <v>8200</v>
      </c>
      <c r="G1009" s="1658">
        <v>7740</v>
      </c>
      <c r="H1009" s="1658">
        <v>1144152</v>
      </c>
      <c r="I1009" s="1658">
        <v>9159657390</v>
      </c>
      <c r="J1009" s="1658">
        <v>389898454400</v>
      </c>
      <c r="K1009" s="1658">
        <v>47548592</v>
      </c>
    </row>
    <row r="1010" spans="1:11" x14ac:dyDescent="0.3">
      <c r="A1010" s="1657">
        <v>43138</v>
      </c>
      <c r="B1010" s="1658">
        <v>7980</v>
      </c>
      <c r="C1010" s="1658">
        <v>-220</v>
      </c>
      <c r="D1010" s="1659">
        <v>-2.68</v>
      </c>
      <c r="E1010" s="1658">
        <v>8280</v>
      </c>
      <c r="F1010" s="1658">
        <v>8420</v>
      </c>
      <c r="G1010" s="1658">
        <v>7980</v>
      </c>
      <c r="H1010" s="1658">
        <v>800988</v>
      </c>
      <c r="I1010" s="1658">
        <v>6576803420</v>
      </c>
      <c r="J1010" s="1658">
        <v>379437764160</v>
      </c>
      <c r="K1010" s="1658">
        <v>47548592</v>
      </c>
    </row>
    <row r="1011" spans="1:11" x14ac:dyDescent="0.3">
      <c r="A1011" s="1657">
        <v>43139</v>
      </c>
      <c r="B1011" s="1658">
        <v>8490</v>
      </c>
      <c r="C1011" s="1658">
        <v>510</v>
      </c>
      <c r="D1011" s="1659">
        <v>6.39</v>
      </c>
      <c r="E1011" s="1658">
        <v>8100</v>
      </c>
      <c r="F1011" s="1658">
        <v>8580</v>
      </c>
      <c r="G1011" s="1658">
        <v>8020</v>
      </c>
      <c r="H1011" s="1658">
        <v>2657059</v>
      </c>
      <c r="I1011" s="1658">
        <v>22080140260</v>
      </c>
      <c r="J1011" s="1658">
        <v>403687546080</v>
      </c>
      <c r="K1011" s="1658">
        <v>47548592</v>
      </c>
    </row>
    <row r="1012" spans="1:11" x14ac:dyDescent="0.3">
      <c r="A1012" s="1657">
        <v>43140</v>
      </c>
      <c r="B1012" s="1658">
        <v>7820</v>
      </c>
      <c r="C1012" s="1658">
        <v>-670</v>
      </c>
      <c r="D1012" s="1659">
        <v>-7.89</v>
      </c>
      <c r="E1012" s="1658">
        <v>8100</v>
      </c>
      <c r="F1012" s="1658">
        <v>8340</v>
      </c>
      <c r="G1012" s="1658">
        <v>7750</v>
      </c>
      <c r="H1012" s="1658">
        <v>1452123</v>
      </c>
      <c r="I1012" s="1658">
        <v>11694628850</v>
      </c>
      <c r="J1012" s="1658">
        <v>371829989440</v>
      </c>
      <c r="K1012" s="1658">
        <v>47548592</v>
      </c>
    </row>
    <row r="1013" spans="1:11" x14ac:dyDescent="0.3">
      <c r="A1013" s="1657">
        <v>43143</v>
      </c>
      <c r="B1013" s="1658">
        <v>7810</v>
      </c>
      <c r="C1013" s="1658">
        <v>-10</v>
      </c>
      <c r="D1013" s="1659">
        <v>-0.13</v>
      </c>
      <c r="E1013" s="1658">
        <v>7920</v>
      </c>
      <c r="F1013" s="1658">
        <v>7930</v>
      </c>
      <c r="G1013" s="1658">
        <v>7600</v>
      </c>
      <c r="H1013" s="1658">
        <v>1202022</v>
      </c>
      <c r="I1013" s="1658">
        <v>9272532060</v>
      </c>
      <c r="J1013" s="1658">
        <v>371354503520</v>
      </c>
      <c r="K1013" s="1658">
        <v>47548592</v>
      </c>
    </row>
    <row r="1014" spans="1:11" x14ac:dyDescent="0.3">
      <c r="A1014" s="1657">
        <v>43144</v>
      </c>
      <c r="B1014" s="1658">
        <v>7410</v>
      </c>
      <c r="C1014" s="1658">
        <v>-400</v>
      </c>
      <c r="D1014" s="1659">
        <v>-5.12</v>
      </c>
      <c r="E1014" s="1658">
        <v>7810</v>
      </c>
      <c r="F1014" s="1658">
        <v>7940</v>
      </c>
      <c r="G1014" s="1658">
        <v>7410</v>
      </c>
      <c r="H1014" s="1658">
        <v>1601709</v>
      </c>
      <c r="I1014" s="1658">
        <v>12326470330</v>
      </c>
      <c r="J1014" s="1658">
        <v>352335066720</v>
      </c>
      <c r="K1014" s="1658">
        <v>47548592</v>
      </c>
    </row>
    <row r="1015" spans="1:11" x14ac:dyDescent="0.3">
      <c r="A1015" s="1657">
        <v>43145</v>
      </c>
      <c r="B1015" s="1658">
        <v>7580</v>
      </c>
      <c r="C1015" s="1658">
        <v>170</v>
      </c>
      <c r="D1015" s="1659">
        <v>2.29</v>
      </c>
      <c r="E1015" s="1658">
        <v>7450</v>
      </c>
      <c r="F1015" s="1658">
        <v>7690</v>
      </c>
      <c r="G1015" s="1658">
        <v>7390</v>
      </c>
      <c r="H1015" s="1658">
        <v>864144</v>
      </c>
      <c r="I1015" s="1658">
        <v>6519792190</v>
      </c>
      <c r="J1015" s="1658">
        <v>360418327360</v>
      </c>
      <c r="K1015" s="1658">
        <v>47548592</v>
      </c>
    </row>
    <row r="1016" spans="1:11" x14ac:dyDescent="0.3">
      <c r="A1016" s="1657">
        <v>43150</v>
      </c>
      <c r="B1016" s="1658">
        <v>7650</v>
      </c>
      <c r="C1016" s="1658">
        <v>70</v>
      </c>
      <c r="D1016" s="1659">
        <v>0.92</v>
      </c>
      <c r="E1016" s="1658">
        <v>7640</v>
      </c>
      <c r="F1016" s="1658">
        <v>7810</v>
      </c>
      <c r="G1016" s="1658">
        <v>7450</v>
      </c>
      <c r="H1016" s="1658">
        <v>983535</v>
      </c>
      <c r="I1016" s="1658">
        <v>7536212770</v>
      </c>
      <c r="J1016" s="1658">
        <v>363746728800</v>
      </c>
      <c r="K1016" s="1658">
        <v>47548592</v>
      </c>
    </row>
    <row r="1017" spans="1:11" x14ac:dyDescent="0.3">
      <c r="A1017" s="1657">
        <v>43151</v>
      </c>
      <c r="B1017" s="1658">
        <v>7700</v>
      </c>
      <c r="C1017" s="1658">
        <v>50</v>
      </c>
      <c r="D1017" s="1659">
        <v>0.65</v>
      </c>
      <c r="E1017" s="1658">
        <v>7680</v>
      </c>
      <c r="F1017" s="1658">
        <v>8280</v>
      </c>
      <c r="G1017" s="1658">
        <v>7570</v>
      </c>
      <c r="H1017" s="1658">
        <v>2363147</v>
      </c>
      <c r="I1017" s="1658">
        <v>18861650270</v>
      </c>
      <c r="J1017" s="1658">
        <v>366124158400</v>
      </c>
      <c r="K1017" s="1658">
        <v>47548592</v>
      </c>
    </row>
    <row r="1018" spans="1:11" x14ac:dyDescent="0.3">
      <c r="A1018" s="1657">
        <v>43152</v>
      </c>
      <c r="B1018" s="1658">
        <v>7710</v>
      </c>
      <c r="C1018" s="1658">
        <v>10</v>
      </c>
      <c r="D1018" s="1659">
        <v>0.13</v>
      </c>
      <c r="E1018" s="1658">
        <v>7830</v>
      </c>
      <c r="F1018" s="1658">
        <v>8000</v>
      </c>
      <c r="G1018" s="1658">
        <v>7690</v>
      </c>
      <c r="H1018" s="1658">
        <v>702306</v>
      </c>
      <c r="I1018" s="1658">
        <v>5482270890</v>
      </c>
      <c r="J1018" s="1658">
        <v>366599644320</v>
      </c>
      <c r="K1018" s="1658">
        <v>47548592</v>
      </c>
    </row>
    <row r="1019" spans="1:11" x14ac:dyDescent="0.3">
      <c r="A1019" s="1657">
        <v>43153</v>
      </c>
      <c r="B1019" s="1658">
        <v>9600</v>
      </c>
      <c r="C1019" s="1658">
        <v>1890</v>
      </c>
      <c r="D1019" s="1659">
        <v>24.51</v>
      </c>
      <c r="E1019" s="1658">
        <v>7750</v>
      </c>
      <c r="F1019" s="1658">
        <v>9820</v>
      </c>
      <c r="G1019" s="1658">
        <v>7730</v>
      </c>
      <c r="H1019" s="1658">
        <v>17405854</v>
      </c>
      <c r="I1019" s="1658">
        <v>158396702030</v>
      </c>
      <c r="J1019" s="1658">
        <v>456466483200</v>
      </c>
      <c r="K1019" s="1658">
        <v>47548592</v>
      </c>
    </row>
    <row r="1020" spans="1:11" x14ac:dyDescent="0.3">
      <c r="A1020" s="1657">
        <v>43154</v>
      </c>
      <c r="B1020" s="1658">
        <v>9250</v>
      </c>
      <c r="C1020" s="1658">
        <v>-350</v>
      </c>
      <c r="D1020" s="1659">
        <v>-3.65</v>
      </c>
      <c r="E1020" s="1658">
        <v>9490</v>
      </c>
      <c r="F1020" s="1658">
        <v>9660</v>
      </c>
      <c r="G1020" s="1658">
        <v>9070</v>
      </c>
      <c r="H1020" s="1658">
        <v>3413271</v>
      </c>
      <c r="I1020" s="1658">
        <v>31817284170</v>
      </c>
      <c r="J1020" s="1658">
        <v>439824476000</v>
      </c>
      <c r="K1020" s="1658">
        <v>47548592</v>
      </c>
    </row>
    <row r="1021" spans="1:11" x14ac:dyDescent="0.3">
      <c r="A1021" s="1657">
        <v>43157</v>
      </c>
      <c r="B1021" s="1658">
        <v>8380</v>
      </c>
      <c r="C1021" s="1658">
        <v>-870</v>
      </c>
      <c r="D1021" s="1659">
        <v>-9.41</v>
      </c>
      <c r="E1021" s="1658">
        <v>9380</v>
      </c>
      <c r="F1021" s="1658">
        <v>9440</v>
      </c>
      <c r="G1021" s="1658">
        <v>8310</v>
      </c>
      <c r="H1021" s="1658">
        <v>4279328</v>
      </c>
      <c r="I1021" s="1658">
        <v>37634785160</v>
      </c>
      <c r="J1021" s="1658">
        <v>398457200960</v>
      </c>
      <c r="K1021" s="1658">
        <v>47548592</v>
      </c>
    </row>
    <row r="1022" spans="1:11" x14ac:dyDescent="0.3">
      <c r="A1022" s="1657">
        <v>43158</v>
      </c>
      <c r="B1022" s="1658">
        <v>8380</v>
      </c>
      <c r="C1022" s="1658">
        <v>0</v>
      </c>
      <c r="D1022" s="1659">
        <v>0</v>
      </c>
      <c r="E1022" s="1658">
        <v>8370</v>
      </c>
      <c r="F1022" s="1658">
        <v>8580</v>
      </c>
      <c r="G1022" s="1658">
        <v>8120</v>
      </c>
      <c r="H1022" s="1658">
        <v>1599004</v>
      </c>
      <c r="I1022" s="1658">
        <v>13396673550</v>
      </c>
      <c r="J1022" s="1658">
        <v>398457200960</v>
      </c>
      <c r="K1022" s="1658">
        <v>47548592</v>
      </c>
    </row>
    <row r="1023" spans="1:11" x14ac:dyDescent="0.3">
      <c r="A1023" s="1657">
        <v>43159</v>
      </c>
      <c r="B1023" s="1658">
        <v>7770</v>
      </c>
      <c r="C1023" s="1658">
        <v>-610</v>
      </c>
      <c r="D1023" s="1659">
        <v>-7.28</v>
      </c>
      <c r="E1023" s="1658">
        <v>8430</v>
      </c>
      <c r="F1023" s="1658">
        <v>8640</v>
      </c>
      <c r="G1023" s="1658">
        <v>7770</v>
      </c>
      <c r="H1023" s="1658">
        <v>2502042</v>
      </c>
      <c r="I1023" s="1658">
        <v>20700183540</v>
      </c>
      <c r="J1023" s="1658">
        <v>369452559840</v>
      </c>
      <c r="K1023" s="1658">
        <v>47548592</v>
      </c>
    </row>
    <row r="1024" spans="1:11" x14ac:dyDescent="0.3">
      <c r="A1024" s="1657">
        <v>43161</v>
      </c>
      <c r="B1024" s="1658">
        <v>7820</v>
      </c>
      <c r="C1024" s="1658">
        <v>50</v>
      </c>
      <c r="D1024" s="1659">
        <v>0.64</v>
      </c>
      <c r="E1024" s="1658">
        <v>7720</v>
      </c>
      <c r="F1024" s="1658">
        <v>8100</v>
      </c>
      <c r="G1024" s="1658">
        <v>7640</v>
      </c>
      <c r="H1024" s="1658">
        <v>811264</v>
      </c>
      <c r="I1024" s="1658">
        <v>6379292380</v>
      </c>
      <c r="J1024" s="1658">
        <v>371829989440</v>
      </c>
      <c r="K1024" s="1658">
        <v>47548592</v>
      </c>
    </row>
    <row r="1025" spans="1:11" x14ac:dyDescent="0.3">
      <c r="A1025" s="1657">
        <v>43164</v>
      </c>
      <c r="B1025" s="1658">
        <v>7820</v>
      </c>
      <c r="C1025" s="1658">
        <v>0</v>
      </c>
      <c r="D1025" s="1659">
        <v>0</v>
      </c>
      <c r="E1025" s="1658">
        <v>7830</v>
      </c>
      <c r="F1025" s="1658">
        <v>7990</v>
      </c>
      <c r="G1025" s="1658">
        <v>7410</v>
      </c>
      <c r="H1025" s="1658">
        <v>1336415</v>
      </c>
      <c r="I1025" s="1658">
        <v>10305348140</v>
      </c>
      <c r="J1025" s="1658">
        <v>371829989440</v>
      </c>
      <c r="K1025" s="1658">
        <v>47548592</v>
      </c>
    </row>
    <row r="1026" spans="1:11" x14ac:dyDescent="0.3">
      <c r="A1026" s="1657">
        <v>43165</v>
      </c>
      <c r="B1026" s="1658">
        <v>7910</v>
      </c>
      <c r="C1026" s="1658">
        <v>90</v>
      </c>
      <c r="D1026" s="1659">
        <v>1.1499999999999999</v>
      </c>
      <c r="E1026" s="1658">
        <v>7830</v>
      </c>
      <c r="F1026" s="1658">
        <v>8020</v>
      </c>
      <c r="G1026" s="1658">
        <v>7680</v>
      </c>
      <c r="H1026" s="1658">
        <v>578653</v>
      </c>
      <c r="I1026" s="1658">
        <v>4535176010</v>
      </c>
      <c r="J1026" s="1658">
        <v>376109362720</v>
      </c>
      <c r="K1026" s="1658">
        <v>47548592</v>
      </c>
    </row>
    <row r="1027" spans="1:11" x14ac:dyDescent="0.3">
      <c r="A1027" s="1657">
        <v>43166</v>
      </c>
      <c r="B1027" s="1658">
        <v>7540</v>
      </c>
      <c r="C1027" s="1658">
        <v>-370</v>
      </c>
      <c r="D1027" s="1659">
        <v>-4.68</v>
      </c>
      <c r="E1027" s="1658">
        <v>7910</v>
      </c>
      <c r="F1027" s="1658">
        <v>7930</v>
      </c>
      <c r="G1027" s="1658">
        <v>7310</v>
      </c>
      <c r="H1027" s="1658">
        <v>636400</v>
      </c>
      <c r="I1027" s="1658">
        <v>4864799070</v>
      </c>
      <c r="J1027" s="1658">
        <v>358516383680</v>
      </c>
      <c r="K1027" s="1658">
        <v>47548592</v>
      </c>
    </row>
    <row r="1028" spans="1:11" x14ac:dyDescent="0.3">
      <c r="A1028" s="1657">
        <v>43167</v>
      </c>
      <c r="B1028" s="1658">
        <v>7540</v>
      </c>
      <c r="C1028" s="1658">
        <v>0</v>
      </c>
      <c r="D1028" s="1659">
        <v>0</v>
      </c>
      <c r="E1028" s="1658">
        <v>7570</v>
      </c>
      <c r="F1028" s="1658">
        <v>7680</v>
      </c>
      <c r="G1028" s="1658">
        <v>7480</v>
      </c>
      <c r="H1028" s="1658">
        <v>413559</v>
      </c>
      <c r="I1028" s="1658">
        <v>3124774540</v>
      </c>
      <c r="J1028" s="1658">
        <v>358516383680</v>
      </c>
      <c r="K1028" s="1658">
        <v>47548592</v>
      </c>
    </row>
    <row r="1029" spans="1:11" x14ac:dyDescent="0.3">
      <c r="A1029" s="1657">
        <v>43168</v>
      </c>
      <c r="B1029" s="1658">
        <v>7850</v>
      </c>
      <c r="C1029" s="1658">
        <v>310</v>
      </c>
      <c r="D1029" s="1659">
        <v>4.1100000000000003</v>
      </c>
      <c r="E1029" s="1658">
        <v>7580</v>
      </c>
      <c r="F1029" s="1658">
        <v>7910</v>
      </c>
      <c r="G1029" s="1658">
        <v>7420</v>
      </c>
      <c r="H1029" s="1658">
        <v>751474</v>
      </c>
      <c r="I1029" s="1658">
        <v>5744139980</v>
      </c>
      <c r="J1029" s="1658">
        <v>373256447200</v>
      </c>
      <c r="K1029" s="1658">
        <v>47548592</v>
      </c>
    </row>
    <row r="1030" spans="1:11" x14ac:dyDescent="0.3">
      <c r="A1030" s="1657">
        <v>43171</v>
      </c>
      <c r="B1030" s="1658">
        <v>7770</v>
      </c>
      <c r="C1030" s="1658">
        <v>-80</v>
      </c>
      <c r="D1030" s="1659">
        <v>-1.02</v>
      </c>
      <c r="E1030" s="1658">
        <v>7880</v>
      </c>
      <c r="F1030" s="1658">
        <v>7900</v>
      </c>
      <c r="G1030" s="1658">
        <v>7730</v>
      </c>
      <c r="H1030" s="1658">
        <v>455501</v>
      </c>
      <c r="I1030" s="1658">
        <v>3552516500</v>
      </c>
      <c r="J1030" s="1658">
        <v>369452559840</v>
      </c>
      <c r="K1030" s="1658">
        <v>47548592</v>
      </c>
    </row>
    <row r="1031" spans="1:11" x14ac:dyDescent="0.3">
      <c r="A1031" s="1657">
        <v>43172</v>
      </c>
      <c r="B1031" s="1658">
        <v>8200</v>
      </c>
      <c r="C1031" s="1658">
        <v>430</v>
      </c>
      <c r="D1031" s="1659">
        <v>5.53</v>
      </c>
      <c r="E1031" s="1658">
        <v>7780</v>
      </c>
      <c r="F1031" s="1658">
        <v>8320</v>
      </c>
      <c r="G1031" s="1658">
        <v>7770</v>
      </c>
      <c r="H1031" s="1658">
        <v>1827471</v>
      </c>
      <c r="I1031" s="1658">
        <v>14843675200</v>
      </c>
      <c r="J1031" s="1658">
        <v>389898454400</v>
      </c>
      <c r="K1031" s="1658">
        <v>47548592</v>
      </c>
    </row>
    <row r="1032" spans="1:11" x14ac:dyDescent="0.3">
      <c r="A1032" s="1657">
        <v>43173</v>
      </c>
      <c r="B1032" s="1658">
        <v>8350</v>
      </c>
      <c r="C1032" s="1658">
        <v>150</v>
      </c>
      <c r="D1032" s="1659">
        <v>1.83</v>
      </c>
      <c r="E1032" s="1658">
        <v>8200</v>
      </c>
      <c r="F1032" s="1658">
        <v>8480</v>
      </c>
      <c r="G1032" s="1658">
        <v>8040</v>
      </c>
      <c r="H1032" s="1658">
        <v>1271171</v>
      </c>
      <c r="I1032" s="1658">
        <v>10531219820</v>
      </c>
      <c r="J1032" s="1658">
        <v>397030743200</v>
      </c>
      <c r="K1032" s="1658">
        <v>47548592</v>
      </c>
    </row>
    <row r="1033" spans="1:11" x14ac:dyDescent="0.3">
      <c r="A1033" s="1657">
        <v>43174</v>
      </c>
      <c r="B1033" s="1658">
        <v>8280</v>
      </c>
      <c r="C1033" s="1658">
        <v>-70</v>
      </c>
      <c r="D1033" s="1659">
        <v>-0.84</v>
      </c>
      <c r="E1033" s="1658">
        <v>8420</v>
      </c>
      <c r="F1033" s="1658">
        <v>8430</v>
      </c>
      <c r="G1033" s="1658">
        <v>8170</v>
      </c>
      <c r="H1033" s="1658">
        <v>536186</v>
      </c>
      <c r="I1033" s="1658">
        <v>4434430090</v>
      </c>
      <c r="J1033" s="1658">
        <v>393702341760</v>
      </c>
      <c r="K1033" s="1658">
        <v>47548592</v>
      </c>
    </row>
    <row r="1034" spans="1:11" x14ac:dyDescent="0.3">
      <c r="A1034" s="1657">
        <v>43175</v>
      </c>
      <c r="B1034" s="1658">
        <v>8160</v>
      </c>
      <c r="C1034" s="1658">
        <v>-120</v>
      </c>
      <c r="D1034" s="1659">
        <v>-1.45</v>
      </c>
      <c r="E1034" s="1658">
        <v>8260</v>
      </c>
      <c r="F1034" s="1658">
        <v>8530</v>
      </c>
      <c r="G1034" s="1658">
        <v>8160</v>
      </c>
      <c r="H1034" s="1658">
        <v>786918</v>
      </c>
      <c r="I1034" s="1658">
        <v>6539993850</v>
      </c>
      <c r="J1034" s="1658">
        <v>387996510720</v>
      </c>
      <c r="K1034" s="1658">
        <v>47548592</v>
      </c>
    </row>
    <row r="1035" spans="1:11" x14ac:dyDescent="0.3">
      <c r="A1035" s="1657">
        <v>43178</v>
      </c>
      <c r="B1035" s="1658">
        <v>8210</v>
      </c>
      <c r="C1035" s="1658">
        <v>50</v>
      </c>
      <c r="D1035" s="1659">
        <v>0.61</v>
      </c>
      <c r="E1035" s="1658">
        <v>8150</v>
      </c>
      <c r="F1035" s="1658">
        <v>8300</v>
      </c>
      <c r="G1035" s="1658">
        <v>8060</v>
      </c>
      <c r="H1035" s="1658">
        <v>342974</v>
      </c>
      <c r="I1035" s="1658">
        <v>2811968600</v>
      </c>
      <c r="J1035" s="1658">
        <v>390373940320</v>
      </c>
      <c r="K1035" s="1658">
        <v>47548592</v>
      </c>
    </row>
    <row r="1036" spans="1:11" x14ac:dyDescent="0.3">
      <c r="A1036" s="1657">
        <v>43179</v>
      </c>
      <c r="B1036" s="1658">
        <v>8180</v>
      </c>
      <c r="C1036" s="1658">
        <v>-30</v>
      </c>
      <c r="D1036" s="1659">
        <v>-0.37</v>
      </c>
      <c r="E1036" s="1658">
        <v>8120</v>
      </c>
      <c r="F1036" s="1658">
        <v>8290</v>
      </c>
      <c r="G1036" s="1658">
        <v>8060</v>
      </c>
      <c r="H1036" s="1658">
        <v>330214</v>
      </c>
      <c r="I1036" s="1658">
        <v>2699967760</v>
      </c>
      <c r="J1036" s="1658">
        <v>388947482560</v>
      </c>
      <c r="K1036" s="1658">
        <v>47548592</v>
      </c>
    </row>
    <row r="1037" spans="1:11" x14ac:dyDescent="0.3">
      <c r="A1037" s="1657">
        <v>43180</v>
      </c>
      <c r="B1037" s="1658">
        <v>8350</v>
      </c>
      <c r="C1037" s="1658">
        <v>170</v>
      </c>
      <c r="D1037" s="1659">
        <v>2.08</v>
      </c>
      <c r="E1037" s="1658">
        <v>8240</v>
      </c>
      <c r="F1037" s="1658">
        <v>8770</v>
      </c>
      <c r="G1037" s="1658">
        <v>8120</v>
      </c>
      <c r="H1037" s="1658">
        <v>2096585</v>
      </c>
      <c r="I1037" s="1658">
        <v>17938520020</v>
      </c>
      <c r="J1037" s="1658">
        <v>397030743200</v>
      </c>
      <c r="K1037" s="1658">
        <v>47548592</v>
      </c>
    </row>
    <row r="1038" spans="1:11" x14ac:dyDescent="0.3">
      <c r="A1038" s="1657">
        <v>43181</v>
      </c>
      <c r="B1038" s="1658">
        <v>8350</v>
      </c>
      <c r="C1038" s="1658">
        <v>0</v>
      </c>
      <c r="D1038" s="1659">
        <v>0</v>
      </c>
      <c r="E1038" s="1658">
        <v>8380</v>
      </c>
      <c r="F1038" s="1658">
        <v>8540</v>
      </c>
      <c r="G1038" s="1658">
        <v>8190</v>
      </c>
      <c r="H1038" s="1658">
        <v>644248</v>
      </c>
      <c r="I1038" s="1658">
        <v>5375396850</v>
      </c>
      <c r="J1038" s="1658">
        <v>397030743200</v>
      </c>
      <c r="K1038" s="1658">
        <v>47548592</v>
      </c>
    </row>
    <row r="1039" spans="1:11" x14ac:dyDescent="0.3">
      <c r="A1039" s="1657">
        <v>43182</v>
      </c>
      <c r="B1039" s="1658">
        <v>7640</v>
      </c>
      <c r="C1039" s="1658">
        <v>-710</v>
      </c>
      <c r="D1039" s="1659">
        <v>-8.5</v>
      </c>
      <c r="E1039" s="1658">
        <v>8090</v>
      </c>
      <c r="F1039" s="1658">
        <v>8200</v>
      </c>
      <c r="G1039" s="1658">
        <v>7640</v>
      </c>
      <c r="H1039" s="1658">
        <v>886962</v>
      </c>
      <c r="I1039" s="1658">
        <v>7012107720</v>
      </c>
      <c r="J1039" s="1658">
        <v>363271242880</v>
      </c>
      <c r="K1039" s="1658">
        <v>47548592</v>
      </c>
    </row>
    <row r="1040" spans="1:11" x14ac:dyDescent="0.3">
      <c r="A1040" s="1657">
        <v>43185</v>
      </c>
      <c r="B1040" s="1658">
        <v>7860</v>
      </c>
      <c r="C1040" s="1658">
        <v>220</v>
      </c>
      <c r="D1040" s="1659">
        <v>2.88</v>
      </c>
      <c r="E1040" s="1658">
        <v>7520</v>
      </c>
      <c r="F1040" s="1658">
        <v>7940</v>
      </c>
      <c r="G1040" s="1658">
        <v>7510</v>
      </c>
      <c r="H1040" s="1658">
        <v>416152</v>
      </c>
      <c r="I1040" s="1658">
        <v>3219820510</v>
      </c>
      <c r="J1040" s="1658">
        <v>373731933120</v>
      </c>
      <c r="K1040" s="1658">
        <v>47548592</v>
      </c>
    </row>
    <row r="1041" spans="1:11" x14ac:dyDescent="0.3">
      <c r="A1041" s="1657">
        <v>43186</v>
      </c>
      <c r="B1041" s="1658">
        <v>7770</v>
      </c>
      <c r="C1041" s="1658">
        <v>-90</v>
      </c>
      <c r="D1041" s="1659">
        <v>-1.1499999999999999</v>
      </c>
      <c r="E1041" s="1658">
        <v>7910</v>
      </c>
      <c r="F1041" s="1658">
        <v>8070</v>
      </c>
      <c r="G1041" s="1658">
        <v>7760</v>
      </c>
      <c r="H1041" s="1658">
        <v>295358</v>
      </c>
      <c r="I1041" s="1658">
        <v>2328724230</v>
      </c>
      <c r="J1041" s="1658">
        <v>369452559840</v>
      </c>
      <c r="K1041" s="1658">
        <v>47548592</v>
      </c>
    </row>
    <row r="1042" spans="1:11" x14ac:dyDescent="0.3">
      <c r="A1042" s="1657">
        <v>43187</v>
      </c>
      <c r="B1042" s="1658">
        <v>7600</v>
      </c>
      <c r="C1042" s="1658">
        <v>-170</v>
      </c>
      <c r="D1042" s="1659">
        <v>-2.19</v>
      </c>
      <c r="E1042" s="1658">
        <v>7790</v>
      </c>
      <c r="F1042" s="1658">
        <v>7890</v>
      </c>
      <c r="G1042" s="1658">
        <v>7550</v>
      </c>
      <c r="H1042" s="1658">
        <v>260232</v>
      </c>
      <c r="I1042" s="1658">
        <v>1989511050</v>
      </c>
      <c r="J1042" s="1658">
        <v>361369299200</v>
      </c>
      <c r="K1042" s="1658">
        <v>47548592</v>
      </c>
    </row>
    <row r="1043" spans="1:11" x14ac:dyDescent="0.3">
      <c r="A1043" s="1657">
        <v>43188</v>
      </c>
      <c r="B1043" s="1658">
        <v>7650</v>
      </c>
      <c r="C1043" s="1658">
        <v>50</v>
      </c>
      <c r="D1043" s="1659">
        <v>0.66</v>
      </c>
      <c r="E1043" s="1658">
        <v>7630</v>
      </c>
      <c r="F1043" s="1658">
        <v>7740</v>
      </c>
      <c r="G1043" s="1658">
        <v>7570</v>
      </c>
      <c r="H1043" s="1658">
        <v>188232</v>
      </c>
      <c r="I1043" s="1658">
        <v>1437959160</v>
      </c>
      <c r="J1043" s="1658">
        <v>363746728800</v>
      </c>
      <c r="K1043" s="1658">
        <v>47548592</v>
      </c>
    </row>
    <row r="1044" spans="1:11" x14ac:dyDescent="0.3">
      <c r="A1044" s="1657">
        <v>43189</v>
      </c>
      <c r="B1044" s="1658">
        <v>7830</v>
      </c>
      <c r="C1044" s="1658">
        <v>180</v>
      </c>
      <c r="D1044" s="1659">
        <v>2.35</v>
      </c>
      <c r="E1044" s="1658">
        <v>7680</v>
      </c>
      <c r="F1044" s="1658">
        <v>8110</v>
      </c>
      <c r="G1044" s="1658">
        <v>7640</v>
      </c>
      <c r="H1044" s="1658">
        <v>465720</v>
      </c>
      <c r="I1044" s="1658">
        <v>3676084840</v>
      </c>
      <c r="J1044" s="1658">
        <v>372305475360</v>
      </c>
      <c r="K1044" s="1658">
        <v>47548592</v>
      </c>
    </row>
    <row r="1045" spans="1:11" x14ac:dyDescent="0.3">
      <c r="A1045" s="1657">
        <v>43192</v>
      </c>
      <c r="B1045" s="1658">
        <v>8150</v>
      </c>
      <c r="C1045" s="1658">
        <v>320</v>
      </c>
      <c r="D1045" s="1659">
        <v>4.09</v>
      </c>
      <c r="E1045" s="1658">
        <v>7830</v>
      </c>
      <c r="F1045" s="1658">
        <v>8160</v>
      </c>
      <c r="G1045" s="1658">
        <v>7800</v>
      </c>
      <c r="H1045" s="1658">
        <v>455736</v>
      </c>
      <c r="I1045" s="1658">
        <v>3644140520</v>
      </c>
      <c r="J1045" s="1658">
        <v>387521024800</v>
      </c>
      <c r="K1045" s="1658">
        <v>47548592</v>
      </c>
    </row>
    <row r="1046" spans="1:11" x14ac:dyDescent="0.3">
      <c r="A1046" s="1657">
        <v>43193</v>
      </c>
      <c r="B1046" s="1658">
        <v>8170</v>
      </c>
      <c r="C1046" s="1658">
        <v>20</v>
      </c>
      <c r="D1046" s="1659">
        <v>0.25</v>
      </c>
      <c r="E1046" s="1658">
        <v>8120</v>
      </c>
      <c r="F1046" s="1658">
        <v>8240</v>
      </c>
      <c r="G1046" s="1658">
        <v>8000</v>
      </c>
      <c r="H1046" s="1658">
        <v>356767</v>
      </c>
      <c r="I1046" s="1658">
        <v>2891090960</v>
      </c>
      <c r="J1046" s="1658">
        <v>388471996640</v>
      </c>
      <c r="K1046" s="1658">
        <v>47548592</v>
      </c>
    </row>
    <row r="1047" spans="1:11" x14ac:dyDescent="0.3">
      <c r="A1047" s="1657">
        <v>43194</v>
      </c>
      <c r="B1047" s="1658">
        <v>7770</v>
      </c>
      <c r="C1047" s="1658">
        <v>-400</v>
      </c>
      <c r="D1047" s="1659">
        <v>-4.9000000000000004</v>
      </c>
      <c r="E1047" s="1658">
        <v>8230</v>
      </c>
      <c r="F1047" s="1658">
        <v>8230</v>
      </c>
      <c r="G1047" s="1658">
        <v>7770</v>
      </c>
      <c r="H1047" s="1658">
        <v>499484</v>
      </c>
      <c r="I1047" s="1658">
        <v>3954720920</v>
      </c>
      <c r="J1047" s="1658">
        <v>369452559840</v>
      </c>
      <c r="K1047" s="1658">
        <v>47548592</v>
      </c>
    </row>
    <row r="1048" spans="1:11" x14ac:dyDescent="0.3">
      <c r="A1048" s="1657">
        <v>43195</v>
      </c>
      <c r="B1048" s="1658">
        <v>7790</v>
      </c>
      <c r="C1048" s="1658">
        <v>20</v>
      </c>
      <c r="D1048" s="1659">
        <v>0.26</v>
      </c>
      <c r="E1048" s="1658">
        <v>7840</v>
      </c>
      <c r="F1048" s="1658">
        <v>7900</v>
      </c>
      <c r="G1048" s="1658">
        <v>7770</v>
      </c>
      <c r="H1048" s="1658">
        <v>203237</v>
      </c>
      <c r="I1048" s="1658">
        <v>1587159620</v>
      </c>
      <c r="J1048" s="1658">
        <v>370403531680</v>
      </c>
      <c r="K1048" s="1658">
        <v>47548592</v>
      </c>
    </row>
    <row r="1049" spans="1:11" x14ac:dyDescent="0.3">
      <c r="A1049" s="1657">
        <v>43196</v>
      </c>
      <c r="B1049" s="1658">
        <v>7830</v>
      </c>
      <c r="C1049" s="1658">
        <v>40</v>
      </c>
      <c r="D1049" s="1659">
        <v>0.51</v>
      </c>
      <c r="E1049" s="1658">
        <v>8000</v>
      </c>
      <c r="F1049" s="1658">
        <v>8790</v>
      </c>
      <c r="G1049" s="1658">
        <v>7750</v>
      </c>
      <c r="H1049" s="1658">
        <v>2605528</v>
      </c>
      <c r="I1049" s="1658">
        <v>21565841350</v>
      </c>
      <c r="J1049" s="1658">
        <v>372305475360</v>
      </c>
      <c r="K1049" s="1658">
        <v>47548592</v>
      </c>
    </row>
    <row r="1050" spans="1:11" x14ac:dyDescent="0.3">
      <c r="A1050" s="1657">
        <v>43199</v>
      </c>
      <c r="B1050" s="1658">
        <v>7720</v>
      </c>
      <c r="C1050" s="1658">
        <v>-110</v>
      </c>
      <c r="D1050" s="1659">
        <v>-1.4</v>
      </c>
      <c r="E1050" s="1658">
        <v>7810</v>
      </c>
      <c r="F1050" s="1658">
        <v>7900</v>
      </c>
      <c r="G1050" s="1658">
        <v>7670</v>
      </c>
      <c r="H1050" s="1658">
        <v>309823</v>
      </c>
      <c r="I1050" s="1658">
        <v>2401080830</v>
      </c>
      <c r="J1050" s="1658">
        <v>367075130240</v>
      </c>
      <c r="K1050" s="1658">
        <v>47548592</v>
      </c>
    </row>
    <row r="1051" spans="1:11" x14ac:dyDescent="0.3">
      <c r="A1051" s="1657">
        <v>43200</v>
      </c>
      <c r="B1051" s="1658">
        <v>7900</v>
      </c>
      <c r="C1051" s="1658">
        <v>180</v>
      </c>
      <c r="D1051" s="1659">
        <v>2.33</v>
      </c>
      <c r="E1051" s="1658">
        <v>7800</v>
      </c>
      <c r="F1051" s="1658">
        <v>7980</v>
      </c>
      <c r="G1051" s="1658">
        <v>7720</v>
      </c>
      <c r="H1051" s="1658">
        <v>305908</v>
      </c>
      <c r="I1051" s="1658">
        <v>2412167560</v>
      </c>
      <c r="J1051" s="1658">
        <v>375633876800</v>
      </c>
      <c r="K1051" s="1658">
        <v>47548592</v>
      </c>
    </row>
    <row r="1052" spans="1:11" x14ac:dyDescent="0.3">
      <c r="A1052" s="1657">
        <v>43201</v>
      </c>
      <c r="B1052" s="1658">
        <v>7960</v>
      </c>
      <c r="C1052" s="1658">
        <v>60</v>
      </c>
      <c r="D1052" s="1659">
        <v>0.76</v>
      </c>
      <c r="E1052" s="1658">
        <v>7860</v>
      </c>
      <c r="F1052" s="1658">
        <v>8150</v>
      </c>
      <c r="G1052" s="1658">
        <v>7850</v>
      </c>
      <c r="H1052" s="1658">
        <v>352191</v>
      </c>
      <c r="I1052" s="1658">
        <v>2822775490</v>
      </c>
      <c r="J1052" s="1658">
        <v>378486792320</v>
      </c>
      <c r="K1052" s="1658">
        <v>47548592</v>
      </c>
    </row>
    <row r="1053" spans="1:11" x14ac:dyDescent="0.3">
      <c r="A1053" s="1657">
        <v>43202</v>
      </c>
      <c r="B1053" s="1658">
        <v>7990</v>
      </c>
      <c r="C1053" s="1658">
        <v>30</v>
      </c>
      <c r="D1053" s="1659">
        <v>0.38</v>
      </c>
      <c r="E1053" s="1658">
        <v>8010</v>
      </c>
      <c r="F1053" s="1658">
        <v>8250</v>
      </c>
      <c r="G1053" s="1658">
        <v>7990</v>
      </c>
      <c r="H1053" s="1658">
        <v>586114</v>
      </c>
      <c r="I1053" s="1658">
        <v>4746643700</v>
      </c>
      <c r="J1053" s="1658">
        <v>379913250080</v>
      </c>
      <c r="K1053" s="1658">
        <v>47548592</v>
      </c>
    </row>
    <row r="1054" spans="1:11" x14ac:dyDescent="0.3">
      <c r="A1054" s="1657">
        <v>43203</v>
      </c>
      <c r="B1054" s="1658">
        <v>8420</v>
      </c>
      <c r="C1054" s="1658">
        <v>430</v>
      </c>
      <c r="D1054" s="1659">
        <v>5.38</v>
      </c>
      <c r="E1054" s="1658">
        <v>8000</v>
      </c>
      <c r="F1054" s="1658">
        <v>8500</v>
      </c>
      <c r="G1054" s="1658">
        <v>8000</v>
      </c>
      <c r="H1054" s="1658">
        <v>1207198</v>
      </c>
      <c r="I1054" s="1658">
        <v>10069861450</v>
      </c>
      <c r="J1054" s="1658">
        <v>400359144640</v>
      </c>
      <c r="K1054" s="1658">
        <v>47548592</v>
      </c>
    </row>
    <row r="1055" spans="1:11" x14ac:dyDescent="0.3">
      <c r="A1055" s="1657">
        <v>43206</v>
      </c>
      <c r="B1055" s="1658">
        <v>8540</v>
      </c>
      <c r="C1055" s="1658">
        <v>120</v>
      </c>
      <c r="D1055" s="1659">
        <v>1.43</v>
      </c>
      <c r="E1055" s="1658">
        <v>8700</v>
      </c>
      <c r="F1055" s="1658">
        <v>9040</v>
      </c>
      <c r="G1055" s="1658">
        <v>8420</v>
      </c>
      <c r="H1055" s="1658">
        <v>1962285</v>
      </c>
      <c r="I1055" s="1658">
        <v>17121250610</v>
      </c>
      <c r="J1055" s="1658">
        <v>406064975680</v>
      </c>
      <c r="K1055" s="1658">
        <v>47548592</v>
      </c>
    </row>
    <row r="1056" spans="1:11" x14ac:dyDescent="0.3">
      <c r="A1056" s="1657">
        <v>43207</v>
      </c>
      <c r="B1056" s="1658">
        <v>8980</v>
      </c>
      <c r="C1056" s="1658">
        <v>440</v>
      </c>
      <c r="D1056" s="1659">
        <v>5.15</v>
      </c>
      <c r="E1056" s="1658">
        <v>8550</v>
      </c>
      <c r="F1056" s="1658">
        <v>9100</v>
      </c>
      <c r="G1056" s="1658">
        <v>8410</v>
      </c>
      <c r="H1056" s="1658">
        <v>1423029</v>
      </c>
      <c r="I1056" s="1658">
        <v>12617295770</v>
      </c>
      <c r="J1056" s="1658">
        <v>426986356160</v>
      </c>
      <c r="K1056" s="1658">
        <v>47548592</v>
      </c>
    </row>
    <row r="1057" spans="1:11" x14ac:dyDescent="0.3">
      <c r="A1057" s="1657">
        <v>43208</v>
      </c>
      <c r="B1057" s="1658">
        <v>8680</v>
      </c>
      <c r="C1057" s="1658">
        <v>-300</v>
      </c>
      <c r="D1057" s="1659">
        <v>-3.34</v>
      </c>
      <c r="E1057" s="1658">
        <v>9000</v>
      </c>
      <c r="F1057" s="1658">
        <v>9040</v>
      </c>
      <c r="G1057" s="1658">
        <v>8620</v>
      </c>
      <c r="H1057" s="1658">
        <v>843583</v>
      </c>
      <c r="I1057" s="1658">
        <v>7401216720</v>
      </c>
      <c r="J1057" s="1658">
        <v>412721778560</v>
      </c>
      <c r="K1057" s="1658">
        <v>47548592</v>
      </c>
    </row>
    <row r="1058" spans="1:11" x14ac:dyDescent="0.3">
      <c r="A1058" s="1657">
        <v>43209</v>
      </c>
      <c r="B1058" s="1658">
        <v>8260</v>
      </c>
      <c r="C1058" s="1658">
        <v>-420</v>
      </c>
      <c r="D1058" s="1659">
        <v>-4.84</v>
      </c>
      <c r="E1058" s="1658">
        <v>8680</v>
      </c>
      <c r="F1058" s="1658">
        <v>8690</v>
      </c>
      <c r="G1058" s="1658">
        <v>8150</v>
      </c>
      <c r="H1058" s="1658">
        <v>649786</v>
      </c>
      <c r="I1058" s="1658">
        <v>5432124040</v>
      </c>
      <c r="J1058" s="1658">
        <v>392751369920</v>
      </c>
      <c r="K1058" s="1658">
        <v>47548592</v>
      </c>
    </row>
    <row r="1059" spans="1:11" x14ac:dyDescent="0.3">
      <c r="A1059" s="1657">
        <v>43210</v>
      </c>
      <c r="B1059" s="1658">
        <v>8300</v>
      </c>
      <c r="C1059" s="1658">
        <v>40</v>
      </c>
      <c r="D1059" s="1659">
        <v>0.48</v>
      </c>
      <c r="E1059" s="1658">
        <v>8240</v>
      </c>
      <c r="F1059" s="1658">
        <v>8420</v>
      </c>
      <c r="G1059" s="1658">
        <v>8200</v>
      </c>
      <c r="H1059" s="1658">
        <v>268967</v>
      </c>
      <c r="I1059" s="1658">
        <v>2230752380</v>
      </c>
      <c r="J1059" s="1658">
        <v>394653313600</v>
      </c>
      <c r="K1059" s="1658">
        <v>47548592</v>
      </c>
    </row>
    <row r="1060" spans="1:11" x14ac:dyDescent="0.3">
      <c r="A1060" s="1657">
        <v>43213</v>
      </c>
      <c r="B1060" s="1658">
        <v>7960</v>
      </c>
      <c r="C1060" s="1658">
        <v>-340</v>
      </c>
      <c r="D1060" s="1659">
        <v>-4.0999999999999996</v>
      </c>
      <c r="E1060" s="1658">
        <v>8220</v>
      </c>
      <c r="F1060" s="1658">
        <v>8290</v>
      </c>
      <c r="G1060" s="1658">
        <v>7920</v>
      </c>
      <c r="H1060" s="1658">
        <v>443614</v>
      </c>
      <c r="I1060" s="1658">
        <v>3562932840</v>
      </c>
      <c r="J1060" s="1658">
        <v>378486792320</v>
      </c>
      <c r="K1060" s="1658">
        <v>47548592</v>
      </c>
    </row>
    <row r="1061" spans="1:11" x14ac:dyDescent="0.3">
      <c r="A1061" s="1657">
        <v>43214</v>
      </c>
      <c r="B1061" s="1658">
        <v>7900</v>
      </c>
      <c r="C1061" s="1658">
        <v>-60</v>
      </c>
      <c r="D1061" s="1659">
        <v>-0.75</v>
      </c>
      <c r="E1061" s="1658">
        <v>7900</v>
      </c>
      <c r="F1061" s="1658">
        <v>8130</v>
      </c>
      <c r="G1061" s="1658">
        <v>7710</v>
      </c>
      <c r="H1061" s="1658">
        <v>295547</v>
      </c>
      <c r="I1061" s="1658">
        <v>2352622080</v>
      </c>
      <c r="J1061" s="1658">
        <v>375633876800</v>
      </c>
      <c r="K1061" s="1658">
        <v>47548592</v>
      </c>
    </row>
    <row r="1062" spans="1:11" x14ac:dyDescent="0.3">
      <c r="A1062" s="1657">
        <v>43215</v>
      </c>
      <c r="B1062" s="1658">
        <v>7930</v>
      </c>
      <c r="C1062" s="1658">
        <v>30</v>
      </c>
      <c r="D1062" s="1659">
        <v>0.38</v>
      </c>
      <c r="E1062" s="1658">
        <v>7850</v>
      </c>
      <c r="F1062" s="1658">
        <v>8050</v>
      </c>
      <c r="G1062" s="1658">
        <v>7810</v>
      </c>
      <c r="H1062" s="1658">
        <v>223309</v>
      </c>
      <c r="I1062" s="1658">
        <v>1764362490</v>
      </c>
      <c r="J1062" s="1658">
        <v>377060334560</v>
      </c>
      <c r="K1062" s="1658">
        <v>47548592</v>
      </c>
    </row>
    <row r="1063" spans="1:11" x14ac:dyDescent="0.3">
      <c r="A1063" s="1657">
        <v>43216</v>
      </c>
      <c r="B1063" s="1658">
        <v>7940</v>
      </c>
      <c r="C1063" s="1658">
        <v>10</v>
      </c>
      <c r="D1063" s="1659">
        <v>0.13</v>
      </c>
      <c r="E1063" s="1658">
        <v>7930</v>
      </c>
      <c r="F1063" s="1658">
        <v>8100</v>
      </c>
      <c r="G1063" s="1658">
        <v>7860</v>
      </c>
      <c r="H1063" s="1658">
        <v>170527</v>
      </c>
      <c r="I1063" s="1658">
        <v>1363219340</v>
      </c>
      <c r="J1063" s="1658">
        <v>377535820480</v>
      </c>
      <c r="K1063" s="1658">
        <v>47548592</v>
      </c>
    </row>
    <row r="1064" spans="1:11" x14ac:dyDescent="0.3">
      <c r="A1064" s="1657">
        <v>43217</v>
      </c>
      <c r="B1064" s="1658">
        <v>7930</v>
      </c>
      <c r="C1064" s="1658">
        <v>-10</v>
      </c>
      <c r="D1064" s="1659">
        <v>-0.13</v>
      </c>
      <c r="E1064" s="1658">
        <v>7940</v>
      </c>
      <c r="F1064" s="1658">
        <v>8050</v>
      </c>
      <c r="G1064" s="1658">
        <v>7760</v>
      </c>
      <c r="H1064" s="1658">
        <v>199181</v>
      </c>
      <c r="I1064" s="1658">
        <v>1570746200</v>
      </c>
      <c r="J1064" s="1658">
        <v>377060334560</v>
      </c>
      <c r="K1064" s="1658">
        <v>47548592</v>
      </c>
    </row>
    <row r="1065" spans="1:11" x14ac:dyDescent="0.3">
      <c r="A1065" s="1657">
        <v>43220</v>
      </c>
      <c r="B1065" s="1658">
        <v>7650</v>
      </c>
      <c r="C1065" s="1658">
        <v>-280</v>
      </c>
      <c r="D1065" s="1659">
        <v>-3.53</v>
      </c>
      <c r="E1065" s="1658">
        <v>7960</v>
      </c>
      <c r="F1065" s="1658">
        <v>7960</v>
      </c>
      <c r="G1065" s="1658">
        <v>7560</v>
      </c>
      <c r="H1065" s="1658">
        <v>441434</v>
      </c>
      <c r="I1065" s="1658">
        <v>3379065090</v>
      </c>
      <c r="J1065" s="1658">
        <v>363746728800</v>
      </c>
      <c r="K1065" s="1658">
        <v>47548592</v>
      </c>
    </row>
    <row r="1066" spans="1:11" x14ac:dyDescent="0.3">
      <c r="A1066" s="1657">
        <v>43222</v>
      </c>
      <c r="B1066" s="1658">
        <v>7490</v>
      </c>
      <c r="C1066" s="1658">
        <v>-160</v>
      </c>
      <c r="D1066" s="1659">
        <v>-2.09</v>
      </c>
      <c r="E1066" s="1658">
        <v>7650</v>
      </c>
      <c r="F1066" s="1658">
        <v>7650</v>
      </c>
      <c r="G1066" s="1658">
        <v>7340</v>
      </c>
      <c r="H1066" s="1658">
        <v>354883</v>
      </c>
      <c r="I1066" s="1658">
        <v>2645454450</v>
      </c>
      <c r="J1066" s="1658">
        <v>356138954080</v>
      </c>
      <c r="K1066" s="1658">
        <v>47548592</v>
      </c>
    </row>
    <row r="1067" spans="1:11" x14ac:dyDescent="0.3">
      <c r="A1067" s="1657">
        <v>43223</v>
      </c>
      <c r="B1067" s="1658">
        <v>7570</v>
      </c>
      <c r="C1067" s="1658">
        <v>80</v>
      </c>
      <c r="D1067" s="1659">
        <v>1.07</v>
      </c>
      <c r="E1067" s="1658">
        <v>7420</v>
      </c>
      <c r="F1067" s="1658">
        <v>7650</v>
      </c>
      <c r="G1067" s="1658">
        <v>7410</v>
      </c>
      <c r="H1067" s="1658">
        <v>159370</v>
      </c>
      <c r="I1067" s="1658">
        <v>1196353000</v>
      </c>
      <c r="J1067" s="1658">
        <v>359942841440</v>
      </c>
      <c r="K1067" s="1658">
        <v>47548592</v>
      </c>
    </row>
    <row r="1068" spans="1:11" x14ac:dyDescent="0.3">
      <c r="A1068" s="1657">
        <v>43224</v>
      </c>
      <c r="B1068" s="1658">
        <v>7290</v>
      </c>
      <c r="C1068" s="1658">
        <v>-280</v>
      </c>
      <c r="D1068" s="1659">
        <v>-3.7</v>
      </c>
      <c r="E1068" s="1658">
        <v>7600</v>
      </c>
      <c r="F1068" s="1658">
        <v>7600</v>
      </c>
      <c r="G1068" s="1658">
        <v>7220</v>
      </c>
      <c r="H1068" s="1658">
        <v>256687</v>
      </c>
      <c r="I1068" s="1658">
        <v>1888227370</v>
      </c>
      <c r="J1068" s="1658">
        <v>346629235680</v>
      </c>
      <c r="K1068" s="1658">
        <v>47548592</v>
      </c>
    </row>
    <row r="1069" spans="1:11" x14ac:dyDescent="0.3">
      <c r="A1069" s="1657">
        <v>43228</v>
      </c>
      <c r="B1069" s="1658">
        <v>6760</v>
      </c>
      <c r="C1069" s="1658">
        <v>-530</v>
      </c>
      <c r="D1069" s="1659">
        <v>-7.27</v>
      </c>
      <c r="E1069" s="1658">
        <v>7050</v>
      </c>
      <c r="F1069" s="1658">
        <v>7240</v>
      </c>
      <c r="G1069" s="1658">
        <v>6670</v>
      </c>
      <c r="H1069" s="1658">
        <v>498197</v>
      </c>
      <c r="I1069" s="1658">
        <v>3465651260</v>
      </c>
      <c r="J1069" s="1658">
        <v>321428481920</v>
      </c>
      <c r="K1069" s="1658">
        <v>47548592</v>
      </c>
    </row>
    <row r="1070" spans="1:11" x14ac:dyDescent="0.3">
      <c r="A1070" s="1657">
        <v>43229</v>
      </c>
      <c r="B1070" s="1658">
        <v>6960</v>
      </c>
      <c r="C1070" s="1658">
        <v>200</v>
      </c>
      <c r="D1070" s="1659">
        <v>2.96</v>
      </c>
      <c r="E1070" s="1658">
        <v>6850</v>
      </c>
      <c r="F1070" s="1658">
        <v>7040</v>
      </c>
      <c r="G1070" s="1658">
        <v>6740</v>
      </c>
      <c r="H1070" s="1658">
        <v>141256</v>
      </c>
      <c r="I1070" s="1658">
        <v>976876600</v>
      </c>
      <c r="J1070" s="1658">
        <v>330938200320</v>
      </c>
      <c r="K1070" s="1658">
        <v>47548592</v>
      </c>
    </row>
    <row r="1071" spans="1:11" x14ac:dyDescent="0.3">
      <c r="A1071" s="1657">
        <v>43230</v>
      </c>
      <c r="B1071" s="1658">
        <v>6970</v>
      </c>
      <c r="C1071" s="1658">
        <v>10</v>
      </c>
      <c r="D1071" s="1659">
        <v>0.14000000000000001</v>
      </c>
      <c r="E1071" s="1658">
        <v>7020</v>
      </c>
      <c r="F1071" s="1658">
        <v>7090</v>
      </c>
      <c r="G1071" s="1658">
        <v>6840</v>
      </c>
      <c r="H1071" s="1658">
        <v>137256</v>
      </c>
      <c r="I1071" s="1658">
        <v>953243900</v>
      </c>
      <c r="J1071" s="1658">
        <v>331413686240</v>
      </c>
      <c r="K1071" s="1658">
        <v>47548592</v>
      </c>
    </row>
    <row r="1072" spans="1:11" x14ac:dyDescent="0.3">
      <c r="A1072" s="1657">
        <v>43231</v>
      </c>
      <c r="B1072" s="1658">
        <v>7040</v>
      </c>
      <c r="C1072" s="1658">
        <v>70</v>
      </c>
      <c r="D1072" s="1659">
        <v>1</v>
      </c>
      <c r="E1072" s="1658">
        <v>6990</v>
      </c>
      <c r="F1072" s="1658">
        <v>7190</v>
      </c>
      <c r="G1072" s="1658">
        <v>6980</v>
      </c>
      <c r="H1072" s="1658">
        <v>82190</v>
      </c>
      <c r="I1072" s="1658">
        <v>580290440</v>
      </c>
      <c r="J1072" s="1658">
        <v>334742087680</v>
      </c>
      <c r="K1072" s="1658">
        <v>47548592</v>
      </c>
    </row>
    <row r="1073" spans="1:11" x14ac:dyDescent="0.3">
      <c r="A1073" s="1657">
        <v>43234</v>
      </c>
      <c r="B1073" s="1658">
        <v>7010</v>
      </c>
      <c r="C1073" s="1658">
        <v>-30</v>
      </c>
      <c r="D1073" s="1659">
        <v>-0.43</v>
      </c>
      <c r="E1073" s="1658">
        <v>7160</v>
      </c>
      <c r="F1073" s="1658">
        <v>7170</v>
      </c>
      <c r="G1073" s="1658">
        <v>6960</v>
      </c>
      <c r="H1073" s="1658">
        <v>123659</v>
      </c>
      <c r="I1073" s="1658">
        <v>869417680</v>
      </c>
      <c r="J1073" s="1658">
        <v>333315629920</v>
      </c>
      <c r="K1073" s="1658">
        <v>47548592</v>
      </c>
    </row>
    <row r="1074" spans="1:11" x14ac:dyDescent="0.3">
      <c r="A1074" s="1657">
        <v>43235</v>
      </c>
      <c r="B1074" s="1658">
        <v>7040</v>
      </c>
      <c r="C1074" s="1658">
        <v>30</v>
      </c>
      <c r="D1074" s="1659">
        <v>0.43</v>
      </c>
      <c r="E1074" s="1658">
        <v>7080</v>
      </c>
      <c r="F1074" s="1658">
        <v>7080</v>
      </c>
      <c r="G1074" s="1658">
        <v>6980</v>
      </c>
      <c r="H1074" s="1658">
        <v>74003</v>
      </c>
      <c r="I1074" s="1658">
        <v>519678300</v>
      </c>
      <c r="J1074" s="1658">
        <v>334742087680</v>
      </c>
      <c r="K1074" s="1658">
        <v>47548592</v>
      </c>
    </row>
    <row r="1075" spans="1:11" x14ac:dyDescent="0.3">
      <c r="A1075" s="1657">
        <v>43236</v>
      </c>
      <c r="B1075" s="1658">
        <v>6900</v>
      </c>
      <c r="C1075" s="1658">
        <v>-140</v>
      </c>
      <c r="D1075" s="1659">
        <v>-1.99</v>
      </c>
      <c r="E1075" s="1658">
        <v>7070</v>
      </c>
      <c r="F1075" s="1658">
        <v>7090</v>
      </c>
      <c r="G1075" s="1658">
        <v>6830</v>
      </c>
      <c r="H1075" s="1658">
        <v>121108</v>
      </c>
      <c r="I1075" s="1658">
        <v>838480860</v>
      </c>
      <c r="J1075" s="1658">
        <v>328085284800</v>
      </c>
      <c r="K1075" s="1658">
        <v>47548592</v>
      </c>
    </row>
    <row r="1076" spans="1:11" x14ac:dyDescent="0.3">
      <c r="A1076" s="1657">
        <v>43237</v>
      </c>
      <c r="B1076" s="1658">
        <v>7400</v>
      </c>
      <c r="C1076" s="1658">
        <v>500</v>
      </c>
      <c r="D1076" s="1659">
        <v>7.25</v>
      </c>
      <c r="E1076" s="1658">
        <v>7070</v>
      </c>
      <c r="F1076" s="1658">
        <v>7770</v>
      </c>
      <c r="G1076" s="1658">
        <v>7070</v>
      </c>
      <c r="H1076" s="1658">
        <v>856661</v>
      </c>
      <c r="I1076" s="1658">
        <v>6374382390</v>
      </c>
      <c r="J1076" s="1658">
        <v>351859580800</v>
      </c>
      <c r="K1076" s="1658">
        <v>47548592</v>
      </c>
    </row>
    <row r="1077" spans="1:11" x14ac:dyDescent="0.3">
      <c r="A1077" s="1657">
        <v>43238</v>
      </c>
      <c r="B1077" s="1658">
        <v>7620</v>
      </c>
      <c r="C1077" s="1658">
        <v>220</v>
      </c>
      <c r="D1077" s="1659">
        <v>2.97</v>
      </c>
      <c r="E1077" s="1658">
        <v>7460</v>
      </c>
      <c r="F1077" s="1658">
        <v>7700</v>
      </c>
      <c r="G1077" s="1658">
        <v>7410</v>
      </c>
      <c r="H1077" s="1658">
        <v>332811</v>
      </c>
      <c r="I1077" s="1658">
        <v>2535587480</v>
      </c>
      <c r="J1077" s="1658">
        <v>362320271040</v>
      </c>
      <c r="K1077" s="1658">
        <v>47548592</v>
      </c>
    </row>
    <row r="1078" spans="1:11" x14ac:dyDescent="0.3">
      <c r="A1078" s="1657">
        <v>43241</v>
      </c>
      <c r="B1078" s="1658">
        <v>7580</v>
      </c>
      <c r="C1078" s="1658">
        <v>-40</v>
      </c>
      <c r="D1078" s="1659">
        <v>-0.52</v>
      </c>
      <c r="E1078" s="1658">
        <v>7800</v>
      </c>
      <c r="F1078" s="1658">
        <v>7800</v>
      </c>
      <c r="G1078" s="1658">
        <v>7540</v>
      </c>
      <c r="H1078" s="1658">
        <v>164744</v>
      </c>
      <c r="I1078" s="1658">
        <v>1262429610</v>
      </c>
      <c r="J1078" s="1658">
        <v>360418327360</v>
      </c>
      <c r="K1078" s="1658">
        <v>47548592</v>
      </c>
    </row>
    <row r="1079" spans="1:11" x14ac:dyDescent="0.3">
      <c r="A1079" s="1657">
        <v>43243</v>
      </c>
      <c r="B1079" s="1658">
        <v>7950</v>
      </c>
      <c r="C1079" s="1658">
        <v>370</v>
      </c>
      <c r="D1079" s="1659">
        <v>4.88</v>
      </c>
      <c r="E1079" s="1658">
        <v>7550</v>
      </c>
      <c r="F1079" s="1658">
        <v>7960</v>
      </c>
      <c r="G1079" s="1658">
        <v>7510</v>
      </c>
      <c r="H1079" s="1658">
        <v>277459</v>
      </c>
      <c r="I1079" s="1658">
        <v>2149659130</v>
      </c>
      <c r="J1079" s="1658">
        <v>378011306400</v>
      </c>
      <c r="K1079" s="1658">
        <v>47548592</v>
      </c>
    </row>
    <row r="1080" spans="1:11" x14ac:dyDescent="0.3">
      <c r="A1080" s="1657">
        <v>43244</v>
      </c>
      <c r="B1080" s="1658">
        <v>8500</v>
      </c>
      <c r="C1080" s="1658">
        <v>550</v>
      </c>
      <c r="D1080" s="1659">
        <v>6.92</v>
      </c>
      <c r="E1080" s="1658">
        <v>7930</v>
      </c>
      <c r="F1080" s="1658">
        <v>8800</v>
      </c>
      <c r="G1080" s="1658">
        <v>7820</v>
      </c>
      <c r="H1080" s="1658">
        <v>2715739</v>
      </c>
      <c r="I1080" s="1658">
        <v>22951176880</v>
      </c>
      <c r="J1080" s="1658">
        <v>404163032000</v>
      </c>
      <c r="K1080" s="1658">
        <v>47548592</v>
      </c>
    </row>
    <row r="1081" spans="1:11" x14ac:dyDescent="0.3">
      <c r="A1081" s="1657">
        <v>43245</v>
      </c>
      <c r="B1081" s="1658">
        <v>8750</v>
      </c>
      <c r="C1081" s="1658">
        <v>250</v>
      </c>
      <c r="D1081" s="1659">
        <v>2.94</v>
      </c>
      <c r="E1081" s="1658">
        <v>8220</v>
      </c>
      <c r="F1081" s="1658">
        <v>9400</v>
      </c>
      <c r="G1081" s="1658">
        <v>8210</v>
      </c>
      <c r="H1081" s="1658">
        <v>5376305</v>
      </c>
      <c r="I1081" s="1658">
        <v>48043977940</v>
      </c>
      <c r="J1081" s="1658">
        <v>416050180000</v>
      </c>
      <c r="K1081" s="1658">
        <v>47548592</v>
      </c>
    </row>
    <row r="1082" spans="1:11" x14ac:dyDescent="0.3">
      <c r="A1082" s="1657">
        <v>43248</v>
      </c>
      <c r="B1082" s="1658">
        <v>8560</v>
      </c>
      <c r="C1082" s="1658">
        <v>-190</v>
      </c>
      <c r="D1082" s="1659">
        <v>-2.17</v>
      </c>
      <c r="E1082" s="1658">
        <v>8760</v>
      </c>
      <c r="F1082" s="1658">
        <v>9050</v>
      </c>
      <c r="G1082" s="1658">
        <v>8340</v>
      </c>
      <c r="H1082" s="1658">
        <v>1635504</v>
      </c>
      <c r="I1082" s="1658">
        <v>14291622890</v>
      </c>
      <c r="J1082" s="1658">
        <v>407015947520</v>
      </c>
      <c r="K1082" s="1658">
        <v>47548592</v>
      </c>
    </row>
    <row r="1083" spans="1:11" x14ac:dyDescent="0.3">
      <c r="A1083" s="1657">
        <v>43249</v>
      </c>
      <c r="B1083" s="1658">
        <v>9610</v>
      </c>
      <c r="C1083" s="1658">
        <v>1050</v>
      </c>
      <c r="D1083" s="1659">
        <v>12.27</v>
      </c>
      <c r="E1083" s="1658">
        <v>9180</v>
      </c>
      <c r="F1083" s="1658">
        <v>10900</v>
      </c>
      <c r="G1083" s="1658">
        <v>9120</v>
      </c>
      <c r="H1083" s="1658">
        <v>13525832</v>
      </c>
      <c r="I1083" s="1658">
        <v>134495598340</v>
      </c>
      <c r="J1083" s="1658">
        <v>456941969120</v>
      </c>
      <c r="K1083" s="1658">
        <v>47548592</v>
      </c>
    </row>
    <row r="1084" spans="1:11" x14ac:dyDescent="0.3">
      <c r="A1084" s="1657">
        <v>43250</v>
      </c>
      <c r="B1084" s="1658">
        <v>10350</v>
      </c>
      <c r="C1084" s="1658">
        <v>740</v>
      </c>
      <c r="D1084" s="1659">
        <v>7.7</v>
      </c>
      <c r="E1084" s="1658">
        <v>9950</v>
      </c>
      <c r="F1084" s="1658">
        <v>11550</v>
      </c>
      <c r="G1084" s="1658">
        <v>9800</v>
      </c>
      <c r="H1084" s="1658">
        <v>13615524</v>
      </c>
      <c r="I1084" s="1658">
        <v>146133891080</v>
      </c>
      <c r="J1084" s="1658">
        <v>492127927200</v>
      </c>
      <c r="K1084" s="1658">
        <v>47548592</v>
      </c>
    </row>
    <row r="1085" spans="1:11" x14ac:dyDescent="0.3">
      <c r="A1085" s="1657">
        <v>43251</v>
      </c>
      <c r="B1085" s="1658">
        <v>9780</v>
      </c>
      <c r="C1085" s="1658">
        <v>-570</v>
      </c>
      <c r="D1085" s="1659">
        <v>-5.51</v>
      </c>
      <c r="E1085" s="1658">
        <v>10900</v>
      </c>
      <c r="F1085" s="1658">
        <v>11300</v>
      </c>
      <c r="G1085" s="1658">
        <v>9630</v>
      </c>
      <c r="H1085" s="1658">
        <v>4865598</v>
      </c>
      <c r="I1085" s="1658">
        <v>50837320610</v>
      </c>
      <c r="J1085" s="1658">
        <v>465025229760</v>
      </c>
      <c r="K1085" s="1658">
        <v>47548592</v>
      </c>
    </row>
    <row r="1086" spans="1:11" x14ac:dyDescent="0.3">
      <c r="A1086" s="1657">
        <v>43252</v>
      </c>
      <c r="B1086" s="1658">
        <v>10500</v>
      </c>
      <c r="C1086" s="1658">
        <v>720</v>
      </c>
      <c r="D1086" s="1659">
        <v>7.36</v>
      </c>
      <c r="E1086" s="1658">
        <v>10050</v>
      </c>
      <c r="F1086" s="1658">
        <v>10900</v>
      </c>
      <c r="G1086" s="1658">
        <v>9850</v>
      </c>
      <c r="H1086" s="1658">
        <v>5310327</v>
      </c>
      <c r="I1086" s="1658">
        <v>54687644970</v>
      </c>
      <c r="J1086" s="1658">
        <v>499260216000</v>
      </c>
      <c r="K1086" s="1658">
        <v>47548592</v>
      </c>
    </row>
    <row r="1087" spans="1:11" x14ac:dyDescent="0.3">
      <c r="A1087" s="1657">
        <v>43255</v>
      </c>
      <c r="B1087" s="1658">
        <v>10600</v>
      </c>
      <c r="C1087" s="1658">
        <v>100</v>
      </c>
      <c r="D1087" s="1659">
        <v>0.95</v>
      </c>
      <c r="E1087" s="1658">
        <v>10100</v>
      </c>
      <c r="F1087" s="1658">
        <v>10600</v>
      </c>
      <c r="G1087" s="1658">
        <v>10000</v>
      </c>
      <c r="H1087" s="1658">
        <v>3008799</v>
      </c>
      <c r="I1087" s="1658">
        <v>31061789850</v>
      </c>
      <c r="J1087" s="1658">
        <v>504015075200</v>
      </c>
      <c r="K1087" s="1658">
        <v>47548592</v>
      </c>
    </row>
    <row r="1088" spans="1:11" x14ac:dyDescent="0.3">
      <c r="A1088" s="1657">
        <v>43256</v>
      </c>
      <c r="B1088" s="1658">
        <v>9440</v>
      </c>
      <c r="C1088" s="1658">
        <v>-1160</v>
      </c>
      <c r="D1088" s="1659">
        <v>-10.94</v>
      </c>
      <c r="E1088" s="1658">
        <v>10150</v>
      </c>
      <c r="F1088" s="1658">
        <v>10300</v>
      </c>
      <c r="G1088" s="1658">
        <v>9280</v>
      </c>
      <c r="H1088" s="1658">
        <v>2881185</v>
      </c>
      <c r="I1088" s="1658">
        <v>27957151910</v>
      </c>
      <c r="J1088" s="1658">
        <v>448858708480</v>
      </c>
      <c r="K1088" s="1658">
        <v>47548592</v>
      </c>
    </row>
    <row r="1089" spans="1:11" x14ac:dyDescent="0.3">
      <c r="A1089" s="1657">
        <v>43258</v>
      </c>
      <c r="B1089" s="1658">
        <v>9650</v>
      </c>
      <c r="C1089" s="1658">
        <v>210</v>
      </c>
      <c r="D1089" s="1659">
        <v>2.2200000000000002</v>
      </c>
      <c r="E1089" s="1658">
        <v>9250</v>
      </c>
      <c r="F1089" s="1658">
        <v>9700</v>
      </c>
      <c r="G1089" s="1658">
        <v>9100</v>
      </c>
      <c r="H1089" s="1658">
        <v>1162128</v>
      </c>
      <c r="I1089" s="1658">
        <v>10952675900</v>
      </c>
      <c r="J1089" s="1658">
        <v>458843912800</v>
      </c>
      <c r="K1089" s="1658">
        <v>47548592</v>
      </c>
    </row>
    <row r="1090" spans="1:11" x14ac:dyDescent="0.3">
      <c r="A1090" s="1657">
        <v>43259</v>
      </c>
      <c r="B1090" s="1658">
        <v>9210</v>
      </c>
      <c r="C1090" s="1658">
        <v>-440</v>
      </c>
      <c r="D1090" s="1659">
        <v>-4.5599999999999996</v>
      </c>
      <c r="E1090" s="1658">
        <v>9550</v>
      </c>
      <c r="F1090" s="1658">
        <v>9720</v>
      </c>
      <c r="G1090" s="1658">
        <v>9170</v>
      </c>
      <c r="H1090" s="1658">
        <v>714315</v>
      </c>
      <c r="I1090" s="1658">
        <v>6716873340</v>
      </c>
      <c r="J1090" s="1658">
        <v>437922532320</v>
      </c>
      <c r="K1090" s="1658">
        <v>47548592</v>
      </c>
    </row>
    <row r="1091" spans="1:11" x14ac:dyDescent="0.3">
      <c r="A1091" s="1657">
        <v>43262</v>
      </c>
      <c r="B1091" s="1658">
        <v>9460</v>
      </c>
      <c r="C1091" s="1658">
        <v>250</v>
      </c>
      <c r="D1091" s="1659">
        <v>2.71</v>
      </c>
      <c r="E1091" s="1658">
        <v>9100</v>
      </c>
      <c r="F1091" s="1658">
        <v>9670</v>
      </c>
      <c r="G1091" s="1658">
        <v>9060</v>
      </c>
      <c r="H1091" s="1658">
        <v>847472</v>
      </c>
      <c r="I1091" s="1658">
        <v>7978721840</v>
      </c>
      <c r="J1091" s="1658">
        <v>449809680320</v>
      </c>
      <c r="K1091" s="1658">
        <v>47548592</v>
      </c>
    </row>
    <row r="1092" spans="1:11" x14ac:dyDescent="0.3">
      <c r="A1092" s="1657">
        <v>43263</v>
      </c>
      <c r="B1092" s="1658">
        <v>9370</v>
      </c>
      <c r="C1092" s="1658">
        <v>-90</v>
      </c>
      <c r="D1092" s="1659">
        <v>-0.95</v>
      </c>
      <c r="E1092" s="1658">
        <v>9550</v>
      </c>
      <c r="F1092" s="1658">
        <v>9930</v>
      </c>
      <c r="G1092" s="1658">
        <v>9250</v>
      </c>
      <c r="H1092" s="1658">
        <v>971013</v>
      </c>
      <c r="I1092" s="1658">
        <v>9290493570</v>
      </c>
      <c r="J1092" s="1658">
        <v>445530307040</v>
      </c>
      <c r="K1092" s="1658">
        <v>47548592</v>
      </c>
    </row>
    <row r="1093" spans="1:11" x14ac:dyDescent="0.3">
      <c r="A1093" s="1657">
        <v>43265</v>
      </c>
      <c r="B1093" s="1658">
        <v>10150</v>
      </c>
      <c r="C1093" s="1658">
        <v>780</v>
      </c>
      <c r="D1093" s="1659">
        <v>8.32</v>
      </c>
      <c r="E1093" s="1658">
        <v>9300</v>
      </c>
      <c r="F1093" s="1658">
        <v>10150</v>
      </c>
      <c r="G1093" s="1658">
        <v>9210</v>
      </c>
      <c r="H1093" s="1658">
        <v>1637567</v>
      </c>
      <c r="I1093" s="1658">
        <v>16153227600</v>
      </c>
      <c r="J1093" s="1658">
        <v>482618208800</v>
      </c>
      <c r="K1093" s="1658">
        <v>47548592</v>
      </c>
    </row>
    <row r="1094" spans="1:11" x14ac:dyDescent="0.3">
      <c r="A1094" s="1657">
        <v>43266</v>
      </c>
      <c r="B1094" s="1658">
        <v>9700</v>
      </c>
      <c r="C1094" s="1658">
        <v>-450</v>
      </c>
      <c r="D1094" s="1659">
        <v>-4.43</v>
      </c>
      <c r="E1094" s="1658">
        <v>10200</v>
      </c>
      <c r="F1094" s="1658">
        <v>10250</v>
      </c>
      <c r="G1094" s="1658">
        <v>9700</v>
      </c>
      <c r="H1094" s="1658">
        <v>917248</v>
      </c>
      <c r="I1094" s="1658">
        <v>9076685970</v>
      </c>
      <c r="J1094" s="1658">
        <v>461221342400</v>
      </c>
      <c r="K1094" s="1658">
        <v>47548592</v>
      </c>
    </row>
    <row r="1095" spans="1:11" x14ac:dyDescent="0.3">
      <c r="A1095" s="1657">
        <v>43269</v>
      </c>
      <c r="B1095" s="1658">
        <v>9260</v>
      </c>
      <c r="C1095" s="1658">
        <v>-440</v>
      </c>
      <c r="D1095" s="1659">
        <v>-4.54</v>
      </c>
      <c r="E1095" s="1658">
        <v>9610</v>
      </c>
      <c r="F1095" s="1658">
        <v>9620</v>
      </c>
      <c r="G1095" s="1658">
        <v>9160</v>
      </c>
      <c r="H1095" s="1658">
        <v>563009</v>
      </c>
      <c r="I1095" s="1658">
        <v>5280536090</v>
      </c>
      <c r="J1095" s="1658">
        <v>440299961920</v>
      </c>
      <c r="K1095" s="1658">
        <v>47548592</v>
      </c>
    </row>
    <row r="1096" spans="1:11" x14ac:dyDescent="0.3">
      <c r="A1096" s="1657">
        <v>43270</v>
      </c>
      <c r="B1096" s="1658">
        <v>8730</v>
      </c>
      <c r="C1096" s="1658">
        <v>-530</v>
      </c>
      <c r="D1096" s="1659">
        <v>-5.72</v>
      </c>
      <c r="E1096" s="1658">
        <v>9260</v>
      </c>
      <c r="F1096" s="1658">
        <v>9400</v>
      </c>
      <c r="G1096" s="1658">
        <v>8660</v>
      </c>
      <c r="H1096" s="1658">
        <v>792807</v>
      </c>
      <c r="I1096" s="1658">
        <v>7114997660</v>
      </c>
      <c r="J1096" s="1658">
        <v>415099208160</v>
      </c>
      <c r="K1096" s="1658">
        <v>47548592</v>
      </c>
    </row>
    <row r="1097" spans="1:11" x14ac:dyDescent="0.3">
      <c r="A1097" s="1657">
        <v>43271</v>
      </c>
      <c r="B1097" s="1658">
        <v>8860</v>
      </c>
      <c r="C1097" s="1658">
        <v>130</v>
      </c>
      <c r="D1097" s="1659">
        <v>1.49</v>
      </c>
      <c r="E1097" s="1658">
        <v>8710</v>
      </c>
      <c r="F1097" s="1658">
        <v>8920</v>
      </c>
      <c r="G1097" s="1658">
        <v>8640</v>
      </c>
      <c r="H1097" s="1658">
        <v>303881</v>
      </c>
      <c r="I1097" s="1658">
        <v>2678744370</v>
      </c>
      <c r="J1097" s="1658">
        <v>421280525120</v>
      </c>
      <c r="K1097" s="1658">
        <v>47548592</v>
      </c>
    </row>
    <row r="1098" spans="1:11" x14ac:dyDescent="0.3">
      <c r="A1098" s="1657">
        <v>43272</v>
      </c>
      <c r="B1098" s="1658">
        <v>8310</v>
      </c>
      <c r="C1098" s="1658">
        <v>-550</v>
      </c>
      <c r="D1098" s="1659">
        <v>-6.21</v>
      </c>
      <c r="E1098" s="1658">
        <v>8860</v>
      </c>
      <c r="F1098" s="1658">
        <v>8860</v>
      </c>
      <c r="G1098" s="1658">
        <v>8290</v>
      </c>
      <c r="H1098" s="1658">
        <v>616974</v>
      </c>
      <c r="I1098" s="1658">
        <v>5255226640</v>
      </c>
      <c r="J1098" s="1658">
        <v>395285193720</v>
      </c>
      <c r="K1098" s="1658">
        <v>47567412</v>
      </c>
    </row>
    <row r="1099" spans="1:11" x14ac:dyDescent="0.3">
      <c r="A1099" s="1657">
        <v>43273</v>
      </c>
      <c r="B1099" s="1658">
        <v>8430</v>
      </c>
      <c r="C1099" s="1658">
        <v>120</v>
      </c>
      <c r="D1099" s="1659">
        <v>1.44</v>
      </c>
      <c r="E1099" s="1658">
        <v>8310</v>
      </c>
      <c r="F1099" s="1658">
        <v>8560</v>
      </c>
      <c r="G1099" s="1658">
        <v>8110</v>
      </c>
      <c r="H1099" s="1658">
        <v>507215</v>
      </c>
      <c r="I1099" s="1658">
        <v>4246572220</v>
      </c>
      <c r="J1099" s="1658">
        <v>400993283160</v>
      </c>
      <c r="K1099" s="1658">
        <v>47567412</v>
      </c>
    </row>
    <row r="1100" spans="1:11" x14ac:dyDescent="0.3">
      <c r="A1100" s="1657">
        <v>43276</v>
      </c>
      <c r="B1100" s="1658">
        <v>8470</v>
      </c>
      <c r="C1100" s="1658">
        <v>40</v>
      </c>
      <c r="D1100" s="1659">
        <v>0.47</v>
      </c>
      <c r="E1100" s="1658">
        <v>8330</v>
      </c>
      <c r="F1100" s="1658">
        <v>8740</v>
      </c>
      <c r="G1100" s="1658">
        <v>8250</v>
      </c>
      <c r="H1100" s="1658">
        <v>279440</v>
      </c>
      <c r="I1100" s="1658">
        <v>2365112260</v>
      </c>
      <c r="J1100" s="1658">
        <v>402895979640</v>
      </c>
      <c r="K1100" s="1658">
        <v>47567412</v>
      </c>
    </row>
    <row r="1101" spans="1:11" x14ac:dyDescent="0.3">
      <c r="A1101" s="1657">
        <v>43277</v>
      </c>
      <c r="B1101" s="1658">
        <v>8640</v>
      </c>
      <c r="C1101" s="1658">
        <v>170</v>
      </c>
      <c r="D1101" s="1659">
        <v>2.0099999999999998</v>
      </c>
      <c r="E1101" s="1658">
        <v>8400</v>
      </c>
      <c r="F1101" s="1658">
        <v>8640</v>
      </c>
      <c r="G1101" s="1658">
        <v>8330</v>
      </c>
      <c r="H1101" s="1658">
        <v>176597</v>
      </c>
      <c r="I1101" s="1658">
        <v>1495576340</v>
      </c>
      <c r="J1101" s="1658">
        <v>410982439680</v>
      </c>
      <c r="K1101" s="1658">
        <v>47567412</v>
      </c>
    </row>
    <row r="1102" spans="1:11" x14ac:dyDescent="0.3">
      <c r="A1102" s="1657">
        <v>43278</v>
      </c>
      <c r="B1102" s="1658">
        <v>8210</v>
      </c>
      <c r="C1102" s="1658">
        <v>-430</v>
      </c>
      <c r="D1102" s="1659">
        <v>-4.9800000000000004</v>
      </c>
      <c r="E1102" s="1658">
        <v>8640</v>
      </c>
      <c r="F1102" s="1658">
        <v>8650</v>
      </c>
      <c r="G1102" s="1658">
        <v>8210</v>
      </c>
      <c r="H1102" s="1658">
        <v>355359</v>
      </c>
      <c r="I1102" s="1658">
        <v>2986395410</v>
      </c>
      <c r="J1102" s="1658">
        <v>390528452520</v>
      </c>
      <c r="K1102" s="1658">
        <v>47567412</v>
      </c>
    </row>
    <row r="1103" spans="1:11" x14ac:dyDescent="0.3">
      <c r="A1103" s="1657">
        <v>43279</v>
      </c>
      <c r="B1103" s="1658">
        <v>7920</v>
      </c>
      <c r="C1103" s="1658">
        <v>-290</v>
      </c>
      <c r="D1103" s="1659">
        <v>-3.53</v>
      </c>
      <c r="E1103" s="1658">
        <v>8170</v>
      </c>
      <c r="F1103" s="1658">
        <v>8290</v>
      </c>
      <c r="G1103" s="1658">
        <v>7920</v>
      </c>
      <c r="H1103" s="1658">
        <v>269162</v>
      </c>
      <c r="I1103" s="1658">
        <v>2173808540</v>
      </c>
      <c r="J1103" s="1658">
        <v>376733903040</v>
      </c>
      <c r="K1103" s="1658">
        <v>47567412</v>
      </c>
    </row>
    <row r="1104" spans="1:11" x14ac:dyDescent="0.3">
      <c r="A1104" s="1657">
        <v>43280</v>
      </c>
      <c r="B1104" s="1658">
        <v>8250</v>
      </c>
      <c r="C1104" s="1658">
        <v>330</v>
      </c>
      <c r="D1104" s="1659">
        <v>4.17</v>
      </c>
      <c r="E1104" s="1658">
        <v>7980</v>
      </c>
      <c r="F1104" s="1658">
        <v>8340</v>
      </c>
      <c r="G1104" s="1658">
        <v>7840</v>
      </c>
      <c r="H1104" s="1658">
        <v>302636</v>
      </c>
      <c r="I1104" s="1658">
        <v>2462495050</v>
      </c>
      <c r="J1104" s="1658">
        <v>392431149000</v>
      </c>
      <c r="K1104" s="1658">
        <v>47567412</v>
      </c>
    </row>
    <row r="1105" spans="1:11" x14ac:dyDescent="0.3">
      <c r="A1105" s="1657">
        <v>43283</v>
      </c>
      <c r="B1105" s="1658">
        <v>7900</v>
      </c>
      <c r="C1105" s="1658">
        <v>-350</v>
      </c>
      <c r="D1105" s="1659">
        <v>-4.24</v>
      </c>
      <c r="E1105" s="1658">
        <v>8300</v>
      </c>
      <c r="F1105" s="1658">
        <v>8330</v>
      </c>
      <c r="G1105" s="1658">
        <v>7900</v>
      </c>
      <c r="H1105" s="1658">
        <v>254311</v>
      </c>
      <c r="I1105" s="1658">
        <v>2050609500</v>
      </c>
      <c r="J1105" s="1658">
        <v>375782554800</v>
      </c>
      <c r="K1105" s="1658">
        <v>47567412</v>
      </c>
    </row>
    <row r="1106" spans="1:11" x14ac:dyDescent="0.3">
      <c r="A1106" s="1657">
        <v>43284</v>
      </c>
      <c r="B1106" s="1658">
        <v>7730</v>
      </c>
      <c r="C1106" s="1658">
        <v>-170</v>
      </c>
      <c r="D1106" s="1659">
        <v>-2.15</v>
      </c>
      <c r="E1106" s="1658">
        <v>7900</v>
      </c>
      <c r="F1106" s="1658">
        <v>8000</v>
      </c>
      <c r="G1106" s="1658">
        <v>7570</v>
      </c>
      <c r="H1106" s="1658">
        <v>380414</v>
      </c>
      <c r="I1106" s="1658">
        <v>2952266830</v>
      </c>
      <c r="J1106" s="1658">
        <v>367696094760</v>
      </c>
      <c r="K1106" s="1658">
        <v>47567412</v>
      </c>
    </row>
    <row r="1107" spans="1:11" x14ac:dyDescent="0.3">
      <c r="A1107" s="1657">
        <v>43285</v>
      </c>
      <c r="B1107" s="1658">
        <v>7810</v>
      </c>
      <c r="C1107" s="1658">
        <v>80</v>
      </c>
      <c r="D1107" s="1659">
        <v>1.03</v>
      </c>
      <c r="E1107" s="1658">
        <v>7710</v>
      </c>
      <c r="F1107" s="1658">
        <v>7990</v>
      </c>
      <c r="G1107" s="1658">
        <v>7700</v>
      </c>
      <c r="H1107" s="1658">
        <v>148294</v>
      </c>
      <c r="I1107" s="1658">
        <v>1163026830</v>
      </c>
      <c r="J1107" s="1658">
        <v>371501487720</v>
      </c>
      <c r="K1107" s="1658">
        <v>47567412</v>
      </c>
    </row>
    <row r="1108" spans="1:11" x14ac:dyDescent="0.3">
      <c r="A1108" s="1657">
        <v>43286</v>
      </c>
      <c r="B1108" s="1658">
        <v>7810</v>
      </c>
      <c r="C1108" s="1658">
        <v>0</v>
      </c>
      <c r="D1108" s="1659">
        <v>0</v>
      </c>
      <c r="E1108" s="1658">
        <v>7770</v>
      </c>
      <c r="F1108" s="1658">
        <v>7960</v>
      </c>
      <c r="G1108" s="1658">
        <v>7650</v>
      </c>
      <c r="H1108" s="1658">
        <v>162556</v>
      </c>
      <c r="I1108" s="1658">
        <v>1260964960</v>
      </c>
      <c r="J1108" s="1658">
        <v>371501487720</v>
      </c>
      <c r="K1108" s="1658">
        <v>47567412</v>
      </c>
    </row>
    <row r="1109" spans="1:11" x14ac:dyDescent="0.3">
      <c r="A1109" s="1657">
        <v>43287</v>
      </c>
      <c r="B1109" s="1658">
        <v>7880</v>
      </c>
      <c r="C1109" s="1658">
        <v>70</v>
      </c>
      <c r="D1109" s="1659">
        <v>0.9</v>
      </c>
      <c r="E1109" s="1658">
        <v>7740</v>
      </c>
      <c r="F1109" s="1658">
        <v>7950</v>
      </c>
      <c r="G1109" s="1658">
        <v>7550</v>
      </c>
      <c r="H1109" s="1658">
        <v>187350</v>
      </c>
      <c r="I1109" s="1658">
        <v>1445181400</v>
      </c>
      <c r="J1109" s="1658">
        <v>374831206560</v>
      </c>
      <c r="K1109" s="1658">
        <v>47567412</v>
      </c>
    </row>
    <row r="1110" spans="1:11" x14ac:dyDescent="0.3">
      <c r="A1110" s="1657">
        <v>43290</v>
      </c>
      <c r="B1110" s="1658">
        <v>7750</v>
      </c>
      <c r="C1110" s="1658">
        <v>-130</v>
      </c>
      <c r="D1110" s="1659">
        <v>-1.65</v>
      </c>
      <c r="E1110" s="1658">
        <v>7970</v>
      </c>
      <c r="F1110" s="1658">
        <v>8080</v>
      </c>
      <c r="G1110" s="1658">
        <v>7710</v>
      </c>
      <c r="H1110" s="1658">
        <v>199433</v>
      </c>
      <c r="I1110" s="1658">
        <v>1574103710</v>
      </c>
      <c r="J1110" s="1658">
        <v>368647443000</v>
      </c>
      <c r="K1110" s="1658">
        <v>47567412</v>
      </c>
    </row>
    <row r="1111" spans="1:11" x14ac:dyDescent="0.3">
      <c r="A1111" s="1657">
        <v>43291</v>
      </c>
      <c r="B1111" s="1658">
        <v>8000</v>
      </c>
      <c r="C1111" s="1658">
        <v>250</v>
      </c>
      <c r="D1111" s="1659">
        <v>3.23</v>
      </c>
      <c r="E1111" s="1658">
        <v>7760</v>
      </c>
      <c r="F1111" s="1658">
        <v>8020</v>
      </c>
      <c r="G1111" s="1658">
        <v>7760</v>
      </c>
      <c r="H1111" s="1658">
        <v>184216</v>
      </c>
      <c r="I1111" s="1658">
        <v>1454462340</v>
      </c>
      <c r="J1111" s="1658">
        <v>380539296000</v>
      </c>
      <c r="K1111" s="1658">
        <v>47567412</v>
      </c>
    </row>
    <row r="1112" spans="1:11" x14ac:dyDescent="0.3">
      <c r="A1112" s="1657">
        <v>43292</v>
      </c>
      <c r="B1112" s="1658">
        <v>7990</v>
      </c>
      <c r="C1112" s="1658">
        <v>-10</v>
      </c>
      <c r="D1112" s="1659">
        <v>-0.13</v>
      </c>
      <c r="E1112" s="1658">
        <v>8020</v>
      </c>
      <c r="F1112" s="1658">
        <v>8200</v>
      </c>
      <c r="G1112" s="1658">
        <v>7860</v>
      </c>
      <c r="H1112" s="1658">
        <v>388155</v>
      </c>
      <c r="I1112" s="1658">
        <v>3129124790</v>
      </c>
      <c r="J1112" s="1658">
        <v>380063621880</v>
      </c>
      <c r="K1112" s="1658">
        <v>47567412</v>
      </c>
    </row>
    <row r="1113" spans="1:11" x14ac:dyDescent="0.3">
      <c r="A1113" s="1657">
        <v>43293</v>
      </c>
      <c r="B1113" s="1658">
        <v>8170</v>
      </c>
      <c r="C1113" s="1658">
        <v>180</v>
      </c>
      <c r="D1113" s="1659">
        <v>2.25</v>
      </c>
      <c r="E1113" s="1658">
        <v>8010</v>
      </c>
      <c r="F1113" s="1658">
        <v>8200</v>
      </c>
      <c r="G1113" s="1658">
        <v>7910</v>
      </c>
      <c r="H1113" s="1658">
        <v>208095</v>
      </c>
      <c r="I1113" s="1658">
        <v>1685755660</v>
      </c>
      <c r="J1113" s="1658">
        <v>388625756040</v>
      </c>
      <c r="K1113" s="1658">
        <v>47567412</v>
      </c>
    </row>
    <row r="1114" spans="1:11" x14ac:dyDescent="0.3">
      <c r="A1114" s="1657">
        <v>43294</v>
      </c>
      <c r="B1114" s="1658">
        <v>8720</v>
      </c>
      <c r="C1114" s="1658">
        <v>550</v>
      </c>
      <c r="D1114" s="1659">
        <v>6.73</v>
      </c>
      <c r="E1114" s="1658">
        <v>8340</v>
      </c>
      <c r="F1114" s="1658">
        <v>9070</v>
      </c>
      <c r="G1114" s="1658">
        <v>8250</v>
      </c>
      <c r="H1114" s="1658">
        <v>1019699</v>
      </c>
      <c r="I1114" s="1658">
        <v>8882702850</v>
      </c>
      <c r="J1114" s="1658">
        <v>414787832640</v>
      </c>
      <c r="K1114" s="1658">
        <v>47567412</v>
      </c>
    </row>
    <row r="1115" spans="1:11" x14ac:dyDescent="0.3">
      <c r="A1115" s="1657">
        <v>43297</v>
      </c>
      <c r="B1115" s="1658">
        <v>8820</v>
      </c>
      <c r="C1115" s="1658">
        <v>100</v>
      </c>
      <c r="D1115" s="1659">
        <v>1.1499999999999999</v>
      </c>
      <c r="E1115" s="1658">
        <v>8720</v>
      </c>
      <c r="F1115" s="1658">
        <v>8830</v>
      </c>
      <c r="G1115" s="1658">
        <v>8580</v>
      </c>
      <c r="H1115" s="1658">
        <v>268676</v>
      </c>
      <c r="I1115" s="1658">
        <v>2346082540</v>
      </c>
      <c r="J1115" s="1658">
        <v>419544573840</v>
      </c>
      <c r="K1115" s="1658">
        <v>47567412</v>
      </c>
    </row>
    <row r="1116" spans="1:11" x14ac:dyDescent="0.3">
      <c r="A1116" s="1657">
        <v>43298</v>
      </c>
      <c r="B1116" s="1658">
        <v>8960</v>
      </c>
      <c r="C1116" s="1658">
        <v>140</v>
      </c>
      <c r="D1116" s="1659">
        <v>1.59</v>
      </c>
      <c r="E1116" s="1658">
        <v>8700</v>
      </c>
      <c r="F1116" s="1658">
        <v>9350</v>
      </c>
      <c r="G1116" s="1658">
        <v>8700</v>
      </c>
      <c r="H1116" s="1658">
        <v>809002</v>
      </c>
      <c r="I1116" s="1658">
        <v>7378107210</v>
      </c>
      <c r="J1116" s="1658">
        <v>426204011520</v>
      </c>
      <c r="K1116" s="1658">
        <v>47567412</v>
      </c>
    </row>
    <row r="1117" spans="1:11" x14ac:dyDescent="0.3">
      <c r="A1117" s="1657">
        <v>43299</v>
      </c>
      <c r="B1117" s="1658">
        <v>8800</v>
      </c>
      <c r="C1117" s="1658">
        <v>-160</v>
      </c>
      <c r="D1117" s="1659">
        <v>-1.79</v>
      </c>
      <c r="E1117" s="1658">
        <v>9020</v>
      </c>
      <c r="F1117" s="1658">
        <v>9250</v>
      </c>
      <c r="G1117" s="1658">
        <v>8710</v>
      </c>
      <c r="H1117" s="1658">
        <v>350771</v>
      </c>
      <c r="I1117" s="1658">
        <v>3141400980</v>
      </c>
      <c r="J1117" s="1658">
        <v>418593225600</v>
      </c>
      <c r="K1117" s="1658">
        <v>47567412</v>
      </c>
    </row>
    <row r="1118" spans="1:11" x14ac:dyDescent="0.3">
      <c r="A1118" s="1657">
        <v>43300</v>
      </c>
      <c r="B1118" s="1658">
        <v>8780</v>
      </c>
      <c r="C1118" s="1658">
        <v>-20</v>
      </c>
      <c r="D1118" s="1659">
        <v>-0.23</v>
      </c>
      <c r="E1118" s="1658">
        <v>8810</v>
      </c>
      <c r="F1118" s="1658">
        <v>8910</v>
      </c>
      <c r="G1118" s="1658">
        <v>8530</v>
      </c>
      <c r="H1118" s="1658">
        <v>280882</v>
      </c>
      <c r="I1118" s="1658">
        <v>2444775150</v>
      </c>
      <c r="J1118" s="1658">
        <v>417641877360</v>
      </c>
      <c r="K1118" s="1658">
        <v>47567412</v>
      </c>
    </row>
    <row r="1119" spans="1:11" x14ac:dyDescent="0.3">
      <c r="A1119" s="1657">
        <v>43301</v>
      </c>
      <c r="B1119" s="1658">
        <v>8660</v>
      </c>
      <c r="C1119" s="1658">
        <v>-120</v>
      </c>
      <c r="D1119" s="1659">
        <v>-1.37</v>
      </c>
      <c r="E1119" s="1658">
        <v>8840</v>
      </c>
      <c r="F1119" s="1658">
        <v>9020</v>
      </c>
      <c r="G1119" s="1658">
        <v>8610</v>
      </c>
      <c r="H1119" s="1658">
        <v>213144</v>
      </c>
      <c r="I1119" s="1658">
        <v>1874852280</v>
      </c>
      <c r="J1119" s="1658">
        <v>411933787920</v>
      </c>
      <c r="K1119" s="1658">
        <v>47567412</v>
      </c>
    </row>
    <row r="1120" spans="1:11" x14ac:dyDescent="0.3">
      <c r="A1120" s="1657">
        <v>43304</v>
      </c>
      <c r="B1120" s="1658">
        <v>8630</v>
      </c>
      <c r="C1120" s="1658">
        <v>-30</v>
      </c>
      <c r="D1120" s="1659">
        <v>-0.35</v>
      </c>
      <c r="E1120" s="1658">
        <v>8650</v>
      </c>
      <c r="F1120" s="1658">
        <v>9510</v>
      </c>
      <c r="G1120" s="1658">
        <v>8630</v>
      </c>
      <c r="H1120" s="1658">
        <v>1487350</v>
      </c>
      <c r="I1120" s="1658">
        <v>13455904990</v>
      </c>
      <c r="J1120" s="1658">
        <v>410506765560</v>
      </c>
      <c r="K1120" s="1658">
        <v>47567412</v>
      </c>
    </row>
    <row r="1121" spans="1:11" x14ac:dyDescent="0.3">
      <c r="A1121" s="1657">
        <v>43305</v>
      </c>
      <c r="B1121" s="1658">
        <v>8840</v>
      </c>
      <c r="C1121" s="1658">
        <v>210</v>
      </c>
      <c r="D1121" s="1659">
        <v>2.4300000000000002</v>
      </c>
      <c r="E1121" s="1658">
        <v>8640</v>
      </c>
      <c r="F1121" s="1658">
        <v>9000</v>
      </c>
      <c r="G1121" s="1658">
        <v>8640</v>
      </c>
      <c r="H1121" s="1658">
        <v>328728</v>
      </c>
      <c r="I1121" s="1658">
        <v>2905250200</v>
      </c>
      <c r="J1121" s="1658">
        <v>420495922080</v>
      </c>
      <c r="K1121" s="1658">
        <v>47567412</v>
      </c>
    </row>
    <row r="1122" spans="1:11" x14ac:dyDescent="0.3">
      <c r="A1122" s="1657">
        <v>43306</v>
      </c>
      <c r="B1122" s="1658">
        <v>8600</v>
      </c>
      <c r="C1122" s="1658">
        <v>-240</v>
      </c>
      <c r="D1122" s="1659">
        <v>-2.71</v>
      </c>
      <c r="E1122" s="1658">
        <v>8980</v>
      </c>
      <c r="F1122" s="1658">
        <v>8980</v>
      </c>
      <c r="G1122" s="1658">
        <v>8520</v>
      </c>
      <c r="H1122" s="1658">
        <v>402131</v>
      </c>
      <c r="I1122" s="1658">
        <v>3523434760</v>
      </c>
      <c r="J1122" s="1658">
        <v>409079743200</v>
      </c>
      <c r="K1122" s="1658">
        <v>47567412</v>
      </c>
    </row>
    <row r="1123" spans="1:11" x14ac:dyDescent="0.3">
      <c r="A1123" s="1657">
        <v>43307</v>
      </c>
      <c r="B1123" s="1658">
        <v>9470</v>
      </c>
      <c r="C1123" s="1658">
        <v>870</v>
      </c>
      <c r="D1123" s="1659">
        <v>10.119999999999999</v>
      </c>
      <c r="E1123" s="1658">
        <v>8760</v>
      </c>
      <c r="F1123" s="1658">
        <v>9470</v>
      </c>
      <c r="G1123" s="1658">
        <v>8720</v>
      </c>
      <c r="H1123" s="1658">
        <v>1523334</v>
      </c>
      <c r="I1123" s="1658">
        <v>14013737610</v>
      </c>
      <c r="J1123" s="1658">
        <v>450463391640</v>
      </c>
      <c r="K1123" s="1658">
        <v>47567412</v>
      </c>
    </row>
    <row r="1124" spans="1:11" x14ac:dyDescent="0.3">
      <c r="A1124" s="1657">
        <v>43308</v>
      </c>
      <c r="B1124" s="1658">
        <v>9070</v>
      </c>
      <c r="C1124" s="1658">
        <v>-400</v>
      </c>
      <c r="D1124" s="1659">
        <v>-4.22</v>
      </c>
      <c r="E1124" s="1658">
        <v>10000</v>
      </c>
      <c r="F1124" s="1658">
        <v>10200</v>
      </c>
      <c r="G1124" s="1658">
        <v>8830</v>
      </c>
      <c r="H1124" s="1658">
        <v>2085675</v>
      </c>
      <c r="I1124" s="1658">
        <v>19613355930</v>
      </c>
      <c r="J1124" s="1658">
        <v>431436426840</v>
      </c>
      <c r="K1124" s="1658">
        <v>47567412</v>
      </c>
    </row>
    <row r="1125" spans="1:11" x14ac:dyDescent="0.3">
      <c r="A1125" s="1657">
        <v>43311</v>
      </c>
      <c r="B1125" s="1658">
        <v>9110</v>
      </c>
      <c r="C1125" s="1658">
        <v>40</v>
      </c>
      <c r="D1125" s="1659">
        <v>0.44</v>
      </c>
      <c r="E1125" s="1658">
        <v>9050</v>
      </c>
      <c r="F1125" s="1658">
        <v>9180</v>
      </c>
      <c r="G1125" s="1658">
        <v>8880</v>
      </c>
      <c r="H1125" s="1658">
        <v>459833</v>
      </c>
      <c r="I1125" s="1658">
        <v>4160971120</v>
      </c>
      <c r="J1125" s="1658">
        <v>433339123320</v>
      </c>
      <c r="K1125" s="1658">
        <v>47567412</v>
      </c>
    </row>
    <row r="1126" spans="1:11" x14ac:dyDescent="0.3">
      <c r="A1126" s="1657">
        <v>43312</v>
      </c>
      <c r="B1126" s="1658">
        <v>9440</v>
      </c>
      <c r="C1126" s="1658">
        <v>330</v>
      </c>
      <c r="D1126" s="1659">
        <v>3.62</v>
      </c>
      <c r="E1126" s="1658">
        <v>9110</v>
      </c>
      <c r="F1126" s="1658">
        <v>9570</v>
      </c>
      <c r="G1126" s="1658">
        <v>9040</v>
      </c>
      <c r="H1126" s="1658">
        <v>995888</v>
      </c>
      <c r="I1126" s="1658">
        <v>9319129440</v>
      </c>
      <c r="J1126" s="1658">
        <v>449036369280</v>
      </c>
      <c r="K1126" s="1658">
        <v>47567412</v>
      </c>
    </row>
    <row r="1127" spans="1:11" x14ac:dyDescent="0.3">
      <c r="A1127" s="1657">
        <v>43313</v>
      </c>
      <c r="B1127" s="1658">
        <v>9260</v>
      </c>
      <c r="C1127" s="1658">
        <v>-180</v>
      </c>
      <c r="D1127" s="1659">
        <v>-1.91</v>
      </c>
      <c r="E1127" s="1658">
        <v>9460</v>
      </c>
      <c r="F1127" s="1658">
        <v>9550</v>
      </c>
      <c r="G1127" s="1658">
        <v>9100</v>
      </c>
      <c r="H1127" s="1658">
        <v>536461</v>
      </c>
      <c r="I1127" s="1658">
        <v>5012261190</v>
      </c>
      <c r="J1127" s="1658">
        <v>440474235120</v>
      </c>
      <c r="K1127" s="1658">
        <v>47567412</v>
      </c>
    </row>
    <row r="1128" spans="1:11" x14ac:dyDescent="0.3">
      <c r="A1128" s="1657">
        <v>43314</v>
      </c>
      <c r="B1128" s="1658">
        <v>8970</v>
      </c>
      <c r="C1128" s="1658">
        <v>-290</v>
      </c>
      <c r="D1128" s="1659">
        <v>-3.13</v>
      </c>
      <c r="E1128" s="1658">
        <v>9230</v>
      </c>
      <c r="F1128" s="1658">
        <v>9260</v>
      </c>
      <c r="G1128" s="1658">
        <v>8940</v>
      </c>
      <c r="H1128" s="1658">
        <v>322640</v>
      </c>
      <c r="I1128" s="1658">
        <v>2916917590</v>
      </c>
      <c r="J1128" s="1658">
        <v>426679685640</v>
      </c>
      <c r="K1128" s="1658">
        <v>47567412</v>
      </c>
    </row>
    <row r="1129" spans="1:11" x14ac:dyDescent="0.3">
      <c r="A1129" s="1657">
        <v>43315</v>
      </c>
      <c r="B1129" s="1658">
        <v>8880</v>
      </c>
      <c r="C1129" s="1658">
        <v>-90</v>
      </c>
      <c r="D1129" s="1659">
        <v>-1</v>
      </c>
      <c r="E1129" s="1658">
        <v>8980</v>
      </c>
      <c r="F1129" s="1658">
        <v>9120</v>
      </c>
      <c r="G1129" s="1658">
        <v>8800</v>
      </c>
      <c r="H1129" s="1658">
        <v>234999</v>
      </c>
      <c r="I1129" s="1658">
        <v>2092694610</v>
      </c>
      <c r="J1129" s="1658">
        <v>422398618560</v>
      </c>
      <c r="K1129" s="1658">
        <v>47567412</v>
      </c>
    </row>
    <row r="1130" spans="1:11" x14ac:dyDescent="0.3">
      <c r="A1130" s="1657">
        <v>43318</v>
      </c>
      <c r="B1130" s="1658">
        <v>8760</v>
      </c>
      <c r="C1130" s="1658">
        <v>-120</v>
      </c>
      <c r="D1130" s="1659">
        <v>-1.35</v>
      </c>
      <c r="E1130" s="1658">
        <v>8810</v>
      </c>
      <c r="F1130" s="1658">
        <v>9040</v>
      </c>
      <c r="G1130" s="1658">
        <v>8720</v>
      </c>
      <c r="H1130" s="1658">
        <v>238011</v>
      </c>
      <c r="I1130" s="1658">
        <v>2107641750</v>
      </c>
      <c r="J1130" s="1658">
        <v>416690529120</v>
      </c>
      <c r="K1130" s="1658">
        <v>47567412</v>
      </c>
    </row>
    <row r="1131" spans="1:11" x14ac:dyDescent="0.3">
      <c r="A1131" s="1657">
        <v>43319</v>
      </c>
      <c r="B1131" s="1658">
        <v>8760</v>
      </c>
      <c r="C1131" s="1658">
        <v>0</v>
      </c>
      <c r="D1131" s="1659">
        <v>0</v>
      </c>
      <c r="E1131" s="1658">
        <v>8760</v>
      </c>
      <c r="F1131" s="1658">
        <v>8860</v>
      </c>
      <c r="G1131" s="1658">
        <v>8500</v>
      </c>
      <c r="H1131" s="1658">
        <v>307995</v>
      </c>
      <c r="I1131" s="1658">
        <v>2652491900</v>
      </c>
      <c r="J1131" s="1658">
        <v>416690529120</v>
      </c>
      <c r="K1131" s="1658">
        <v>47567412</v>
      </c>
    </row>
    <row r="1132" spans="1:11" x14ac:dyDescent="0.3">
      <c r="A1132" s="1657">
        <v>43320</v>
      </c>
      <c r="B1132" s="1658">
        <v>8720</v>
      </c>
      <c r="C1132" s="1658">
        <v>-40</v>
      </c>
      <c r="D1132" s="1659">
        <v>-0.46</v>
      </c>
      <c r="E1132" s="1658">
        <v>8760</v>
      </c>
      <c r="F1132" s="1658">
        <v>8890</v>
      </c>
      <c r="G1132" s="1658">
        <v>8600</v>
      </c>
      <c r="H1132" s="1658">
        <v>207529</v>
      </c>
      <c r="I1132" s="1658">
        <v>1816677440</v>
      </c>
      <c r="J1132" s="1658">
        <v>414787832640</v>
      </c>
      <c r="K1132" s="1658">
        <v>47567412</v>
      </c>
    </row>
    <row r="1133" spans="1:11" x14ac:dyDescent="0.3">
      <c r="A1133" s="1657">
        <v>43321</v>
      </c>
      <c r="B1133" s="1658">
        <v>9100</v>
      </c>
      <c r="C1133" s="1658">
        <v>380</v>
      </c>
      <c r="D1133" s="1659">
        <v>4.3600000000000003</v>
      </c>
      <c r="E1133" s="1658">
        <v>8790</v>
      </c>
      <c r="F1133" s="1658">
        <v>9200</v>
      </c>
      <c r="G1133" s="1658">
        <v>8720</v>
      </c>
      <c r="H1133" s="1658">
        <v>619043</v>
      </c>
      <c r="I1133" s="1658">
        <v>5569180130</v>
      </c>
      <c r="J1133" s="1658">
        <v>432863449200</v>
      </c>
      <c r="K1133" s="1658">
        <v>47567412</v>
      </c>
    </row>
    <row r="1134" spans="1:11" x14ac:dyDescent="0.3">
      <c r="A1134" s="1657">
        <v>43322</v>
      </c>
      <c r="B1134" s="1658">
        <v>8820</v>
      </c>
      <c r="C1134" s="1658">
        <v>-280</v>
      </c>
      <c r="D1134" s="1659">
        <v>-3.08</v>
      </c>
      <c r="E1134" s="1658">
        <v>9100</v>
      </c>
      <c r="F1134" s="1658">
        <v>9110</v>
      </c>
      <c r="G1134" s="1658">
        <v>8700</v>
      </c>
      <c r="H1134" s="1658">
        <v>428706</v>
      </c>
      <c r="I1134" s="1658">
        <v>3783142760</v>
      </c>
      <c r="J1134" s="1658">
        <v>419544573840</v>
      </c>
      <c r="K1134" s="1658">
        <v>47567412</v>
      </c>
    </row>
    <row r="1135" spans="1:11" x14ac:dyDescent="0.3">
      <c r="A1135" s="1657">
        <v>43325</v>
      </c>
      <c r="B1135" s="1658">
        <v>8430</v>
      </c>
      <c r="C1135" s="1658">
        <v>-390</v>
      </c>
      <c r="D1135" s="1659">
        <v>-4.42</v>
      </c>
      <c r="E1135" s="1658">
        <v>8630</v>
      </c>
      <c r="F1135" s="1658">
        <v>8760</v>
      </c>
      <c r="G1135" s="1658">
        <v>8380</v>
      </c>
      <c r="H1135" s="1658">
        <v>348907</v>
      </c>
      <c r="I1135" s="1658">
        <v>2965747140</v>
      </c>
      <c r="J1135" s="1658">
        <v>400993283160</v>
      </c>
      <c r="K1135" s="1658">
        <v>47567412</v>
      </c>
    </row>
    <row r="1136" spans="1:11" x14ac:dyDescent="0.3">
      <c r="A1136" s="1657">
        <v>43326</v>
      </c>
      <c r="B1136" s="1658">
        <v>8660</v>
      </c>
      <c r="C1136" s="1658">
        <v>230</v>
      </c>
      <c r="D1136" s="1659">
        <v>2.73</v>
      </c>
      <c r="E1136" s="1658">
        <v>8300</v>
      </c>
      <c r="F1136" s="1658">
        <v>8910</v>
      </c>
      <c r="G1136" s="1658">
        <v>8300</v>
      </c>
      <c r="H1136" s="1658">
        <v>397091</v>
      </c>
      <c r="I1136" s="1658">
        <v>3430159990</v>
      </c>
      <c r="J1136" s="1658">
        <v>411933787920</v>
      </c>
      <c r="K1136" s="1658">
        <v>47567412</v>
      </c>
    </row>
    <row r="1137" spans="1:11" x14ac:dyDescent="0.3">
      <c r="A1137" s="1657">
        <v>43328</v>
      </c>
      <c r="B1137" s="1658">
        <v>8630</v>
      </c>
      <c r="C1137" s="1658">
        <v>-30</v>
      </c>
      <c r="D1137" s="1659">
        <v>-0.35</v>
      </c>
      <c r="E1137" s="1658">
        <v>8560</v>
      </c>
      <c r="F1137" s="1658">
        <v>8750</v>
      </c>
      <c r="G1137" s="1658">
        <v>8350</v>
      </c>
      <c r="H1137" s="1658">
        <v>283472</v>
      </c>
      <c r="I1137" s="1658">
        <v>2417753780</v>
      </c>
      <c r="J1137" s="1658">
        <v>410506765560</v>
      </c>
      <c r="K1137" s="1658">
        <v>47567412</v>
      </c>
    </row>
    <row r="1138" spans="1:11" x14ac:dyDescent="0.3">
      <c r="A1138" s="1657">
        <v>43329</v>
      </c>
      <c r="B1138" s="1658">
        <v>8800</v>
      </c>
      <c r="C1138" s="1658">
        <v>170</v>
      </c>
      <c r="D1138" s="1659">
        <v>1.97</v>
      </c>
      <c r="E1138" s="1658">
        <v>8670</v>
      </c>
      <c r="F1138" s="1658">
        <v>8850</v>
      </c>
      <c r="G1138" s="1658">
        <v>8640</v>
      </c>
      <c r="H1138" s="1658">
        <v>210887</v>
      </c>
      <c r="I1138" s="1658">
        <v>1845408170</v>
      </c>
      <c r="J1138" s="1658">
        <v>418593225600</v>
      </c>
      <c r="K1138" s="1658">
        <v>47567412</v>
      </c>
    </row>
    <row r="1139" spans="1:11" x14ac:dyDescent="0.3">
      <c r="A1139" s="1657">
        <v>43332</v>
      </c>
      <c r="B1139" s="1658">
        <v>9300</v>
      </c>
      <c r="C1139" s="1658">
        <v>500</v>
      </c>
      <c r="D1139" s="1659">
        <v>5.68</v>
      </c>
      <c r="E1139" s="1658">
        <v>8920</v>
      </c>
      <c r="F1139" s="1658">
        <v>9350</v>
      </c>
      <c r="G1139" s="1658">
        <v>8810</v>
      </c>
      <c r="H1139" s="1658">
        <v>1111289</v>
      </c>
      <c r="I1139" s="1658">
        <v>10214489180</v>
      </c>
      <c r="J1139" s="1658">
        <v>442376931600</v>
      </c>
      <c r="K1139" s="1658">
        <v>47567412</v>
      </c>
    </row>
    <row r="1140" spans="1:11" x14ac:dyDescent="0.3">
      <c r="A1140" s="1657">
        <v>43333</v>
      </c>
      <c r="B1140" s="1658">
        <v>9210</v>
      </c>
      <c r="C1140" s="1658">
        <v>-90</v>
      </c>
      <c r="D1140" s="1659">
        <v>-0.97</v>
      </c>
      <c r="E1140" s="1658">
        <v>9350</v>
      </c>
      <c r="F1140" s="1658">
        <v>9380</v>
      </c>
      <c r="G1140" s="1658">
        <v>9070</v>
      </c>
      <c r="H1140" s="1658">
        <v>434132</v>
      </c>
      <c r="I1140" s="1658">
        <v>3995576640</v>
      </c>
      <c r="J1140" s="1658">
        <v>438095864520</v>
      </c>
      <c r="K1140" s="1658">
        <v>47567412</v>
      </c>
    </row>
    <row r="1141" spans="1:11" x14ac:dyDescent="0.3">
      <c r="A1141" s="1657">
        <v>43334</v>
      </c>
      <c r="B1141" s="1658">
        <v>9280</v>
      </c>
      <c r="C1141" s="1658">
        <v>70</v>
      </c>
      <c r="D1141" s="1659">
        <v>0.76</v>
      </c>
      <c r="E1141" s="1658">
        <v>9290</v>
      </c>
      <c r="F1141" s="1658">
        <v>9440</v>
      </c>
      <c r="G1141" s="1658">
        <v>9100</v>
      </c>
      <c r="H1141" s="1658">
        <v>428288</v>
      </c>
      <c r="I1141" s="1658">
        <v>3971470740</v>
      </c>
      <c r="J1141" s="1658">
        <v>441425583360</v>
      </c>
      <c r="K1141" s="1658">
        <v>47567412</v>
      </c>
    </row>
    <row r="1142" spans="1:11" x14ac:dyDescent="0.3">
      <c r="A1142" s="1657">
        <v>43335</v>
      </c>
      <c r="B1142" s="1658">
        <v>9300</v>
      </c>
      <c r="C1142" s="1658">
        <v>20</v>
      </c>
      <c r="D1142" s="1659">
        <v>0.22</v>
      </c>
      <c r="E1142" s="1658">
        <v>9350</v>
      </c>
      <c r="F1142" s="1658">
        <v>9600</v>
      </c>
      <c r="G1142" s="1658">
        <v>9220</v>
      </c>
      <c r="H1142" s="1658">
        <v>788741</v>
      </c>
      <c r="I1142" s="1658">
        <v>7436368620</v>
      </c>
      <c r="J1142" s="1658">
        <v>442376931600</v>
      </c>
      <c r="K1142" s="1658">
        <v>47567412</v>
      </c>
    </row>
    <row r="1143" spans="1:11" x14ac:dyDescent="0.3">
      <c r="A1143" s="1657">
        <v>43336</v>
      </c>
      <c r="B1143" s="1658">
        <v>9530</v>
      </c>
      <c r="C1143" s="1658">
        <v>230</v>
      </c>
      <c r="D1143" s="1659">
        <v>2.4700000000000002</v>
      </c>
      <c r="E1143" s="1658">
        <v>9280</v>
      </c>
      <c r="F1143" s="1658">
        <v>9650</v>
      </c>
      <c r="G1143" s="1658">
        <v>9280</v>
      </c>
      <c r="H1143" s="1658">
        <v>1208092</v>
      </c>
      <c r="I1143" s="1658">
        <v>11512161270</v>
      </c>
      <c r="J1143" s="1658">
        <v>453317436360</v>
      </c>
      <c r="K1143" s="1658">
        <v>47567412</v>
      </c>
    </row>
    <row r="1144" spans="1:11" x14ac:dyDescent="0.3">
      <c r="A1144" s="1657">
        <v>43339</v>
      </c>
      <c r="B1144" s="1658">
        <v>9150</v>
      </c>
      <c r="C1144" s="1658">
        <v>-380</v>
      </c>
      <c r="D1144" s="1659">
        <v>-3.99</v>
      </c>
      <c r="E1144" s="1658">
        <v>9570</v>
      </c>
      <c r="F1144" s="1658">
        <v>9690</v>
      </c>
      <c r="G1144" s="1658">
        <v>9150</v>
      </c>
      <c r="H1144" s="1658">
        <v>946782</v>
      </c>
      <c r="I1144" s="1658">
        <v>8911906410</v>
      </c>
      <c r="J1144" s="1658">
        <v>508358252850</v>
      </c>
      <c r="K1144" s="1658">
        <v>55558279</v>
      </c>
    </row>
    <row r="1145" spans="1:11" x14ac:dyDescent="0.3">
      <c r="A1145" s="1657">
        <v>43340</v>
      </c>
      <c r="B1145" s="1658">
        <v>9050</v>
      </c>
      <c r="C1145" s="1658">
        <v>-100</v>
      </c>
      <c r="D1145" s="1659">
        <v>-1.0900000000000001</v>
      </c>
      <c r="E1145" s="1658">
        <v>9150</v>
      </c>
      <c r="F1145" s="1658">
        <v>9280</v>
      </c>
      <c r="G1145" s="1658">
        <v>8920</v>
      </c>
      <c r="H1145" s="1658">
        <v>390792</v>
      </c>
      <c r="I1145" s="1658">
        <v>3535990920</v>
      </c>
      <c r="J1145" s="1658">
        <v>502802424950</v>
      </c>
      <c r="K1145" s="1658">
        <v>55558279</v>
      </c>
    </row>
    <row r="1146" spans="1:11" x14ac:dyDescent="0.3">
      <c r="A1146" s="1657">
        <v>43341</v>
      </c>
      <c r="B1146" s="1658">
        <v>9290</v>
      </c>
      <c r="C1146" s="1658">
        <v>240</v>
      </c>
      <c r="D1146" s="1659">
        <v>2.65</v>
      </c>
      <c r="E1146" s="1658">
        <v>9020</v>
      </c>
      <c r="F1146" s="1658">
        <v>9290</v>
      </c>
      <c r="G1146" s="1658">
        <v>8950</v>
      </c>
      <c r="H1146" s="1658">
        <v>324432</v>
      </c>
      <c r="I1146" s="1658">
        <v>2956751930</v>
      </c>
      <c r="J1146" s="1658">
        <v>516136411910</v>
      </c>
      <c r="K1146" s="1658">
        <v>55558279</v>
      </c>
    </row>
    <row r="1147" spans="1:11" x14ac:dyDescent="0.3">
      <c r="A1147" s="1657">
        <v>43342</v>
      </c>
      <c r="B1147" s="1658">
        <v>9170</v>
      </c>
      <c r="C1147" s="1658">
        <v>-120</v>
      </c>
      <c r="D1147" s="1659">
        <v>-1.29</v>
      </c>
      <c r="E1147" s="1658">
        <v>9270</v>
      </c>
      <c r="F1147" s="1658">
        <v>9370</v>
      </c>
      <c r="G1147" s="1658">
        <v>9160</v>
      </c>
      <c r="H1147" s="1658">
        <v>211128</v>
      </c>
      <c r="I1147" s="1658">
        <v>1949503040</v>
      </c>
      <c r="J1147" s="1658">
        <v>509469418430</v>
      </c>
      <c r="K1147" s="1658">
        <v>55558279</v>
      </c>
    </row>
    <row r="1148" spans="1:11" x14ac:dyDescent="0.3">
      <c r="A1148" s="1657">
        <v>43343</v>
      </c>
      <c r="B1148" s="1658">
        <v>9260</v>
      </c>
      <c r="C1148" s="1658">
        <v>90</v>
      </c>
      <c r="D1148" s="1659">
        <v>0.98</v>
      </c>
      <c r="E1148" s="1658">
        <v>9120</v>
      </c>
      <c r="F1148" s="1658">
        <v>9310</v>
      </c>
      <c r="G1148" s="1658">
        <v>9020</v>
      </c>
      <c r="H1148" s="1658">
        <v>230972</v>
      </c>
      <c r="I1148" s="1658">
        <v>2124436340</v>
      </c>
      <c r="J1148" s="1658">
        <v>514469663540</v>
      </c>
      <c r="K1148" s="1658">
        <v>55558279</v>
      </c>
    </row>
    <row r="1149" spans="1:11" x14ac:dyDescent="0.3">
      <c r="A1149" s="1657">
        <v>43346</v>
      </c>
      <c r="B1149" s="1658">
        <v>9170</v>
      </c>
      <c r="C1149" s="1658">
        <v>-90</v>
      </c>
      <c r="D1149" s="1659">
        <v>-0.97</v>
      </c>
      <c r="E1149" s="1658">
        <v>9210</v>
      </c>
      <c r="F1149" s="1658">
        <v>9380</v>
      </c>
      <c r="G1149" s="1658">
        <v>9130</v>
      </c>
      <c r="H1149" s="1658">
        <v>231464</v>
      </c>
      <c r="I1149" s="1658">
        <v>2144544560</v>
      </c>
      <c r="J1149" s="1658">
        <v>509469418430</v>
      </c>
      <c r="K1149" s="1658">
        <v>55558279</v>
      </c>
    </row>
    <row r="1150" spans="1:11" x14ac:dyDescent="0.3">
      <c r="A1150" s="1657">
        <v>43347</v>
      </c>
      <c r="B1150" s="1658">
        <v>9390</v>
      </c>
      <c r="C1150" s="1658">
        <v>220</v>
      </c>
      <c r="D1150" s="1659">
        <v>2.4</v>
      </c>
      <c r="E1150" s="1658">
        <v>9100</v>
      </c>
      <c r="F1150" s="1658">
        <v>9400</v>
      </c>
      <c r="G1150" s="1658">
        <v>9100</v>
      </c>
      <c r="H1150" s="1658">
        <v>327689</v>
      </c>
      <c r="I1150" s="1658">
        <v>3047548970</v>
      </c>
      <c r="J1150" s="1658">
        <v>521692239810</v>
      </c>
      <c r="K1150" s="1658">
        <v>55558279</v>
      </c>
    </row>
    <row r="1151" spans="1:11" x14ac:dyDescent="0.3">
      <c r="A1151" s="1657">
        <v>43348</v>
      </c>
      <c r="B1151" s="1658">
        <v>9080</v>
      </c>
      <c r="C1151" s="1658">
        <v>-310</v>
      </c>
      <c r="D1151" s="1659">
        <v>-3.3</v>
      </c>
      <c r="E1151" s="1658">
        <v>9390</v>
      </c>
      <c r="F1151" s="1658">
        <v>9390</v>
      </c>
      <c r="G1151" s="1658">
        <v>9020</v>
      </c>
      <c r="H1151" s="1658">
        <v>397676</v>
      </c>
      <c r="I1151" s="1658">
        <v>3654437990</v>
      </c>
      <c r="J1151" s="1658">
        <v>504469173320</v>
      </c>
      <c r="K1151" s="1658">
        <v>55558279</v>
      </c>
    </row>
    <row r="1152" spans="1:11" x14ac:dyDescent="0.3">
      <c r="A1152" s="1657">
        <v>43349</v>
      </c>
      <c r="B1152" s="1658">
        <v>8880</v>
      </c>
      <c r="C1152" s="1658">
        <v>-200</v>
      </c>
      <c r="D1152" s="1659">
        <v>-2.2000000000000002</v>
      </c>
      <c r="E1152" s="1658">
        <v>9010</v>
      </c>
      <c r="F1152" s="1658">
        <v>9100</v>
      </c>
      <c r="G1152" s="1658">
        <v>8870</v>
      </c>
      <c r="H1152" s="1658">
        <v>255767</v>
      </c>
      <c r="I1152" s="1658">
        <v>2289077680</v>
      </c>
      <c r="J1152" s="1658">
        <v>493357517520</v>
      </c>
      <c r="K1152" s="1658">
        <v>55558279</v>
      </c>
    </row>
    <row r="1153" spans="1:11" x14ac:dyDescent="0.3">
      <c r="A1153" s="1657">
        <v>43350</v>
      </c>
      <c r="B1153" s="1658">
        <v>8740</v>
      </c>
      <c r="C1153" s="1658">
        <v>-140</v>
      </c>
      <c r="D1153" s="1659">
        <v>-1.58</v>
      </c>
      <c r="E1153" s="1658">
        <v>8980</v>
      </c>
      <c r="F1153" s="1658">
        <v>8980</v>
      </c>
      <c r="G1153" s="1658">
        <v>8660</v>
      </c>
      <c r="H1153" s="1658">
        <v>282847</v>
      </c>
      <c r="I1153" s="1658">
        <v>2478853610</v>
      </c>
      <c r="J1153" s="1658">
        <v>485579358460</v>
      </c>
      <c r="K1153" s="1658">
        <v>55558279</v>
      </c>
    </row>
    <row r="1154" spans="1:11" x14ac:dyDescent="0.3">
      <c r="A1154" s="1657">
        <v>43353</v>
      </c>
      <c r="B1154" s="1658">
        <v>8690</v>
      </c>
      <c r="C1154" s="1658">
        <v>-50</v>
      </c>
      <c r="D1154" s="1659">
        <v>-0.56999999999999995</v>
      </c>
      <c r="E1154" s="1658">
        <v>8740</v>
      </c>
      <c r="F1154" s="1658">
        <v>8840</v>
      </c>
      <c r="G1154" s="1658">
        <v>8620</v>
      </c>
      <c r="H1154" s="1658">
        <v>154352</v>
      </c>
      <c r="I1154" s="1658">
        <v>1343017190</v>
      </c>
      <c r="J1154" s="1658">
        <v>482801444510</v>
      </c>
      <c r="K1154" s="1658">
        <v>55558279</v>
      </c>
    </row>
    <row r="1155" spans="1:11" x14ac:dyDescent="0.3">
      <c r="A1155" s="1657">
        <v>43354</v>
      </c>
      <c r="B1155" s="1658">
        <v>8700</v>
      </c>
      <c r="C1155" s="1658">
        <v>10</v>
      </c>
      <c r="D1155" s="1659">
        <v>0.12</v>
      </c>
      <c r="E1155" s="1658">
        <v>8600</v>
      </c>
      <c r="F1155" s="1658">
        <v>8770</v>
      </c>
      <c r="G1155" s="1658">
        <v>8600</v>
      </c>
      <c r="H1155" s="1658">
        <v>152227</v>
      </c>
      <c r="I1155" s="1658">
        <v>1325822200</v>
      </c>
      <c r="J1155" s="1658">
        <v>483357027300</v>
      </c>
      <c r="K1155" s="1658">
        <v>55558279</v>
      </c>
    </row>
    <row r="1156" spans="1:11" x14ac:dyDescent="0.3">
      <c r="A1156" s="1657">
        <v>43355</v>
      </c>
      <c r="B1156" s="1658">
        <v>8790</v>
      </c>
      <c r="C1156" s="1658">
        <v>90</v>
      </c>
      <c r="D1156" s="1659">
        <v>1.03</v>
      </c>
      <c r="E1156" s="1658">
        <v>8700</v>
      </c>
      <c r="F1156" s="1658">
        <v>8820</v>
      </c>
      <c r="G1156" s="1658">
        <v>8630</v>
      </c>
      <c r="H1156" s="1658">
        <v>198414</v>
      </c>
      <c r="I1156" s="1658">
        <v>1727207280</v>
      </c>
      <c r="J1156" s="1658">
        <v>488357272410</v>
      </c>
      <c r="K1156" s="1658">
        <v>55558279</v>
      </c>
    </row>
    <row r="1157" spans="1:11" x14ac:dyDescent="0.3">
      <c r="A1157" s="1657">
        <v>43356</v>
      </c>
      <c r="B1157" s="1658">
        <v>8730</v>
      </c>
      <c r="C1157" s="1658">
        <v>-60</v>
      </c>
      <c r="D1157" s="1659">
        <v>-0.68</v>
      </c>
      <c r="E1157" s="1658">
        <v>8770</v>
      </c>
      <c r="F1157" s="1658">
        <v>8790</v>
      </c>
      <c r="G1157" s="1658">
        <v>8670</v>
      </c>
      <c r="H1157" s="1658">
        <v>164915</v>
      </c>
      <c r="I1157" s="1658">
        <v>1438083760</v>
      </c>
      <c r="J1157" s="1658">
        <v>485023775670</v>
      </c>
      <c r="K1157" s="1658">
        <v>55558279</v>
      </c>
    </row>
    <row r="1158" spans="1:11" x14ac:dyDescent="0.3">
      <c r="A1158" s="1657">
        <v>43357</v>
      </c>
      <c r="B1158" s="1658">
        <v>8790</v>
      </c>
      <c r="C1158" s="1658">
        <v>60</v>
      </c>
      <c r="D1158" s="1659">
        <v>0.69</v>
      </c>
      <c r="E1158" s="1658">
        <v>8770</v>
      </c>
      <c r="F1158" s="1658">
        <v>8880</v>
      </c>
      <c r="G1158" s="1658">
        <v>8680</v>
      </c>
      <c r="H1158" s="1658">
        <v>122723</v>
      </c>
      <c r="I1158" s="1658">
        <v>1074243710</v>
      </c>
      <c r="J1158" s="1658">
        <v>488357272410</v>
      </c>
      <c r="K1158" s="1658">
        <v>55558279</v>
      </c>
    </row>
    <row r="1159" spans="1:11" x14ac:dyDescent="0.3">
      <c r="A1159" s="1657">
        <v>43360</v>
      </c>
      <c r="B1159" s="1658">
        <v>8570</v>
      </c>
      <c r="C1159" s="1658">
        <v>-220</v>
      </c>
      <c r="D1159" s="1659">
        <v>-2.5</v>
      </c>
      <c r="E1159" s="1658">
        <v>8720</v>
      </c>
      <c r="F1159" s="1658">
        <v>8790</v>
      </c>
      <c r="G1159" s="1658">
        <v>8500</v>
      </c>
      <c r="H1159" s="1658">
        <v>249069</v>
      </c>
      <c r="I1159" s="1658">
        <v>2135167900</v>
      </c>
      <c r="J1159" s="1658">
        <v>476134451030</v>
      </c>
      <c r="K1159" s="1658">
        <v>55558279</v>
      </c>
    </row>
    <row r="1160" spans="1:11" x14ac:dyDescent="0.3">
      <c r="A1160" s="1657">
        <v>43361</v>
      </c>
      <c r="B1160" s="1658">
        <v>8640</v>
      </c>
      <c r="C1160" s="1658">
        <v>70</v>
      </c>
      <c r="D1160" s="1659">
        <v>0.82</v>
      </c>
      <c r="E1160" s="1658">
        <v>8550</v>
      </c>
      <c r="F1160" s="1658">
        <v>8730</v>
      </c>
      <c r="G1160" s="1658">
        <v>8410</v>
      </c>
      <c r="H1160" s="1658">
        <v>198332</v>
      </c>
      <c r="I1160" s="1658">
        <v>1706104920</v>
      </c>
      <c r="J1160" s="1658">
        <v>480023530560</v>
      </c>
      <c r="K1160" s="1658">
        <v>55558279</v>
      </c>
    </row>
    <row r="1161" spans="1:11" x14ac:dyDescent="0.3">
      <c r="A1161" s="1657">
        <v>43362</v>
      </c>
      <c r="B1161" s="1658">
        <v>8470</v>
      </c>
      <c r="C1161" s="1658">
        <v>-170</v>
      </c>
      <c r="D1161" s="1659">
        <v>-1.97</v>
      </c>
      <c r="E1161" s="1658">
        <v>8690</v>
      </c>
      <c r="F1161" s="1658">
        <v>8690</v>
      </c>
      <c r="G1161" s="1658">
        <v>8470</v>
      </c>
      <c r="H1161" s="1658">
        <v>142085</v>
      </c>
      <c r="I1161" s="1658">
        <v>1213833040</v>
      </c>
      <c r="J1161" s="1658">
        <v>470578623130</v>
      </c>
      <c r="K1161" s="1658">
        <v>55558279</v>
      </c>
    </row>
    <row r="1162" spans="1:11" x14ac:dyDescent="0.3">
      <c r="A1162" s="1657">
        <v>43363</v>
      </c>
      <c r="B1162" s="1658">
        <v>8260</v>
      </c>
      <c r="C1162" s="1658">
        <v>-210</v>
      </c>
      <c r="D1162" s="1659">
        <v>-2.48</v>
      </c>
      <c r="E1162" s="1658">
        <v>8560</v>
      </c>
      <c r="F1162" s="1658">
        <v>8560</v>
      </c>
      <c r="G1162" s="1658">
        <v>8240</v>
      </c>
      <c r="H1162" s="1658">
        <v>230593</v>
      </c>
      <c r="I1162" s="1658">
        <v>1924730370</v>
      </c>
      <c r="J1162" s="1658">
        <v>458911384540</v>
      </c>
      <c r="K1162" s="1658">
        <v>55558279</v>
      </c>
    </row>
    <row r="1163" spans="1:11" x14ac:dyDescent="0.3">
      <c r="A1163" s="1657">
        <v>43364</v>
      </c>
      <c r="B1163" s="1658">
        <v>8260</v>
      </c>
      <c r="C1163" s="1658">
        <v>0</v>
      </c>
      <c r="D1163" s="1659">
        <v>0</v>
      </c>
      <c r="E1163" s="1658">
        <v>8300</v>
      </c>
      <c r="F1163" s="1658">
        <v>8350</v>
      </c>
      <c r="G1163" s="1658">
        <v>8180</v>
      </c>
      <c r="H1163" s="1658">
        <v>113312</v>
      </c>
      <c r="I1163" s="1658">
        <v>937276680</v>
      </c>
      <c r="J1163" s="1658">
        <v>458911384540</v>
      </c>
      <c r="K1163" s="1658">
        <v>55558279</v>
      </c>
    </row>
    <row r="1164" spans="1:11" x14ac:dyDescent="0.3">
      <c r="A1164" s="1657">
        <v>43370</v>
      </c>
      <c r="B1164" s="1658">
        <v>8560</v>
      </c>
      <c r="C1164" s="1658">
        <v>300</v>
      </c>
      <c r="D1164" s="1659">
        <v>3.63</v>
      </c>
      <c r="E1164" s="1658">
        <v>8260</v>
      </c>
      <c r="F1164" s="1658">
        <v>8670</v>
      </c>
      <c r="G1164" s="1658">
        <v>8230</v>
      </c>
      <c r="H1164" s="1658">
        <v>235878</v>
      </c>
      <c r="I1164" s="1658">
        <v>2004145470</v>
      </c>
      <c r="J1164" s="1658">
        <v>475578868240</v>
      </c>
      <c r="K1164" s="1658">
        <v>55558279</v>
      </c>
    </row>
    <row r="1165" spans="1:11" x14ac:dyDescent="0.3">
      <c r="A1165" s="1657">
        <v>43371</v>
      </c>
      <c r="B1165" s="1658">
        <v>8540</v>
      </c>
      <c r="C1165" s="1658">
        <v>-20</v>
      </c>
      <c r="D1165" s="1659">
        <v>-0.23</v>
      </c>
      <c r="E1165" s="1658">
        <v>8600</v>
      </c>
      <c r="F1165" s="1658">
        <v>8670</v>
      </c>
      <c r="G1165" s="1658">
        <v>8400</v>
      </c>
      <c r="H1165" s="1658">
        <v>163816</v>
      </c>
      <c r="I1165" s="1658">
        <v>1398102300</v>
      </c>
      <c r="J1165" s="1658">
        <v>474467702660</v>
      </c>
      <c r="K1165" s="1658">
        <v>55558279</v>
      </c>
    </row>
    <row r="1166" spans="1:11" x14ac:dyDescent="0.3">
      <c r="A1166" s="1657">
        <v>43374</v>
      </c>
      <c r="B1166" s="1658">
        <v>8460</v>
      </c>
      <c r="C1166" s="1658">
        <v>-80</v>
      </c>
      <c r="D1166" s="1659">
        <v>-0.94</v>
      </c>
      <c r="E1166" s="1658">
        <v>8480</v>
      </c>
      <c r="F1166" s="1658">
        <v>8560</v>
      </c>
      <c r="G1166" s="1658">
        <v>8410</v>
      </c>
      <c r="H1166" s="1658">
        <v>128789</v>
      </c>
      <c r="I1166" s="1658">
        <v>1090469640</v>
      </c>
      <c r="J1166" s="1658">
        <v>470023040340</v>
      </c>
      <c r="K1166" s="1658">
        <v>55558279</v>
      </c>
    </row>
    <row r="1167" spans="1:11" x14ac:dyDescent="0.3">
      <c r="A1167" s="1657">
        <v>43375</v>
      </c>
      <c r="B1167" s="1658">
        <v>8150</v>
      </c>
      <c r="C1167" s="1658">
        <v>-310</v>
      </c>
      <c r="D1167" s="1659">
        <v>-3.66</v>
      </c>
      <c r="E1167" s="1658">
        <v>8450</v>
      </c>
      <c r="F1167" s="1658">
        <v>8500</v>
      </c>
      <c r="G1167" s="1658">
        <v>8150</v>
      </c>
      <c r="H1167" s="1658">
        <v>194013</v>
      </c>
      <c r="I1167" s="1658">
        <v>1614023660</v>
      </c>
      <c r="J1167" s="1658">
        <v>452799973850</v>
      </c>
      <c r="K1167" s="1658">
        <v>55558279</v>
      </c>
    </row>
    <row r="1168" spans="1:11" x14ac:dyDescent="0.3">
      <c r="A1168" s="1657">
        <v>43377</v>
      </c>
      <c r="B1168" s="1658">
        <v>8100</v>
      </c>
      <c r="C1168" s="1658">
        <v>-50</v>
      </c>
      <c r="D1168" s="1659">
        <v>-0.61</v>
      </c>
      <c r="E1168" s="1658">
        <v>8150</v>
      </c>
      <c r="F1168" s="1658">
        <v>8270</v>
      </c>
      <c r="G1168" s="1658">
        <v>7970</v>
      </c>
      <c r="H1168" s="1658">
        <v>121896</v>
      </c>
      <c r="I1168" s="1658">
        <v>990188890</v>
      </c>
      <c r="J1168" s="1658">
        <v>450022059900</v>
      </c>
      <c r="K1168" s="1658">
        <v>55558279</v>
      </c>
    </row>
    <row r="1169" spans="1:11" x14ac:dyDescent="0.3">
      <c r="A1169" s="1657">
        <v>43378</v>
      </c>
      <c r="B1169" s="1658">
        <v>8050</v>
      </c>
      <c r="C1169" s="1658">
        <v>-50</v>
      </c>
      <c r="D1169" s="1659">
        <v>-0.62</v>
      </c>
      <c r="E1169" s="1658">
        <v>8150</v>
      </c>
      <c r="F1169" s="1658">
        <v>8200</v>
      </c>
      <c r="G1169" s="1658">
        <v>8020</v>
      </c>
      <c r="H1169" s="1658">
        <v>112331</v>
      </c>
      <c r="I1169" s="1658">
        <v>911169990</v>
      </c>
      <c r="J1169" s="1658">
        <v>447244145950</v>
      </c>
      <c r="K1169" s="1658">
        <v>55558279</v>
      </c>
    </row>
    <row r="1170" spans="1:11" x14ac:dyDescent="0.3">
      <c r="A1170" s="1657">
        <v>43381</v>
      </c>
      <c r="B1170" s="1658">
        <v>8080</v>
      </c>
      <c r="C1170" s="1658">
        <v>30</v>
      </c>
      <c r="D1170" s="1659">
        <v>0.37</v>
      </c>
      <c r="E1170" s="1658">
        <v>7960</v>
      </c>
      <c r="F1170" s="1658">
        <v>8230</v>
      </c>
      <c r="G1170" s="1658">
        <v>7960</v>
      </c>
      <c r="H1170" s="1658">
        <v>100674</v>
      </c>
      <c r="I1170" s="1658">
        <v>816578850</v>
      </c>
      <c r="J1170" s="1658">
        <v>448910894320</v>
      </c>
      <c r="K1170" s="1658">
        <v>55558279</v>
      </c>
    </row>
    <row r="1171" spans="1:11" x14ac:dyDescent="0.3">
      <c r="A1171" s="1657">
        <v>43383</v>
      </c>
      <c r="B1171" s="1658">
        <v>7800</v>
      </c>
      <c r="C1171" s="1658">
        <v>-280</v>
      </c>
      <c r="D1171" s="1659">
        <v>-3.47</v>
      </c>
      <c r="E1171" s="1658">
        <v>8040</v>
      </c>
      <c r="F1171" s="1658">
        <v>8080</v>
      </c>
      <c r="G1171" s="1658">
        <v>7740</v>
      </c>
      <c r="H1171" s="1658">
        <v>182883</v>
      </c>
      <c r="I1171" s="1658">
        <v>1434154320</v>
      </c>
      <c r="J1171" s="1658">
        <v>433354576200</v>
      </c>
      <c r="K1171" s="1658">
        <v>55558279</v>
      </c>
    </row>
    <row r="1172" spans="1:11" x14ac:dyDescent="0.3">
      <c r="A1172" s="1657">
        <v>43384</v>
      </c>
      <c r="B1172" s="1658">
        <v>7270</v>
      </c>
      <c r="C1172" s="1658">
        <v>-530</v>
      </c>
      <c r="D1172" s="1659">
        <v>-6.79</v>
      </c>
      <c r="E1172" s="1658">
        <v>7380</v>
      </c>
      <c r="F1172" s="1658">
        <v>7780</v>
      </c>
      <c r="G1172" s="1658">
        <v>7270</v>
      </c>
      <c r="H1172" s="1658">
        <v>299934</v>
      </c>
      <c r="I1172" s="1658">
        <v>2265490670</v>
      </c>
      <c r="J1172" s="1658">
        <v>403908688330</v>
      </c>
      <c r="K1172" s="1658">
        <v>55558279</v>
      </c>
    </row>
    <row r="1173" spans="1:11" x14ac:dyDescent="0.3">
      <c r="A1173" s="1657">
        <v>43385</v>
      </c>
      <c r="B1173" s="1658">
        <v>7840</v>
      </c>
      <c r="C1173" s="1658">
        <v>570</v>
      </c>
      <c r="D1173" s="1659">
        <v>7.84</v>
      </c>
      <c r="E1173" s="1658">
        <v>7260</v>
      </c>
      <c r="F1173" s="1658">
        <v>8130</v>
      </c>
      <c r="G1173" s="1658">
        <v>7260</v>
      </c>
      <c r="H1173" s="1658">
        <v>442712</v>
      </c>
      <c r="I1173" s="1658">
        <v>3462389050</v>
      </c>
      <c r="J1173" s="1658">
        <v>435576907360</v>
      </c>
      <c r="K1173" s="1658">
        <v>55558279</v>
      </c>
    </row>
    <row r="1174" spans="1:11" x14ac:dyDescent="0.3">
      <c r="A1174" s="1657">
        <v>43388</v>
      </c>
      <c r="B1174" s="1658">
        <v>7600</v>
      </c>
      <c r="C1174" s="1658">
        <v>-240</v>
      </c>
      <c r="D1174" s="1659">
        <v>-3.06</v>
      </c>
      <c r="E1174" s="1658">
        <v>7880</v>
      </c>
      <c r="F1174" s="1658">
        <v>8000</v>
      </c>
      <c r="G1174" s="1658">
        <v>7490</v>
      </c>
      <c r="H1174" s="1658">
        <v>151459</v>
      </c>
      <c r="I1174" s="1658">
        <v>1168648360</v>
      </c>
      <c r="J1174" s="1658">
        <v>422242920400</v>
      </c>
      <c r="K1174" s="1658">
        <v>55558279</v>
      </c>
    </row>
    <row r="1175" spans="1:11" x14ac:dyDescent="0.3">
      <c r="A1175" s="1657">
        <v>43389</v>
      </c>
      <c r="B1175" s="1658">
        <v>7850</v>
      </c>
      <c r="C1175" s="1658">
        <v>250</v>
      </c>
      <c r="D1175" s="1659">
        <v>3.29</v>
      </c>
      <c r="E1175" s="1658">
        <v>7530</v>
      </c>
      <c r="F1175" s="1658">
        <v>7890</v>
      </c>
      <c r="G1175" s="1658">
        <v>7530</v>
      </c>
      <c r="H1175" s="1658">
        <v>114749</v>
      </c>
      <c r="I1175" s="1658">
        <v>890036540</v>
      </c>
      <c r="J1175" s="1658">
        <v>436132490150</v>
      </c>
      <c r="K1175" s="1658">
        <v>55558279</v>
      </c>
    </row>
    <row r="1176" spans="1:11" x14ac:dyDescent="0.3">
      <c r="A1176" s="1657">
        <v>43390</v>
      </c>
      <c r="B1176" s="1658">
        <v>7760</v>
      </c>
      <c r="C1176" s="1658">
        <v>-90</v>
      </c>
      <c r="D1176" s="1659">
        <v>-1.1499999999999999</v>
      </c>
      <c r="E1176" s="1658">
        <v>7930</v>
      </c>
      <c r="F1176" s="1658">
        <v>7940</v>
      </c>
      <c r="G1176" s="1658">
        <v>7740</v>
      </c>
      <c r="H1176" s="1658">
        <v>84063</v>
      </c>
      <c r="I1176" s="1658">
        <v>658233430</v>
      </c>
      <c r="J1176" s="1658">
        <v>431132245040</v>
      </c>
      <c r="K1176" s="1658">
        <v>55558279</v>
      </c>
    </row>
    <row r="1177" spans="1:11" x14ac:dyDescent="0.3">
      <c r="A1177" s="1657">
        <v>43391</v>
      </c>
      <c r="B1177" s="1658">
        <v>7700</v>
      </c>
      <c r="C1177" s="1658">
        <v>-60</v>
      </c>
      <c r="D1177" s="1659">
        <v>-0.77</v>
      </c>
      <c r="E1177" s="1658">
        <v>7840</v>
      </c>
      <c r="F1177" s="1658">
        <v>8010</v>
      </c>
      <c r="G1177" s="1658">
        <v>7610</v>
      </c>
      <c r="H1177" s="1658">
        <v>125764</v>
      </c>
      <c r="I1177" s="1658">
        <v>978607140</v>
      </c>
      <c r="J1177" s="1658">
        <v>427798748300</v>
      </c>
      <c r="K1177" s="1658">
        <v>55558279</v>
      </c>
    </row>
    <row r="1178" spans="1:11" x14ac:dyDescent="0.3">
      <c r="A1178" s="1657">
        <v>43392</v>
      </c>
      <c r="B1178" s="1658">
        <v>7840</v>
      </c>
      <c r="C1178" s="1658">
        <v>140</v>
      </c>
      <c r="D1178" s="1659">
        <v>1.82</v>
      </c>
      <c r="E1178" s="1658">
        <v>7700</v>
      </c>
      <c r="F1178" s="1658">
        <v>7840</v>
      </c>
      <c r="G1178" s="1658">
        <v>7580</v>
      </c>
      <c r="H1178" s="1658">
        <v>105895</v>
      </c>
      <c r="I1178" s="1658">
        <v>812277060</v>
      </c>
      <c r="J1178" s="1658">
        <v>435576907360</v>
      </c>
      <c r="K1178" s="1658">
        <v>55558279</v>
      </c>
    </row>
    <row r="1179" spans="1:11" x14ac:dyDescent="0.3">
      <c r="A1179" s="1657">
        <v>43395</v>
      </c>
      <c r="B1179" s="1658">
        <v>7800</v>
      </c>
      <c r="C1179" s="1658">
        <v>-40</v>
      </c>
      <c r="D1179" s="1659">
        <v>-0.51</v>
      </c>
      <c r="E1179" s="1658">
        <v>7720</v>
      </c>
      <c r="F1179" s="1658">
        <v>7850</v>
      </c>
      <c r="G1179" s="1658">
        <v>7630</v>
      </c>
      <c r="H1179" s="1658">
        <v>70645</v>
      </c>
      <c r="I1179" s="1658">
        <v>546875190</v>
      </c>
      <c r="J1179" s="1658">
        <v>433354576200</v>
      </c>
      <c r="K1179" s="1658">
        <v>55558279</v>
      </c>
    </row>
    <row r="1180" spans="1:11" x14ac:dyDescent="0.3">
      <c r="A1180" s="1657">
        <v>43396</v>
      </c>
      <c r="B1180" s="1658">
        <v>7680</v>
      </c>
      <c r="C1180" s="1658">
        <v>-120</v>
      </c>
      <c r="D1180" s="1659">
        <v>-1.54</v>
      </c>
      <c r="E1180" s="1658">
        <v>7860</v>
      </c>
      <c r="F1180" s="1658">
        <v>7860</v>
      </c>
      <c r="G1180" s="1658">
        <v>7600</v>
      </c>
      <c r="H1180" s="1658">
        <v>139433</v>
      </c>
      <c r="I1180" s="1658">
        <v>1072318210</v>
      </c>
      <c r="J1180" s="1658">
        <v>426687582720</v>
      </c>
      <c r="K1180" s="1658">
        <v>55558279</v>
      </c>
    </row>
    <row r="1181" spans="1:11" x14ac:dyDescent="0.3">
      <c r="A1181" s="1657">
        <v>43397</v>
      </c>
      <c r="B1181" s="1658">
        <v>7620</v>
      </c>
      <c r="C1181" s="1658">
        <v>-60</v>
      </c>
      <c r="D1181" s="1659">
        <v>-0.78</v>
      </c>
      <c r="E1181" s="1658">
        <v>7740</v>
      </c>
      <c r="F1181" s="1658">
        <v>7850</v>
      </c>
      <c r="G1181" s="1658">
        <v>7500</v>
      </c>
      <c r="H1181" s="1658">
        <v>149918</v>
      </c>
      <c r="I1181" s="1658">
        <v>1155628110</v>
      </c>
      <c r="J1181" s="1658">
        <v>423354085980</v>
      </c>
      <c r="K1181" s="1658">
        <v>55558279</v>
      </c>
    </row>
    <row r="1182" spans="1:11" x14ac:dyDescent="0.3">
      <c r="A1182" s="1657">
        <v>43398</v>
      </c>
      <c r="B1182" s="1658">
        <v>7560</v>
      </c>
      <c r="C1182" s="1658">
        <v>-60</v>
      </c>
      <c r="D1182" s="1659">
        <v>-0.79</v>
      </c>
      <c r="E1182" s="1658">
        <v>7400</v>
      </c>
      <c r="F1182" s="1658">
        <v>7790</v>
      </c>
      <c r="G1182" s="1658">
        <v>7390</v>
      </c>
      <c r="H1182" s="1658">
        <v>198571</v>
      </c>
      <c r="I1182" s="1658">
        <v>1511683880</v>
      </c>
      <c r="J1182" s="1658">
        <v>420020589240</v>
      </c>
      <c r="K1182" s="1658">
        <v>55558279</v>
      </c>
    </row>
    <row r="1183" spans="1:11" x14ac:dyDescent="0.3">
      <c r="A1183" s="1657">
        <v>43399</v>
      </c>
      <c r="B1183" s="1658">
        <v>7220</v>
      </c>
      <c r="C1183" s="1658">
        <v>-340</v>
      </c>
      <c r="D1183" s="1659">
        <v>-4.5</v>
      </c>
      <c r="E1183" s="1658">
        <v>7690</v>
      </c>
      <c r="F1183" s="1658">
        <v>7690</v>
      </c>
      <c r="G1183" s="1658">
        <v>7220</v>
      </c>
      <c r="H1183" s="1658">
        <v>220975</v>
      </c>
      <c r="I1183" s="1658">
        <v>1642909560</v>
      </c>
      <c r="J1183" s="1658">
        <v>401130774380</v>
      </c>
      <c r="K1183" s="1658">
        <v>55558279</v>
      </c>
    </row>
    <row r="1184" spans="1:11" x14ac:dyDescent="0.3">
      <c r="A1184" s="1657">
        <v>43402</v>
      </c>
      <c r="B1184" s="1658">
        <v>7140</v>
      </c>
      <c r="C1184" s="1658">
        <v>-80</v>
      </c>
      <c r="D1184" s="1659">
        <v>-1.1100000000000001</v>
      </c>
      <c r="E1184" s="1658">
        <v>7300</v>
      </c>
      <c r="F1184" s="1658">
        <v>7590</v>
      </c>
      <c r="G1184" s="1658">
        <v>7140</v>
      </c>
      <c r="H1184" s="1658">
        <v>236822</v>
      </c>
      <c r="I1184" s="1658">
        <v>1739877520</v>
      </c>
      <c r="J1184" s="1658">
        <v>396686112060</v>
      </c>
      <c r="K1184" s="1658">
        <v>55558279</v>
      </c>
    </row>
    <row r="1185" spans="1:11" x14ac:dyDescent="0.3">
      <c r="A1185" s="1657">
        <v>43403</v>
      </c>
      <c r="B1185" s="1658">
        <v>7310</v>
      </c>
      <c r="C1185" s="1658">
        <v>170</v>
      </c>
      <c r="D1185" s="1659">
        <v>2.38</v>
      </c>
      <c r="E1185" s="1658">
        <v>7140</v>
      </c>
      <c r="F1185" s="1658">
        <v>7390</v>
      </c>
      <c r="G1185" s="1658">
        <v>6940</v>
      </c>
      <c r="H1185" s="1658">
        <v>221860</v>
      </c>
      <c r="I1185" s="1658">
        <v>1606882130</v>
      </c>
      <c r="J1185" s="1658">
        <v>406131019490</v>
      </c>
      <c r="K1185" s="1658">
        <v>55558279</v>
      </c>
    </row>
    <row r="1186" spans="1:11" x14ac:dyDescent="0.3">
      <c r="A1186" s="1657">
        <v>43404</v>
      </c>
      <c r="B1186" s="1658">
        <v>7380</v>
      </c>
      <c r="C1186" s="1658">
        <v>70</v>
      </c>
      <c r="D1186" s="1659">
        <v>0.96</v>
      </c>
      <c r="E1186" s="1658">
        <v>7320</v>
      </c>
      <c r="F1186" s="1658">
        <v>7440</v>
      </c>
      <c r="G1186" s="1658">
        <v>7200</v>
      </c>
      <c r="H1186" s="1658">
        <v>151975</v>
      </c>
      <c r="I1186" s="1658">
        <v>1110964160</v>
      </c>
      <c r="J1186" s="1658">
        <v>410020099020</v>
      </c>
      <c r="K1186" s="1658">
        <v>55558279</v>
      </c>
    </row>
    <row r="1187" spans="1:11" x14ac:dyDescent="0.3">
      <c r="A1187" s="1657">
        <v>43405</v>
      </c>
      <c r="B1187" s="1658">
        <v>7370</v>
      </c>
      <c r="C1187" s="1658">
        <v>-10</v>
      </c>
      <c r="D1187" s="1659">
        <v>-0.14000000000000001</v>
      </c>
      <c r="E1187" s="1658">
        <v>7380</v>
      </c>
      <c r="F1187" s="1658">
        <v>7510</v>
      </c>
      <c r="G1187" s="1658">
        <v>7280</v>
      </c>
      <c r="H1187" s="1658">
        <v>120284</v>
      </c>
      <c r="I1187" s="1658">
        <v>889486340</v>
      </c>
      <c r="J1187" s="1658">
        <v>409464516230</v>
      </c>
      <c r="K1187" s="1658">
        <v>55558279</v>
      </c>
    </row>
    <row r="1188" spans="1:11" x14ac:dyDescent="0.3">
      <c r="A1188" s="1657">
        <v>43406</v>
      </c>
      <c r="B1188" s="1658">
        <v>7600</v>
      </c>
      <c r="C1188" s="1658">
        <v>230</v>
      </c>
      <c r="D1188" s="1659">
        <v>3.12</v>
      </c>
      <c r="E1188" s="1658">
        <v>7380</v>
      </c>
      <c r="F1188" s="1658">
        <v>7610</v>
      </c>
      <c r="G1188" s="1658">
        <v>7270</v>
      </c>
      <c r="H1188" s="1658">
        <v>203078</v>
      </c>
      <c r="I1188" s="1658">
        <v>1515806030</v>
      </c>
      <c r="J1188" s="1658">
        <v>422242920400</v>
      </c>
      <c r="K1188" s="1658">
        <v>55558279</v>
      </c>
    </row>
    <row r="1189" spans="1:11" x14ac:dyDescent="0.3">
      <c r="A1189" s="1657">
        <v>43409</v>
      </c>
      <c r="B1189" s="1658">
        <v>7580</v>
      </c>
      <c r="C1189" s="1658">
        <v>-20</v>
      </c>
      <c r="D1189" s="1659">
        <v>-0.26</v>
      </c>
      <c r="E1189" s="1658">
        <v>7630</v>
      </c>
      <c r="F1189" s="1658">
        <v>7640</v>
      </c>
      <c r="G1189" s="1658">
        <v>7400</v>
      </c>
      <c r="H1189" s="1658">
        <v>170516</v>
      </c>
      <c r="I1189" s="1658">
        <v>1283343950</v>
      </c>
      <c r="J1189" s="1658">
        <v>421131754820</v>
      </c>
      <c r="K1189" s="1658">
        <v>55558279</v>
      </c>
    </row>
    <row r="1190" spans="1:11" x14ac:dyDescent="0.3">
      <c r="A1190" s="1657">
        <v>43410</v>
      </c>
      <c r="B1190" s="1658">
        <v>7540</v>
      </c>
      <c r="C1190" s="1658">
        <v>-40</v>
      </c>
      <c r="D1190" s="1659">
        <v>-0.53</v>
      </c>
      <c r="E1190" s="1658">
        <v>7580</v>
      </c>
      <c r="F1190" s="1658">
        <v>7630</v>
      </c>
      <c r="G1190" s="1658">
        <v>7380</v>
      </c>
      <c r="H1190" s="1658">
        <v>141837</v>
      </c>
      <c r="I1190" s="1658">
        <v>1062479030</v>
      </c>
      <c r="J1190" s="1658">
        <v>418909423660</v>
      </c>
      <c r="K1190" s="1658">
        <v>55558279</v>
      </c>
    </row>
    <row r="1191" spans="1:11" x14ac:dyDescent="0.3">
      <c r="A1191" s="1657">
        <v>43411</v>
      </c>
      <c r="B1191" s="1658">
        <v>7360</v>
      </c>
      <c r="C1191" s="1658">
        <v>-180</v>
      </c>
      <c r="D1191" s="1659">
        <v>-2.39</v>
      </c>
      <c r="E1191" s="1658">
        <v>7500</v>
      </c>
      <c r="F1191" s="1658">
        <v>7640</v>
      </c>
      <c r="G1191" s="1658">
        <v>7360</v>
      </c>
      <c r="H1191" s="1658">
        <v>149200</v>
      </c>
      <c r="I1191" s="1658">
        <v>1120288980</v>
      </c>
      <c r="J1191" s="1658">
        <v>408908933440</v>
      </c>
      <c r="K1191" s="1658">
        <v>55558279</v>
      </c>
    </row>
    <row r="1192" spans="1:11" x14ac:dyDescent="0.3">
      <c r="A1192" s="1657">
        <v>43412</v>
      </c>
      <c r="B1192" s="1658">
        <v>7440</v>
      </c>
      <c r="C1192" s="1658">
        <v>80</v>
      </c>
      <c r="D1192" s="1659">
        <v>1.0900000000000001</v>
      </c>
      <c r="E1192" s="1658">
        <v>7390</v>
      </c>
      <c r="F1192" s="1658">
        <v>7560</v>
      </c>
      <c r="G1192" s="1658">
        <v>7370</v>
      </c>
      <c r="H1192" s="1658">
        <v>116521</v>
      </c>
      <c r="I1192" s="1658">
        <v>866649750</v>
      </c>
      <c r="J1192" s="1658">
        <v>413353595760</v>
      </c>
      <c r="K1192" s="1658">
        <v>55558279</v>
      </c>
    </row>
    <row r="1193" spans="1:11" x14ac:dyDescent="0.3">
      <c r="A1193" s="1657">
        <v>43413</v>
      </c>
      <c r="B1193" s="1658">
        <v>7850</v>
      </c>
      <c r="C1193" s="1658">
        <v>410</v>
      </c>
      <c r="D1193" s="1659">
        <v>5.51</v>
      </c>
      <c r="E1193" s="1658">
        <v>7480</v>
      </c>
      <c r="F1193" s="1658">
        <v>8120</v>
      </c>
      <c r="G1193" s="1658">
        <v>7410</v>
      </c>
      <c r="H1193" s="1658">
        <v>588516</v>
      </c>
      <c r="I1193" s="1658">
        <v>4640885110</v>
      </c>
      <c r="J1193" s="1658">
        <v>436132490150</v>
      </c>
      <c r="K1193" s="1658">
        <v>55558279</v>
      </c>
    </row>
    <row r="1194" spans="1:11" x14ac:dyDescent="0.3">
      <c r="A1194" s="1657">
        <v>43416</v>
      </c>
      <c r="B1194" s="1658">
        <v>7700</v>
      </c>
      <c r="C1194" s="1658">
        <v>-150</v>
      </c>
      <c r="D1194" s="1659">
        <v>-1.91</v>
      </c>
      <c r="E1194" s="1658">
        <v>7880</v>
      </c>
      <c r="F1194" s="1658">
        <v>7950</v>
      </c>
      <c r="G1194" s="1658">
        <v>7630</v>
      </c>
      <c r="H1194" s="1658">
        <v>169045</v>
      </c>
      <c r="I1194" s="1658">
        <v>1316444590</v>
      </c>
      <c r="J1194" s="1658">
        <v>427798748300</v>
      </c>
      <c r="K1194" s="1658">
        <v>55558279</v>
      </c>
    </row>
    <row r="1195" spans="1:11" x14ac:dyDescent="0.3">
      <c r="A1195" s="1657">
        <v>43417</v>
      </c>
      <c r="B1195" s="1658">
        <v>7400</v>
      </c>
      <c r="C1195" s="1658">
        <v>-300</v>
      </c>
      <c r="D1195" s="1659">
        <v>-3.9</v>
      </c>
      <c r="E1195" s="1658">
        <v>7500</v>
      </c>
      <c r="F1195" s="1658">
        <v>7610</v>
      </c>
      <c r="G1195" s="1658">
        <v>7220</v>
      </c>
      <c r="H1195" s="1658">
        <v>195248</v>
      </c>
      <c r="I1195" s="1658">
        <v>1437876500</v>
      </c>
      <c r="J1195" s="1658">
        <v>411131264600</v>
      </c>
      <c r="K1195" s="1658">
        <v>55558279</v>
      </c>
    </row>
    <row r="1196" spans="1:11" x14ac:dyDescent="0.3">
      <c r="A1196" s="1657">
        <v>43418</v>
      </c>
      <c r="B1196" s="1658">
        <v>7180</v>
      </c>
      <c r="C1196" s="1658">
        <v>-220</v>
      </c>
      <c r="D1196" s="1659">
        <v>-2.97</v>
      </c>
      <c r="E1196" s="1658">
        <v>7380</v>
      </c>
      <c r="F1196" s="1658">
        <v>7400</v>
      </c>
      <c r="G1196" s="1658">
        <v>7130</v>
      </c>
      <c r="H1196" s="1658">
        <v>244980</v>
      </c>
      <c r="I1196" s="1658">
        <v>1773048130</v>
      </c>
      <c r="J1196" s="1658">
        <v>398908443220</v>
      </c>
      <c r="K1196" s="1658">
        <v>55558279</v>
      </c>
    </row>
    <row r="1197" spans="1:11" x14ac:dyDescent="0.3">
      <c r="A1197" s="1657">
        <v>43419</v>
      </c>
      <c r="B1197" s="1658">
        <v>7000</v>
      </c>
      <c r="C1197" s="1658">
        <v>-180</v>
      </c>
      <c r="D1197" s="1659">
        <v>-2.5099999999999998</v>
      </c>
      <c r="E1197" s="1658">
        <v>7180</v>
      </c>
      <c r="F1197" s="1658">
        <v>7180</v>
      </c>
      <c r="G1197" s="1658">
        <v>6830</v>
      </c>
      <c r="H1197" s="1658">
        <v>253700</v>
      </c>
      <c r="I1197" s="1658">
        <v>1764401920</v>
      </c>
      <c r="J1197" s="1658">
        <v>388907953000</v>
      </c>
      <c r="K1197" s="1658">
        <v>55558279</v>
      </c>
    </row>
    <row r="1198" spans="1:11" x14ac:dyDescent="0.3">
      <c r="A1198" s="1657">
        <v>43420</v>
      </c>
      <c r="B1198" s="1658">
        <v>7150</v>
      </c>
      <c r="C1198" s="1658">
        <v>150</v>
      </c>
      <c r="D1198" s="1659">
        <v>2.14</v>
      </c>
      <c r="E1198" s="1658">
        <v>7060</v>
      </c>
      <c r="F1198" s="1658">
        <v>7170</v>
      </c>
      <c r="G1198" s="1658">
        <v>6950</v>
      </c>
      <c r="H1198" s="1658">
        <v>134973</v>
      </c>
      <c r="I1198" s="1658">
        <v>956144530</v>
      </c>
      <c r="J1198" s="1658">
        <v>397241694850</v>
      </c>
      <c r="K1198" s="1658">
        <v>55558279</v>
      </c>
    </row>
    <row r="1199" spans="1:11" x14ac:dyDescent="0.3">
      <c r="A1199" s="1657">
        <v>43423</v>
      </c>
      <c r="B1199" s="1658">
        <v>7040</v>
      </c>
      <c r="C1199" s="1658">
        <v>-110</v>
      </c>
      <c r="D1199" s="1659">
        <v>-1.54</v>
      </c>
      <c r="E1199" s="1658">
        <v>7070</v>
      </c>
      <c r="F1199" s="1658">
        <v>7110</v>
      </c>
      <c r="G1199" s="1658">
        <v>7010</v>
      </c>
      <c r="H1199" s="1658">
        <v>143976</v>
      </c>
      <c r="I1199" s="1658">
        <v>1015728390</v>
      </c>
      <c r="J1199" s="1658">
        <v>391130284160</v>
      </c>
      <c r="K1199" s="1658">
        <v>55558279</v>
      </c>
    </row>
    <row r="1200" spans="1:11" x14ac:dyDescent="0.3">
      <c r="A1200" s="1657">
        <v>43424</v>
      </c>
      <c r="B1200" s="1658">
        <v>6930</v>
      </c>
      <c r="C1200" s="1658">
        <v>-110</v>
      </c>
      <c r="D1200" s="1659">
        <v>-1.56</v>
      </c>
      <c r="E1200" s="1658">
        <v>6900</v>
      </c>
      <c r="F1200" s="1658">
        <v>7010</v>
      </c>
      <c r="G1200" s="1658">
        <v>6900</v>
      </c>
      <c r="H1200" s="1658">
        <v>127687</v>
      </c>
      <c r="I1200" s="1658">
        <v>887679440</v>
      </c>
      <c r="J1200" s="1658">
        <v>385018873470</v>
      </c>
      <c r="K1200" s="1658">
        <v>55558279</v>
      </c>
    </row>
    <row r="1201" spans="1:11" x14ac:dyDescent="0.3">
      <c r="A1201" s="1657">
        <v>43425</v>
      </c>
      <c r="B1201" s="1658">
        <v>6950</v>
      </c>
      <c r="C1201" s="1658">
        <v>20</v>
      </c>
      <c r="D1201" s="1659">
        <v>0.28999999999999998</v>
      </c>
      <c r="E1201" s="1658">
        <v>6930</v>
      </c>
      <c r="F1201" s="1658">
        <v>6960</v>
      </c>
      <c r="G1201" s="1658">
        <v>6760</v>
      </c>
      <c r="H1201" s="1658">
        <v>183787</v>
      </c>
      <c r="I1201" s="1658">
        <v>1256589120</v>
      </c>
      <c r="J1201" s="1658">
        <v>386130039050</v>
      </c>
      <c r="K1201" s="1658">
        <v>55558279</v>
      </c>
    </row>
    <row r="1202" spans="1:11" x14ac:dyDescent="0.3">
      <c r="A1202" s="1657">
        <v>43426</v>
      </c>
      <c r="B1202" s="1658">
        <v>6970</v>
      </c>
      <c r="C1202" s="1658">
        <v>20</v>
      </c>
      <c r="D1202" s="1659">
        <v>0.28999999999999998</v>
      </c>
      <c r="E1202" s="1658">
        <v>6910</v>
      </c>
      <c r="F1202" s="1658">
        <v>7060</v>
      </c>
      <c r="G1202" s="1658">
        <v>6850</v>
      </c>
      <c r="H1202" s="1658">
        <v>154974</v>
      </c>
      <c r="I1202" s="1658">
        <v>1078791230</v>
      </c>
      <c r="J1202" s="1658">
        <v>387241204630</v>
      </c>
      <c r="K1202" s="1658">
        <v>55558279</v>
      </c>
    </row>
    <row r="1203" spans="1:11" x14ac:dyDescent="0.3">
      <c r="A1203" s="1657">
        <v>43427</v>
      </c>
      <c r="B1203" s="1658">
        <v>6790</v>
      </c>
      <c r="C1203" s="1658">
        <v>-180</v>
      </c>
      <c r="D1203" s="1659">
        <v>-2.58</v>
      </c>
      <c r="E1203" s="1658">
        <v>7010</v>
      </c>
      <c r="F1203" s="1658">
        <v>7050</v>
      </c>
      <c r="G1203" s="1658">
        <v>6710</v>
      </c>
      <c r="H1203" s="1658">
        <v>129307</v>
      </c>
      <c r="I1203" s="1658">
        <v>885792660</v>
      </c>
      <c r="J1203" s="1658">
        <v>377240714410</v>
      </c>
      <c r="K1203" s="1658">
        <v>55558279</v>
      </c>
    </row>
    <row r="1204" spans="1:11" x14ac:dyDescent="0.3">
      <c r="A1204" s="1657">
        <v>43430</v>
      </c>
      <c r="B1204" s="1658">
        <v>6800</v>
      </c>
      <c r="C1204" s="1658">
        <v>10</v>
      </c>
      <c r="D1204" s="1659">
        <v>0.15</v>
      </c>
      <c r="E1204" s="1658">
        <v>6840</v>
      </c>
      <c r="F1204" s="1658">
        <v>6880</v>
      </c>
      <c r="G1204" s="1658">
        <v>6680</v>
      </c>
      <c r="H1204" s="1658">
        <v>121971</v>
      </c>
      <c r="I1204" s="1658">
        <v>824199230</v>
      </c>
      <c r="J1204" s="1658">
        <v>377796297200</v>
      </c>
      <c r="K1204" s="1658">
        <v>55558279</v>
      </c>
    </row>
    <row r="1205" spans="1:11" x14ac:dyDescent="0.3">
      <c r="A1205" s="1657">
        <v>43431</v>
      </c>
      <c r="B1205" s="1658">
        <v>6870</v>
      </c>
      <c r="C1205" s="1658">
        <v>70</v>
      </c>
      <c r="D1205" s="1659">
        <v>1.03</v>
      </c>
      <c r="E1205" s="1658">
        <v>6870</v>
      </c>
      <c r="F1205" s="1658">
        <v>6960</v>
      </c>
      <c r="G1205" s="1658">
        <v>6760</v>
      </c>
      <c r="H1205" s="1658">
        <v>78492</v>
      </c>
      <c r="I1205" s="1658">
        <v>538297980</v>
      </c>
      <c r="J1205" s="1658">
        <v>381685376730</v>
      </c>
      <c r="K1205" s="1658">
        <v>55558279</v>
      </c>
    </row>
    <row r="1206" spans="1:11" x14ac:dyDescent="0.3">
      <c r="A1206" s="1657">
        <v>43432</v>
      </c>
      <c r="B1206" s="1658">
        <v>7010</v>
      </c>
      <c r="C1206" s="1658">
        <v>140</v>
      </c>
      <c r="D1206" s="1659">
        <v>2.04</v>
      </c>
      <c r="E1206" s="1658">
        <v>6870</v>
      </c>
      <c r="F1206" s="1658">
        <v>7070</v>
      </c>
      <c r="G1206" s="1658">
        <v>6820</v>
      </c>
      <c r="H1206" s="1658">
        <v>91683</v>
      </c>
      <c r="I1206" s="1658">
        <v>641129190</v>
      </c>
      <c r="J1206" s="1658">
        <v>389463535790</v>
      </c>
      <c r="K1206" s="1658">
        <v>55558279</v>
      </c>
    </row>
    <row r="1207" spans="1:11" x14ac:dyDescent="0.3">
      <c r="A1207" s="1657">
        <v>43433</v>
      </c>
      <c r="B1207" s="1658">
        <v>7120</v>
      </c>
      <c r="C1207" s="1658">
        <v>110</v>
      </c>
      <c r="D1207" s="1659">
        <v>1.57</v>
      </c>
      <c r="E1207" s="1658">
        <v>7110</v>
      </c>
      <c r="F1207" s="1658">
        <v>7320</v>
      </c>
      <c r="G1207" s="1658">
        <v>7020</v>
      </c>
      <c r="H1207" s="1658">
        <v>199967</v>
      </c>
      <c r="I1207" s="1658">
        <v>1434378870</v>
      </c>
      <c r="J1207" s="1658">
        <v>395574946480</v>
      </c>
      <c r="K1207" s="1658">
        <v>55558279</v>
      </c>
    </row>
    <row r="1208" spans="1:11" x14ac:dyDescent="0.3">
      <c r="A1208" s="1657">
        <v>43434</v>
      </c>
      <c r="B1208" s="1658">
        <v>7090</v>
      </c>
      <c r="C1208" s="1658">
        <v>-30</v>
      </c>
      <c r="D1208" s="1659">
        <v>-0.42</v>
      </c>
      <c r="E1208" s="1658">
        <v>7130</v>
      </c>
      <c r="F1208" s="1658">
        <v>7170</v>
      </c>
      <c r="G1208" s="1658">
        <v>7030</v>
      </c>
      <c r="H1208" s="1658">
        <v>73296</v>
      </c>
      <c r="I1208" s="1658">
        <v>519849020</v>
      </c>
      <c r="J1208" s="1658">
        <v>393908198110</v>
      </c>
      <c r="K1208" s="1658">
        <v>55558279</v>
      </c>
    </row>
    <row r="1209" spans="1:11" x14ac:dyDescent="0.3">
      <c r="A1209" s="1657">
        <v>43437</v>
      </c>
      <c r="B1209" s="1658">
        <v>7270</v>
      </c>
      <c r="C1209" s="1658">
        <v>180</v>
      </c>
      <c r="D1209" s="1659">
        <v>2.54</v>
      </c>
      <c r="E1209" s="1658">
        <v>7130</v>
      </c>
      <c r="F1209" s="1658">
        <v>7270</v>
      </c>
      <c r="G1209" s="1658">
        <v>7080</v>
      </c>
      <c r="H1209" s="1658">
        <v>109714</v>
      </c>
      <c r="I1209" s="1658">
        <v>788092780</v>
      </c>
      <c r="J1209" s="1658">
        <v>403908688330</v>
      </c>
      <c r="K1209" s="1658">
        <v>55558279</v>
      </c>
    </row>
    <row r="1210" spans="1:11" x14ac:dyDescent="0.3">
      <c r="A1210" s="1657">
        <v>43438</v>
      </c>
      <c r="B1210" s="1658">
        <v>7300</v>
      </c>
      <c r="C1210" s="1658">
        <v>30</v>
      </c>
      <c r="D1210" s="1659">
        <v>0.41</v>
      </c>
      <c r="E1210" s="1658">
        <v>7210</v>
      </c>
      <c r="F1210" s="1658">
        <v>7510</v>
      </c>
      <c r="G1210" s="1658">
        <v>7200</v>
      </c>
      <c r="H1210" s="1658">
        <v>125938</v>
      </c>
      <c r="I1210" s="1658">
        <v>926816350</v>
      </c>
      <c r="J1210" s="1658">
        <v>405575436700</v>
      </c>
      <c r="K1210" s="1658">
        <v>55558279</v>
      </c>
    </row>
    <row r="1211" spans="1:11" x14ac:dyDescent="0.3">
      <c r="A1211" s="1657">
        <v>43439</v>
      </c>
      <c r="B1211" s="1658">
        <v>7180</v>
      </c>
      <c r="C1211" s="1658">
        <v>-120</v>
      </c>
      <c r="D1211" s="1659">
        <v>-1.64</v>
      </c>
      <c r="E1211" s="1658">
        <v>7220</v>
      </c>
      <c r="F1211" s="1658">
        <v>7420</v>
      </c>
      <c r="G1211" s="1658">
        <v>7110</v>
      </c>
      <c r="H1211" s="1658">
        <v>132624</v>
      </c>
      <c r="I1211" s="1658">
        <v>963769070</v>
      </c>
      <c r="J1211" s="1658">
        <v>398908443220</v>
      </c>
      <c r="K1211" s="1658">
        <v>55558279</v>
      </c>
    </row>
    <row r="1212" spans="1:11" x14ac:dyDescent="0.3">
      <c r="A1212" s="1657">
        <v>43440</v>
      </c>
      <c r="B1212" s="1658">
        <v>7160</v>
      </c>
      <c r="C1212" s="1658">
        <v>-20</v>
      </c>
      <c r="D1212" s="1659">
        <v>-0.28000000000000003</v>
      </c>
      <c r="E1212" s="1658">
        <v>7190</v>
      </c>
      <c r="F1212" s="1658">
        <v>7260</v>
      </c>
      <c r="G1212" s="1658">
        <v>6950</v>
      </c>
      <c r="H1212" s="1658">
        <v>118987</v>
      </c>
      <c r="I1212" s="1658">
        <v>847954390</v>
      </c>
      <c r="J1212" s="1658">
        <v>397797277640</v>
      </c>
      <c r="K1212" s="1658">
        <v>55558279</v>
      </c>
    </row>
    <row r="1213" spans="1:11" x14ac:dyDescent="0.3">
      <c r="A1213" s="1657">
        <v>43441</v>
      </c>
      <c r="B1213" s="1658">
        <v>7170</v>
      </c>
      <c r="C1213" s="1658">
        <v>10</v>
      </c>
      <c r="D1213" s="1659">
        <v>0.14000000000000001</v>
      </c>
      <c r="E1213" s="1658">
        <v>7170</v>
      </c>
      <c r="F1213" s="1658">
        <v>7240</v>
      </c>
      <c r="G1213" s="1658">
        <v>7130</v>
      </c>
      <c r="H1213" s="1658">
        <v>74897</v>
      </c>
      <c r="I1213" s="1658">
        <v>538493210</v>
      </c>
      <c r="J1213" s="1658">
        <v>398352860430</v>
      </c>
      <c r="K1213" s="1658">
        <v>55558279</v>
      </c>
    </row>
    <row r="1214" spans="1:11" x14ac:dyDescent="0.3">
      <c r="A1214" s="1657">
        <v>43444</v>
      </c>
      <c r="B1214" s="1658">
        <v>7010</v>
      </c>
      <c r="C1214" s="1658">
        <v>-160</v>
      </c>
      <c r="D1214" s="1659">
        <v>-2.23</v>
      </c>
      <c r="E1214" s="1658">
        <v>7140</v>
      </c>
      <c r="F1214" s="1658">
        <v>7200</v>
      </c>
      <c r="G1214" s="1658">
        <v>6950</v>
      </c>
      <c r="H1214" s="1658">
        <v>53870</v>
      </c>
      <c r="I1214" s="1658">
        <v>380334760</v>
      </c>
      <c r="J1214" s="1658">
        <v>389463535790</v>
      </c>
      <c r="K1214" s="1658">
        <v>55558279</v>
      </c>
    </row>
    <row r="1215" spans="1:11" x14ac:dyDescent="0.3">
      <c r="A1215" s="1657">
        <v>43445</v>
      </c>
      <c r="B1215" s="1658">
        <v>7060</v>
      </c>
      <c r="C1215" s="1658">
        <v>50</v>
      </c>
      <c r="D1215" s="1659">
        <v>0.71</v>
      </c>
      <c r="E1215" s="1658">
        <v>7030</v>
      </c>
      <c r="F1215" s="1658">
        <v>7170</v>
      </c>
      <c r="G1215" s="1658">
        <v>6950</v>
      </c>
      <c r="H1215" s="1658">
        <v>97314</v>
      </c>
      <c r="I1215" s="1658">
        <v>686514350</v>
      </c>
      <c r="J1215" s="1658">
        <v>392241449740</v>
      </c>
      <c r="K1215" s="1658">
        <v>55558279</v>
      </c>
    </row>
    <row r="1216" spans="1:11" x14ac:dyDescent="0.3">
      <c r="A1216" s="1657">
        <v>43446</v>
      </c>
      <c r="B1216" s="1658">
        <v>7440</v>
      </c>
      <c r="C1216" s="1658">
        <v>380</v>
      </c>
      <c r="D1216" s="1659">
        <v>5.38</v>
      </c>
      <c r="E1216" s="1658">
        <v>7160</v>
      </c>
      <c r="F1216" s="1658">
        <v>7630</v>
      </c>
      <c r="G1216" s="1658">
        <v>7160</v>
      </c>
      <c r="H1216" s="1658">
        <v>352605</v>
      </c>
      <c r="I1216" s="1658">
        <v>2628234810</v>
      </c>
      <c r="J1216" s="1658">
        <v>413353595760</v>
      </c>
      <c r="K1216" s="1658">
        <v>55558279</v>
      </c>
    </row>
    <row r="1217" spans="1:11" x14ac:dyDescent="0.3">
      <c r="A1217" s="1657">
        <v>43447</v>
      </c>
      <c r="B1217" s="1658">
        <v>7450</v>
      </c>
      <c r="C1217" s="1658">
        <v>10</v>
      </c>
      <c r="D1217" s="1659">
        <v>0.13</v>
      </c>
      <c r="E1217" s="1658">
        <v>7450</v>
      </c>
      <c r="F1217" s="1658">
        <v>7530</v>
      </c>
      <c r="G1217" s="1658">
        <v>7300</v>
      </c>
      <c r="H1217" s="1658">
        <v>178111</v>
      </c>
      <c r="I1217" s="1658">
        <v>1320102260</v>
      </c>
      <c r="J1217" s="1658">
        <v>413909178550</v>
      </c>
      <c r="K1217" s="1658">
        <v>55558279</v>
      </c>
    </row>
    <row r="1218" spans="1:11" x14ac:dyDescent="0.3">
      <c r="A1218" s="1657">
        <v>43448</v>
      </c>
      <c r="B1218" s="1658">
        <v>7280</v>
      </c>
      <c r="C1218" s="1658">
        <v>-170</v>
      </c>
      <c r="D1218" s="1659">
        <v>-2.2799999999999998</v>
      </c>
      <c r="E1218" s="1658">
        <v>7450</v>
      </c>
      <c r="F1218" s="1658">
        <v>7450</v>
      </c>
      <c r="G1218" s="1658">
        <v>7200</v>
      </c>
      <c r="H1218" s="1658">
        <v>65529</v>
      </c>
      <c r="I1218" s="1658">
        <v>478261320</v>
      </c>
      <c r="J1218" s="1658">
        <v>404464271120</v>
      </c>
      <c r="K1218" s="1658">
        <v>55558279</v>
      </c>
    </row>
    <row r="1219" spans="1:11" x14ac:dyDescent="0.3">
      <c r="A1219" s="1657">
        <v>43451</v>
      </c>
      <c r="B1219" s="1658">
        <v>7170</v>
      </c>
      <c r="C1219" s="1658">
        <v>-110</v>
      </c>
      <c r="D1219" s="1659">
        <v>-1.51</v>
      </c>
      <c r="E1219" s="1658">
        <v>7270</v>
      </c>
      <c r="F1219" s="1658">
        <v>7280</v>
      </c>
      <c r="G1219" s="1658">
        <v>7100</v>
      </c>
      <c r="H1219" s="1658">
        <v>67149</v>
      </c>
      <c r="I1219" s="1658">
        <v>481674230</v>
      </c>
      <c r="J1219" s="1658">
        <v>398352860430</v>
      </c>
      <c r="K1219" s="1658">
        <v>55558279</v>
      </c>
    </row>
    <row r="1220" spans="1:11" x14ac:dyDescent="0.3">
      <c r="A1220" s="1657">
        <v>43452</v>
      </c>
      <c r="B1220" s="1658">
        <v>6890</v>
      </c>
      <c r="C1220" s="1658">
        <v>-280</v>
      </c>
      <c r="D1220" s="1659">
        <v>-3.91</v>
      </c>
      <c r="E1220" s="1658">
        <v>7050</v>
      </c>
      <c r="F1220" s="1658">
        <v>7100</v>
      </c>
      <c r="G1220" s="1658">
        <v>6820</v>
      </c>
      <c r="H1220" s="1658">
        <v>173789</v>
      </c>
      <c r="I1220" s="1658">
        <v>1202182260</v>
      </c>
      <c r="J1220" s="1658">
        <v>382796542310</v>
      </c>
      <c r="K1220" s="1658">
        <v>55558279</v>
      </c>
    </row>
    <row r="1221" spans="1:11" x14ac:dyDescent="0.3">
      <c r="A1221" s="1657">
        <v>43453</v>
      </c>
      <c r="B1221" s="1658">
        <v>6880</v>
      </c>
      <c r="C1221" s="1658">
        <v>-10</v>
      </c>
      <c r="D1221" s="1659">
        <v>-0.15</v>
      </c>
      <c r="E1221" s="1658">
        <v>6900</v>
      </c>
      <c r="F1221" s="1658">
        <v>6940</v>
      </c>
      <c r="G1221" s="1658">
        <v>6780</v>
      </c>
      <c r="H1221" s="1658">
        <v>84298</v>
      </c>
      <c r="I1221" s="1658">
        <v>577062850</v>
      </c>
      <c r="J1221" s="1658">
        <v>382240959520</v>
      </c>
      <c r="K1221" s="1658">
        <v>55558279</v>
      </c>
    </row>
    <row r="1222" spans="1:11" x14ac:dyDescent="0.3">
      <c r="A1222" s="1657">
        <v>43454</v>
      </c>
      <c r="B1222" s="1658">
        <v>6600</v>
      </c>
      <c r="C1222" s="1658">
        <v>-280</v>
      </c>
      <c r="D1222" s="1659">
        <v>-4.07</v>
      </c>
      <c r="E1222" s="1658">
        <v>6810</v>
      </c>
      <c r="F1222" s="1658">
        <v>6890</v>
      </c>
      <c r="G1222" s="1658">
        <v>6550</v>
      </c>
      <c r="H1222" s="1658">
        <v>150846</v>
      </c>
      <c r="I1222" s="1658">
        <v>1008506280</v>
      </c>
      <c r="J1222" s="1658">
        <v>366684641400</v>
      </c>
      <c r="K1222" s="1658">
        <v>55558279</v>
      </c>
    </row>
    <row r="1223" spans="1:11" x14ac:dyDescent="0.3">
      <c r="A1223" s="1657">
        <v>43455</v>
      </c>
      <c r="B1223" s="1658">
        <v>6630</v>
      </c>
      <c r="C1223" s="1658">
        <v>30</v>
      </c>
      <c r="D1223" s="1659">
        <v>0.45</v>
      </c>
      <c r="E1223" s="1658">
        <v>6640</v>
      </c>
      <c r="F1223" s="1658">
        <v>6750</v>
      </c>
      <c r="G1223" s="1658">
        <v>6540</v>
      </c>
      <c r="H1223" s="1658">
        <v>60735</v>
      </c>
      <c r="I1223" s="1658">
        <v>403527970</v>
      </c>
      <c r="J1223" s="1658">
        <v>368351389770</v>
      </c>
      <c r="K1223" s="1658">
        <v>55558279</v>
      </c>
    </row>
    <row r="1224" spans="1:11" x14ac:dyDescent="0.3">
      <c r="A1224" s="1657">
        <v>43458</v>
      </c>
      <c r="B1224" s="1658">
        <v>6820</v>
      </c>
      <c r="C1224" s="1658">
        <v>190</v>
      </c>
      <c r="D1224" s="1659">
        <v>2.87</v>
      </c>
      <c r="E1224" s="1658">
        <v>6630</v>
      </c>
      <c r="F1224" s="1658">
        <v>6840</v>
      </c>
      <c r="G1224" s="1658">
        <v>6570</v>
      </c>
      <c r="H1224" s="1658">
        <v>88434</v>
      </c>
      <c r="I1224" s="1658">
        <v>593541550</v>
      </c>
      <c r="J1224" s="1658">
        <v>378907462780</v>
      </c>
      <c r="K1224" s="1658">
        <v>55558279</v>
      </c>
    </row>
    <row r="1225" spans="1:11" x14ac:dyDescent="0.3">
      <c r="A1225" s="1657">
        <v>43460</v>
      </c>
      <c r="B1225" s="1658">
        <v>6880</v>
      </c>
      <c r="C1225" s="1658">
        <v>60</v>
      </c>
      <c r="D1225" s="1659">
        <v>0.88</v>
      </c>
      <c r="E1225" s="1658">
        <v>6680</v>
      </c>
      <c r="F1225" s="1658">
        <v>6880</v>
      </c>
      <c r="G1225" s="1658">
        <v>6680</v>
      </c>
      <c r="H1225" s="1658">
        <v>95234</v>
      </c>
      <c r="I1225" s="1658">
        <v>648649130</v>
      </c>
      <c r="J1225" s="1658">
        <v>382240959520</v>
      </c>
      <c r="K1225" s="1658">
        <v>55558279</v>
      </c>
    </row>
    <row r="1226" spans="1:11" x14ac:dyDescent="0.3">
      <c r="A1226" s="1657">
        <v>43461</v>
      </c>
      <c r="B1226" s="1658">
        <v>6930</v>
      </c>
      <c r="C1226" s="1658">
        <v>50</v>
      </c>
      <c r="D1226" s="1659">
        <v>0.73</v>
      </c>
      <c r="E1226" s="1658">
        <v>7160</v>
      </c>
      <c r="F1226" s="1658">
        <v>7180</v>
      </c>
      <c r="G1226" s="1658">
        <v>6840</v>
      </c>
      <c r="H1226" s="1658">
        <v>91594</v>
      </c>
      <c r="I1226" s="1658">
        <v>637522830</v>
      </c>
      <c r="J1226" s="1658">
        <v>385018873470</v>
      </c>
      <c r="K1226" s="1658">
        <v>55558279</v>
      </c>
    </row>
    <row r="1227" spans="1:11" x14ac:dyDescent="0.3">
      <c r="A1227" s="1657">
        <v>43462</v>
      </c>
      <c r="B1227" s="1658">
        <v>6760</v>
      </c>
      <c r="C1227" s="1658">
        <v>-170</v>
      </c>
      <c r="D1227" s="1659">
        <v>-2.4500000000000002</v>
      </c>
      <c r="E1227" s="1658">
        <v>6890</v>
      </c>
      <c r="F1227" s="1658">
        <v>7080</v>
      </c>
      <c r="G1227" s="1658">
        <v>6670</v>
      </c>
      <c r="H1227" s="1658">
        <v>181805</v>
      </c>
      <c r="I1227" s="1658">
        <v>1236927760</v>
      </c>
      <c r="J1227" s="1658">
        <v>375573966040</v>
      </c>
      <c r="K1227" s="1658">
        <v>55558279</v>
      </c>
    </row>
    <row r="1228" spans="1:11" x14ac:dyDescent="0.3">
      <c r="A1228" s="1657">
        <v>43467</v>
      </c>
      <c r="B1228" s="1658">
        <v>6700</v>
      </c>
      <c r="C1228" s="1658">
        <v>-60</v>
      </c>
      <c r="D1228" s="1659">
        <v>-0.89</v>
      </c>
      <c r="E1228" s="1658">
        <v>7080</v>
      </c>
      <c r="F1228" s="1658">
        <v>7080</v>
      </c>
      <c r="G1228" s="1658">
        <v>6690</v>
      </c>
      <c r="H1228" s="1658">
        <v>173069</v>
      </c>
      <c r="I1228" s="1658">
        <v>1173445490</v>
      </c>
      <c r="J1228" s="1658">
        <v>372240469300</v>
      </c>
      <c r="K1228" s="1658">
        <v>55558279</v>
      </c>
    </row>
    <row r="1229" spans="1:11" x14ac:dyDescent="0.3">
      <c r="A1229" s="1657">
        <v>43468</v>
      </c>
      <c r="B1229" s="1658">
        <v>6380</v>
      </c>
      <c r="C1229" s="1658">
        <v>-320</v>
      </c>
      <c r="D1229" s="1659">
        <v>-4.78</v>
      </c>
      <c r="E1229" s="1658">
        <v>6700</v>
      </c>
      <c r="F1229" s="1658">
        <v>6760</v>
      </c>
      <c r="G1229" s="1658">
        <v>6350</v>
      </c>
      <c r="H1229" s="1658">
        <v>228926</v>
      </c>
      <c r="I1229" s="1658">
        <v>1483162350</v>
      </c>
      <c r="J1229" s="1658">
        <v>354461820020</v>
      </c>
      <c r="K1229" s="1658">
        <v>55558279</v>
      </c>
    </row>
    <row r="1230" spans="1:11" x14ac:dyDescent="0.3">
      <c r="A1230" s="1657">
        <v>43469</v>
      </c>
      <c r="B1230" s="1658">
        <v>6280</v>
      </c>
      <c r="C1230" s="1658">
        <v>-100</v>
      </c>
      <c r="D1230" s="1659">
        <v>-1.57</v>
      </c>
      <c r="E1230" s="1658">
        <v>6380</v>
      </c>
      <c r="F1230" s="1658">
        <v>6490</v>
      </c>
      <c r="G1230" s="1658">
        <v>6150</v>
      </c>
      <c r="H1230" s="1658">
        <v>109031</v>
      </c>
      <c r="I1230" s="1658">
        <v>682604680</v>
      </c>
      <c r="J1230" s="1658">
        <v>348905992120</v>
      </c>
      <c r="K1230" s="1658">
        <v>55558279</v>
      </c>
    </row>
    <row r="1231" spans="1:11" x14ac:dyDescent="0.3">
      <c r="A1231" s="1657">
        <v>43472</v>
      </c>
      <c r="B1231" s="1658">
        <v>6490</v>
      </c>
      <c r="C1231" s="1658">
        <v>210</v>
      </c>
      <c r="D1231" s="1659">
        <v>3.34</v>
      </c>
      <c r="E1231" s="1658">
        <v>6300</v>
      </c>
      <c r="F1231" s="1658">
        <v>6550</v>
      </c>
      <c r="G1231" s="1658">
        <v>6290</v>
      </c>
      <c r="H1231" s="1658">
        <v>105019</v>
      </c>
      <c r="I1231" s="1658">
        <v>677175800</v>
      </c>
      <c r="J1231" s="1658">
        <v>360573230710</v>
      </c>
      <c r="K1231" s="1658">
        <v>55558279</v>
      </c>
    </row>
    <row r="1232" spans="1:11" x14ac:dyDescent="0.3">
      <c r="A1232" s="1657">
        <v>43473</v>
      </c>
      <c r="B1232" s="1658">
        <v>6380</v>
      </c>
      <c r="C1232" s="1658">
        <v>-110</v>
      </c>
      <c r="D1232" s="1659">
        <v>-1.69</v>
      </c>
      <c r="E1232" s="1658">
        <v>6490</v>
      </c>
      <c r="F1232" s="1658">
        <v>6650</v>
      </c>
      <c r="G1232" s="1658">
        <v>6370</v>
      </c>
      <c r="H1232" s="1658">
        <v>66860</v>
      </c>
      <c r="I1232" s="1658">
        <v>430603050</v>
      </c>
      <c r="J1232" s="1658">
        <v>354461820020</v>
      </c>
      <c r="K1232" s="1658">
        <v>55558279</v>
      </c>
    </row>
    <row r="1233" spans="1:11" x14ac:dyDescent="0.3">
      <c r="A1233" s="1657">
        <v>43474</v>
      </c>
      <c r="B1233" s="1658">
        <v>6600</v>
      </c>
      <c r="C1233" s="1658">
        <v>220</v>
      </c>
      <c r="D1233" s="1659">
        <v>3.45</v>
      </c>
      <c r="E1233" s="1658">
        <v>6430</v>
      </c>
      <c r="F1233" s="1658">
        <v>6670</v>
      </c>
      <c r="G1233" s="1658">
        <v>6430</v>
      </c>
      <c r="H1233" s="1658">
        <v>86256</v>
      </c>
      <c r="I1233" s="1658">
        <v>568993010</v>
      </c>
      <c r="J1233" s="1658">
        <v>366684641400</v>
      </c>
      <c r="K1233" s="1658">
        <v>55558279</v>
      </c>
    </row>
    <row r="1234" spans="1:11" x14ac:dyDescent="0.3">
      <c r="A1234" s="1657">
        <v>43475</v>
      </c>
      <c r="B1234" s="1658">
        <v>6770</v>
      </c>
      <c r="C1234" s="1658">
        <v>170</v>
      </c>
      <c r="D1234" s="1659">
        <v>2.58</v>
      </c>
      <c r="E1234" s="1658">
        <v>6630</v>
      </c>
      <c r="F1234" s="1658">
        <v>6800</v>
      </c>
      <c r="G1234" s="1658">
        <v>6480</v>
      </c>
      <c r="H1234" s="1658">
        <v>102306</v>
      </c>
      <c r="I1234" s="1658">
        <v>679330600</v>
      </c>
      <c r="J1234" s="1658">
        <v>376129548830</v>
      </c>
      <c r="K1234" s="1658">
        <v>55558279</v>
      </c>
    </row>
    <row r="1235" spans="1:11" x14ac:dyDescent="0.3">
      <c r="A1235" s="1657">
        <v>43476</v>
      </c>
      <c r="B1235" s="1658">
        <v>6660</v>
      </c>
      <c r="C1235" s="1658">
        <v>-110</v>
      </c>
      <c r="D1235" s="1659">
        <v>-1.62</v>
      </c>
      <c r="E1235" s="1658">
        <v>6730</v>
      </c>
      <c r="F1235" s="1658">
        <v>6850</v>
      </c>
      <c r="G1235" s="1658">
        <v>6660</v>
      </c>
      <c r="H1235" s="1658">
        <v>83028</v>
      </c>
      <c r="I1235" s="1658">
        <v>561260740</v>
      </c>
      <c r="J1235" s="1658">
        <v>370018138140</v>
      </c>
      <c r="K1235" s="1658">
        <v>55558279</v>
      </c>
    </row>
    <row r="1236" spans="1:11" x14ac:dyDescent="0.3">
      <c r="A1236" s="1657">
        <v>43479</v>
      </c>
      <c r="B1236" s="1658">
        <v>6810</v>
      </c>
      <c r="C1236" s="1658">
        <v>150</v>
      </c>
      <c r="D1236" s="1659">
        <v>2.25</v>
      </c>
      <c r="E1236" s="1658">
        <v>6670</v>
      </c>
      <c r="F1236" s="1658">
        <v>6940</v>
      </c>
      <c r="G1236" s="1658">
        <v>6670</v>
      </c>
      <c r="H1236" s="1658">
        <v>99235</v>
      </c>
      <c r="I1236" s="1658">
        <v>677537350</v>
      </c>
      <c r="J1236" s="1658">
        <v>378351879990</v>
      </c>
      <c r="K1236" s="1658">
        <v>55558279</v>
      </c>
    </row>
    <row r="1237" spans="1:11" x14ac:dyDescent="0.3">
      <c r="A1237" s="1657">
        <v>43480</v>
      </c>
      <c r="B1237" s="1658">
        <v>6900</v>
      </c>
      <c r="C1237" s="1658">
        <v>90</v>
      </c>
      <c r="D1237" s="1659">
        <v>1.32</v>
      </c>
      <c r="E1237" s="1658">
        <v>6840</v>
      </c>
      <c r="F1237" s="1658">
        <v>6950</v>
      </c>
      <c r="G1237" s="1658">
        <v>6770</v>
      </c>
      <c r="H1237" s="1658">
        <v>72048</v>
      </c>
      <c r="I1237" s="1658">
        <v>494590730</v>
      </c>
      <c r="J1237" s="1658">
        <v>383352125100</v>
      </c>
      <c r="K1237" s="1658">
        <v>55558279</v>
      </c>
    </row>
    <row r="1238" spans="1:11" x14ac:dyDescent="0.3">
      <c r="A1238" s="1657">
        <v>43481</v>
      </c>
      <c r="B1238" s="1658">
        <v>6910</v>
      </c>
      <c r="C1238" s="1658">
        <v>10</v>
      </c>
      <c r="D1238" s="1659">
        <v>0.14000000000000001</v>
      </c>
      <c r="E1238" s="1658">
        <v>6860</v>
      </c>
      <c r="F1238" s="1658">
        <v>7040</v>
      </c>
      <c r="G1238" s="1658">
        <v>6850</v>
      </c>
      <c r="H1238" s="1658">
        <v>77911</v>
      </c>
      <c r="I1238" s="1658">
        <v>540139280</v>
      </c>
      <c r="J1238" s="1658">
        <v>383907707890</v>
      </c>
      <c r="K1238" s="1658">
        <v>55558279</v>
      </c>
    </row>
    <row r="1239" spans="1:11" x14ac:dyDescent="0.3">
      <c r="A1239" s="1657">
        <v>43482</v>
      </c>
      <c r="B1239" s="1658">
        <v>6860</v>
      </c>
      <c r="C1239" s="1658">
        <v>-50</v>
      </c>
      <c r="D1239" s="1659">
        <v>-0.72</v>
      </c>
      <c r="E1239" s="1658">
        <v>6920</v>
      </c>
      <c r="F1239" s="1658">
        <v>7000</v>
      </c>
      <c r="G1239" s="1658">
        <v>6830</v>
      </c>
      <c r="H1239" s="1658">
        <v>74386</v>
      </c>
      <c r="I1239" s="1658">
        <v>513196010</v>
      </c>
      <c r="J1239" s="1658">
        <v>381129793940</v>
      </c>
      <c r="K1239" s="1658">
        <v>55558279</v>
      </c>
    </row>
    <row r="1240" spans="1:11" x14ac:dyDescent="0.3">
      <c r="A1240" s="1657">
        <v>43483</v>
      </c>
      <c r="B1240" s="1658">
        <v>6920</v>
      </c>
      <c r="C1240" s="1658">
        <v>60</v>
      </c>
      <c r="D1240" s="1659">
        <v>0.87</v>
      </c>
      <c r="E1240" s="1658">
        <v>6950</v>
      </c>
      <c r="F1240" s="1658">
        <v>6950</v>
      </c>
      <c r="G1240" s="1658">
        <v>6720</v>
      </c>
      <c r="H1240" s="1658">
        <v>80404</v>
      </c>
      <c r="I1240" s="1658">
        <v>554097870</v>
      </c>
      <c r="J1240" s="1658">
        <v>384463290680</v>
      </c>
      <c r="K1240" s="1658">
        <v>55558279</v>
      </c>
    </row>
    <row r="1241" spans="1:11" x14ac:dyDescent="0.3">
      <c r="A1241" s="1657">
        <v>43486</v>
      </c>
      <c r="B1241" s="1658">
        <v>6970</v>
      </c>
      <c r="C1241" s="1658">
        <v>50</v>
      </c>
      <c r="D1241" s="1659">
        <v>0.72</v>
      </c>
      <c r="E1241" s="1658">
        <v>6940</v>
      </c>
      <c r="F1241" s="1658">
        <v>7030</v>
      </c>
      <c r="G1241" s="1658">
        <v>6910</v>
      </c>
      <c r="H1241" s="1658">
        <v>55729</v>
      </c>
      <c r="I1241" s="1658">
        <v>387693360</v>
      </c>
      <c r="J1241" s="1658">
        <v>387241204630</v>
      </c>
      <c r="K1241" s="1658">
        <v>55558279</v>
      </c>
    </row>
    <row r="1242" spans="1:11" x14ac:dyDescent="0.3">
      <c r="A1242" s="1657">
        <v>43487</v>
      </c>
      <c r="B1242" s="1658">
        <v>6910</v>
      </c>
      <c r="C1242" s="1658">
        <v>-60</v>
      </c>
      <c r="D1242" s="1659">
        <v>-0.86</v>
      </c>
      <c r="E1242" s="1658">
        <v>6980</v>
      </c>
      <c r="F1242" s="1658">
        <v>7040</v>
      </c>
      <c r="G1242" s="1658">
        <v>6830</v>
      </c>
      <c r="H1242" s="1658">
        <v>61665</v>
      </c>
      <c r="I1242" s="1658">
        <v>426019950</v>
      </c>
      <c r="J1242" s="1658">
        <v>383907707890</v>
      </c>
      <c r="K1242" s="1658">
        <v>55558279</v>
      </c>
    </row>
    <row r="1243" spans="1:11" x14ac:dyDescent="0.3">
      <c r="A1243" s="1657">
        <v>43488</v>
      </c>
      <c r="B1243" s="1658">
        <v>6950</v>
      </c>
      <c r="C1243" s="1658">
        <v>40</v>
      </c>
      <c r="D1243" s="1659">
        <v>0.57999999999999996</v>
      </c>
      <c r="E1243" s="1658">
        <v>6890</v>
      </c>
      <c r="F1243" s="1658">
        <v>7000</v>
      </c>
      <c r="G1243" s="1658">
        <v>6850</v>
      </c>
      <c r="H1243" s="1658">
        <v>72439</v>
      </c>
      <c r="I1243" s="1658">
        <v>504184580</v>
      </c>
      <c r="J1243" s="1658">
        <v>386130039050</v>
      </c>
      <c r="K1243" s="1658">
        <v>55558279</v>
      </c>
    </row>
    <row r="1244" spans="1:11" x14ac:dyDescent="0.3">
      <c r="A1244" s="1657">
        <v>43489</v>
      </c>
      <c r="B1244" s="1658">
        <v>7160</v>
      </c>
      <c r="C1244" s="1658">
        <v>210</v>
      </c>
      <c r="D1244" s="1659">
        <v>3.02</v>
      </c>
      <c r="E1244" s="1658">
        <v>6950</v>
      </c>
      <c r="F1244" s="1658">
        <v>7190</v>
      </c>
      <c r="G1244" s="1658">
        <v>6890</v>
      </c>
      <c r="H1244" s="1658">
        <v>127742</v>
      </c>
      <c r="I1244" s="1658">
        <v>905620970</v>
      </c>
      <c r="J1244" s="1658">
        <v>397797277640</v>
      </c>
      <c r="K1244" s="1658">
        <v>55558279</v>
      </c>
    </row>
    <row r="1245" spans="1:11" x14ac:dyDescent="0.3">
      <c r="A1245" s="1657">
        <v>43490</v>
      </c>
      <c r="B1245" s="1658">
        <v>7280</v>
      </c>
      <c r="C1245" s="1658">
        <v>120</v>
      </c>
      <c r="D1245" s="1659">
        <v>1.68</v>
      </c>
      <c r="E1245" s="1658">
        <v>7110</v>
      </c>
      <c r="F1245" s="1658">
        <v>7360</v>
      </c>
      <c r="G1245" s="1658">
        <v>7100</v>
      </c>
      <c r="H1245" s="1658">
        <v>106567</v>
      </c>
      <c r="I1245" s="1658">
        <v>774311970</v>
      </c>
      <c r="J1245" s="1658">
        <v>404464271120</v>
      </c>
      <c r="K1245" s="1658">
        <v>55558279</v>
      </c>
    </row>
    <row r="1246" spans="1:11" x14ac:dyDescent="0.3">
      <c r="A1246" s="1657">
        <v>43493</v>
      </c>
      <c r="B1246" s="1658">
        <v>7140</v>
      </c>
      <c r="C1246" s="1658">
        <v>-140</v>
      </c>
      <c r="D1246" s="1659">
        <v>-1.92</v>
      </c>
      <c r="E1246" s="1658">
        <v>7300</v>
      </c>
      <c r="F1246" s="1658">
        <v>7320</v>
      </c>
      <c r="G1246" s="1658">
        <v>7060</v>
      </c>
      <c r="H1246" s="1658">
        <v>107757</v>
      </c>
      <c r="I1246" s="1658">
        <v>769141320</v>
      </c>
      <c r="J1246" s="1658">
        <v>396686112060</v>
      </c>
      <c r="K1246" s="1658">
        <v>55558279</v>
      </c>
    </row>
    <row r="1247" spans="1:11" x14ac:dyDescent="0.3">
      <c r="A1247" s="1657">
        <v>43494</v>
      </c>
      <c r="B1247" s="1658">
        <v>7010</v>
      </c>
      <c r="C1247" s="1658">
        <v>-130</v>
      </c>
      <c r="D1247" s="1659">
        <v>-1.82</v>
      </c>
      <c r="E1247" s="1658">
        <v>7140</v>
      </c>
      <c r="F1247" s="1658">
        <v>7140</v>
      </c>
      <c r="G1247" s="1658">
        <v>6960</v>
      </c>
      <c r="H1247" s="1658">
        <v>107033</v>
      </c>
      <c r="I1247" s="1658">
        <v>751002930</v>
      </c>
      <c r="J1247" s="1658">
        <v>389463535790</v>
      </c>
      <c r="K1247" s="1658">
        <v>55558279</v>
      </c>
    </row>
    <row r="1248" spans="1:11" x14ac:dyDescent="0.3">
      <c r="A1248" s="1657">
        <v>43495</v>
      </c>
      <c r="B1248" s="1658">
        <v>7090</v>
      </c>
      <c r="C1248" s="1658">
        <v>80</v>
      </c>
      <c r="D1248" s="1659">
        <v>1.1399999999999999</v>
      </c>
      <c r="E1248" s="1658">
        <v>7000</v>
      </c>
      <c r="F1248" s="1658">
        <v>7140</v>
      </c>
      <c r="G1248" s="1658">
        <v>7000</v>
      </c>
      <c r="H1248" s="1658">
        <v>59479</v>
      </c>
      <c r="I1248" s="1658">
        <v>421220830</v>
      </c>
      <c r="J1248" s="1658">
        <v>393908198110</v>
      </c>
      <c r="K1248" s="1658">
        <v>55558279</v>
      </c>
    </row>
    <row r="1249" spans="1:11" x14ac:dyDescent="0.3">
      <c r="A1249" s="1657">
        <v>43496</v>
      </c>
      <c r="B1249" s="1658">
        <v>6890</v>
      </c>
      <c r="C1249" s="1658">
        <v>-200</v>
      </c>
      <c r="D1249" s="1659">
        <v>-2.82</v>
      </c>
      <c r="E1249" s="1658">
        <v>7110</v>
      </c>
      <c r="F1249" s="1658">
        <v>7130</v>
      </c>
      <c r="G1249" s="1658">
        <v>6850</v>
      </c>
      <c r="H1249" s="1658">
        <v>111964</v>
      </c>
      <c r="I1249" s="1658">
        <v>780692590</v>
      </c>
      <c r="J1249" s="1658">
        <v>382796542310</v>
      </c>
      <c r="K1249" s="1658">
        <v>55558279</v>
      </c>
    </row>
    <row r="1250" spans="1:11" x14ac:dyDescent="0.3">
      <c r="A1250" s="1657">
        <v>43497</v>
      </c>
      <c r="B1250" s="1658">
        <v>7000</v>
      </c>
      <c r="C1250" s="1658">
        <v>110</v>
      </c>
      <c r="D1250" s="1659">
        <v>1.6</v>
      </c>
      <c r="E1250" s="1658">
        <v>6850</v>
      </c>
      <c r="F1250" s="1658">
        <v>7000</v>
      </c>
      <c r="G1250" s="1658">
        <v>6830</v>
      </c>
      <c r="H1250" s="1658">
        <v>84622</v>
      </c>
      <c r="I1250" s="1658">
        <v>582492800</v>
      </c>
      <c r="J1250" s="1658">
        <v>388907953000</v>
      </c>
      <c r="K1250" s="1658">
        <v>55558279</v>
      </c>
    </row>
    <row r="1251" spans="1:11" x14ac:dyDescent="0.3">
      <c r="A1251" s="1657">
        <v>43503</v>
      </c>
      <c r="B1251" s="1658">
        <v>8010</v>
      </c>
      <c r="C1251" s="1658">
        <v>1010</v>
      </c>
      <c r="D1251" s="1659">
        <v>14.43</v>
      </c>
      <c r="E1251" s="1658">
        <v>7240</v>
      </c>
      <c r="F1251" s="1658">
        <v>8290</v>
      </c>
      <c r="G1251" s="1658">
        <v>7160</v>
      </c>
      <c r="H1251" s="1658">
        <v>1701558</v>
      </c>
      <c r="I1251" s="1658">
        <v>13343739190</v>
      </c>
      <c r="J1251" s="1658">
        <v>445021814790</v>
      </c>
      <c r="K1251" s="1658">
        <v>55558279</v>
      </c>
    </row>
    <row r="1252" spans="1:11" x14ac:dyDescent="0.3">
      <c r="A1252" s="1657">
        <v>43504</v>
      </c>
      <c r="B1252" s="1658">
        <v>7740</v>
      </c>
      <c r="C1252" s="1658">
        <v>-270</v>
      </c>
      <c r="D1252" s="1659">
        <v>-3.37</v>
      </c>
      <c r="E1252" s="1658">
        <v>8030</v>
      </c>
      <c r="F1252" s="1658">
        <v>8110</v>
      </c>
      <c r="G1252" s="1658">
        <v>7740</v>
      </c>
      <c r="H1252" s="1658">
        <v>454691</v>
      </c>
      <c r="I1252" s="1658">
        <v>3590443360</v>
      </c>
      <c r="J1252" s="1658">
        <v>430021079460</v>
      </c>
      <c r="K1252" s="1658">
        <v>55558279</v>
      </c>
    </row>
    <row r="1253" spans="1:11" x14ac:dyDescent="0.3">
      <c r="A1253" s="1657">
        <v>43507</v>
      </c>
      <c r="B1253" s="1658">
        <v>8360</v>
      </c>
      <c r="C1253" s="1658">
        <v>620</v>
      </c>
      <c r="D1253" s="1659">
        <v>8.01</v>
      </c>
      <c r="E1253" s="1658">
        <v>7740</v>
      </c>
      <c r="F1253" s="1658">
        <v>8400</v>
      </c>
      <c r="G1253" s="1658">
        <v>7740</v>
      </c>
      <c r="H1253" s="1658">
        <v>754746</v>
      </c>
      <c r="I1253" s="1658">
        <v>6180759530</v>
      </c>
      <c r="J1253" s="1658">
        <v>464467212440</v>
      </c>
      <c r="K1253" s="1658">
        <v>55558279</v>
      </c>
    </row>
    <row r="1254" spans="1:11" x14ac:dyDescent="0.3">
      <c r="A1254" s="1657">
        <v>43508</v>
      </c>
      <c r="B1254" s="1658">
        <v>9160</v>
      </c>
      <c r="C1254" s="1658">
        <v>800</v>
      </c>
      <c r="D1254" s="1659">
        <v>9.57</v>
      </c>
      <c r="E1254" s="1658">
        <v>8270</v>
      </c>
      <c r="F1254" s="1658">
        <v>9320</v>
      </c>
      <c r="G1254" s="1658">
        <v>8250</v>
      </c>
      <c r="H1254" s="1658">
        <v>1736842</v>
      </c>
      <c r="I1254" s="1658">
        <v>15503149990</v>
      </c>
      <c r="J1254" s="1658">
        <v>508913835640</v>
      </c>
      <c r="K1254" s="1658">
        <v>55558279</v>
      </c>
    </row>
    <row r="1255" spans="1:11" x14ac:dyDescent="0.3">
      <c r="A1255" s="1657">
        <v>43509</v>
      </c>
      <c r="B1255" s="1658">
        <v>9200</v>
      </c>
      <c r="C1255" s="1658">
        <v>40</v>
      </c>
      <c r="D1255" s="1659">
        <v>0.44</v>
      </c>
      <c r="E1255" s="1658">
        <v>9160</v>
      </c>
      <c r="F1255" s="1658">
        <v>9300</v>
      </c>
      <c r="G1255" s="1658">
        <v>9020</v>
      </c>
      <c r="H1255" s="1658">
        <v>540482</v>
      </c>
      <c r="I1255" s="1658">
        <v>4963008010</v>
      </c>
      <c r="J1255" s="1658">
        <v>511136166800</v>
      </c>
      <c r="K1255" s="1658">
        <v>55558279</v>
      </c>
    </row>
    <row r="1256" spans="1:11" x14ac:dyDescent="0.3">
      <c r="A1256" s="1657">
        <v>43510</v>
      </c>
      <c r="B1256" s="1658">
        <v>9160</v>
      </c>
      <c r="C1256" s="1658">
        <v>-40</v>
      </c>
      <c r="D1256" s="1659">
        <v>-0.43</v>
      </c>
      <c r="E1256" s="1658">
        <v>9100</v>
      </c>
      <c r="F1256" s="1658">
        <v>9260</v>
      </c>
      <c r="G1256" s="1658">
        <v>9000</v>
      </c>
      <c r="H1256" s="1658">
        <v>282072</v>
      </c>
      <c r="I1256" s="1658">
        <v>2567684530</v>
      </c>
      <c r="J1256" s="1658">
        <v>508913835640</v>
      </c>
      <c r="K1256" s="1658">
        <v>55558279</v>
      </c>
    </row>
    <row r="1257" spans="1:11" x14ac:dyDescent="0.3">
      <c r="A1257" s="1657">
        <v>43511</v>
      </c>
      <c r="B1257" s="1658">
        <v>9350</v>
      </c>
      <c r="C1257" s="1658">
        <v>190</v>
      </c>
      <c r="D1257" s="1659">
        <v>2.0699999999999998</v>
      </c>
      <c r="E1257" s="1658">
        <v>9230</v>
      </c>
      <c r="F1257" s="1658">
        <v>9590</v>
      </c>
      <c r="G1257" s="1658">
        <v>9160</v>
      </c>
      <c r="H1257" s="1658">
        <v>643192</v>
      </c>
      <c r="I1257" s="1658">
        <v>6057985350</v>
      </c>
      <c r="J1257" s="1658">
        <v>519469908650</v>
      </c>
      <c r="K1257" s="1658">
        <v>55558279</v>
      </c>
    </row>
    <row r="1258" spans="1:11" x14ac:dyDescent="0.3">
      <c r="A1258" s="1657">
        <v>43514</v>
      </c>
      <c r="B1258" s="1658">
        <v>9210</v>
      </c>
      <c r="C1258" s="1658">
        <v>-140</v>
      </c>
      <c r="D1258" s="1659">
        <v>-1.5</v>
      </c>
      <c r="E1258" s="1658">
        <v>9370</v>
      </c>
      <c r="F1258" s="1658">
        <v>9490</v>
      </c>
      <c r="G1258" s="1658">
        <v>9120</v>
      </c>
      <c r="H1258" s="1658">
        <v>235098</v>
      </c>
      <c r="I1258" s="1658">
        <v>2171623180</v>
      </c>
      <c r="J1258" s="1658">
        <v>511691749590</v>
      </c>
      <c r="K1258" s="1658">
        <v>55558279</v>
      </c>
    </row>
    <row r="1259" spans="1:11" x14ac:dyDescent="0.3">
      <c r="A1259" s="1657">
        <v>43515</v>
      </c>
      <c r="B1259" s="1658">
        <v>8940</v>
      </c>
      <c r="C1259" s="1658">
        <v>-270</v>
      </c>
      <c r="D1259" s="1659">
        <v>-2.93</v>
      </c>
      <c r="E1259" s="1658">
        <v>9160</v>
      </c>
      <c r="F1259" s="1658">
        <v>9240</v>
      </c>
      <c r="G1259" s="1658">
        <v>8880</v>
      </c>
      <c r="H1259" s="1658">
        <v>427920</v>
      </c>
      <c r="I1259" s="1658">
        <v>3843782630</v>
      </c>
      <c r="J1259" s="1658">
        <v>496691014260</v>
      </c>
      <c r="K1259" s="1658">
        <v>55558279</v>
      </c>
    </row>
    <row r="1260" spans="1:11" x14ac:dyDescent="0.3">
      <c r="A1260" s="1657">
        <v>43516</v>
      </c>
      <c r="B1260" s="1658">
        <v>8900</v>
      </c>
      <c r="C1260" s="1658">
        <v>-40</v>
      </c>
      <c r="D1260" s="1659">
        <v>-0.45</v>
      </c>
      <c r="E1260" s="1658">
        <v>8940</v>
      </c>
      <c r="F1260" s="1658">
        <v>9050</v>
      </c>
      <c r="G1260" s="1658">
        <v>8720</v>
      </c>
      <c r="H1260" s="1658">
        <v>356211</v>
      </c>
      <c r="I1260" s="1658">
        <v>3147386530</v>
      </c>
      <c r="J1260" s="1658">
        <v>494468683100</v>
      </c>
      <c r="K1260" s="1658">
        <v>55558279</v>
      </c>
    </row>
    <row r="1261" spans="1:11" x14ac:dyDescent="0.3">
      <c r="A1261" s="1657">
        <v>43517</v>
      </c>
      <c r="B1261" s="1658">
        <v>9010</v>
      </c>
      <c r="C1261" s="1658">
        <v>110</v>
      </c>
      <c r="D1261" s="1659">
        <v>1.24</v>
      </c>
      <c r="E1261" s="1658">
        <v>8880</v>
      </c>
      <c r="F1261" s="1658">
        <v>9130</v>
      </c>
      <c r="G1261" s="1658">
        <v>8810</v>
      </c>
      <c r="H1261" s="1658">
        <v>189711</v>
      </c>
      <c r="I1261" s="1658">
        <v>1708200470</v>
      </c>
      <c r="J1261" s="1658">
        <v>500580093790</v>
      </c>
      <c r="K1261" s="1658">
        <v>55558279</v>
      </c>
    </row>
    <row r="1262" spans="1:11" x14ac:dyDescent="0.3">
      <c r="A1262" s="1657">
        <v>43518</v>
      </c>
      <c r="B1262" s="1658">
        <v>9390</v>
      </c>
      <c r="C1262" s="1658">
        <v>380</v>
      </c>
      <c r="D1262" s="1659">
        <v>4.22</v>
      </c>
      <c r="E1262" s="1658">
        <v>8880</v>
      </c>
      <c r="F1262" s="1658">
        <v>9760</v>
      </c>
      <c r="G1262" s="1658">
        <v>8870</v>
      </c>
      <c r="H1262" s="1658">
        <v>1048668</v>
      </c>
      <c r="I1262" s="1658">
        <v>9889183490</v>
      </c>
      <c r="J1262" s="1658">
        <v>521692239810</v>
      </c>
      <c r="K1262" s="1658">
        <v>55558279</v>
      </c>
    </row>
    <row r="1263" spans="1:11" x14ac:dyDescent="0.3">
      <c r="A1263" s="1657">
        <v>43521</v>
      </c>
      <c r="B1263" s="1658">
        <v>9940</v>
      </c>
      <c r="C1263" s="1658">
        <v>550</v>
      </c>
      <c r="D1263" s="1659">
        <v>5.86</v>
      </c>
      <c r="E1263" s="1658">
        <v>9430</v>
      </c>
      <c r="F1263" s="1658">
        <v>10100</v>
      </c>
      <c r="G1263" s="1658">
        <v>9430</v>
      </c>
      <c r="H1263" s="1658">
        <v>1364578</v>
      </c>
      <c r="I1263" s="1658">
        <v>13515315730</v>
      </c>
      <c r="J1263" s="1658">
        <v>552249293260</v>
      </c>
      <c r="K1263" s="1658">
        <v>55558279</v>
      </c>
    </row>
    <row r="1264" spans="1:11" x14ac:dyDescent="0.3">
      <c r="A1264" s="1657">
        <v>43522</v>
      </c>
      <c r="B1264" s="1658">
        <v>9700</v>
      </c>
      <c r="C1264" s="1658">
        <v>-240</v>
      </c>
      <c r="D1264" s="1659">
        <v>-2.41</v>
      </c>
      <c r="E1264" s="1658">
        <v>9900</v>
      </c>
      <c r="F1264" s="1658">
        <v>10100</v>
      </c>
      <c r="G1264" s="1658">
        <v>9670</v>
      </c>
      <c r="H1264" s="1658">
        <v>556068</v>
      </c>
      <c r="I1264" s="1658">
        <v>5498381330</v>
      </c>
      <c r="J1264" s="1658">
        <v>538915306300</v>
      </c>
      <c r="K1264" s="1658">
        <v>55558279</v>
      </c>
    </row>
    <row r="1265" spans="1:11" x14ac:dyDescent="0.3">
      <c r="A1265" s="1657">
        <v>43523</v>
      </c>
      <c r="B1265" s="1658">
        <v>9650</v>
      </c>
      <c r="C1265" s="1658">
        <v>-50</v>
      </c>
      <c r="D1265" s="1659">
        <v>-0.52</v>
      </c>
      <c r="E1265" s="1658">
        <v>9700</v>
      </c>
      <c r="F1265" s="1658">
        <v>9960</v>
      </c>
      <c r="G1265" s="1658">
        <v>9520</v>
      </c>
      <c r="H1265" s="1658">
        <v>349829</v>
      </c>
      <c r="I1265" s="1658">
        <v>3399449750</v>
      </c>
      <c r="J1265" s="1658">
        <v>536137392350</v>
      </c>
      <c r="K1265" s="1658">
        <v>55558279</v>
      </c>
    </row>
    <row r="1266" spans="1:11" x14ac:dyDescent="0.3">
      <c r="A1266" s="1657">
        <v>43524</v>
      </c>
      <c r="B1266" s="1658">
        <v>9200</v>
      </c>
      <c r="C1266" s="1658">
        <v>-450</v>
      </c>
      <c r="D1266" s="1659">
        <v>-4.66</v>
      </c>
      <c r="E1266" s="1658">
        <v>9660</v>
      </c>
      <c r="F1266" s="1658">
        <v>9840</v>
      </c>
      <c r="G1266" s="1658">
        <v>9200</v>
      </c>
      <c r="H1266" s="1658">
        <v>355022</v>
      </c>
      <c r="I1266" s="1658">
        <v>3389765570</v>
      </c>
      <c r="J1266" s="1658">
        <v>511136166800</v>
      </c>
      <c r="K1266" s="1658">
        <v>55558279</v>
      </c>
    </row>
    <row r="1267" spans="1:11" x14ac:dyDescent="0.3">
      <c r="A1267" s="1657">
        <v>43528</v>
      </c>
      <c r="B1267" s="1658">
        <v>9690</v>
      </c>
      <c r="C1267" s="1658">
        <v>490</v>
      </c>
      <c r="D1267" s="1659">
        <v>5.33</v>
      </c>
      <c r="E1267" s="1658">
        <v>9400</v>
      </c>
      <c r="F1267" s="1658">
        <v>9840</v>
      </c>
      <c r="G1267" s="1658">
        <v>9360</v>
      </c>
      <c r="H1267" s="1658">
        <v>288276</v>
      </c>
      <c r="I1267" s="1658">
        <v>2784950660</v>
      </c>
      <c r="J1267" s="1658">
        <v>538359723510</v>
      </c>
      <c r="K1267" s="1658">
        <v>55558279</v>
      </c>
    </row>
    <row r="1268" spans="1:11" x14ac:dyDescent="0.3">
      <c r="A1268" s="1657">
        <v>43529</v>
      </c>
      <c r="B1268" s="1658">
        <v>9720</v>
      </c>
      <c r="C1268" s="1658">
        <v>30</v>
      </c>
      <c r="D1268" s="1659">
        <v>0.31</v>
      </c>
      <c r="E1268" s="1658">
        <v>9600</v>
      </c>
      <c r="F1268" s="1658">
        <v>9800</v>
      </c>
      <c r="G1268" s="1658">
        <v>9410</v>
      </c>
      <c r="H1268" s="1658">
        <v>268198</v>
      </c>
      <c r="I1268" s="1658">
        <v>2571391610</v>
      </c>
      <c r="J1268" s="1658">
        <v>540026471880</v>
      </c>
      <c r="K1268" s="1658">
        <v>55558279</v>
      </c>
    </row>
    <row r="1269" spans="1:11" x14ac:dyDescent="0.3">
      <c r="A1269" s="1657">
        <v>43530</v>
      </c>
      <c r="B1269" s="1658">
        <v>9880</v>
      </c>
      <c r="C1269" s="1658">
        <v>160</v>
      </c>
      <c r="D1269" s="1659">
        <v>1.65</v>
      </c>
      <c r="E1269" s="1658">
        <v>9700</v>
      </c>
      <c r="F1269" s="1658">
        <v>9990</v>
      </c>
      <c r="G1269" s="1658">
        <v>9680</v>
      </c>
      <c r="H1269" s="1658">
        <v>502665</v>
      </c>
      <c r="I1269" s="1658">
        <v>4962140030</v>
      </c>
      <c r="J1269" s="1658">
        <v>548915796520</v>
      </c>
      <c r="K1269" s="1658">
        <v>55558279</v>
      </c>
    </row>
    <row r="1270" spans="1:11" x14ac:dyDescent="0.3">
      <c r="A1270" s="1657">
        <v>43531</v>
      </c>
      <c r="B1270" s="1658">
        <v>9550</v>
      </c>
      <c r="C1270" s="1658">
        <v>-330</v>
      </c>
      <c r="D1270" s="1659">
        <v>-3.34</v>
      </c>
      <c r="E1270" s="1658">
        <v>9810</v>
      </c>
      <c r="F1270" s="1658">
        <v>9950</v>
      </c>
      <c r="G1270" s="1658">
        <v>9360</v>
      </c>
      <c r="H1270" s="1658">
        <v>299492</v>
      </c>
      <c r="I1270" s="1658">
        <v>2878813180</v>
      </c>
      <c r="J1270" s="1658">
        <v>530581564450</v>
      </c>
      <c r="K1270" s="1658">
        <v>55558279</v>
      </c>
    </row>
    <row r="1271" spans="1:11" x14ac:dyDescent="0.3">
      <c r="A1271" s="1657">
        <v>43532</v>
      </c>
      <c r="B1271" s="1658">
        <v>9030</v>
      </c>
      <c r="C1271" s="1658">
        <v>-520</v>
      </c>
      <c r="D1271" s="1659">
        <v>-5.45</v>
      </c>
      <c r="E1271" s="1658">
        <v>9490</v>
      </c>
      <c r="F1271" s="1658">
        <v>9500</v>
      </c>
      <c r="G1271" s="1658">
        <v>8810</v>
      </c>
      <c r="H1271" s="1658">
        <v>583620</v>
      </c>
      <c r="I1271" s="1658">
        <v>5284286720</v>
      </c>
      <c r="J1271" s="1658">
        <v>501691259370</v>
      </c>
      <c r="K1271" s="1658">
        <v>55558279</v>
      </c>
    </row>
    <row r="1272" spans="1:11" x14ac:dyDescent="0.3">
      <c r="A1272" s="1657">
        <v>43535</v>
      </c>
      <c r="B1272" s="1658">
        <v>9050</v>
      </c>
      <c r="C1272" s="1658">
        <v>20</v>
      </c>
      <c r="D1272" s="1659">
        <v>0.22</v>
      </c>
      <c r="E1272" s="1658">
        <v>8850</v>
      </c>
      <c r="F1272" s="1658">
        <v>9100</v>
      </c>
      <c r="G1272" s="1658">
        <v>8740</v>
      </c>
      <c r="H1272" s="1658">
        <v>229564</v>
      </c>
      <c r="I1272" s="1658">
        <v>2051945640</v>
      </c>
      <c r="J1272" s="1658">
        <v>502802424950</v>
      </c>
      <c r="K1272" s="1658">
        <v>55558279</v>
      </c>
    </row>
    <row r="1273" spans="1:11" x14ac:dyDescent="0.3">
      <c r="A1273" s="1657">
        <v>43536</v>
      </c>
      <c r="B1273" s="1658">
        <v>9460</v>
      </c>
      <c r="C1273" s="1658">
        <v>410</v>
      </c>
      <c r="D1273" s="1659">
        <v>4.53</v>
      </c>
      <c r="E1273" s="1658">
        <v>9110</v>
      </c>
      <c r="F1273" s="1658">
        <v>9480</v>
      </c>
      <c r="G1273" s="1658">
        <v>9110</v>
      </c>
      <c r="H1273" s="1658">
        <v>360683</v>
      </c>
      <c r="I1273" s="1658">
        <v>3384823480</v>
      </c>
      <c r="J1273" s="1658">
        <v>525581319340</v>
      </c>
      <c r="K1273" s="1658">
        <v>55558279</v>
      </c>
    </row>
    <row r="1274" spans="1:11" x14ac:dyDescent="0.3">
      <c r="A1274" s="1657">
        <v>43537</v>
      </c>
      <c r="B1274" s="1658">
        <v>9470</v>
      </c>
      <c r="C1274" s="1658">
        <v>10</v>
      </c>
      <c r="D1274" s="1659">
        <v>0.11</v>
      </c>
      <c r="E1274" s="1658">
        <v>9440</v>
      </c>
      <c r="F1274" s="1658">
        <v>9600</v>
      </c>
      <c r="G1274" s="1658">
        <v>9360</v>
      </c>
      <c r="H1274" s="1658">
        <v>182980</v>
      </c>
      <c r="I1274" s="1658">
        <v>1732379100</v>
      </c>
      <c r="J1274" s="1658">
        <v>526136902130</v>
      </c>
      <c r="K1274" s="1658">
        <v>55558279</v>
      </c>
    </row>
    <row r="1275" spans="1:11" x14ac:dyDescent="0.3">
      <c r="A1275" s="1657">
        <v>43538</v>
      </c>
      <c r="B1275" s="1658">
        <v>9280</v>
      </c>
      <c r="C1275" s="1658">
        <v>-190</v>
      </c>
      <c r="D1275" s="1659">
        <v>-2.0099999999999998</v>
      </c>
      <c r="E1275" s="1658">
        <v>9490</v>
      </c>
      <c r="F1275" s="1658">
        <v>9580</v>
      </c>
      <c r="G1275" s="1658">
        <v>9280</v>
      </c>
      <c r="H1275" s="1658">
        <v>180166</v>
      </c>
      <c r="I1275" s="1658">
        <v>1698719710</v>
      </c>
      <c r="J1275" s="1658">
        <v>515580829120</v>
      </c>
      <c r="K1275" s="1658">
        <v>55558279</v>
      </c>
    </row>
    <row r="1276" spans="1:11" x14ac:dyDescent="0.3">
      <c r="A1276" s="1657">
        <v>43539</v>
      </c>
      <c r="B1276" s="1658">
        <v>8800</v>
      </c>
      <c r="C1276" s="1658">
        <v>-480</v>
      </c>
      <c r="D1276" s="1659">
        <v>-5.17</v>
      </c>
      <c r="E1276" s="1658">
        <v>9380</v>
      </c>
      <c r="F1276" s="1658">
        <v>9380</v>
      </c>
      <c r="G1276" s="1658">
        <v>8630</v>
      </c>
      <c r="H1276" s="1658">
        <v>445412</v>
      </c>
      <c r="I1276" s="1658">
        <v>3951125130</v>
      </c>
      <c r="J1276" s="1658">
        <v>488912855200</v>
      </c>
      <c r="K1276" s="1658">
        <v>55558279</v>
      </c>
    </row>
    <row r="1277" spans="1:11" x14ac:dyDescent="0.3">
      <c r="A1277" s="1657">
        <v>43542</v>
      </c>
      <c r="B1277" s="1658">
        <v>8740</v>
      </c>
      <c r="C1277" s="1658">
        <v>-60</v>
      </c>
      <c r="D1277" s="1659">
        <v>-0.68</v>
      </c>
      <c r="E1277" s="1658">
        <v>8810</v>
      </c>
      <c r="F1277" s="1658">
        <v>8960</v>
      </c>
      <c r="G1277" s="1658">
        <v>8380</v>
      </c>
      <c r="H1277" s="1658">
        <v>579060</v>
      </c>
      <c r="I1277" s="1658">
        <v>5016128590</v>
      </c>
      <c r="J1277" s="1658">
        <v>485579358460</v>
      </c>
      <c r="K1277" s="1658">
        <v>55558279</v>
      </c>
    </row>
    <row r="1278" spans="1:11" x14ac:dyDescent="0.3">
      <c r="A1278" s="1657">
        <v>43543</v>
      </c>
      <c r="B1278" s="1658">
        <v>8950</v>
      </c>
      <c r="C1278" s="1658">
        <v>210</v>
      </c>
      <c r="D1278" s="1659">
        <v>2.4</v>
      </c>
      <c r="E1278" s="1658">
        <v>8750</v>
      </c>
      <c r="F1278" s="1658">
        <v>9240</v>
      </c>
      <c r="G1278" s="1658">
        <v>8750</v>
      </c>
      <c r="H1278" s="1658">
        <v>393749</v>
      </c>
      <c r="I1278" s="1658">
        <v>3557725230</v>
      </c>
      <c r="J1278" s="1658">
        <v>497246597050</v>
      </c>
      <c r="K1278" s="1658">
        <v>55558279</v>
      </c>
    </row>
    <row r="1279" spans="1:11" x14ac:dyDescent="0.3">
      <c r="A1279" s="1657">
        <v>43544</v>
      </c>
      <c r="B1279" s="1658">
        <v>9630</v>
      </c>
      <c r="C1279" s="1658">
        <v>680</v>
      </c>
      <c r="D1279" s="1659">
        <v>7.6</v>
      </c>
      <c r="E1279" s="1658">
        <v>9240</v>
      </c>
      <c r="F1279" s="1658">
        <v>9790</v>
      </c>
      <c r="G1279" s="1658">
        <v>8930</v>
      </c>
      <c r="H1279" s="1658">
        <v>1409171</v>
      </c>
      <c r="I1279" s="1658">
        <v>13418760700</v>
      </c>
      <c r="J1279" s="1658">
        <v>535026226770</v>
      </c>
      <c r="K1279" s="1658">
        <v>55558279</v>
      </c>
    </row>
    <row r="1280" spans="1:11" x14ac:dyDescent="0.3">
      <c r="A1280" s="1657">
        <v>43545</v>
      </c>
      <c r="B1280" s="1658">
        <v>9260</v>
      </c>
      <c r="C1280" s="1658">
        <v>-370</v>
      </c>
      <c r="D1280" s="1659">
        <v>-3.84</v>
      </c>
      <c r="E1280" s="1658">
        <v>9670</v>
      </c>
      <c r="F1280" s="1658">
        <v>9810</v>
      </c>
      <c r="G1280" s="1658">
        <v>9230</v>
      </c>
      <c r="H1280" s="1658">
        <v>495666</v>
      </c>
      <c r="I1280" s="1658">
        <v>4726398540</v>
      </c>
      <c r="J1280" s="1658">
        <v>516906525140</v>
      </c>
      <c r="K1280" s="1658">
        <v>55821439</v>
      </c>
    </row>
    <row r="1281" spans="1:11" x14ac:dyDescent="0.3">
      <c r="A1281" s="1657">
        <v>43546</v>
      </c>
      <c r="B1281" s="1658">
        <v>9210</v>
      </c>
      <c r="C1281" s="1658">
        <v>-50</v>
      </c>
      <c r="D1281" s="1659">
        <v>-0.54</v>
      </c>
      <c r="E1281" s="1658">
        <v>9220</v>
      </c>
      <c r="F1281" s="1658">
        <v>9460</v>
      </c>
      <c r="G1281" s="1658">
        <v>9120</v>
      </c>
      <c r="H1281" s="1658">
        <v>320035</v>
      </c>
      <c r="I1281" s="1658">
        <v>2967572720</v>
      </c>
      <c r="J1281" s="1658">
        <v>514115453190</v>
      </c>
      <c r="K1281" s="1658">
        <v>55821439</v>
      </c>
    </row>
    <row r="1282" spans="1:11" x14ac:dyDescent="0.3">
      <c r="A1282" s="1657">
        <v>43549</v>
      </c>
      <c r="B1282" s="1658">
        <v>8850</v>
      </c>
      <c r="C1282" s="1658">
        <v>-360</v>
      </c>
      <c r="D1282" s="1659">
        <v>-3.91</v>
      </c>
      <c r="E1282" s="1658">
        <v>9140</v>
      </c>
      <c r="F1282" s="1658">
        <v>9140</v>
      </c>
      <c r="G1282" s="1658">
        <v>8820</v>
      </c>
      <c r="H1282" s="1658">
        <v>299518</v>
      </c>
      <c r="I1282" s="1658">
        <v>2683433710</v>
      </c>
      <c r="J1282" s="1658">
        <v>494019735150</v>
      </c>
      <c r="K1282" s="1658">
        <v>55821439</v>
      </c>
    </row>
    <row r="1283" spans="1:11" x14ac:dyDescent="0.3">
      <c r="A1283" s="1657">
        <v>43550</v>
      </c>
      <c r="B1283" s="1658">
        <v>9140</v>
      </c>
      <c r="C1283" s="1658">
        <v>290</v>
      </c>
      <c r="D1283" s="1659">
        <v>3.28</v>
      </c>
      <c r="E1283" s="1658">
        <v>8880</v>
      </c>
      <c r="F1283" s="1658">
        <v>9160</v>
      </c>
      <c r="G1283" s="1658">
        <v>8650</v>
      </c>
      <c r="H1283" s="1658">
        <v>283440</v>
      </c>
      <c r="I1283" s="1658">
        <v>2544903820</v>
      </c>
      <c r="J1283" s="1658">
        <v>510207952460</v>
      </c>
      <c r="K1283" s="1658">
        <v>55821439</v>
      </c>
    </row>
    <row r="1284" spans="1:11" x14ac:dyDescent="0.3">
      <c r="A1284" s="1657">
        <v>43551</v>
      </c>
      <c r="B1284" s="1658">
        <v>8950</v>
      </c>
      <c r="C1284" s="1658">
        <v>-190</v>
      </c>
      <c r="D1284" s="1659">
        <v>-2.08</v>
      </c>
      <c r="E1284" s="1658">
        <v>9140</v>
      </c>
      <c r="F1284" s="1658">
        <v>9140</v>
      </c>
      <c r="G1284" s="1658">
        <v>8810</v>
      </c>
      <c r="H1284" s="1658">
        <v>258622</v>
      </c>
      <c r="I1284" s="1658">
        <v>2314193050</v>
      </c>
      <c r="J1284" s="1658">
        <v>499601879050</v>
      </c>
      <c r="K1284" s="1658">
        <v>55821439</v>
      </c>
    </row>
    <row r="1285" spans="1:11" x14ac:dyDescent="0.3">
      <c r="A1285" s="1657">
        <v>43552</v>
      </c>
      <c r="B1285" s="1658">
        <v>8950</v>
      </c>
      <c r="C1285" s="1658">
        <v>0</v>
      </c>
      <c r="D1285" s="1659">
        <v>0</v>
      </c>
      <c r="E1285" s="1658">
        <v>8950</v>
      </c>
      <c r="F1285" s="1658">
        <v>9180</v>
      </c>
      <c r="G1285" s="1658">
        <v>8750</v>
      </c>
      <c r="H1285" s="1658">
        <v>397300</v>
      </c>
      <c r="I1285" s="1658">
        <v>3588730710</v>
      </c>
      <c r="J1285" s="1658">
        <v>499601879050</v>
      </c>
      <c r="K1285" s="1658">
        <v>55821439</v>
      </c>
    </row>
    <row r="1286" spans="1:11" x14ac:dyDescent="0.3">
      <c r="A1286" s="1657">
        <v>43553</v>
      </c>
      <c r="B1286" s="1658">
        <v>9150</v>
      </c>
      <c r="C1286" s="1658">
        <v>200</v>
      </c>
      <c r="D1286" s="1659">
        <v>2.23</v>
      </c>
      <c r="E1286" s="1658">
        <v>8950</v>
      </c>
      <c r="F1286" s="1658">
        <v>9150</v>
      </c>
      <c r="G1286" s="1658">
        <v>8830</v>
      </c>
      <c r="H1286" s="1658">
        <v>223978</v>
      </c>
      <c r="I1286" s="1658">
        <v>2015444740</v>
      </c>
      <c r="J1286" s="1658">
        <v>510766166850</v>
      </c>
      <c r="K1286" s="1658">
        <v>55821439</v>
      </c>
    </row>
    <row r="1287" spans="1:11" x14ac:dyDescent="0.3">
      <c r="A1287" s="1657">
        <v>43556</v>
      </c>
      <c r="B1287" s="1658">
        <v>9100</v>
      </c>
      <c r="C1287" s="1658">
        <v>-50</v>
      </c>
      <c r="D1287" s="1659">
        <v>-0.55000000000000004</v>
      </c>
      <c r="E1287" s="1658">
        <v>9270</v>
      </c>
      <c r="F1287" s="1658">
        <v>9270</v>
      </c>
      <c r="G1287" s="1658">
        <v>9000</v>
      </c>
      <c r="H1287" s="1658">
        <v>291233</v>
      </c>
      <c r="I1287" s="1658">
        <v>2648352470</v>
      </c>
      <c r="J1287" s="1658">
        <v>507975094900</v>
      </c>
      <c r="K1287" s="1658">
        <v>55821439</v>
      </c>
    </row>
    <row r="1288" spans="1:11" x14ac:dyDescent="0.3">
      <c r="A1288" s="1657">
        <v>43557</v>
      </c>
      <c r="B1288" s="1658">
        <v>9800</v>
      </c>
      <c r="C1288" s="1658">
        <v>700</v>
      </c>
      <c r="D1288" s="1659">
        <v>7.69</v>
      </c>
      <c r="E1288" s="1658">
        <v>9170</v>
      </c>
      <c r="F1288" s="1658">
        <v>9830</v>
      </c>
      <c r="G1288" s="1658">
        <v>9030</v>
      </c>
      <c r="H1288" s="1658">
        <v>1245133</v>
      </c>
      <c r="I1288" s="1658">
        <v>11919619150</v>
      </c>
      <c r="J1288" s="1658">
        <v>547050102200</v>
      </c>
      <c r="K1288" s="1658">
        <v>55821439</v>
      </c>
    </row>
    <row r="1289" spans="1:11" x14ac:dyDescent="0.3">
      <c r="A1289" s="1657">
        <v>43558</v>
      </c>
      <c r="B1289" s="1658">
        <v>9860</v>
      </c>
      <c r="C1289" s="1658">
        <v>60</v>
      </c>
      <c r="D1289" s="1659">
        <v>0.61</v>
      </c>
      <c r="E1289" s="1658">
        <v>9920</v>
      </c>
      <c r="F1289" s="1658">
        <v>10150</v>
      </c>
      <c r="G1289" s="1658">
        <v>9740</v>
      </c>
      <c r="H1289" s="1658">
        <v>1184997</v>
      </c>
      <c r="I1289" s="1658">
        <v>11742900150</v>
      </c>
      <c r="J1289" s="1658">
        <v>550399388540</v>
      </c>
      <c r="K1289" s="1658">
        <v>55821439</v>
      </c>
    </row>
    <row r="1290" spans="1:11" x14ac:dyDescent="0.3">
      <c r="A1290" s="1657">
        <v>43559</v>
      </c>
      <c r="B1290" s="1658">
        <v>10700</v>
      </c>
      <c r="C1290" s="1658">
        <v>840</v>
      </c>
      <c r="D1290" s="1659">
        <v>8.52</v>
      </c>
      <c r="E1290" s="1658">
        <v>9920</v>
      </c>
      <c r="F1290" s="1658">
        <v>10950</v>
      </c>
      <c r="G1290" s="1658">
        <v>9910</v>
      </c>
      <c r="H1290" s="1658">
        <v>3170337</v>
      </c>
      <c r="I1290" s="1658">
        <v>33457231680</v>
      </c>
      <c r="J1290" s="1658">
        <v>597289397300</v>
      </c>
      <c r="K1290" s="1658">
        <v>55821439</v>
      </c>
    </row>
    <row r="1291" spans="1:11" x14ac:dyDescent="0.3">
      <c r="A1291" s="1657">
        <v>43560</v>
      </c>
      <c r="B1291" s="1658">
        <v>10750</v>
      </c>
      <c r="C1291" s="1658">
        <v>50</v>
      </c>
      <c r="D1291" s="1659">
        <v>0.47</v>
      </c>
      <c r="E1291" s="1658">
        <v>10650</v>
      </c>
      <c r="F1291" s="1658">
        <v>11000</v>
      </c>
      <c r="G1291" s="1658">
        <v>10450</v>
      </c>
      <c r="H1291" s="1658">
        <v>1040309</v>
      </c>
      <c r="I1291" s="1658">
        <v>11152964300</v>
      </c>
      <c r="J1291" s="1658">
        <v>600080469250</v>
      </c>
      <c r="K1291" s="1658">
        <v>55821439</v>
      </c>
    </row>
    <row r="1292" spans="1:11" x14ac:dyDescent="0.3">
      <c r="A1292" s="1657">
        <v>43563</v>
      </c>
      <c r="B1292" s="1658">
        <v>10600</v>
      </c>
      <c r="C1292" s="1658">
        <v>-150</v>
      </c>
      <c r="D1292" s="1659">
        <v>-1.4</v>
      </c>
      <c r="E1292" s="1658">
        <v>10900</v>
      </c>
      <c r="F1292" s="1658">
        <v>10950</v>
      </c>
      <c r="G1292" s="1658">
        <v>10600</v>
      </c>
      <c r="H1292" s="1658">
        <v>725749</v>
      </c>
      <c r="I1292" s="1658">
        <v>7787845550</v>
      </c>
      <c r="J1292" s="1658">
        <v>591707253400</v>
      </c>
      <c r="K1292" s="1658">
        <v>55821439</v>
      </c>
    </row>
    <row r="1293" spans="1:11" x14ac:dyDescent="0.3">
      <c r="A1293" s="1657">
        <v>43564</v>
      </c>
      <c r="B1293" s="1658">
        <v>10250</v>
      </c>
      <c r="C1293" s="1658">
        <v>-350</v>
      </c>
      <c r="D1293" s="1659">
        <v>-3.3</v>
      </c>
      <c r="E1293" s="1658">
        <v>10550</v>
      </c>
      <c r="F1293" s="1658">
        <v>10600</v>
      </c>
      <c r="G1293" s="1658">
        <v>9980</v>
      </c>
      <c r="H1293" s="1658">
        <v>1130824</v>
      </c>
      <c r="I1293" s="1658">
        <v>11491661430</v>
      </c>
      <c r="J1293" s="1658">
        <v>572169749750</v>
      </c>
      <c r="K1293" s="1658">
        <v>55821439</v>
      </c>
    </row>
    <row r="1294" spans="1:11" x14ac:dyDescent="0.3">
      <c r="A1294" s="1657">
        <v>43565</v>
      </c>
      <c r="B1294" s="1658">
        <v>10200</v>
      </c>
      <c r="C1294" s="1658">
        <v>-50</v>
      </c>
      <c r="D1294" s="1659">
        <v>-0.49</v>
      </c>
      <c r="E1294" s="1658">
        <v>10150</v>
      </c>
      <c r="F1294" s="1658">
        <v>10500</v>
      </c>
      <c r="G1294" s="1658">
        <v>10000</v>
      </c>
      <c r="H1294" s="1658">
        <v>590293</v>
      </c>
      <c r="I1294" s="1658">
        <v>6020595100</v>
      </c>
      <c r="J1294" s="1658">
        <v>569378677800</v>
      </c>
      <c r="K1294" s="1658">
        <v>55821439</v>
      </c>
    </row>
    <row r="1295" spans="1:11" x14ac:dyDescent="0.3">
      <c r="A1295" s="1657">
        <v>43566</v>
      </c>
      <c r="B1295" s="1658">
        <v>10500</v>
      </c>
      <c r="C1295" s="1658">
        <v>300</v>
      </c>
      <c r="D1295" s="1659">
        <v>2.94</v>
      </c>
      <c r="E1295" s="1658">
        <v>10300</v>
      </c>
      <c r="F1295" s="1658">
        <v>10550</v>
      </c>
      <c r="G1295" s="1658">
        <v>10100</v>
      </c>
      <c r="H1295" s="1658">
        <v>682789</v>
      </c>
      <c r="I1295" s="1658">
        <v>7061103200</v>
      </c>
      <c r="J1295" s="1658">
        <v>586125109500</v>
      </c>
      <c r="K1295" s="1658">
        <v>55821439</v>
      </c>
    </row>
    <row r="1296" spans="1:11" x14ac:dyDescent="0.3">
      <c r="A1296" s="1657">
        <v>43567</v>
      </c>
      <c r="B1296" s="1658">
        <v>10150</v>
      </c>
      <c r="C1296" s="1658">
        <v>-350</v>
      </c>
      <c r="D1296" s="1659">
        <v>-3.33</v>
      </c>
      <c r="E1296" s="1658">
        <v>10650</v>
      </c>
      <c r="F1296" s="1658">
        <v>10800</v>
      </c>
      <c r="G1296" s="1658">
        <v>10050</v>
      </c>
      <c r="H1296" s="1658">
        <v>836760</v>
      </c>
      <c r="I1296" s="1658">
        <v>8646239900</v>
      </c>
      <c r="J1296" s="1658">
        <v>566587605850</v>
      </c>
      <c r="K1296" s="1658">
        <v>55821439</v>
      </c>
    </row>
    <row r="1297" spans="1:11" x14ac:dyDescent="0.3">
      <c r="A1297" s="1657">
        <v>43570</v>
      </c>
      <c r="B1297" s="1658">
        <v>9960</v>
      </c>
      <c r="C1297" s="1658">
        <v>-190</v>
      </c>
      <c r="D1297" s="1659">
        <v>-1.87</v>
      </c>
      <c r="E1297" s="1658">
        <v>10550</v>
      </c>
      <c r="F1297" s="1658">
        <v>10650</v>
      </c>
      <c r="G1297" s="1658">
        <v>9740</v>
      </c>
      <c r="H1297" s="1658">
        <v>1300183</v>
      </c>
      <c r="I1297" s="1658">
        <v>13115474780</v>
      </c>
      <c r="J1297" s="1658">
        <v>555981532440</v>
      </c>
      <c r="K1297" s="1658">
        <v>55821439</v>
      </c>
    </row>
    <row r="1298" spans="1:11" x14ac:dyDescent="0.3">
      <c r="A1298" s="1657">
        <v>43571</v>
      </c>
      <c r="B1298" s="1658">
        <v>9600</v>
      </c>
      <c r="C1298" s="1658">
        <v>-360</v>
      </c>
      <c r="D1298" s="1659">
        <v>-3.61</v>
      </c>
      <c r="E1298" s="1658">
        <v>10150</v>
      </c>
      <c r="F1298" s="1658">
        <v>10200</v>
      </c>
      <c r="G1298" s="1658">
        <v>9440</v>
      </c>
      <c r="H1298" s="1658">
        <v>893109</v>
      </c>
      <c r="I1298" s="1658">
        <v>8639727400</v>
      </c>
      <c r="J1298" s="1658">
        <v>535885814400</v>
      </c>
      <c r="K1298" s="1658">
        <v>55821439</v>
      </c>
    </row>
    <row r="1299" spans="1:11" x14ac:dyDescent="0.3">
      <c r="A1299" s="1657">
        <v>43572</v>
      </c>
      <c r="B1299" s="1658">
        <v>9160</v>
      </c>
      <c r="C1299" s="1658">
        <v>-440</v>
      </c>
      <c r="D1299" s="1659">
        <v>-4.58</v>
      </c>
      <c r="E1299" s="1658">
        <v>9660</v>
      </c>
      <c r="F1299" s="1658">
        <v>9890</v>
      </c>
      <c r="G1299" s="1658">
        <v>9110</v>
      </c>
      <c r="H1299" s="1658">
        <v>1040635</v>
      </c>
      <c r="I1299" s="1658">
        <v>9755021310</v>
      </c>
      <c r="J1299" s="1658">
        <v>511324381240</v>
      </c>
      <c r="K1299" s="1658">
        <v>55821439</v>
      </c>
    </row>
    <row r="1300" spans="1:11" x14ac:dyDescent="0.3">
      <c r="A1300" s="1657">
        <v>43573</v>
      </c>
      <c r="B1300" s="1658">
        <v>9020</v>
      </c>
      <c r="C1300" s="1658">
        <v>-140</v>
      </c>
      <c r="D1300" s="1659">
        <v>-1.53</v>
      </c>
      <c r="E1300" s="1658">
        <v>9170</v>
      </c>
      <c r="F1300" s="1658">
        <v>9270</v>
      </c>
      <c r="G1300" s="1658">
        <v>9010</v>
      </c>
      <c r="H1300" s="1658">
        <v>375288</v>
      </c>
      <c r="I1300" s="1658">
        <v>3428473770</v>
      </c>
      <c r="J1300" s="1658">
        <v>503509379780</v>
      </c>
      <c r="K1300" s="1658">
        <v>55821439</v>
      </c>
    </row>
    <row r="1301" spans="1:11" x14ac:dyDescent="0.3">
      <c r="A1301" s="1657">
        <v>43574</v>
      </c>
      <c r="B1301" s="1658">
        <v>8910</v>
      </c>
      <c r="C1301" s="1658">
        <v>-110</v>
      </c>
      <c r="D1301" s="1659">
        <v>-1.22</v>
      </c>
      <c r="E1301" s="1658">
        <v>9000</v>
      </c>
      <c r="F1301" s="1658">
        <v>9050</v>
      </c>
      <c r="G1301" s="1658">
        <v>8790</v>
      </c>
      <c r="H1301" s="1658">
        <v>507753</v>
      </c>
      <c r="I1301" s="1658">
        <v>4504386210</v>
      </c>
      <c r="J1301" s="1658">
        <v>497369021490</v>
      </c>
      <c r="K1301" s="1658">
        <v>55821439</v>
      </c>
    </row>
    <row r="1302" spans="1:11" x14ac:dyDescent="0.3">
      <c r="A1302" s="1657">
        <v>43577</v>
      </c>
      <c r="B1302" s="1658">
        <v>8780</v>
      </c>
      <c r="C1302" s="1658">
        <v>-130</v>
      </c>
      <c r="D1302" s="1659">
        <v>-1.46</v>
      </c>
      <c r="E1302" s="1658">
        <v>8910</v>
      </c>
      <c r="F1302" s="1658">
        <v>9010</v>
      </c>
      <c r="G1302" s="1658">
        <v>8750</v>
      </c>
      <c r="H1302" s="1658">
        <v>351437</v>
      </c>
      <c r="I1302" s="1658">
        <v>3106464510</v>
      </c>
      <c r="J1302" s="1658">
        <v>490112234420</v>
      </c>
      <c r="K1302" s="1658">
        <v>55821439</v>
      </c>
    </row>
    <row r="1303" spans="1:11" x14ac:dyDescent="0.3">
      <c r="A1303" s="1657">
        <v>43578</v>
      </c>
      <c r="B1303" s="1658">
        <v>8830</v>
      </c>
      <c r="C1303" s="1658">
        <v>50</v>
      </c>
      <c r="D1303" s="1659">
        <v>0.56999999999999995</v>
      </c>
      <c r="E1303" s="1658">
        <v>8800</v>
      </c>
      <c r="F1303" s="1658">
        <v>8920</v>
      </c>
      <c r="G1303" s="1658">
        <v>8690</v>
      </c>
      <c r="H1303" s="1658">
        <v>337172</v>
      </c>
      <c r="I1303" s="1658">
        <v>2966083990</v>
      </c>
      <c r="J1303" s="1658">
        <v>492903306370</v>
      </c>
      <c r="K1303" s="1658">
        <v>55821439</v>
      </c>
    </row>
    <row r="1304" spans="1:11" x14ac:dyDescent="0.3">
      <c r="A1304" s="1657">
        <v>43579</v>
      </c>
      <c r="B1304" s="1658">
        <v>8480</v>
      </c>
      <c r="C1304" s="1658">
        <v>-350</v>
      </c>
      <c r="D1304" s="1659">
        <v>-3.96</v>
      </c>
      <c r="E1304" s="1658">
        <v>8860</v>
      </c>
      <c r="F1304" s="1658">
        <v>8870</v>
      </c>
      <c r="G1304" s="1658">
        <v>8310</v>
      </c>
      <c r="H1304" s="1658">
        <v>593269</v>
      </c>
      <c r="I1304" s="1658">
        <v>5031649840</v>
      </c>
      <c r="J1304" s="1658">
        <v>473365802720</v>
      </c>
      <c r="K1304" s="1658">
        <v>55821439</v>
      </c>
    </row>
    <row r="1305" spans="1:11" x14ac:dyDescent="0.3">
      <c r="A1305" s="1657">
        <v>43580</v>
      </c>
      <c r="B1305" s="1658">
        <v>8570</v>
      </c>
      <c r="C1305" s="1658">
        <v>90</v>
      </c>
      <c r="D1305" s="1659">
        <v>1.06</v>
      </c>
      <c r="E1305" s="1658">
        <v>8480</v>
      </c>
      <c r="F1305" s="1658">
        <v>8580</v>
      </c>
      <c r="G1305" s="1658">
        <v>8320</v>
      </c>
      <c r="H1305" s="1658">
        <v>322275</v>
      </c>
      <c r="I1305" s="1658">
        <v>2726038140</v>
      </c>
      <c r="J1305" s="1658">
        <v>478389732230</v>
      </c>
      <c r="K1305" s="1658">
        <v>55821439</v>
      </c>
    </row>
    <row r="1306" spans="1:11" x14ac:dyDescent="0.3">
      <c r="A1306" s="1657">
        <v>43581</v>
      </c>
      <c r="B1306" s="1658">
        <v>8360</v>
      </c>
      <c r="C1306" s="1658">
        <v>-210</v>
      </c>
      <c r="D1306" s="1659">
        <v>-2.4500000000000002</v>
      </c>
      <c r="E1306" s="1658">
        <v>8440</v>
      </c>
      <c r="F1306" s="1658">
        <v>8520</v>
      </c>
      <c r="G1306" s="1658">
        <v>8350</v>
      </c>
      <c r="H1306" s="1658">
        <v>224085</v>
      </c>
      <c r="I1306" s="1658">
        <v>1886904830</v>
      </c>
      <c r="J1306" s="1658">
        <v>466667230040</v>
      </c>
      <c r="K1306" s="1658">
        <v>55821439</v>
      </c>
    </row>
    <row r="1307" spans="1:11" x14ac:dyDescent="0.3">
      <c r="A1307" s="1657">
        <v>43584</v>
      </c>
      <c r="B1307" s="1658">
        <v>8600</v>
      </c>
      <c r="C1307" s="1658">
        <v>240</v>
      </c>
      <c r="D1307" s="1659">
        <v>2.87</v>
      </c>
      <c r="E1307" s="1658">
        <v>8250</v>
      </c>
      <c r="F1307" s="1658">
        <v>8660</v>
      </c>
      <c r="G1307" s="1658">
        <v>8230</v>
      </c>
      <c r="H1307" s="1658">
        <v>314195</v>
      </c>
      <c r="I1307" s="1658">
        <v>2683203250</v>
      </c>
      <c r="J1307" s="1658">
        <v>480064375400</v>
      </c>
      <c r="K1307" s="1658">
        <v>55821439</v>
      </c>
    </row>
    <row r="1308" spans="1:11" x14ac:dyDescent="0.3">
      <c r="A1308" s="1657">
        <v>43585</v>
      </c>
      <c r="B1308" s="1658">
        <v>8470</v>
      </c>
      <c r="C1308" s="1658">
        <v>-130</v>
      </c>
      <c r="D1308" s="1659">
        <v>-1.51</v>
      </c>
      <c r="E1308" s="1658">
        <v>8570</v>
      </c>
      <c r="F1308" s="1658">
        <v>8600</v>
      </c>
      <c r="G1308" s="1658">
        <v>8430</v>
      </c>
      <c r="H1308" s="1658">
        <v>135469</v>
      </c>
      <c r="I1308" s="1658">
        <v>1151508920</v>
      </c>
      <c r="J1308" s="1658">
        <v>472807588330</v>
      </c>
      <c r="K1308" s="1658">
        <v>55821439</v>
      </c>
    </row>
    <row r="1309" spans="1:11" x14ac:dyDescent="0.3">
      <c r="A1309" s="1657">
        <v>43587</v>
      </c>
      <c r="B1309" s="1658">
        <v>8390</v>
      </c>
      <c r="C1309" s="1658">
        <v>-80</v>
      </c>
      <c r="D1309" s="1659">
        <v>-0.94</v>
      </c>
      <c r="E1309" s="1658">
        <v>8400</v>
      </c>
      <c r="F1309" s="1658">
        <v>8560</v>
      </c>
      <c r="G1309" s="1658">
        <v>8340</v>
      </c>
      <c r="H1309" s="1658">
        <v>155534</v>
      </c>
      <c r="I1309" s="1658">
        <v>1308029000</v>
      </c>
      <c r="J1309" s="1658">
        <v>468341873210</v>
      </c>
      <c r="K1309" s="1658">
        <v>55821439</v>
      </c>
    </row>
    <row r="1310" spans="1:11" x14ac:dyDescent="0.3">
      <c r="A1310" s="1657">
        <v>43588</v>
      </c>
      <c r="B1310" s="1658">
        <v>8470</v>
      </c>
      <c r="C1310" s="1658">
        <v>80</v>
      </c>
      <c r="D1310" s="1659">
        <v>0.95</v>
      </c>
      <c r="E1310" s="1658">
        <v>8390</v>
      </c>
      <c r="F1310" s="1658">
        <v>8580</v>
      </c>
      <c r="G1310" s="1658">
        <v>8310</v>
      </c>
      <c r="H1310" s="1658">
        <v>219403</v>
      </c>
      <c r="I1310" s="1658">
        <v>1851121640</v>
      </c>
      <c r="J1310" s="1658">
        <v>472807588330</v>
      </c>
      <c r="K1310" s="1658">
        <v>55821439</v>
      </c>
    </row>
    <row r="1311" spans="1:11" x14ac:dyDescent="0.3">
      <c r="A1311" s="1657">
        <v>43592</v>
      </c>
      <c r="B1311" s="1658">
        <v>8250</v>
      </c>
      <c r="C1311" s="1658">
        <v>-220</v>
      </c>
      <c r="D1311" s="1659">
        <v>-2.6</v>
      </c>
      <c r="E1311" s="1658">
        <v>8470</v>
      </c>
      <c r="F1311" s="1658">
        <v>8470</v>
      </c>
      <c r="G1311" s="1658">
        <v>8140</v>
      </c>
      <c r="H1311" s="1658">
        <v>357074</v>
      </c>
      <c r="I1311" s="1658">
        <v>2937569590</v>
      </c>
      <c r="J1311" s="1658">
        <v>460526871750</v>
      </c>
      <c r="K1311" s="1658">
        <v>55821439</v>
      </c>
    </row>
    <row r="1312" spans="1:11" x14ac:dyDescent="0.3">
      <c r="A1312" s="1657">
        <v>43593</v>
      </c>
      <c r="B1312" s="1658">
        <v>8360</v>
      </c>
      <c r="C1312" s="1658">
        <v>110</v>
      </c>
      <c r="D1312" s="1659">
        <v>1.33</v>
      </c>
      <c r="E1312" s="1658">
        <v>8140</v>
      </c>
      <c r="F1312" s="1658">
        <v>8950</v>
      </c>
      <c r="G1312" s="1658">
        <v>7970</v>
      </c>
      <c r="H1312" s="1658">
        <v>823244</v>
      </c>
      <c r="I1312" s="1658">
        <v>6878472660</v>
      </c>
      <c r="J1312" s="1658">
        <v>466667230040</v>
      </c>
      <c r="K1312" s="1658">
        <v>55821439</v>
      </c>
    </row>
    <row r="1313" spans="1:11" x14ac:dyDescent="0.3">
      <c r="A1313" s="1657">
        <v>43594</v>
      </c>
      <c r="B1313" s="1658">
        <v>8090</v>
      </c>
      <c r="C1313" s="1658">
        <v>-270</v>
      </c>
      <c r="D1313" s="1659">
        <v>-3.23</v>
      </c>
      <c r="E1313" s="1658">
        <v>8370</v>
      </c>
      <c r="F1313" s="1658">
        <v>8380</v>
      </c>
      <c r="G1313" s="1658">
        <v>7970</v>
      </c>
      <c r="H1313" s="1658">
        <v>269339</v>
      </c>
      <c r="I1313" s="1658">
        <v>2185201460</v>
      </c>
      <c r="J1313" s="1658">
        <v>451595441510</v>
      </c>
      <c r="K1313" s="1658">
        <v>55821439</v>
      </c>
    </row>
    <row r="1314" spans="1:11" x14ac:dyDescent="0.3">
      <c r="A1314" s="1657">
        <v>43595</v>
      </c>
      <c r="B1314" s="1658">
        <v>8060</v>
      </c>
      <c r="C1314" s="1658">
        <v>-30</v>
      </c>
      <c r="D1314" s="1659">
        <v>-0.37</v>
      </c>
      <c r="E1314" s="1658">
        <v>8000</v>
      </c>
      <c r="F1314" s="1658">
        <v>8400</v>
      </c>
      <c r="G1314" s="1658">
        <v>7990</v>
      </c>
      <c r="H1314" s="1658">
        <v>411605</v>
      </c>
      <c r="I1314" s="1658">
        <v>3371284940</v>
      </c>
      <c r="J1314" s="1658">
        <v>449920798340</v>
      </c>
      <c r="K1314" s="1658">
        <v>55821439</v>
      </c>
    </row>
    <row r="1315" spans="1:11" x14ac:dyDescent="0.3">
      <c r="A1315" s="1657">
        <v>43598</v>
      </c>
      <c r="B1315" s="1658">
        <v>7770</v>
      </c>
      <c r="C1315" s="1658">
        <v>-290</v>
      </c>
      <c r="D1315" s="1659">
        <v>-3.6</v>
      </c>
      <c r="E1315" s="1658">
        <v>8000</v>
      </c>
      <c r="F1315" s="1658">
        <v>8050</v>
      </c>
      <c r="G1315" s="1658">
        <v>7760</v>
      </c>
      <c r="H1315" s="1658">
        <v>223088</v>
      </c>
      <c r="I1315" s="1658">
        <v>1752395590</v>
      </c>
      <c r="J1315" s="1658">
        <v>433732581030</v>
      </c>
      <c r="K1315" s="1658">
        <v>55821439</v>
      </c>
    </row>
    <row r="1316" spans="1:11" x14ac:dyDescent="0.3">
      <c r="A1316" s="1657">
        <v>43599</v>
      </c>
      <c r="B1316" s="1658">
        <v>7760</v>
      </c>
      <c r="C1316" s="1658">
        <v>-10</v>
      </c>
      <c r="D1316" s="1659">
        <v>-0.13</v>
      </c>
      <c r="E1316" s="1658">
        <v>7640</v>
      </c>
      <c r="F1316" s="1658">
        <v>7860</v>
      </c>
      <c r="G1316" s="1658">
        <v>7610</v>
      </c>
      <c r="H1316" s="1658">
        <v>189608</v>
      </c>
      <c r="I1316" s="1658">
        <v>1466654200</v>
      </c>
      <c r="J1316" s="1658">
        <v>433174366640</v>
      </c>
      <c r="K1316" s="1658">
        <v>55821439</v>
      </c>
    </row>
    <row r="1317" spans="1:11" x14ac:dyDescent="0.3">
      <c r="A1317" s="1657">
        <v>43600</v>
      </c>
      <c r="B1317" s="1658">
        <v>7950</v>
      </c>
      <c r="C1317" s="1658">
        <v>190</v>
      </c>
      <c r="D1317" s="1659">
        <v>2.4500000000000002</v>
      </c>
      <c r="E1317" s="1658">
        <v>7720</v>
      </c>
      <c r="F1317" s="1658">
        <v>8000</v>
      </c>
      <c r="G1317" s="1658">
        <v>7640</v>
      </c>
      <c r="H1317" s="1658">
        <v>160896</v>
      </c>
      <c r="I1317" s="1658">
        <v>1264771760</v>
      </c>
      <c r="J1317" s="1658">
        <v>443780440050</v>
      </c>
      <c r="K1317" s="1658">
        <v>55821439</v>
      </c>
    </row>
    <row r="1318" spans="1:11" x14ac:dyDescent="0.3">
      <c r="A1318" s="1657">
        <v>43601</v>
      </c>
      <c r="B1318" s="1658">
        <v>7630</v>
      </c>
      <c r="C1318" s="1658">
        <v>-320</v>
      </c>
      <c r="D1318" s="1659">
        <v>-4.03</v>
      </c>
      <c r="E1318" s="1658">
        <v>8000</v>
      </c>
      <c r="F1318" s="1658">
        <v>8000</v>
      </c>
      <c r="G1318" s="1658">
        <v>7430</v>
      </c>
      <c r="H1318" s="1658">
        <v>259901</v>
      </c>
      <c r="I1318" s="1658">
        <v>1984359930</v>
      </c>
      <c r="J1318" s="1658">
        <v>425917579570</v>
      </c>
      <c r="K1318" s="1658">
        <v>55821439</v>
      </c>
    </row>
    <row r="1319" spans="1:11" x14ac:dyDescent="0.3">
      <c r="A1319" s="1657">
        <v>43602</v>
      </c>
      <c r="B1319" s="1658">
        <v>7350</v>
      </c>
      <c r="C1319" s="1658">
        <v>-280</v>
      </c>
      <c r="D1319" s="1659">
        <v>-3.67</v>
      </c>
      <c r="E1319" s="1658">
        <v>7630</v>
      </c>
      <c r="F1319" s="1658">
        <v>7730</v>
      </c>
      <c r="G1319" s="1658">
        <v>7350</v>
      </c>
      <c r="H1319" s="1658">
        <v>133393</v>
      </c>
      <c r="I1319" s="1658">
        <v>1002465580</v>
      </c>
      <c r="J1319" s="1658">
        <v>410287576650</v>
      </c>
      <c r="K1319" s="1658">
        <v>55821439</v>
      </c>
    </row>
    <row r="1320" spans="1:11" x14ac:dyDescent="0.3">
      <c r="A1320" s="1657">
        <v>43605</v>
      </c>
      <c r="B1320" s="1658">
        <v>7360</v>
      </c>
      <c r="C1320" s="1658">
        <v>10</v>
      </c>
      <c r="D1320" s="1659">
        <v>0.14000000000000001</v>
      </c>
      <c r="E1320" s="1658">
        <v>7330</v>
      </c>
      <c r="F1320" s="1658">
        <v>7510</v>
      </c>
      <c r="G1320" s="1658">
        <v>7330</v>
      </c>
      <c r="H1320" s="1658">
        <v>118084</v>
      </c>
      <c r="I1320" s="1658">
        <v>875065970</v>
      </c>
      <c r="J1320" s="1658">
        <v>410845791040</v>
      </c>
      <c r="K1320" s="1658">
        <v>55821439</v>
      </c>
    </row>
    <row r="1321" spans="1:11" x14ac:dyDescent="0.3">
      <c r="A1321" s="1657">
        <v>43606</v>
      </c>
      <c r="B1321" s="1658">
        <v>7430</v>
      </c>
      <c r="C1321" s="1658">
        <v>70</v>
      </c>
      <c r="D1321" s="1659">
        <v>0.95</v>
      </c>
      <c r="E1321" s="1658">
        <v>7360</v>
      </c>
      <c r="F1321" s="1658">
        <v>7640</v>
      </c>
      <c r="G1321" s="1658">
        <v>7360</v>
      </c>
      <c r="H1321" s="1658">
        <v>150637</v>
      </c>
      <c r="I1321" s="1658">
        <v>1129277230</v>
      </c>
      <c r="J1321" s="1658">
        <v>414753291770</v>
      </c>
      <c r="K1321" s="1658">
        <v>55821439</v>
      </c>
    </row>
    <row r="1322" spans="1:11" x14ac:dyDescent="0.3">
      <c r="A1322" s="1657">
        <v>43607</v>
      </c>
      <c r="B1322" s="1658">
        <v>7370</v>
      </c>
      <c r="C1322" s="1658">
        <v>-60</v>
      </c>
      <c r="D1322" s="1659">
        <v>-0.81</v>
      </c>
      <c r="E1322" s="1658">
        <v>7440</v>
      </c>
      <c r="F1322" s="1658">
        <v>7490</v>
      </c>
      <c r="G1322" s="1658">
        <v>7270</v>
      </c>
      <c r="H1322" s="1658">
        <v>121030</v>
      </c>
      <c r="I1322" s="1658">
        <v>886182580</v>
      </c>
      <c r="J1322" s="1658">
        <v>411404005430</v>
      </c>
      <c r="K1322" s="1658">
        <v>55821439</v>
      </c>
    </row>
    <row r="1323" spans="1:11" x14ac:dyDescent="0.3">
      <c r="A1323" s="1657">
        <v>43608</v>
      </c>
      <c r="B1323" s="1658">
        <v>7200</v>
      </c>
      <c r="C1323" s="1658">
        <v>-170</v>
      </c>
      <c r="D1323" s="1659">
        <v>-2.31</v>
      </c>
      <c r="E1323" s="1658">
        <v>7340</v>
      </c>
      <c r="F1323" s="1658">
        <v>7400</v>
      </c>
      <c r="G1323" s="1658">
        <v>7150</v>
      </c>
      <c r="H1323" s="1658">
        <v>145303</v>
      </c>
      <c r="I1323" s="1658">
        <v>1050460860</v>
      </c>
      <c r="J1323" s="1658">
        <v>401914360800</v>
      </c>
      <c r="K1323" s="1658">
        <v>55821439</v>
      </c>
    </row>
    <row r="1324" spans="1:11" x14ac:dyDescent="0.3">
      <c r="A1324" s="1657">
        <v>43609</v>
      </c>
      <c r="B1324" s="1658">
        <v>7090</v>
      </c>
      <c r="C1324" s="1658">
        <v>-110</v>
      </c>
      <c r="D1324" s="1659">
        <v>-1.53</v>
      </c>
      <c r="E1324" s="1658">
        <v>7100</v>
      </c>
      <c r="F1324" s="1658">
        <v>7250</v>
      </c>
      <c r="G1324" s="1658">
        <v>7090</v>
      </c>
      <c r="H1324" s="1658">
        <v>94872</v>
      </c>
      <c r="I1324" s="1658">
        <v>677130640</v>
      </c>
      <c r="J1324" s="1658">
        <v>395774002510</v>
      </c>
      <c r="K1324" s="1658">
        <v>55821439</v>
      </c>
    </row>
    <row r="1325" spans="1:11" x14ac:dyDescent="0.3">
      <c r="A1325" s="1657">
        <v>43612</v>
      </c>
      <c r="B1325" s="1658">
        <v>7220</v>
      </c>
      <c r="C1325" s="1658">
        <v>130</v>
      </c>
      <c r="D1325" s="1659">
        <v>1.83</v>
      </c>
      <c r="E1325" s="1658">
        <v>7090</v>
      </c>
      <c r="F1325" s="1658">
        <v>7360</v>
      </c>
      <c r="G1325" s="1658">
        <v>7020</v>
      </c>
      <c r="H1325" s="1658">
        <v>127352</v>
      </c>
      <c r="I1325" s="1658">
        <v>919778560</v>
      </c>
      <c r="J1325" s="1658">
        <v>403030789580</v>
      </c>
      <c r="K1325" s="1658">
        <v>55821439</v>
      </c>
    </row>
    <row r="1326" spans="1:11" x14ac:dyDescent="0.3">
      <c r="A1326" s="1657">
        <v>43613</v>
      </c>
      <c r="B1326" s="1658">
        <v>7400</v>
      </c>
      <c r="C1326" s="1658">
        <v>180</v>
      </c>
      <c r="D1326" s="1659">
        <v>2.4900000000000002</v>
      </c>
      <c r="E1326" s="1658">
        <v>7180</v>
      </c>
      <c r="F1326" s="1658">
        <v>7400</v>
      </c>
      <c r="G1326" s="1658">
        <v>7030</v>
      </c>
      <c r="H1326" s="1658">
        <v>137006</v>
      </c>
      <c r="I1326" s="1658">
        <v>982605030</v>
      </c>
      <c r="J1326" s="1658">
        <v>413078648600</v>
      </c>
      <c r="K1326" s="1658">
        <v>55821439</v>
      </c>
    </row>
    <row r="1327" spans="1:11" x14ac:dyDescent="0.3">
      <c r="A1327" s="1657">
        <v>43614</v>
      </c>
      <c r="B1327" s="1658">
        <v>7190</v>
      </c>
      <c r="C1327" s="1658">
        <v>-210</v>
      </c>
      <c r="D1327" s="1659">
        <v>-2.84</v>
      </c>
      <c r="E1327" s="1658">
        <v>7440</v>
      </c>
      <c r="F1327" s="1658">
        <v>7440</v>
      </c>
      <c r="G1327" s="1658">
        <v>7120</v>
      </c>
      <c r="H1327" s="1658">
        <v>120181</v>
      </c>
      <c r="I1327" s="1658">
        <v>863255730</v>
      </c>
      <c r="J1327" s="1658">
        <v>401356146410</v>
      </c>
      <c r="K1327" s="1658">
        <v>55821439</v>
      </c>
    </row>
    <row r="1328" spans="1:11" x14ac:dyDescent="0.3">
      <c r="A1328" s="1657">
        <v>43615</v>
      </c>
      <c r="B1328" s="1658">
        <v>7170</v>
      </c>
      <c r="C1328" s="1658">
        <v>-20</v>
      </c>
      <c r="D1328" s="1659">
        <v>-0.28000000000000003</v>
      </c>
      <c r="E1328" s="1658">
        <v>7110</v>
      </c>
      <c r="F1328" s="1658">
        <v>7340</v>
      </c>
      <c r="G1328" s="1658">
        <v>7110</v>
      </c>
      <c r="H1328" s="1658">
        <v>112225</v>
      </c>
      <c r="I1328" s="1658">
        <v>808629210</v>
      </c>
      <c r="J1328" s="1658">
        <v>400239717630</v>
      </c>
      <c r="K1328" s="1658">
        <v>55821439</v>
      </c>
    </row>
    <row r="1329" spans="1:11" x14ac:dyDescent="0.3">
      <c r="A1329" s="1657">
        <v>43616</v>
      </c>
      <c r="B1329" s="1658">
        <v>7270</v>
      </c>
      <c r="C1329" s="1658">
        <v>100</v>
      </c>
      <c r="D1329" s="1659">
        <v>1.39</v>
      </c>
      <c r="E1329" s="1658">
        <v>7200</v>
      </c>
      <c r="F1329" s="1658">
        <v>7350</v>
      </c>
      <c r="G1329" s="1658">
        <v>7140</v>
      </c>
      <c r="H1329" s="1658">
        <v>83260</v>
      </c>
      <c r="I1329" s="1658">
        <v>604264270</v>
      </c>
      <c r="J1329" s="1658">
        <v>405821861530</v>
      </c>
      <c r="K1329" s="1658">
        <v>55821439</v>
      </c>
    </row>
    <row r="1330" spans="1:11" x14ac:dyDescent="0.3">
      <c r="A1330" s="1657">
        <v>43619</v>
      </c>
      <c r="B1330" s="1658">
        <v>7430</v>
      </c>
      <c r="C1330" s="1658">
        <v>160</v>
      </c>
      <c r="D1330" s="1659">
        <v>2.2000000000000002</v>
      </c>
      <c r="E1330" s="1658">
        <v>7270</v>
      </c>
      <c r="F1330" s="1658">
        <v>7470</v>
      </c>
      <c r="G1330" s="1658">
        <v>7230</v>
      </c>
      <c r="H1330" s="1658">
        <v>107917</v>
      </c>
      <c r="I1330" s="1658">
        <v>795236270</v>
      </c>
      <c r="J1330" s="1658">
        <v>414753291770</v>
      </c>
      <c r="K1330" s="1658">
        <v>55821439</v>
      </c>
    </row>
    <row r="1331" spans="1:11" x14ac:dyDescent="0.3">
      <c r="A1331" s="1657">
        <v>43620</v>
      </c>
      <c r="B1331" s="1658">
        <v>7370</v>
      </c>
      <c r="C1331" s="1658">
        <v>-60</v>
      </c>
      <c r="D1331" s="1659">
        <v>-0.81</v>
      </c>
      <c r="E1331" s="1658">
        <v>7330</v>
      </c>
      <c r="F1331" s="1658">
        <v>7420</v>
      </c>
      <c r="G1331" s="1658">
        <v>7240</v>
      </c>
      <c r="H1331" s="1658">
        <v>86666</v>
      </c>
      <c r="I1331" s="1658">
        <v>633371890</v>
      </c>
      <c r="J1331" s="1658">
        <v>411404005430</v>
      </c>
      <c r="K1331" s="1658">
        <v>55821439</v>
      </c>
    </row>
    <row r="1332" spans="1:11" x14ac:dyDescent="0.3">
      <c r="A1332" s="1657">
        <v>43621</v>
      </c>
      <c r="B1332" s="1658">
        <v>7260</v>
      </c>
      <c r="C1332" s="1658">
        <v>-110</v>
      </c>
      <c r="D1332" s="1659">
        <v>-1.49</v>
      </c>
      <c r="E1332" s="1658">
        <v>7440</v>
      </c>
      <c r="F1332" s="1658">
        <v>7440</v>
      </c>
      <c r="G1332" s="1658">
        <v>7250</v>
      </c>
      <c r="H1332" s="1658">
        <v>82453</v>
      </c>
      <c r="I1332" s="1658">
        <v>601423510</v>
      </c>
      <c r="J1332" s="1658">
        <v>405263647140</v>
      </c>
      <c r="K1332" s="1658">
        <v>55821439</v>
      </c>
    </row>
    <row r="1333" spans="1:11" x14ac:dyDescent="0.3">
      <c r="A1333" s="1657">
        <v>43623</v>
      </c>
      <c r="B1333" s="1658">
        <v>7360</v>
      </c>
      <c r="C1333" s="1658">
        <v>100</v>
      </c>
      <c r="D1333" s="1659">
        <v>1.38</v>
      </c>
      <c r="E1333" s="1658">
        <v>7200</v>
      </c>
      <c r="F1333" s="1658">
        <v>7450</v>
      </c>
      <c r="G1333" s="1658">
        <v>7200</v>
      </c>
      <c r="H1333" s="1658">
        <v>78048</v>
      </c>
      <c r="I1333" s="1658">
        <v>573262140</v>
      </c>
      <c r="J1333" s="1658">
        <v>410845791040</v>
      </c>
      <c r="K1333" s="1658">
        <v>55821439</v>
      </c>
    </row>
    <row r="1334" spans="1:11" x14ac:dyDescent="0.3">
      <c r="A1334" s="1657">
        <v>43626</v>
      </c>
      <c r="B1334" s="1658">
        <v>7760</v>
      </c>
      <c r="C1334" s="1658">
        <v>400</v>
      </c>
      <c r="D1334" s="1659">
        <v>5.43</v>
      </c>
      <c r="E1334" s="1658">
        <v>7380</v>
      </c>
      <c r="F1334" s="1658">
        <v>7780</v>
      </c>
      <c r="G1334" s="1658">
        <v>7380</v>
      </c>
      <c r="H1334" s="1658">
        <v>188332</v>
      </c>
      <c r="I1334" s="1658">
        <v>1443116060</v>
      </c>
      <c r="J1334" s="1658">
        <v>433174366640</v>
      </c>
      <c r="K1334" s="1658">
        <v>55821439</v>
      </c>
    </row>
    <row r="1335" spans="1:11" x14ac:dyDescent="0.3">
      <c r="A1335" s="1657">
        <v>43627</v>
      </c>
      <c r="B1335" s="1658">
        <v>7790</v>
      </c>
      <c r="C1335" s="1658">
        <v>30</v>
      </c>
      <c r="D1335" s="1659">
        <v>0.39</v>
      </c>
      <c r="E1335" s="1658">
        <v>7770</v>
      </c>
      <c r="F1335" s="1658">
        <v>7830</v>
      </c>
      <c r="G1335" s="1658">
        <v>7550</v>
      </c>
      <c r="H1335" s="1658">
        <v>135726</v>
      </c>
      <c r="I1335" s="1658">
        <v>1040907440</v>
      </c>
      <c r="J1335" s="1658">
        <v>434849009810</v>
      </c>
      <c r="K1335" s="1658">
        <v>55821439</v>
      </c>
    </row>
    <row r="1336" spans="1:11" x14ac:dyDescent="0.3">
      <c r="A1336" s="1657">
        <v>43628</v>
      </c>
      <c r="B1336" s="1658">
        <v>7650</v>
      </c>
      <c r="C1336" s="1658">
        <v>-140</v>
      </c>
      <c r="D1336" s="1659">
        <v>-1.8</v>
      </c>
      <c r="E1336" s="1658">
        <v>7710</v>
      </c>
      <c r="F1336" s="1658">
        <v>7770</v>
      </c>
      <c r="G1336" s="1658">
        <v>7620</v>
      </c>
      <c r="H1336" s="1658">
        <v>87630</v>
      </c>
      <c r="I1336" s="1658">
        <v>672313350</v>
      </c>
      <c r="J1336" s="1658">
        <v>427034008350</v>
      </c>
      <c r="K1336" s="1658">
        <v>55821439</v>
      </c>
    </row>
    <row r="1337" spans="1:11" x14ac:dyDescent="0.3">
      <c r="A1337" s="1657">
        <v>43629</v>
      </c>
      <c r="B1337" s="1658">
        <v>7440</v>
      </c>
      <c r="C1337" s="1658">
        <v>-210</v>
      </c>
      <c r="D1337" s="1659">
        <v>-2.75</v>
      </c>
      <c r="E1337" s="1658">
        <v>7600</v>
      </c>
      <c r="F1337" s="1658">
        <v>7710</v>
      </c>
      <c r="G1337" s="1658">
        <v>7440</v>
      </c>
      <c r="H1337" s="1658">
        <v>238998</v>
      </c>
      <c r="I1337" s="1658">
        <v>1792714660</v>
      </c>
      <c r="J1337" s="1658">
        <v>415311506160</v>
      </c>
      <c r="K1337" s="1658">
        <v>55821439</v>
      </c>
    </row>
    <row r="1338" spans="1:11" x14ac:dyDescent="0.3">
      <c r="A1338" s="1657">
        <v>43630</v>
      </c>
      <c r="B1338" s="1658">
        <v>7460</v>
      </c>
      <c r="C1338" s="1658">
        <v>20</v>
      </c>
      <c r="D1338" s="1659">
        <v>0.27</v>
      </c>
      <c r="E1338" s="1658">
        <v>7550</v>
      </c>
      <c r="F1338" s="1658">
        <v>7590</v>
      </c>
      <c r="G1338" s="1658">
        <v>7390</v>
      </c>
      <c r="H1338" s="1658">
        <v>83262</v>
      </c>
      <c r="I1338" s="1658">
        <v>621974190</v>
      </c>
      <c r="J1338" s="1658">
        <v>416427934940</v>
      </c>
      <c r="K1338" s="1658">
        <v>55821439</v>
      </c>
    </row>
    <row r="1339" spans="1:11" x14ac:dyDescent="0.3">
      <c r="A1339" s="1657">
        <v>43633</v>
      </c>
      <c r="B1339" s="1658">
        <v>7500</v>
      </c>
      <c r="C1339" s="1658">
        <v>40</v>
      </c>
      <c r="D1339" s="1659">
        <v>0.54</v>
      </c>
      <c r="E1339" s="1658">
        <v>7460</v>
      </c>
      <c r="F1339" s="1658">
        <v>7540</v>
      </c>
      <c r="G1339" s="1658">
        <v>7360</v>
      </c>
      <c r="H1339" s="1658">
        <v>59299</v>
      </c>
      <c r="I1339" s="1658">
        <v>442784900</v>
      </c>
      <c r="J1339" s="1658">
        <v>418660792500</v>
      </c>
      <c r="K1339" s="1658">
        <v>55821439</v>
      </c>
    </row>
    <row r="1340" spans="1:11" x14ac:dyDescent="0.3">
      <c r="A1340" s="1657">
        <v>43634</v>
      </c>
      <c r="B1340" s="1658">
        <v>7490</v>
      </c>
      <c r="C1340" s="1658">
        <v>-10</v>
      </c>
      <c r="D1340" s="1659">
        <v>-0.13</v>
      </c>
      <c r="E1340" s="1658">
        <v>7490</v>
      </c>
      <c r="F1340" s="1658">
        <v>7580</v>
      </c>
      <c r="G1340" s="1658">
        <v>7420</v>
      </c>
      <c r="H1340" s="1658">
        <v>76624</v>
      </c>
      <c r="I1340" s="1658">
        <v>573544760</v>
      </c>
      <c r="J1340" s="1658">
        <v>418102578110</v>
      </c>
      <c r="K1340" s="1658">
        <v>55821439</v>
      </c>
    </row>
    <row r="1341" spans="1:11" x14ac:dyDescent="0.3">
      <c r="A1341" s="1657">
        <v>43635</v>
      </c>
      <c r="B1341" s="1658">
        <v>7480</v>
      </c>
      <c r="C1341" s="1658">
        <v>-10</v>
      </c>
      <c r="D1341" s="1659">
        <v>-0.13</v>
      </c>
      <c r="E1341" s="1658">
        <v>7500</v>
      </c>
      <c r="F1341" s="1658">
        <v>7560</v>
      </c>
      <c r="G1341" s="1658">
        <v>7400</v>
      </c>
      <c r="H1341" s="1658">
        <v>99227</v>
      </c>
      <c r="I1341" s="1658">
        <v>740666260</v>
      </c>
      <c r="J1341" s="1658">
        <v>417544363720</v>
      </c>
      <c r="K1341" s="1658">
        <v>55821439</v>
      </c>
    </row>
    <row r="1342" spans="1:11" x14ac:dyDescent="0.3">
      <c r="A1342" s="1657">
        <v>43636</v>
      </c>
      <c r="B1342" s="1658">
        <v>7590</v>
      </c>
      <c r="C1342" s="1658">
        <v>110</v>
      </c>
      <c r="D1342" s="1659">
        <v>1.47</v>
      </c>
      <c r="E1342" s="1658">
        <v>7540</v>
      </c>
      <c r="F1342" s="1658">
        <v>7770</v>
      </c>
      <c r="G1342" s="1658">
        <v>7430</v>
      </c>
      <c r="H1342" s="1658">
        <v>179769</v>
      </c>
      <c r="I1342" s="1658">
        <v>1358915630</v>
      </c>
      <c r="J1342" s="1658">
        <v>423684722010</v>
      </c>
      <c r="K1342" s="1658">
        <v>55821439</v>
      </c>
    </row>
    <row r="1343" spans="1:11" x14ac:dyDescent="0.3">
      <c r="A1343" s="1657">
        <v>43637</v>
      </c>
      <c r="B1343" s="1658">
        <v>7510</v>
      </c>
      <c r="C1343" s="1658">
        <v>-80</v>
      </c>
      <c r="D1343" s="1659">
        <v>-1.05</v>
      </c>
      <c r="E1343" s="1658">
        <v>7610</v>
      </c>
      <c r="F1343" s="1658">
        <v>7790</v>
      </c>
      <c r="G1343" s="1658">
        <v>7400</v>
      </c>
      <c r="H1343" s="1658">
        <v>174398</v>
      </c>
      <c r="I1343" s="1658">
        <v>1323424170</v>
      </c>
      <c r="J1343" s="1658">
        <v>419219006890</v>
      </c>
      <c r="K1343" s="1658">
        <v>55821439</v>
      </c>
    </row>
    <row r="1344" spans="1:11" x14ac:dyDescent="0.3">
      <c r="A1344" s="1657">
        <v>43640</v>
      </c>
      <c r="B1344" s="1658">
        <v>7410</v>
      </c>
      <c r="C1344" s="1658">
        <v>-100</v>
      </c>
      <c r="D1344" s="1659">
        <v>-1.33</v>
      </c>
      <c r="E1344" s="1658">
        <v>7510</v>
      </c>
      <c r="F1344" s="1658">
        <v>7510</v>
      </c>
      <c r="G1344" s="1658">
        <v>7290</v>
      </c>
      <c r="H1344" s="1658">
        <v>112720</v>
      </c>
      <c r="I1344" s="1658">
        <v>829796220</v>
      </c>
      <c r="J1344" s="1658">
        <v>413636862990</v>
      </c>
      <c r="K1344" s="1658">
        <v>55821439</v>
      </c>
    </row>
    <row r="1345" spans="1:11" x14ac:dyDescent="0.3">
      <c r="A1345" s="1657">
        <v>43641</v>
      </c>
      <c r="B1345" s="1658">
        <v>7370</v>
      </c>
      <c r="C1345" s="1658">
        <v>-40</v>
      </c>
      <c r="D1345" s="1659">
        <v>-0.54</v>
      </c>
      <c r="E1345" s="1658">
        <v>7400</v>
      </c>
      <c r="F1345" s="1658">
        <v>7430</v>
      </c>
      <c r="G1345" s="1658">
        <v>7200</v>
      </c>
      <c r="H1345" s="1658">
        <v>90480</v>
      </c>
      <c r="I1345" s="1658">
        <v>662979150</v>
      </c>
      <c r="J1345" s="1658">
        <v>411404005430</v>
      </c>
      <c r="K1345" s="1658">
        <v>55821439</v>
      </c>
    </row>
    <row r="1346" spans="1:11" x14ac:dyDescent="0.3">
      <c r="A1346" s="1657">
        <v>43642</v>
      </c>
      <c r="B1346" s="1658">
        <v>7340</v>
      </c>
      <c r="C1346" s="1658">
        <v>-30</v>
      </c>
      <c r="D1346" s="1659">
        <v>-0.41</v>
      </c>
      <c r="E1346" s="1658">
        <v>7410</v>
      </c>
      <c r="F1346" s="1658">
        <v>7490</v>
      </c>
      <c r="G1346" s="1658">
        <v>7300</v>
      </c>
      <c r="H1346" s="1658">
        <v>102919</v>
      </c>
      <c r="I1346" s="1658">
        <v>759329610</v>
      </c>
      <c r="J1346" s="1658">
        <v>409729362260</v>
      </c>
      <c r="K1346" s="1658">
        <v>55821439</v>
      </c>
    </row>
    <row r="1347" spans="1:11" x14ac:dyDescent="0.3">
      <c r="A1347" s="1657">
        <v>43643</v>
      </c>
      <c r="B1347" s="1658">
        <v>7340</v>
      </c>
      <c r="C1347" s="1658">
        <v>0</v>
      </c>
      <c r="D1347" s="1659">
        <v>0</v>
      </c>
      <c r="E1347" s="1658">
        <v>7250</v>
      </c>
      <c r="F1347" s="1658">
        <v>7500</v>
      </c>
      <c r="G1347" s="1658">
        <v>7250</v>
      </c>
      <c r="H1347" s="1658">
        <v>114361</v>
      </c>
      <c r="I1347" s="1658">
        <v>845602830</v>
      </c>
      <c r="J1347" s="1658">
        <v>409729362260</v>
      </c>
      <c r="K1347" s="1658">
        <v>55821439</v>
      </c>
    </row>
    <row r="1348" spans="1:11" x14ac:dyDescent="0.3">
      <c r="A1348" s="1657">
        <v>43644</v>
      </c>
      <c r="B1348" s="1658">
        <v>7380</v>
      </c>
      <c r="C1348" s="1658">
        <v>40</v>
      </c>
      <c r="D1348" s="1659">
        <v>0.54</v>
      </c>
      <c r="E1348" s="1658">
        <v>7310</v>
      </c>
      <c r="F1348" s="1658">
        <v>7540</v>
      </c>
      <c r="G1348" s="1658">
        <v>7280</v>
      </c>
      <c r="H1348" s="1658">
        <v>79627</v>
      </c>
      <c r="I1348" s="1658">
        <v>588585320</v>
      </c>
      <c r="J1348" s="1658">
        <v>411962219820</v>
      </c>
      <c r="K1348" s="1658">
        <v>55821439</v>
      </c>
    </row>
    <row r="1349" spans="1:11" x14ac:dyDescent="0.3">
      <c r="A1349" s="1657">
        <v>43647</v>
      </c>
      <c r="B1349" s="1658">
        <v>7480</v>
      </c>
      <c r="C1349" s="1658">
        <v>100</v>
      </c>
      <c r="D1349" s="1659">
        <v>1.36</v>
      </c>
      <c r="E1349" s="1658">
        <v>7450</v>
      </c>
      <c r="F1349" s="1658">
        <v>7550</v>
      </c>
      <c r="G1349" s="1658">
        <v>7370</v>
      </c>
      <c r="H1349" s="1658">
        <v>77827</v>
      </c>
      <c r="I1349" s="1658">
        <v>580084990</v>
      </c>
      <c r="J1349" s="1658">
        <v>417544363720</v>
      </c>
      <c r="K1349" s="1658">
        <v>55821439</v>
      </c>
    </row>
    <row r="1350" spans="1:11" x14ac:dyDescent="0.3">
      <c r="A1350" s="1657">
        <v>43648</v>
      </c>
      <c r="B1350" s="1658">
        <v>7320</v>
      </c>
      <c r="C1350" s="1658">
        <v>-160</v>
      </c>
      <c r="D1350" s="1659">
        <v>-2.14</v>
      </c>
      <c r="E1350" s="1658">
        <v>7500</v>
      </c>
      <c r="F1350" s="1658">
        <v>7510</v>
      </c>
      <c r="G1350" s="1658">
        <v>7300</v>
      </c>
      <c r="H1350" s="1658">
        <v>73074</v>
      </c>
      <c r="I1350" s="1658">
        <v>539662200</v>
      </c>
      <c r="J1350" s="1658">
        <v>408612933480</v>
      </c>
      <c r="K1350" s="1658">
        <v>55821439</v>
      </c>
    </row>
    <row r="1351" spans="1:11" x14ac:dyDescent="0.3">
      <c r="A1351" s="1657">
        <v>43649</v>
      </c>
      <c r="B1351" s="1658">
        <v>7080</v>
      </c>
      <c r="C1351" s="1658">
        <v>-240</v>
      </c>
      <c r="D1351" s="1659">
        <v>-3.28</v>
      </c>
      <c r="E1351" s="1658">
        <v>7300</v>
      </c>
      <c r="F1351" s="1658">
        <v>7360</v>
      </c>
      <c r="G1351" s="1658">
        <v>6960</v>
      </c>
      <c r="H1351" s="1658">
        <v>232182</v>
      </c>
      <c r="I1351" s="1658">
        <v>1642367490</v>
      </c>
      <c r="J1351" s="1658">
        <v>395215788120</v>
      </c>
      <c r="K1351" s="1658">
        <v>55821439</v>
      </c>
    </row>
    <row r="1352" spans="1:11" x14ac:dyDescent="0.3">
      <c r="A1352" s="1657">
        <v>43650</v>
      </c>
      <c r="B1352" s="1658">
        <v>6890</v>
      </c>
      <c r="C1352" s="1658">
        <v>-190</v>
      </c>
      <c r="D1352" s="1659">
        <v>-2.68</v>
      </c>
      <c r="E1352" s="1658">
        <v>7100</v>
      </c>
      <c r="F1352" s="1658">
        <v>7140</v>
      </c>
      <c r="G1352" s="1658">
        <v>6760</v>
      </c>
      <c r="H1352" s="1658">
        <v>184126</v>
      </c>
      <c r="I1352" s="1658">
        <v>1267872800</v>
      </c>
      <c r="J1352" s="1658">
        <v>384609714710</v>
      </c>
      <c r="K1352" s="1658">
        <v>55821439</v>
      </c>
    </row>
    <row r="1353" spans="1:11" x14ac:dyDescent="0.3">
      <c r="A1353" s="1657">
        <v>43651</v>
      </c>
      <c r="B1353" s="1658">
        <v>6860</v>
      </c>
      <c r="C1353" s="1658">
        <v>-30</v>
      </c>
      <c r="D1353" s="1659">
        <v>-0.44</v>
      </c>
      <c r="E1353" s="1658">
        <v>6900</v>
      </c>
      <c r="F1353" s="1658">
        <v>6970</v>
      </c>
      <c r="G1353" s="1658">
        <v>6780</v>
      </c>
      <c r="H1353" s="1658">
        <v>66475</v>
      </c>
      <c r="I1353" s="1658">
        <v>455704010</v>
      </c>
      <c r="J1353" s="1658">
        <v>382935071540</v>
      </c>
      <c r="K1353" s="1658">
        <v>55821439</v>
      </c>
    </row>
    <row r="1354" spans="1:11" x14ac:dyDescent="0.3">
      <c r="A1354" s="1657">
        <v>43654</v>
      </c>
      <c r="B1354" s="1658">
        <v>6570</v>
      </c>
      <c r="C1354" s="1658">
        <v>-290</v>
      </c>
      <c r="D1354" s="1659">
        <v>-4.2300000000000004</v>
      </c>
      <c r="E1354" s="1658">
        <v>6870</v>
      </c>
      <c r="F1354" s="1658">
        <v>6920</v>
      </c>
      <c r="G1354" s="1658">
        <v>6500</v>
      </c>
      <c r="H1354" s="1658">
        <v>170461</v>
      </c>
      <c r="I1354" s="1658">
        <v>1128674730</v>
      </c>
      <c r="J1354" s="1658">
        <v>366746854230</v>
      </c>
      <c r="K1354" s="1658">
        <v>55821439</v>
      </c>
    </row>
    <row r="1355" spans="1:11" x14ac:dyDescent="0.3">
      <c r="A1355" s="1657">
        <v>43655</v>
      </c>
      <c r="B1355" s="1658">
        <v>6520</v>
      </c>
      <c r="C1355" s="1658">
        <v>-50</v>
      </c>
      <c r="D1355" s="1659">
        <v>-0.76</v>
      </c>
      <c r="E1355" s="1658">
        <v>6480</v>
      </c>
      <c r="F1355" s="1658">
        <v>6720</v>
      </c>
      <c r="G1355" s="1658">
        <v>6480</v>
      </c>
      <c r="H1355" s="1658">
        <v>205317</v>
      </c>
      <c r="I1355" s="1658">
        <v>1356698190</v>
      </c>
      <c r="J1355" s="1658">
        <v>363955782280</v>
      </c>
      <c r="K1355" s="1658">
        <v>55821439</v>
      </c>
    </row>
    <row r="1356" spans="1:11" x14ac:dyDescent="0.3">
      <c r="A1356" s="1657">
        <v>43656</v>
      </c>
      <c r="B1356" s="1658">
        <v>6640</v>
      </c>
      <c r="C1356" s="1658">
        <v>120</v>
      </c>
      <c r="D1356" s="1659">
        <v>1.84</v>
      </c>
      <c r="E1356" s="1658">
        <v>6530</v>
      </c>
      <c r="F1356" s="1658">
        <v>6720</v>
      </c>
      <c r="G1356" s="1658">
        <v>6510</v>
      </c>
      <c r="H1356" s="1658">
        <v>68583</v>
      </c>
      <c r="I1356" s="1658">
        <v>453471670</v>
      </c>
      <c r="J1356" s="1658">
        <v>370654354960</v>
      </c>
      <c r="K1356" s="1658">
        <v>55821439</v>
      </c>
    </row>
    <row r="1357" spans="1:11" x14ac:dyDescent="0.3">
      <c r="A1357" s="1657">
        <v>43657</v>
      </c>
      <c r="B1357" s="1658">
        <v>6730</v>
      </c>
      <c r="C1357" s="1658">
        <v>90</v>
      </c>
      <c r="D1357" s="1659">
        <v>1.36</v>
      </c>
      <c r="E1357" s="1658">
        <v>6700</v>
      </c>
      <c r="F1357" s="1658">
        <v>6740</v>
      </c>
      <c r="G1357" s="1658">
        <v>6630</v>
      </c>
      <c r="H1357" s="1658">
        <v>57189</v>
      </c>
      <c r="I1357" s="1658">
        <v>381839900</v>
      </c>
      <c r="J1357" s="1658">
        <v>375678284470</v>
      </c>
      <c r="K1357" s="1658">
        <v>55821439</v>
      </c>
    </row>
    <row r="1358" spans="1:11" x14ac:dyDescent="0.3">
      <c r="A1358" s="1657">
        <v>43658</v>
      </c>
      <c r="B1358" s="1658">
        <v>6780</v>
      </c>
      <c r="C1358" s="1658">
        <v>50</v>
      </c>
      <c r="D1358" s="1659">
        <v>0.74</v>
      </c>
      <c r="E1358" s="1658">
        <v>6830</v>
      </c>
      <c r="F1358" s="1658">
        <v>6840</v>
      </c>
      <c r="G1358" s="1658">
        <v>6620</v>
      </c>
      <c r="H1358" s="1658">
        <v>56751</v>
      </c>
      <c r="I1358" s="1658">
        <v>381576290</v>
      </c>
      <c r="J1358" s="1658">
        <v>378469356420</v>
      </c>
      <c r="K1358" s="1658">
        <v>55821439</v>
      </c>
    </row>
    <row r="1359" spans="1:11" x14ac:dyDescent="0.3">
      <c r="A1359" s="1657">
        <v>43661</v>
      </c>
      <c r="B1359" s="1658">
        <v>6780</v>
      </c>
      <c r="C1359" s="1658">
        <v>0</v>
      </c>
      <c r="D1359" s="1659">
        <v>0</v>
      </c>
      <c r="E1359" s="1658">
        <v>6710</v>
      </c>
      <c r="F1359" s="1658">
        <v>6780</v>
      </c>
      <c r="G1359" s="1658">
        <v>6630</v>
      </c>
      <c r="H1359" s="1658">
        <v>54366</v>
      </c>
      <c r="I1359" s="1658">
        <v>363965400</v>
      </c>
      <c r="J1359" s="1658">
        <v>378469356420</v>
      </c>
      <c r="K1359" s="1658">
        <v>55821439</v>
      </c>
    </row>
    <row r="1360" spans="1:11" x14ac:dyDescent="0.3">
      <c r="A1360" s="1657">
        <v>43662</v>
      </c>
      <c r="B1360" s="1658">
        <v>6790</v>
      </c>
      <c r="C1360" s="1658">
        <v>10</v>
      </c>
      <c r="D1360" s="1659">
        <v>0.15</v>
      </c>
      <c r="E1360" s="1658">
        <v>6690</v>
      </c>
      <c r="F1360" s="1658">
        <v>6830</v>
      </c>
      <c r="G1360" s="1658">
        <v>6680</v>
      </c>
      <c r="H1360" s="1658">
        <v>47692</v>
      </c>
      <c r="I1360" s="1658">
        <v>322205950</v>
      </c>
      <c r="J1360" s="1658">
        <v>379027570810</v>
      </c>
      <c r="K1360" s="1658">
        <v>55821439</v>
      </c>
    </row>
    <row r="1361" spans="1:11" x14ac:dyDescent="0.3">
      <c r="A1361" s="1657">
        <v>43663</v>
      </c>
      <c r="B1361" s="1658">
        <v>6680</v>
      </c>
      <c r="C1361" s="1658">
        <v>-110</v>
      </c>
      <c r="D1361" s="1659">
        <v>-1.62</v>
      </c>
      <c r="E1361" s="1658">
        <v>6710</v>
      </c>
      <c r="F1361" s="1658">
        <v>6790</v>
      </c>
      <c r="G1361" s="1658">
        <v>6600</v>
      </c>
      <c r="H1361" s="1658">
        <v>75974</v>
      </c>
      <c r="I1361" s="1658">
        <v>506586240</v>
      </c>
      <c r="J1361" s="1658">
        <v>372887212520</v>
      </c>
      <c r="K1361" s="1658">
        <v>55821439</v>
      </c>
    </row>
    <row r="1362" spans="1:11" x14ac:dyDescent="0.3">
      <c r="A1362" s="1657">
        <v>43664</v>
      </c>
      <c r="B1362" s="1658">
        <v>6600</v>
      </c>
      <c r="C1362" s="1658">
        <v>-80</v>
      </c>
      <c r="D1362" s="1659">
        <v>-1.2</v>
      </c>
      <c r="E1362" s="1658">
        <v>6600</v>
      </c>
      <c r="F1362" s="1658">
        <v>6730</v>
      </c>
      <c r="G1362" s="1658">
        <v>6540</v>
      </c>
      <c r="H1362" s="1658">
        <v>53098</v>
      </c>
      <c r="I1362" s="1658">
        <v>350254670</v>
      </c>
      <c r="J1362" s="1658">
        <v>368421497400</v>
      </c>
      <c r="K1362" s="1658">
        <v>55821439</v>
      </c>
    </row>
    <row r="1363" spans="1:11" x14ac:dyDescent="0.3">
      <c r="A1363" s="1657">
        <v>43665</v>
      </c>
      <c r="B1363" s="1658">
        <v>6870</v>
      </c>
      <c r="C1363" s="1658">
        <v>270</v>
      </c>
      <c r="D1363" s="1659">
        <v>4.09</v>
      </c>
      <c r="E1363" s="1658">
        <v>6750</v>
      </c>
      <c r="F1363" s="1658">
        <v>6870</v>
      </c>
      <c r="G1363" s="1658">
        <v>6630</v>
      </c>
      <c r="H1363" s="1658">
        <v>103926</v>
      </c>
      <c r="I1363" s="1658">
        <v>702517980</v>
      </c>
      <c r="J1363" s="1658">
        <v>383493285930</v>
      </c>
      <c r="K1363" s="1658">
        <v>55821439</v>
      </c>
    </row>
    <row r="1364" spans="1:11" x14ac:dyDescent="0.3">
      <c r="A1364" s="1657">
        <v>43668</v>
      </c>
      <c r="B1364" s="1658">
        <v>7030</v>
      </c>
      <c r="C1364" s="1658">
        <v>160</v>
      </c>
      <c r="D1364" s="1659">
        <v>2.33</v>
      </c>
      <c r="E1364" s="1658">
        <v>6800</v>
      </c>
      <c r="F1364" s="1658">
        <v>7400</v>
      </c>
      <c r="G1364" s="1658">
        <v>6700</v>
      </c>
      <c r="H1364" s="1658">
        <v>211499</v>
      </c>
      <c r="I1364" s="1658">
        <v>1477863780</v>
      </c>
      <c r="J1364" s="1658">
        <v>392424716170</v>
      </c>
      <c r="K1364" s="1658">
        <v>55821439</v>
      </c>
    </row>
    <row r="1365" spans="1:11" x14ac:dyDescent="0.3">
      <c r="A1365" s="1657">
        <v>43669</v>
      </c>
      <c r="B1365" s="1658">
        <v>6810</v>
      </c>
      <c r="C1365" s="1658">
        <v>-220</v>
      </c>
      <c r="D1365" s="1659">
        <v>-3.13</v>
      </c>
      <c r="E1365" s="1658">
        <v>6910</v>
      </c>
      <c r="F1365" s="1658">
        <v>7030</v>
      </c>
      <c r="G1365" s="1658">
        <v>6660</v>
      </c>
      <c r="H1365" s="1658">
        <v>131081</v>
      </c>
      <c r="I1365" s="1658">
        <v>893852800</v>
      </c>
      <c r="J1365" s="1658">
        <v>380143999590</v>
      </c>
      <c r="K1365" s="1658">
        <v>55821439</v>
      </c>
    </row>
    <row r="1366" spans="1:11" x14ac:dyDescent="0.3">
      <c r="A1366" s="1657">
        <v>43670</v>
      </c>
      <c r="B1366" s="1658">
        <v>6730</v>
      </c>
      <c r="C1366" s="1658">
        <v>-80</v>
      </c>
      <c r="D1366" s="1659">
        <v>-1.17</v>
      </c>
      <c r="E1366" s="1658">
        <v>6740</v>
      </c>
      <c r="F1366" s="1658">
        <v>6850</v>
      </c>
      <c r="G1366" s="1658">
        <v>6640</v>
      </c>
      <c r="H1366" s="1658">
        <v>92007</v>
      </c>
      <c r="I1366" s="1658">
        <v>618661490</v>
      </c>
      <c r="J1366" s="1658">
        <v>375678284470</v>
      </c>
      <c r="K1366" s="1658">
        <v>55821439</v>
      </c>
    </row>
    <row r="1367" spans="1:11" x14ac:dyDescent="0.3">
      <c r="A1367" s="1657">
        <v>43671</v>
      </c>
      <c r="B1367" s="1658">
        <v>6810</v>
      </c>
      <c r="C1367" s="1658">
        <v>80</v>
      </c>
      <c r="D1367" s="1659">
        <v>1.19</v>
      </c>
      <c r="E1367" s="1658">
        <v>6710</v>
      </c>
      <c r="F1367" s="1658">
        <v>6970</v>
      </c>
      <c r="G1367" s="1658">
        <v>6660</v>
      </c>
      <c r="H1367" s="1658">
        <v>88110</v>
      </c>
      <c r="I1367" s="1658">
        <v>604572900</v>
      </c>
      <c r="J1367" s="1658">
        <v>380143999590</v>
      </c>
      <c r="K1367" s="1658">
        <v>55821439</v>
      </c>
    </row>
    <row r="1368" spans="1:11" x14ac:dyDescent="0.3">
      <c r="A1368" s="1657">
        <v>43672</v>
      </c>
      <c r="B1368" s="1658">
        <v>6780</v>
      </c>
      <c r="C1368" s="1658">
        <v>-30</v>
      </c>
      <c r="D1368" s="1659">
        <v>-0.44</v>
      </c>
      <c r="E1368" s="1658">
        <v>6770</v>
      </c>
      <c r="F1368" s="1658">
        <v>6890</v>
      </c>
      <c r="G1368" s="1658">
        <v>6650</v>
      </c>
      <c r="H1368" s="1658">
        <v>72522</v>
      </c>
      <c r="I1368" s="1658">
        <v>487714820</v>
      </c>
      <c r="J1368" s="1658">
        <v>378469356420</v>
      </c>
      <c r="K1368" s="1658">
        <v>55821439</v>
      </c>
    </row>
    <row r="1369" spans="1:11" x14ac:dyDescent="0.3">
      <c r="A1369" s="1657">
        <v>43675</v>
      </c>
      <c r="B1369" s="1658">
        <v>6430</v>
      </c>
      <c r="C1369" s="1658">
        <v>-350</v>
      </c>
      <c r="D1369" s="1659">
        <v>-5.16</v>
      </c>
      <c r="E1369" s="1658">
        <v>6800</v>
      </c>
      <c r="F1369" s="1658">
        <v>6800</v>
      </c>
      <c r="G1369" s="1658">
        <v>6340</v>
      </c>
      <c r="H1369" s="1658">
        <v>122171</v>
      </c>
      <c r="I1369" s="1658">
        <v>793947070</v>
      </c>
      <c r="J1369" s="1658">
        <v>358931852770</v>
      </c>
      <c r="K1369" s="1658">
        <v>55821439</v>
      </c>
    </row>
    <row r="1370" spans="1:11" x14ac:dyDescent="0.3">
      <c r="A1370" s="1657">
        <v>43676</v>
      </c>
      <c r="B1370" s="1658">
        <v>6310</v>
      </c>
      <c r="C1370" s="1658">
        <v>-120</v>
      </c>
      <c r="D1370" s="1659">
        <v>-1.87</v>
      </c>
      <c r="E1370" s="1658">
        <v>6350</v>
      </c>
      <c r="F1370" s="1658">
        <v>6550</v>
      </c>
      <c r="G1370" s="1658">
        <v>6290</v>
      </c>
      <c r="H1370" s="1658">
        <v>130775</v>
      </c>
      <c r="I1370" s="1658">
        <v>832988320</v>
      </c>
      <c r="J1370" s="1658">
        <v>352233280090</v>
      </c>
      <c r="K1370" s="1658">
        <v>55821439</v>
      </c>
    </row>
    <row r="1371" spans="1:11" x14ac:dyDescent="0.3">
      <c r="A1371" s="1657">
        <v>43677</v>
      </c>
      <c r="B1371" s="1658">
        <v>6130</v>
      </c>
      <c r="C1371" s="1658">
        <v>-180</v>
      </c>
      <c r="D1371" s="1659">
        <v>-2.85</v>
      </c>
      <c r="E1371" s="1658">
        <v>6310</v>
      </c>
      <c r="F1371" s="1658">
        <v>6370</v>
      </c>
      <c r="G1371" s="1658">
        <v>5990</v>
      </c>
      <c r="H1371" s="1658">
        <v>162162</v>
      </c>
      <c r="I1371" s="1658">
        <v>993076800</v>
      </c>
      <c r="J1371" s="1658">
        <v>342185421070</v>
      </c>
      <c r="K1371" s="1658">
        <v>55821439</v>
      </c>
    </row>
    <row r="1372" spans="1:11" x14ac:dyDescent="0.3">
      <c r="A1372" s="1657">
        <v>43678</v>
      </c>
      <c r="B1372" s="1658">
        <v>5950</v>
      </c>
      <c r="C1372" s="1658">
        <v>-180</v>
      </c>
      <c r="D1372" s="1659">
        <v>-2.94</v>
      </c>
      <c r="E1372" s="1658">
        <v>6130</v>
      </c>
      <c r="F1372" s="1658">
        <v>6130</v>
      </c>
      <c r="G1372" s="1658">
        <v>5950</v>
      </c>
      <c r="H1372" s="1658">
        <v>123845</v>
      </c>
      <c r="I1372" s="1658">
        <v>747486520</v>
      </c>
      <c r="J1372" s="1658">
        <v>332137562050</v>
      </c>
      <c r="K1372" s="1658">
        <v>55821439</v>
      </c>
    </row>
    <row r="1373" spans="1:11" x14ac:dyDescent="0.3">
      <c r="A1373" s="1657">
        <v>43679</v>
      </c>
      <c r="B1373" s="1658">
        <v>5850</v>
      </c>
      <c r="C1373" s="1658">
        <v>-100</v>
      </c>
      <c r="D1373" s="1659">
        <v>-1.68</v>
      </c>
      <c r="E1373" s="1658">
        <v>6000</v>
      </c>
      <c r="F1373" s="1658">
        <v>6000</v>
      </c>
      <c r="G1373" s="1658">
        <v>5610</v>
      </c>
      <c r="H1373" s="1658">
        <v>104046</v>
      </c>
      <c r="I1373" s="1658">
        <v>610825980</v>
      </c>
      <c r="J1373" s="1658">
        <v>326555418150</v>
      </c>
      <c r="K1373" s="1658">
        <v>55821439</v>
      </c>
    </row>
    <row r="1374" spans="1:11" x14ac:dyDescent="0.3">
      <c r="A1374" s="1657">
        <v>43682</v>
      </c>
      <c r="B1374" s="1658">
        <v>5100</v>
      </c>
      <c r="C1374" s="1658">
        <v>-750</v>
      </c>
      <c r="D1374" s="1659">
        <v>-12.82</v>
      </c>
      <c r="E1374" s="1658">
        <v>5800</v>
      </c>
      <c r="F1374" s="1658">
        <v>5830</v>
      </c>
      <c r="G1374" s="1658">
        <v>4830</v>
      </c>
      <c r="H1374" s="1658">
        <v>279995</v>
      </c>
      <c r="I1374" s="1658">
        <v>1513446800</v>
      </c>
      <c r="J1374" s="1658">
        <v>284689338900</v>
      </c>
      <c r="K1374" s="1658">
        <v>55821439</v>
      </c>
    </row>
    <row r="1375" spans="1:11" x14ac:dyDescent="0.3">
      <c r="A1375" s="1657">
        <v>43683</v>
      </c>
      <c r="B1375" s="1658">
        <v>5430</v>
      </c>
      <c r="C1375" s="1658">
        <v>330</v>
      </c>
      <c r="D1375" s="1659">
        <v>6.47</v>
      </c>
      <c r="E1375" s="1658">
        <v>4900</v>
      </c>
      <c r="F1375" s="1658">
        <v>5640</v>
      </c>
      <c r="G1375" s="1658">
        <v>4900</v>
      </c>
      <c r="H1375" s="1658">
        <v>310611</v>
      </c>
      <c r="I1375" s="1658">
        <v>1656454810</v>
      </c>
      <c r="J1375" s="1658">
        <v>303110413770</v>
      </c>
      <c r="K1375" s="1658">
        <v>55821439</v>
      </c>
    </row>
    <row r="1376" spans="1:11" x14ac:dyDescent="0.3">
      <c r="A1376" s="1657">
        <v>43684</v>
      </c>
      <c r="B1376" s="1658">
        <v>5650</v>
      </c>
      <c r="C1376" s="1658">
        <v>220</v>
      </c>
      <c r="D1376" s="1659">
        <v>4.05</v>
      </c>
      <c r="E1376" s="1658">
        <v>5550</v>
      </c>
      <c r="F1376" s="1658">
        <v>5650</v>
      </c>
      <c r="G1376" s="1658">
        <v>5340</v>
      </c>
      <c r="H1376" s="1658">
        <v>114701</v>
      </c>
      <c r="I1376" s="1658">
        <v>627652890</v>
      </c>
      <c r="J1376" s="1658">
        <v>315391130350</v>
      </c>
      <c r="K1376" s="1658">
        <v>55821439</v>
      </c>
    </row>
    <row r="1377" spans="1:11" x14ac:dyDescent="0.3">
      <c r="A1377" s="1657">
        <v>43685</v>
      </c>
      <c r="B1377" s="1658">
        <v>5730</v>
      </c>
      <c r="C1377" s="1658">
        <v>80</v>
      </c>
      <c r="D1377" s="1659">
        <v>1.42</v>
      </c>
      <c r="E1377" s="1658">
        <v>5720</v>
      </c>
      <c r="F1377" s="1658">
        <v>5770</v>
      </c>
      <c r="G1377" s="1658">
        <v>5510</v>
      </c>
      <c r="H1377" s="1658">
        <v>94170</v>
      </c>
      <c r="I1377" s="1658">
        <v>530294830</v>
      </c>
      <c r="J1377" s="1658">
        <v>319856845470</v>
      </c>
      <c r="K1377" s="1658">
        <v>55821439</v>
      </c>
    </row>
    <row r="1378" spans="1:11" x14ac:dyDescent="0.3">
      <c r="A1378" s="1657">
        <v>43686</v>
      </c>
      <c r="B1378" s="1658">
        <v>5450</v>
      </c>
      <c r="C1378" s="1658">
        <v>-280</v>
      </c>
      <c r="D1378" s="1659">
        <v>-4.8899999999999997</v>
      </c>
      <c r="E1378" s="1658">
        <v>5730</v>
      </c>
      <c r="F1378" s="1658">
        <v>5760</v>
      </c>
      <c r="G1378" s="1658">
        <v>5400</v>
      </c>
      <c r="H1378" s="1658">
        <v>145118</v>
      </c>
      <c r="I1378" s="1658">
        <v>804867190</v>
      </c>
      <c r="J1378" s="1658">
        <v>304226842550</v>
      </c>
      <c r="K1378" s="1658">
        <v>55821439</v>
      </c>
    </row>
    <row r="1379" spans="1:11" x14ac:dyDescent="0.3">
      <c r="A1379" s="1657">
        <v>43689</v>
      </c>
      <c r="B1379" s="1658">
        <v>5380</v>
      </c>
      <c r="C1379" s="1658">
        <v>-70</v>
      </c>
      <c r="D1379" s="1659">
        <v>-1.28</v>
      </c>
      <c r="E1379" s="1658">
        <v>5430</v>
      </c>
      <c r="F1379" s="1658">
        <v>5480</v>
      </c>
      <c r="G1379" s="1658">
        <v>5370</v>
      </c>
      <c r="H1379" s="1658">
        <v>107611</v>
      </c>
      <c r="I1379" s="1658">
        <v>580565600</v>
      </c>
      <c r="J1379" s="1658">
        <v>300319341820</v>
      </c>
      <c r="K1379" s="1658">
        <v>55821439</v>
      </c>
    </row>
    <row r="1380" spans="1:11" x14ac:dyDescent="0.3">
      <c r="A1380" s="1657">
        <v>43690</v>
      </c>
      <c r="B1380" s="1658">
        <v>5200</v>
      </c>
      <c r="C1380" s="1658">
        <v>-180</v>
      </c>
      <c r="D1380" s="1659">
        <v>-3.35</v>
      </c>
      <c r="E1380" s="1658">
        <v>5330</v>
      </c>
      <c r="F1380" s="1658">
        <v>5370</v>
      </c>
      <c r="G1380" s="1658">
        <v>5200</v>
      </c>
      <c r="H1380" s="1658">
        <v>122814</v>
      </c>
      <c r="I1380" s="1658">
        <v>645441500</v>
      </c>
      <c r="J1380" s="1658">
        <v>290271482800</v>
      </c>
      <c r="K1380" s="1658">
        <v>55821439</v>
      </c>
    </row>
    <row r="1381" spans="1:11" x14ac:dyDescent="0.3">
      <c r="A1381" s="1657">
        <v>43691</v>
      </c>
      <c r="B1381" s="1658">
        <v>5270</v>
      </c>
      <c r="C1381" s="1658">
        <v>70</v>
      </c>
      <c r="D1381" s="1659">
        <v>1.35</v>
      </c>
      <c r="E1381" s="1658">
        <v>5200</v>
      </c>
      <c r="F1381" s="1658">
        <v>5420</v>
      </c>
      <c r="G1381" s="1658">
        <v>5200</v>
      </c>
      <c r="H1381" s="1658">
        <v>78398</v>
      </c>
      <c r="I1381" s="1658">
        <v>415593330</v>
      </c>
      <c r="J1381" s="1658">
        <v>294178983530</v>
      </c>
      <c r="K1381" s="1658">
        <v>55821439</v>
      </c>
    </row>
    <row r="1382" spans="1:11" x14ac:dyDescent="0.3">
      <c r="A1382" s="1657">
        <v>43693</v>
      </c>
      <c r="B1382" s="1658">
        <v>5040</v>
      </c>
      <c r="C1382" s="1658">
        <v>-230</v>
      </c>
      <c r="D1382" s="1659">
        <v>-4.3600000000000003</v>
      </c>
      <c r="E1382" s="1658">
        <v>5210</v>
      </c>
      <c r="F1382" s="1658">
        <v>5240</v>
      </c>
      <c r="G1382" s="1658">
        <v>4945</v>
      </c>
      <c r="H1382" s="1658">
        <v>160277</v>
      </c>
      <c r="I1382" s="1658">
        <v>807413985</v>
      </c>
      <c r="J1382" s="1658">
        <v>281340052560</v>
      </c>
      <c r="K1382" s="1658">
        <v>55821439</v>
      </c>
    </row>
    <row r="1383" spans="1:11" x14ac:dyDescent="0.3">
      <c r="A1383" s="1657">
        <v>43696</v>
      </c>
      <c r="B1383" s="1658">
        <v>5230</v>
      </c>
      <c r="C1383" s="1658">
        <v>190</v>
      </c>
      <c r="D1383" s="1659">
        <v>3.77</v>
      </c>
      <c r="E1383" s="1658">
        <v>5100</v>
      </c>
      <c r="F1383" s="1658">
        <v>5230</v>
      </c>
      <c r="G1383" s="1658">
        <v>5030</v>
      </c>
      <c r="H1383" s="1658">
        <v>97237</v>
      </c>
      <c r="I1383" s="1658">
        <v>501406030</v>
      </c>
      <c r="J1383" s="1658">
        <v>291946125970</v>
      </c>
      <c r="K1383" s="1658">
        <v>55821439</v>
      </c>
    </row>
    <row r="1384" spans="1:11" x14ac:dyDescent="0.3">
      <c r="A1384" s="1657">
        <v>43697</v>
      </c>
      <c r="B1384" s="1658">
        <v>5340</v>
      </c>
      <c r="C1384" s="1658">
        <v>110</v>
      </c>
      <c r="D1384" s="1659">
        <v>2.1</v>
      </c>
      <c r="E1384" s="1658">
        <v>5260</v>
      </c>
      <c r="F1384" s="1658">
        <v>5400</v>
      </c>
      <c r="G1384" s="1658">
        <v>5210</v>
      </c>
      <c r="H1384" s="1658">
        <v>85770</v>
      </c>
      <c r="I1384" s="1658">
        <v>454330490</v>
      </c>
      <c r="J1384" s="1658">
        <v>298086484260</v>
      </c>
      <c r="K1384" s="1658">
        <v>55821439</v>
      </c>
    </row>
    <row r="1385" spans="1:11" x14ac:dyDescent="0.3">
      <c r="A1385" s="1657">
        <v>43698</v>
      </c>
      <c r="B1385" s="1658">
        <v>5600</v>
      </c>
      <c r="C1385" s="1658">
        <v>260</v>
      </c>
      <c r="D1385" s="1659">
        <v>4.87</v>
      </c>
      <c r="E1385" s="1658">
        <v>5260</v>
      </c>
      <c r="F1385" s="1658">
        <v>5600</v>
      </c>
      <c r="G1385" s="1658">
        <v>5260</v>
      </c>
      <c r="H1385" s="1658">
        <v>104579</v>
      </c>
      <c r="I1385" s="1658">
        <v>576610800</v>
      </c>
      <c r="J1385" s="1658">
        <v>312600058400</v>
      </c>
      <c r="K1385" s="1658">
        <v>55821439</v>
      </c>
    </row>
    <row r="1386" spans="1:11" x14ac:dyDescent="0.3">
      <c r="A1386" s="1657">
        <v>43699</v>
      </c>
      <c r="B1386" s="1658">
        <v>5450</v>
      </c>
      <c r="C1386" s="1658">
        <v>-150</v>
      </c>
      <c r="D1386" s="1659">
        <v>-2.68</v>
      </c>
      <c r="E1386" s="1658">
        <v>5540</v>
      </c>
      <c r="F1386" s="1658">
        <v>5640</v>
      </c>
      <c r="G1386" s="1658">
        <v>5450</v>
      </c>
      <c r="H1386" s="1658">
        <v>60698</v>
      </c>
      <c r="I1386" s="1658">
        <v>335947160</v>
      </c>
      <c r="J1386" s="1658">
        <v>304226842550</v>
      </c>
      <c r="K1386" s="1658">
        <v>55821439</v>
      </c>
    </row>
    <row r="1387" spans="1:11" x14ac:dyDescent="0.3">
      <c r="A1387" s="1657">
        <v>43700</v>
      </c>
      <c r="B1387" s="1658">
        <v>5490</v>
      </c>
      <c r="C1387" s="1658">
        <v>40</v>
      </c>
      <c r="D1387" s="1659">
        <v>0.73</v>
      </c>
      <c r="E1387" s="1658">
        <v>5400</v>
      </c>
      <c r="F1387" s="1658">
        <v>5590</v>
      </c>
      <c r="G1387" s="1658">
        <v>5330</v>
      </c>
      <c r="H1387" s="1658">
        <v>54323</v>
      </c>
      <c r="I1387" s="1658">
        <v>297040210</v>
      </c>
      <c r="J1387" s="1658">
        <v>306459700110</v>
      </c>
      <c r="K1387" s="1658">
        <v>55821439</v>
      </c>
    </row>
    <row r="1388" spans="1:11" x14ac:dyDescent="0.3">
      <c r="A1388" s="1657">
        <v>43703</v>
      </c>
      <c r="B1388" s="1658">
        <v>5070</v>
      </c>
      <c r="C1388" s="1658">
        <v>-420</v>
      </c>
      <c r="D1388" s="1659">
        <v>-7.65</v>
      </c>
      <c r="E1388" s="1658">
        <v>5300</v>
      </c>
      <c r="F1388" s="1658">
        <v>5430</v>
      </c>
      <c r="G1388" s="1658">
        <v>5010</v>
      </c>
      <c r="H1388" s="1658">
        <v>167991</v>
      </c>
      <c r="I1388" s="1658">
        <v>865100670</v>
      </c>
      <c r="J1388" s="1658">
        <v>283014695730</v>
      </c>
      <c r="K1388" s="1658">
        <v>55821439</v>
      </c>
    </row>
    <row r="1389" spans="1:11" x14ac:dyDescent="0.3">
      <c r="A1389" s="1657">
        <v>43704</v>
      </c>
      <c r="B1389" s="1658">
        <v>5140</v>
      </c>
      <c r="C1389" s="1658">
        <v>70</v>
      </c>
      <c r="D1389" s="1659">
        <v>1.38</v>
      </c>
      <c r="E1389" s="1658">
        <v>5120</v>
      </c>
      <c r="F1389" s="1658">
        <v>5230</v>
      </c>
      <c r="G1389" s="1658">
        <v>5120</v>
      </c>
      <c r="H1389" s="1658">
        <v>54087</v>
      </c>
      <c r="I1389" s="1658">
        <v>279340140</v>
      </c>
      <c r="J1389" s="1658">
        <v>286922196460</v>
      </c>
      <c r="K1389" s="1658">
        <v>55821439</v>
      </c>
    </row>
    <row r="1390" spans="1:11" x14ac:dyDescent="0.3">
      <c r="A1390" s="1657">
        <v>43705</v>
      </c>
      <c r="B1390" s="1658">
        <v>5380</v>
      </c>
      <c r="C1390" s="1658">
        <v>240</v>
      </c>
      <c r="D1390" s="1659">
        <v>4.67</v>
      </c>
      <c r="E1390" s="1658">
        <v>5240</v>
      </c>
      <c r="F1390" s="1658">
        <v>5450</v>
      </c>
      <c r="G1390" s="1658">
        <v>5130</v>
      </c>
      <c r="H1390" s="1658">
        <v>81839</v>
      </c>
      <c r="I1390" s="1658">
        <v>431207550</v>
      </c>
      <c r="J1390" s="1658">
        <v>300319341820</v>
      </c>
      <c r="K1390" s="1658">
        <v>55821439</v>
      </c>
    </row>
    <row r="1391" spans="1:11" x14ac:dyDescent="0.3">
      <c r="A1391" s="1657">
        <v>43706</v>
      </c>
      <c r="B1391" s="1658">
        <v>5370</v>
      </c>
      <c r="C1391" s="1658">
        <v>-10</v>
      </c>
      <c r="D1391" s="1659">
        <v>-0.19</v>
      </c>
      <c r="E1391" s="1658">
        <v>5300</v>
      </c>
      <c r="F1391" s="1658">
        <v>5500</v>
      </c>
      <c r="G1391" s="1658">
        <v>5180</v>
      </c>
      <c r="H1391" s="1658">
        <v>68565</v>
      </c>
      <c r="I1391" s="1658">
        <v>363067390</v>
      </c>
      <c r="J1391" s="1658">
        <v>299761127430</v>
      </c>
      <c r="K1391" s="1658">
        <v>55821439</v>
      </c>
    </row>
    <row r="1392" spans="1:11" x14ac:dyDescent="0.3">
      <c r="A1392" s="1657">
        <v>43707</v>
      </c>
      <c r="B1392" s="1658">
        <v>5570</v>
      </c>
      <c r="C1392" s="1658">
        <v>200</v>
      </c>
      <c r="D1392" s="1659">
        <v>3.72</v>
      </c>
      <c r="E1392" s="1658">
        <v>5600</v>
      </c>
      <c r="F1392" s="1658">
        <v>5600</v>
      </c>
      <c r="G1392" s="1658">
        <v>5420</v>
      </c>
      <c r="H1392" s="1658">
        <v>73218</v>
      </c>
      <c r="I1392" s="1658">
        <v>406504740</v>
      </c>
      <c r="J1392" s="1658">
        <v>310925415230</v>
      </c>
      <c r="K1392" s="1658">
        <v>55821439</v>
      </c>
    </row>
    <row r="1393" spans="1:11" x14ac:dyDescent="0.3">
      <c r="A1393" s="1657">
        <v>43710</v>
      </c>
      <c r="B1393" s="1658">
        <v>5690</v>
      </c>
      <c r="C1393" s="1658">
        <v>120</v>
      </c>
      <c r="D1393" s="1659">
        <v>2.15</v>
      </c>
      <c r="E1393" s="1658">
        <v>5400</v>
      </c>
      <c r="F1393" s="1658">
        <v>5710</v>
      </c>
      <c r="G1393" s="1658">
        <v>5400</v>
      </c>
      <c r="H1393" s="1658">
        <v>74957</v>
      </c>
      <c r="I1393" s="1658">
        <v>419540000</v>
      </c>
      <c r="J1393" s="1658">
        <v>317623987910</v>
      </c>
      <c r="K1393" s="1658">
        <v>55821439</v>
      </c>
    </row>
    <row r="1394" spans="1:11" x14ac:dyDescent="0.3">
      <c r="A1394" s="1657">
        <v>43711</v>
      </c>
      <c r="B1394" s="1658">
        <v>5590</v>
      </c>
      <c r="C1394" s="1658">
        <v>-100</v>
      </c>
      <c r="D1394" s="1659">
        <v>-1.76</v>
      </c>
      <c r="E1394" s="1658">
        <v>5550</v>
      </c>
      <c r="F1394" s="1658">
        <v>5780</v>
      </c>
      <c r="G1394" s="1658">
        <v>5540</v>
      </c>
      <c r="H1394" s="1658">
        <v>44747</v>
      </c>
      <c r="I1394" s="1658">
        <v>252565410</v>
      </c>
      <c r="J1394" s="1658">
        <v>312041844010</v>
      </c>
      <c r="K1394" s="1658">
        <v>55821439</v>
      </c>
    </row>
    <row r="1395" spans="1:11" x14ac:dyDescent="0.3">
      <c r="A1395" s="1657">
        <v>43712</v>
      </c>
      <c r="B1395" s="1658">
        <v>5700</v>
      </c>
      <c r="C1395" s="1658">
        <v>110</v>
      </c>
      <c r="D1395" s="1659">
        <v>1.97</v>
      </c>
      <c r="E1395" s="1658">
        <v>5560</v>
      </c>
      <c r="F1395" s="1658">
        <v>5730</v>
      </c>
      <c r="G1395" s="1658">
        <v>5500</v>
      </c>
      <c r="H1395" s="1658">
        <v>51521</v>
      </c>
      <c r="I1395" s="1658">
        <v>292245270</v>
      </c>
      <c r="J1395" s="1658">
        <v>318182202300</v>
      </c>
      <c r="K1395" s="1658">
        <v>55821439</v>
      </c>
    </row>
    <row r="1396" spans="1:11" x14ac:dyDescent="0.3">
      <c r="A1396" s="1657">
        <v>43713</v>
      </c>
      <c r="B1396" s="1658">
        <v>5720</v>
      </c>
      <c r="C1396" s="1658">
        <v>20</v>
      </c>
      <c r="D1396" s="1659">
        <v>0.35</v>
      </c>
      <c r="E1396" s="1658">
        <v>5820</v>
      </c>
      <c r="F1396" s="1658">
        <v>5820</v>
      </c>
      <c r="G1396" s="1658">
        <v>5600</v>
      </c>
      <c r="H1396" s="1658">
        <v>48698</v>
      </c>
      <c r="I1396" s="1658">
        <v>278837130</v>
      </c>
      <c r="J1396" s="1658">
        <v>319298631080</v>
      </c>
      <c r="K1396" s="1658">
        <v>55821439</v>
      </c>
    </row>
    <row r="1397" spans="1:11" x14ac:dyDescent="0.3">
      <c r="A1397" s="1657">
        <v>43714</v>
      </c>
      <c r="B1397" s="1658">
        <v>5640</v>
      </c>
      <c r="C1397" s="1658">
        <v>-80</v>
      </c>
      <c r="D1397" s="1659">
        <v>-1.4</v>
      </c>
      <c r="E1397" s="1658">
        <v>5670</v>
      </c>
      <c r="F1397" s="1658">
        <v>5810</v>
      </c>
      <c r="G1397" s="1658">
        <v>5590</v>
      </c>
      <c r="H1397" s="1658">
        <v>44054</v>
      </c>
      <c r="I1397" s="1658">
        <v>250296480</v>
      </c>
      <c r="J1397" s="1658">
        <v>314832915960</v>
      </c>
      <c r="K1397" s="1658">
        <v>55821439</v>
      </c>
    </row>
    <row r="1398" spans="1:11" x14ac:dyDescent="0.3">
      <c r="A1398" s="1657">
        <v>43717</v>
      </c>
      <c r="B1398" s="1658">
        <v>5560</v>
      </c>
      <c r="C1398" s="1658">
        <v>-80</v>
      </c>
      <c r="D1398" s="1659">
        <v>-1.42</v>
      </c>
      <c r="E1398" s="1658">
        <v>5670</v>
      </c>
      <c r="F1398" s="1658">
        <v>5730</v>
      </c>
      <c r="G1398" s="1658">
        <v>5490</v>
      </c>
      <c r="H1398" s="1658">
        <v>53044</v>
      </c>
      <c r="I1398" s="1658">
        <v>295479930</v>
      </c>
      <c r="J1398" s="1658">
        <v>310367200840</v>
      </c>
      <c r="K1398" s="1658">
        <v>55821439</v>
      </c>
    </row>
    <row r="1399" spans="1:11" x14ac:dyDescent="0.3">
      <c r="A1399" s="1657">
        <v>43718</v>
      </c>
      <c r="B1399" s="1658">
        <v>5510</v>
      </c>
      <c r="C1399" s="1658">
        <v>-50</v>
      </c>
      <c r="D1399" s="1659">
        <v>-0.9</v>
      </c>
      <c r="E1399" s="1658">
        <v>5520</v>
      </c>
      <c r="F1399" s="1658">
        <v>5620</v>
      </c>
      <c r="G1399" s="1658">
        <v>5470</v>
      </c>
      <c r="H1399" s="1658">
        <v>54538</v>
      </c>
      <c r="I1399" s="1658">
        <v>301267280</v>
      </c>
      <c r="J1399" s="1658">
        <v>307576128890</v>
      </c>
      <c r="K1399" s="1658">
        <v>55821439</v>
      </c>
    </row>
    <row r="1400" spans="1:11" x14ac:dyDescent="0.3">
      <c r="A1400" s="1657">
        <v>43719</v>
      </c>
      <c r="B1400" s="1658">
        <v>5510</v>
      </c>
      <c r="C1400" s="1658">
        <v>0</v>
      </c>
      <c r="D1400" s="1659">
        <v>0</v>
      </c>
      <c r="E1400" s="1658">
        <v>5570</v>
      </c>
      <c r="F1400" s="1658">
        <v>5670</v>
      </c>
      <c r="G1400" s="1658">
        <v>5460</v>
      </c>
      <c r="H1400" s="1658">
        <v>100354</v>
      </c>
      <c r="I1400" s="1658">
        <v>558812260</v>
      </c>
      <c r="J1400" s="1658">
        <v>307576128890</v>
      </c>
      <c r="K1400" s="1658">
        <v>55821439</v>
      </c>
    </row>
    <row r="1401" spans="1:11" x14ac:dyDescent="0.3">
      <c r="A1401" s="1657">
        <v>43724</v>
      </c>
      <c r="B1401" s="1658">
        <v>5790</v>
      </c>
      <c r="C1401" s="1658">
        <v>280</v>
      </c>
      <c r="D1401" s="1659">
        <v>5.08</v>
      </c>
      <c r="E1401" s="1658">
        <v>5550</v>
      </c>
      <c r="F1401" s="1658">
        <v>5790</v>
      </c>
      <c r="G1401" s="1658">
        <v>5510</v>
      </c>
      <c r="H1401" s="1658">
        <v>92329</v>
      </c>
      <c r="I1401" s="1658">
        <v>524947560</v>
      </c>
      <c r="J1401" s="1658">
        <v>323206131810</v>
      </c>
      <c r="K1401" s="1658">
        <v>55821439</v>
      </c>
    </row>
    <row r="1402" spans="1:11" x14ac:dyDescent="0.3">
      <c r="A1402" s="1657">
        <v>43725</v>
      </c>
      <c r="B1402" s="1658">
        <v>5770</v>
      </c>
      <c r="C1402" s="1658">
        <v>-20</v>
      </c>
      <c r="D1402" s="1659">
        <v>-0.35</v>
      </c>
      <c r="E1402" s="1658">
        <v>5710</v>
      </c>
      <c r="F1402" s="1658">
        <v>5880</v>
      </c>
      <c r="G1402" s="1658">
        <v>5710</v>
      </c>
      <c r="H1402" s="1658">
        <v>55025</v>
      </c>
      <c r="I1402" s="1658">
        <v>319247010</v>
      </c>
      <c r="J1402" s="1658">
        <v>322089703030</v>
      </c>
      <c r="K1402" s="1658">
        <v>55821439</v>
      </c>
    </row>
    <row r="1403" spans="1:11" x14ac:dyDescent="0.3">
      <c r="A1403" s="1657">
        <v>43726</v>
      </c>
      <c r="B1403" s="1658">
        <v>5750</v>
      </c>
      <c r="C1403" s="1658">
        <v>-20</v>
      </c>
      <c r="D1403" s="1659">
        <v>-0.35</v>
      </c>
      <c r="E1403" s="1658">
        <v>5700</v>
      </c>
      <c r="F1403" s="1658">
        <v>5820</v>
      </c>
      <c r="G1403" s="1658">
        <v>5610</v>
      </c>
      <c r="H1403" s="1658">
        <v>59364</v>
      </c>
      <c r="I1403" s="1658">
        <v>340182050</v>
      </c>
      <c r="J1403" s="1658">
        <v>320973274250</v>
      </c>
      <c r="K1403" s="1658">
        <v>55821439</v>
      </c>
    </row>
    <row r="1404" spans="1:11" x14ac:dyDescent="0.3">
      <c r="A1404" s="1657">
        <v>43727</v>
      </c>
      <c r="B1404" s="1658">
        <v>5780</v>
      </c>
      <c r="C1404" s="1658">
        <v>30</v>
      </c>
      <c r="D1404" s="1659">
        <v>0.52</v>
      </c>
      <c r="E1404" s="1658">
        <v>5750</v>
      </c>
      <c r="F1404" s="1658">
        <v>5930</v>
      </c>
      <c r="G1404" s="1658">
        <v>5690</v>
      </c>
      <c r="H1404" s="1658">
        <v>66861</v>
      </c>
      <c r="I1404" s="1658">
        <v>387711990</v>
      </c>
      <c r="J1404" s="1658">
        <v>322647917420</v>
      </c>
      <c r="K1404" s="1658">
        <v>55821439</v>
      </c>
    </row>
    <row r="1405" spans="1:11" x14ac:dyDescent="0.3">
      <c r="A1405" s="1657">
        <v>43728</v>
      </c>
      <c r="B1405" s="1658">
        <v>5790</v>
      </c>
      <c r="C1405" s="1658">
        <v>10</v>
      </c>
      <c r="D1405" s="1659">
        <v>0.17</v>
      </c>
      <c r="E1405" s="1658">
        <v>5800</v>
      </c>
      <c r="F1405" s="1658">
        <v>5840</v>
      </c>
      <c r="G1405" s="1658">
        <v>5760</v>
      </c>
      <c r="H1405" s="1658">
        <v>49835</v>
      </c>
      <c r="I1405" s="1658">
        <v>288959530</v>
      </c>
      <c r="J1405" s="1658">
        <v>323206131810</v>
      </c>
      <c r="K1405" s="1658">
        <v>55821439</v>
      </c>
    </row>
    <row r="1406" spans="1:11" x14ac:dyDescent="0.3">
      <c r="A1406" s="1657">
        <v>43731</v>
      </c>
      <c r="B1406" s="1658">
        <v>5690</v>
      </c>
      <c r="C1406" s="1658">
        <v>-100</v>
      </c>
      <c r="D1406" s="1659">
        <v>-1.73</v>
      </c>
      <c r="E1406" s="1658">
        <v>5770</v>
      </c>
      <c r="F1406" s="1658">
        <v>5780</v>
      </c>
      <c r="G1406" s="1658">
        <v>5660</v>
      </c>
      <c r="H1406" s="1658">
        <v>45536</v>
      </c>
      <c r="I1406" s="1658">
        <v>260215960</v>
      </c>
      <c r="J1406" s="1658">
        <v>317623987910</v>
      </c>
      <c r="K1406" s="1658">
        <v>55821439</v>
      </c>
    </row>
    <row r="1407" spans="1:11" x14ac:dyDescent="0.3">
      <c r="A1407" s="1657">
        <v>43732</v>
      </c>
      <c r="B1407" s="1658">
        <v>6080</v>
      </c>
      <c r="C1407" s="1658">
        <v>390</v>
      </c>
      <c r="D1407" s="1659">
        <v>6.85</v>
      </c>
      <c r="E1407" s="1658">
        <v>5780</v>
      </c>
      <c r="F1407" s="1658">
        <v>6440</v>
      </c>
      <c r="G1407" s="1658">
        <v>5710</v>
      </c>
      <c r="H1407" s="1658">
        <v>390857</v>
      </c>
      <c r="I1407" s="1658">
        <v>2395725800</v>
      </c>
      <c r="J1407" s="1658">
        <v>339394349120</v>
      </c>
      <c r="K1407" s="1658">
        <v>55821439</v>
      </c>
    </row>
    <row r="1408" spans="1:11" x14ac:dyDescent="0.3">
      <c r="A1408" s="1657">
        <v>43733</v>
      </c>
      <c r="B1408" s="1658">
        <v>5880</v>
      </c>
      <c r="C1408" s="1658">
        <v>-200</v>
      </c>
      <c r="D1408" s="1659">
        <v>-3.29</v>
      </c>
      <c r="E1408" s="1658">
        <v>5990</v>
      </c>
      <c r="F1408" s="1658">
        <v>6060</v>
      </c>
      <c r="G1408" s="1658">
        <v>5830</v>
      </c>
      <c r="H1408" s="1658">
        <v>109153</v>
      </c>
      <c r="I1408" s="1658">
        <v>647166440</v>
      </c>
      <c r="J1408" s="1658">
        <v>328230061320</v>
      </c>
      <c r="K1408" s="1658">
        <v>55821439</v>
      </c>
    </row>
    <row r="1409" spans="1:11" x14ac:dyDescent="0.3">
      <c r="A1409" s="1657">
        <v>43734</v>
      </c>
      <c r="B1409" s="1658">
        <v>5910</v>
      </c>
      <c r="C1409" s="1658">
        <v>30</v>
      </c>
      <c r="D1409" s="1659">
        <v>0.51</v>
      </c>
      <c r="E1409" s="1658">
        <v>5840</v>
      </c>
      <c r="F1409" s="1658">
        <v>6100</v>
      </c>
      <c r="G1409" s="1658">
        <v>5730</v>
      </c>
      <c r="H1409" s="1658">
        <v>117428</v>
      </c>
      <c r="I1409" s="1658">
        <v>690543050</v>
      </c>
      <c r="J1409" s="1658">
        <v>329904704490</v>
      </c>
      <c r="K1409" s="1658">
        <v>55821439</v>
      </c>
    </row>
    <row r="1410" spans="1:11" x14ac:dyDescent="0.3">
      <c r="A1410" s="1657">
        <v>43735</v>
      </c>
      <c r="B1410" s="1658">
        <v>5870</v>
      </c>
      <c r="C1410" s="1658">
        <v>-40</v>
      </c>
      <c r="D1410" s="1659">
        <v>-0.68</v>
      </c>
      <c r="E1410" s="1658">
        <v>5910</v>
      </c>
      <c r="F1410" s="1658">
        <v>5920</v>
      </c>
      <c r="G1410" s="1658">
        <v>5730</v>
      </c>
      <c r="H1410" s="1658">
        <v>64967</v>
      </c>
      <c r="I1410" s="1658">
        <v>376730750</v>
      </c>
      <c r="J1410" s="1658">
        <v>327671846930</v>
      </c>
      <c r="K1410" s="1658">
        <v>55821439</v>
      </c>
    </row>
    <row r="1411" spans="1:11" x14ac:dyDescent="0.3">
      <c r="A1411" s="1657">
        <v>43738</v>
      </c>
      <c r="B1411" s="1658">
        <v>5740</v>
      </c>
      <c r="C1411" s="1658">
        <v>-130</v>
      </c>
      <c r="D1411" s="1659">
        <v>-2.21</v>
      </c>
      <c r="E1411" s="1658">
        <v>5760</v>
      </c>
      <c r="F1411" s="1658">
        <v>5860</v>
      </c>
      <c r="G1411" s="1658">
        <v>5600</v>
      </c>
      <c r="H1411" s="1658">
        <v>94717</v>
      </c>
      <c r="I1411" s="1658">
        <v>538531800</v>
      </c>
      <c r="J1411" s="1658">
        <v>320415059860</v>
      </c>
      <c r="K1411" s="1658">
        <v>55821439</v>
      </c>
    </row>
    <row r="1412" spans="1:11" x14ac:dyDescent="0.3">
      <c r="A1412" s="1657">
        <v>43739</v>
      </c>
      <c r="B1412" s="1658">
        <v>5720</v>
      </c>
      <c r="C1412" s="1658">
        <v>-20</v>
      </c>
      <c r="D1412" s="1659">
        <v>-0.35</v>
      </c>
      <c r="E1412" s="1658">
        <v>5650</v>
      </c>
      <c r="F1412" s="1658">
        <v>5730</v>
      </c>
      <c r="G1412" s="1658">
        <v>5570</v>
      </c>
      <c r="H1412" s="1658">
        <v>95632</v>
      </c>
      <c r="I1412" s="1658">
        <v>539546640</v>
      </c>
      <c r="J1412" s="1658">
        <v>319298631080</v>
      </c>
      <c r="K1412" s="1658">
        <v>55821439</v>
      </c>
    </row>
    <row r="1413" spans="1:11" x14ac:dyDescent="0.3">
      <c r="A1413" s="1657">
        <v>43740</v>
      </c>
      <c r="B1413" s="1658">
        <v>5570</v>
      </c>
      <c r="C1413" s="1658">
        <v>-150</v>
      </c>
      <c r="D1413" s="1659">
        <v>-2.62</v>
      </c>
      <c r="E1413" s="1658">
        <v>5730</v>
      </c>
      <c r="F1413" s="1658">
        <v>5730</v>
      </c>
      <c r="G1413" s="1658">
        <v>5570</v>
      </c>
      <c r="H1413" s="1658">
        <v>76082</v>
      </c>
      <c r="I1413" s="1658">
        <v>425836730</v>
      </c>
      <c r="J1413" s="1658">
        <v>310925415230</v>
      </c>
      <c r="K1413" s="1658">
        <v>55821439</v>
      </c>
    </row>
    <row r="1414" spans="1:11" x14ac:dyDescent="0.3">
      <c r="A1414" s="1657">
        <v>43742</v>
      </c>
      <c r="B1414" s="1658">
        <v>5590</v>
      </c>
      <c r="C1414" s="1658">
        <v>20</v>
      </c>
      <c r="D1414" s="1659">
        <v>0.36</v>
      </c>
      <c r="E1414" s="1658">
        <v>5540</v>
      </c>
      <c r="F1414" s="1658">
        <v>5700</v>
      </c>
      <c r="G1414" s="1658">
        <v>5500</v>
      </c>
      <c r="H1414" s="1658">
        <v>63417</v>
      </c>
      <c r="I1414" s="1658">
        <v>355871990</v>
      </c>
      <c r="J1414" s="1658">
        <v>312041844010</v>
      </c>
      <c r="K1414" s="1658">
        <v>55821439</v>
      </c>
    </row>
    <row r="1415" spans="1:11" x14ac:dyDescent="0.3">
      <c r="A1415" s="1657">
        <v>43745</v>
      </c>
      <c r="B1415" s="1658">
        <v>5500</v>
      </c>
      <c r="C1415" s="1658">
        <v>-90</v>
      </c>
      <c r="D1415" s="1659">
        <v>-1.61</v>
      </c>
      <c r="E1415" s="1658">
        <v>5560</v>
      </c>
      <c r="F1415" s="1658">
        <v>5690</v>
      </c>
      <c r="G1415" s="1658">
        <v>5460</v>
      </c>
      <c r="H1415" s="1658">
        <v>67117</v>
      </c>
      <c r="I1415" s="1658">
        <v>370140300</v>
      </c>
      <c r="J1415" s="1658">
        <v>307017914500</v>
      </c>
      <c r="K1415" s="1658">
        <v>55821439</v>
      </c>
    </row>
    <row r="1416" spans="1:11" x14ac:dyDescent="0.3">
      <c r="A1416" s="1657">
        <v>43746</v>
      </c>
      <c r="B1416" s="1658">
        <v>5200</v>
      </c>
      <c r="C1416" s="1658">
        <v>-300</v>
      </c>
      <c r="D1416" s="1659">
        <v>-5.45</v>
      </c>
      <c r="E1416" s="1658">
        <v>5400</v>
      </c>
      <c r="F1416" s="1658">
        <v>5500</v>
      </c>
      <c r="G1416" s="1658">
        <v>5190</v>
      </c>
      <c r="H1416" s="1658">
        <v>189179</v>
      </c>
      <c r="I1416" s="1658">
        <v>991070190</v>
      </c>
      <c r="J1416" s="1658">
        <v>290271482800</v>
      </c>
      <c r="K1416" s="1658">
        <v>55821439</v>
      </c>
    </row>
    <row r="1417" spans="1:11" x14ac:dyDescent="0.3">
      <c r="A1417" s="1657">
        <v>43748</v>
      </c>
      <c r="B1417" s="1658">
        <v>5070</v>
      </c>
      <c r="C1417" s="1658">
        <v>-130</v>
      </c>
      <c r="D1417" s="1659">
        <v>-2.5</v>
      </c>
      <c r="E1417" s="1658">
        <v>5200</v>
      </c>
      <c r="F1417" s="1658">
        <v>5220</v>
      </c>
      <c r="G1417" s="1658">
        <v>5010</v>
      </c>
      <c r="H1417" s="1658">
        <v>87996</v>
      </c>
      <c r="I1417" s="1658">
        <v>445764490</v>
      </c>
      <c r="J1417" s="1658">
        <v>283014695730</v>
      </c>
      <c r="K1417" s="1658">
        <v>55821439</v>
      </c>
    </row>
    <row r="1418" spans="1:11" x14ac:dyDescent="0.3">
      <c r="A1418" s="1657">
        <v>43749</v>
      </c>
      <c r="B1418" s="1658">
        <v>5120</v>
      </c>
      <c r="C1418" s="1658">
        <v>50</v>
      </c>
      <c r="D1418" s="1659">
        <v>0.99</v>
      </c>
      <c r="E1418" s="1658">
        <v>5020</v>
      </c>
      <c r="F1418" s="1658">
        <v>5220</v>
      </c>
      <c r="G1418" s="1658">
        <v>5020</v>
      </c>
      <c r="H1418" s="1658">
        <v>46753</v>
      </c>
      <c r="I1418" s="1658">
        <v>239530550</v>
      </c>
      <c r="J1418" s="1658">
        <v>288211865600</v>
      </c>
      <c r="K1418" s="1658">
        <v>56291380</v>
      </c>
    </row>
    <row r="1419" spans="1:11" x14ac:dyDescent="0.3">
      <c r="A1419" s="1657">
        <v>43752</v>
      </c>
      <c r="B1419" s="1658">
        <v>5240</v>
      </c>
      <c r="C1419" s="1658">
        <v>120</v>
      </c>
      <c r="D1419" s="1659">
        <v>2.34</v>
      </c>
      <c r="E1419" s="1658">
        <v>5150</v>
      </c>
      <c r="F1419" s="1658">
        <v>5280</v>
      </c>
      <c r="G1419" s="1658">
        <v>5120</v>
      </c>
      <c r="H1419" s="1658">
        <v>45348</v>
      </c>
      <c r="I1419" s="1658">
        <v>236845590</v>
      </c>
      <c r="J1419" s="1658">
        <v>294966831200</v>
      </c>
      <c r="K1419" s="1658">
        <v>56291380</v>
      </c>
    </row>
    <row r="1420" spans="1:11" x14ac:dyDescent="0.3">
      <c r="A1420" s="1657">
        <v>43753</v>
      </c>
      <c r="B1420" s="1658">
        <v>5320</v>
      </c>
      <c r="C1420" s="1658">
        <v>80</v>
      </c>
      <c r="D1420" s="1659">
        <v>1.53</v>
      </c>
      <c r="E1420" s="1658">
        <v>5350</v>
      </c>
      <c r="F1420" s="1658">
        <v>5450</v>
      </c>
      <c r="G1420" s="1658">
        <v>5270</v>
      </c>
      <c r="H1420" s="1658">
        <v>91130</v>
      </c>
      <c r="I1420" s="1658">
        <v>487896500</v>
      </c>
      <c r="J1420" s="1658">
        <v>299470141600</v>
      </c>
      <c r="K1420" s="1658">
        <v>56291380</v>
      </c>
    </row>
    <row r="1421" spans="1:11" x14ac:dyDescent="0.3">
      <c r="A1421" s="1657">
        <v>43754</v>
      </c>
      <c r="B1421" s="1658">
        <v>5270</v>
      </c>
      <c r="C1421" s="1658">
        <v>-50</v>
      </c>
      <c r="D1421" s="1659">
        <v>-0.94</v>
      </c>
      <c r="E1421" s="1658">
        <v>5300</v>
      </c>
      <c r="F1421" s="1658">
        <v>5410</v>
      </c>
      <c r="G1421" s="1658">
        <v>5250</v>
      </c>
      <c r="H1421" s="1658">
        <v>45308</v>
      </c>
      <c r="I1421" s="1658">
        <v>240539470</v>
      </c>
      <c r="J1421" s="1658">
        <v>296655572600</v>
      </c>
      <c r="K1421" s="1658">
        <v>56291380</v>
      </c>
    </row>
    <row r="1422" spans="1:11" x14ac:dyDescent="0.3">
      <c r="A1422" s="1657">
        <v>43755</v>
      </c>
      <c r="B1422" s="1658">
        <v>5300</v>
      </c>
      <c r="C1422" s="1658">
        <v>30</v>
      </c>
      <c r="D1422" s="1659">
        <v>0.56999999999999995</v>
      </c>
      <c r="E1422" s="1658">
        <v>5320</v>
      </c>
      <c r="F1422" s="1658">
        <v>5390</v>
      </c>
      <c r="G1422" s="1658">
        <v>5210</v>
      </c>
      <c r="H1422" s="1658">
        <v>53018</v>
      </c>
      <c r="I1422" s="1658">
        <v>279590130</v>
      </c>
      <c r="J1422" s="1658">
        <v>298344314000</v>
      </c>
      <c r="K1422" s="1658">
        <v>56291380</v>
      </c>
    </row>
    <row r="1423" spans="1:11" x14ac:dyDescent="0.3">
      <c r="A1423" s="1657">
        <v>43756</v>
      </c>
      <c r="B1423" s="1658">
        <v>5180</v>
      </c>
      <c r="C1423" s="1658">
        <v>-120</v>
      </c>
      <c r="D1423" s="1659">
        <v>-2.2599999999999998</v>
      </c>
      <c r="E1423" s="1658">
        <v>5300</v>
      </c>
      <c r="F1423" s="1658">
        <v>5320</v>
      </c>
      <c r="G1423" s="1658">
        <v>5160</v>
      </c>
      <c r="H1423" s="1658">
        <v>58883</v>
      </c>
      <c r="I1423" s="1658">
        <v>308240790</v>
      </c>
      <c r="J1423" s="1658">
        <v>291589348400</v>
      </c>
      <c r="K1423" s="1658">
        <v>56291380</v>
      </c>
    </row>
    <row r="1424" spans="1:11" x14ac:dyDescent="0.3">
      <c r="A1424" s="1657">
        <v>43759</v>
      </c>
      <c r="B1424" s="1658">
        <v>5080</v>
      </c>
      <c r="C1424" s="1658">
        <v>-100</v>
      </c>
      <c r="D1424" s="1659">
        <v>-1.93</v>
      </c>
      <c r="E1424" s="1658">
        <v>5250</v>
      </c>
      <c r="F1424" s="1658">
        <v>5250</v>
      </c>
      <c r="G1424" s="1658">
        <v>5000</v>
      </c>
      <c r="H1424" s="1658">
        <v>133546</v>
      </c>
      <c r="I1424" s="1658">
        <v>676420660</v>
      </c>
      <c r="J1424" s="1658">
        <v>285960210400</v>
      </c>
      <c r="K1424" s="1658">
        <v>56291380</v>
      </c>
    </row>
    <row r="1425" spans="1:11" x14ac:dyDescent="0.3">
      <c r="A1425" s="1657">
        <v>43760</v>
      </c>
      <c r="B1425" s="1658">
        <v>5080</v>
      </c>
      <c r="C1425" s="1658">
        <v>0</v>
      </c>
      <c r="D1425" s="1659">
        <v>0</v>
      </c>
      <c r="E1425" s="1658">
        <v>5090</v>
      </c>
      <c r="F1425" s="1658">
        <v>5150</v>
      </c>
      <c r="G1425" s="1658">
        <v>5000</v>
      </c>
      <c r="H1425" s="1658">
        <v>119817</v>
      </c>
      <c r="I1425" s="1658">
        <v>602739430</v>
      </c>
      <c r="J1425" s="1658">
        <v>285960210400</v>
      </c>
      <c r="K1425" s="1658">
        <v>56291380</v>
      </c>
    </row>
    <row r="1426" spans="1:11" x14ac:dyDescent="0.3">
      <c r="A1426" s="1657">
        <v>43761</v>
      </c>
      <c r="B1426" s="1658">
        <v>5060</v>
      </c>
      <c r="C1426" s="1658">
        <v>-20</v>
      </c>
      <c r="D1426" s="1659">
        <v>-0.39</v>
      </c>
      <c r="E1426" s="1658">
        <v>5050</v>
      </c>
      <c r="F1426" s="1658">
        <v>5090</v>
      </c>
      <c r="G1426" s="1658">
        <v>4975</v>
      </c>
      <c r="H1426" s="1658">
        <v>78465</v>
      </c>
      <c r="I1426" s="1658">
        <v>393399305</v>
      </c>
      <c r="J1426" s="1658">
        <v>284834382800</v>
      </c>
      <c r="K1426" s="1658">
        <v>56291380</v>
      </c>
    </row>
    <row r="1427" spans="1:11" x14ac:dyDescent="0.3">
      <c r="A1427" s="1657">
        <v>43762</v>
      </c>
      <c r="B1427" s="1658">
        <v>5080</v>
      </c>
      <c r="C1427" s="1658">
        <v>20</v>
      </c>
      <c r="D1427" s="1659">
        <v>0.4</v>
      </c>
      <c r="E1427" s="1658">
        <v>5030</v>
      </c>
      <c r="F1427" s="1658">
        <v>5090</v>
      </c>
      <c r="G1427" s="1658">
        <v>4930</v>
      </c>
      <c r="H1427" s="1658">
        <v>129523</v>
      </c>
      <c r="I1427" s="1658">
        <v>645111500</v>
      </c>
      <c r="J1427" s="1658">
        <v>285960210400</v>
      </c>
      <c r="K1427" s="1658">
        <v>56291380</v>
      </c>
    </row>
    <row r="1428" spans="1:11" x14ac:dyDescent="0.3">
      <c r="A1428" s="1657">
        <v>43763</v>
      </c>
      <c r="B1428" s="1658">
        <v>5080</v>
      </c>
      <c r="C1428" s="1658">
        <v>0</v>
      </c>
      <c r="D1428" s="1659">
        <v>0</v>
      </c>
      <c r="E1428" s="1658">
        <v>5060</v>
      </c>
      <c r="F1428" s="1658">
        <v>5150</v>
      </c>
      <c r="G1428" s="1658">
        <v>5020</v>
      </c>
      <c r="H1428" s="1658">
        <v>63733</v>
      </c>
      <c r="I1428" s="1658">
        <v>324786140</v>
      </c>
      <c r="J1428" s="1658">
        <v>285960210400</v>
      </c>
      <c r="K1428" s="1658">
        <v>56291380</v>
      </c>
    </row>
    <row r="1429" spans="1:11" x14ac:dyDescent="0.3">
      <c r="A1429" s="1657">
        <v>43766</v>
      </c>
      <c r="B1429" s="1658">
        <v>5510</v>
      </c>
      <c r="C1429" s="1658">
        <v>430</v>
      </c>
      <c r="D1429" s="1659">
        <v>8.4600000000000009</v>
      </c>
      <c r="E1429" s="1658">
        <v>5030</v>
      </c>
      <c r="F1429" s="1658">
        <v>5890</v>
      </c>
      <c r="G1429" s="1658">
        <v>5030</v>
      </c>
      <c r="H1429" s="1658">
        <v>685632</v>
      </c>
      <c r="I1429" s="1658">
        <v>3785030840</v>
      </c>
      <c r="J1429" s="1658">
        <v>310165503800</v>
      </c>
      <c r="K1429" s="1658">
        <v>56291380</v>
      </c>
    </row>
    <row r="1430" spans="1:11" x14ac:dyDescent="0.3">
      <c r="A1430" s="1657">
        <v>43767</v>
      </c>
      <c r="B1430" s="1658">
        <v>5900</v>
      </c>
      <c r="C1430" s="1658">
        <v>390</v>
      </c>
      <c r="D1430" s="1659">
        <v>7.08</v>
      </c>
      <c r="E1430" s="1658">
        <v>5450</v>
      </c>
      <c r="F1430" s="1658">
        <v>5990</v>
      </c>
      <c r="G1430" s="1658">
        <v>5420</v>
      </c>
      <c r="H1430" s="1658">
        <v>457021</v>
      </c>
      <c r="I1430" s="1658">
        <v>2653831050</v>
      </c>
      <c r="J1430" s="1658">
        <v>332119142000</v>
      </c>
      <c r="K1430" s="1658">
        <v>56291380</v>
      </c>
    </row>
    <row r="1431" spans="1:11" x14ac:dyDescent="0.3">
      <c r="A1431" s="1657">
        <v>43768</v>
      </c>
      <c r="B1431" s="1658">
        <v>5630</v>
      </c>
      <c r="C1431" s="1658">
        <v>-270</v>
      </c>
      <c r="D1431" s="1659">
        <v>-4.58</v>
      </c>
      <c r="E1431" s="1658">
        <v>5870</v>
      </c>
      <c r="F1431" s="1658">
        <v>5910</v>
      </c>
      <c r="G1431" s="1658">
        <v>5550</v>
      </c>
      <c r="H1431" s="1658">
        <v>176253</v>
      </c>
      <c r="I1431" s="1658">
        <v>1000878170</v>
      </c>
      <c r="J1431" s="1658">
        <v>316920469400</v>
      </c>
      <c r="K1431" s="1658">
        <v>56291380</v>
      </c>
    </row>
    <row r="1432" spans="1:11" x14ac:dyDescent="0.3">
      <c r="A1432" s="1657">
        <v>43769</v>
      </c>
      <c r="B1432" s="1658">
        <v>5700</v>
      </c>
      <c r="C1432" s="1658">
        <v>70</v>
      </c>
      <c r="D1432" s="1659">
        <v>1.24</v>
      </c>
      <c r="E1432" s="1658">
        <v>5610</v>
      </c>
      <c r="F1432" s="1658">
        <v>5790</v>
      </c>
      <c r="G1432" s="1658">
        <v>5600</v>
      </c>
      <c r="H1432" s="1658">
        <v>86462</v>
      </c>
      <c r="I1432" s="1658">
        <v>494339540</v>
      </c>
      <c r="J1432" s="1658">
        <v>320860866000</v>
      </c>
      <c r="K1432" s="1658">
        <v>56291380</v>
      </c>
    </row>
    <row r="1433" spans="1:11" x14ac:dyDescent="0.3">
      <c r="A1433" s="1657">
        <v>43770</v>
      </c>
      <c r="B1433" s="1658">
        <v>5790</v>
      </c>
      <c r="C1433" s="1658">
        <v>90</v>
      </c>
      <c r="D1433" s="1659">
        <v>1.58</v>
      </c>
      <c r="E1433" s="1658">
        <v>5710</v>
      </c>
      <c r="F1433" s="1658">
        <v>5790</v>
      </c>
      <c r="G1433" s="1658">
        <v>5600</v>
      </c>
      <c r="H1433" s="1658">
        <v>62575</v>
      </c>
      <c r="I1433" s="1658">
        <v>357848560</v>
      </c>
      <c r="J1433" s="1658">
        <v>325927090200</v>
      </c>
      <c r="K1433" s="1658">
        <v>56291380</v>
      </c>
    </row>
    <row r="1434" spans="1:11" x14ac:dyDescent="0.3">
      <c r="A1434" s="1657">
        <v>43773</v>
      </c>
      <c r="B1434" s="1658">
        <v>5800</v>
      </c>
      <c r="C1434" s="1658">
        <v>10</v>
      </c>
      <c r="D1434" s="1659">
        <v>0.17</v>
      </c>
      <c r="E1434" s="1658">
        <v>5750</v>
      </c>
      <c r="F1434" s="1658">
        <v>5880</v>
      </c>
      <c r="G1434" s="1658">
        <v>5750</v>
      </c>
      <c r="H1434" s="1658">
        <v>69477</v>
      </c>
      <c r="I1434" s="1658">
        <v>404329640</v>
      </c>
      <c r="J1434" s="1658">
        <v>326490004000</v>
      </c>
      <c r="K1434" s="1658">
        <v>56291380</v>
      </c>
    </row>
    <row r="1435" spans="1:11" x14ac:dyDescent="0.3">
      <c r="A1435" s="1657">
        <v>43774</v>
      </c>
      <c r="B1435" s="1658">
        <v>5810</v>
      </c>
      <c r="C1435" s="1658">
        <v>10</v>
      </c>
      <c r="D1435" s="1659">
        <v>0.17</v>
      </c>
      <c r="E1435" s="1658">
        <v>5720</v>
      </c>
      <c r="F1435" s="1658">
        <v>5810</v>
      </c>
      <c r="G1435" s="1658">
        <v>5720</v>
      </c>
      <c r="H1435" s="1658">
        <v>44109</v>
      </c>
      <c r="I1435" s="1658">
        <v>253963110</v>
      </c>
      <c r="J1435" s="1658">
        <v>327052917800</v>
      </c>
      <c r="K1435" s="1658">
        <v>56291380</v>
      </c>
    </row>
    <row r="1436" spans="1:11" x14ac:dyDescent="0.3">
      <c r="A1436" s="1657">
        <v>43775</v>
      </c>
      <c r="B1436" s="1658">
        <v>5960</v>
      </c>
      <c r="C1436" s="1658">
        <v>150</v>
      </c>
      <c r="D1436" s="1659">
        <v>2.58</v>
      </c>
      <c r="E1436" s="1658">
        <v>5750</v>
      </c>
      <c r="F1436" s="1658">
        <v>6320</v>
      </c>
      <c r="G1436" s="1658">
        <v>5750</v>
      </c>
      <c r="H1436" s="1658">
        <v>402757</v>
      </c>
      <c r="I1436" s="1658">
        <v>2460532210</v>
      </c>
      <c r="J1436" s="1658">
        <v>335496624800</v>
      </c>
      <c r="K1436" s="1658">
        <v>56291380</v>
      </c>
    </row>
    <row r="1437" spans="1:11" x14ac:dyDescent="0.3">
      <c r="A1437" s="1657">
        <v>43776</v>
      </c>
      <c r="B1437" s="1658">
        <v>5880</v>
      </c>
      <c r="C1437" s="1658">
        <v>-80</v>
      </c>
      <c r="D1437" s="1659">
        <v>-1.34</v>
      </c>
      <c r="E1437" s="1658">
        <v>5920</v>
      </c>
      <c r="F1437" s="1658">
        <v>6040</v>
      </c>
      <c r="G1437" s="1658">
        <v>5810</v>
      </c>
      <c r="H1437" s="1658">
        <v>70980</v>
      </c>
      <c r="I1437" s="1658">
        <v>418413340</v>
      </c>
      <c r="J1437" s="1658">
        <v>330993314400</v>
      </c>
      <c r="K1437" s="1658">
        <v>56291380</v>
      </c>
    </row>
    <row r="1438" spans="1:11" x14ac:dyDescent="0.3">
      <c r="A1438" s="1657">
        <v>43777</v>
      </c>
      <c r="B1438" s="1658">
        <v>5930</v>
      </c>
      <c r="C1438" s="1658">
        <v>50</v>
      </c>
      <c r="D1438" s="1659">
        <v>0.85</v>
      </c>
      <c r="E1438" s="1658">
        <v>5830</v>
      </c>
      <c r="F1438" s="1658">
        <v>5970</v>
      </c>
      <c r="G1438" s="1658">
        <v>5830</v>
      </c>
      <c r="H1438" s="1658">
        <v>50439</v>
      </c>
      <c r="I1438" s="1658">
        <v>297619720</v>
      </c>
      <c r="J1438" s="1658">
        <v>333807883400</v>
      </c>
      <c r="K1438" s="1658">
        <v>56291380</v>
      </c>
    </row>
    <row r="1439" spans="1:11" x14ac:dyDescent="0.3">
      <c r="A1439" s="1657">
        <v>43780</v>
      </c>
      <c r="B1439" s="1658">
        <v>5800</v>
      </c>
      <c r="C1439" s="1658">
        <v>-130</v>
      </c>
      <c r="D1439" s="1659">
        <v>-2.19</v>
      </c>
      <c r="E1439" s="1658">
        <v>5880</v>
      </c>
      <c r="F1439" s="1658">
        <v>5930</v>
      </c>
      <c r="G1439" s="1658">
        <v>5720</v>
      </c>
      <c r="H1439" s="1658">
        <v>54903</v>
      </c>
      <c r="I1439" s="1658">
        <v>318068050</v>
      </c>
      <c r="J1439" s="1658">
        <v>326490004000</v>
      </c>
      <c r="K1439" s="1658">
        <v>56291380</v>
      </c>
    </row>
    <row r="1440" spans="1:11" x14ac:dyDescent="0.3">
      <c r="A1440" s="1657">
        <v>43781</v>
      </c>
      <c r="B1440" s="1658">
        <v>5920</v>
      </c>
      <c r="C1440" s="1658">
        <v>120</v>
      </c>
      <c r="D1440" s="1659">
        <v>2.0699999999999998</v>
      </c>
      <c r="E1440" s="1658">
        <v>5900</v>
      </c>
      <c r="F1440" s="1658">
        <v>5930</v>
      </c>
      <c r="G1440" s="1658">
        <v>5750</v>
      </c>
      <c r="H1440" s="1658">
        <v>49628</v>
      </c>
      <c r="I1440" s="1658">
        <v>291404550</v>
      </c>
      <c r="J1440" s="1658">
        <v>333244969600</v>
      </c>
      <c r="K1440" s="1658">
        <v>56291380</v>
      </c>
    </row>
    <row r="1441" spans="1:11" x14ac:dyDescent="0.3">
      <c r="A1441" s="1657">
        <v>43782</v>
      </c>
      <c r="B1441" s="1658">
        <v>5770</v>
      </c>
      <c r="C1441" s="1658">
        <v>-150</v>
      </c>
      <c r="D1441" s="1659">
        <v>-2.5299999999999998</v>
      </c>
      <c r="E1441" s="1658">
        <v>5870</v>
      </c>
      <c r="F1441" s="1658">
        <v>5920</v>
      </c>
      <c r="G1441" s="1658">
        <v>5730</v>
      </c>
      <c r="H1441" s="1658">
        <v>48807</v>
      </c>
      <c r="I1441" s="1658">
        <v>284017860</v>
      </c>
      <c r="J1441" s="1658">
        <v>324801262600</v>
      </c>
      <c r="K1441" s="1658">
        <v>56291380</v>
      </c>
    </row>
    <row r="1442" spans="1:11" x14ac:dyDescent="0.3">
      <c r="A1442" s="1657">
        <v>43783</v>
      </c>
      <c r="B1442" s="1658">
        <v>5800</v>
      </c>
      <c r="C1442" s="1658">
        <v>30</v>
      </c>
      <c r="D1442" s="1659">
        <v>0.52</v>
      </c>
      <c r="E1442" s="1658">
        <v>5850</v>
      </c>
      <c r="F1442" s="1658">
        <v>5860</v>
      </c>
      <c r="G1442" s="1658">
        <v>5690</v>
      </c>
      <c r="H1442" s="1658">
        <v>49358</v>
      </c>
      <c r="I1442" s="1658">
        <v>284866240</v>
      </c>
      <c r="J1442" s="1658">
        <v>326490004000</v>
      </c>
      <c r="K1442" s="1658">
        <v>56291380</v>
      </c>
    </row>
    <row r="1443" spans="1:11" x14ac:dyDescent="0.3">
      <c r="A1443" s="1657">
        <v>43784</v>
      </c>
      <c r="B1443" s="1658">
        <v>5800</v>
      </c>
      <c r="C1443" s="1658">
        <v>0</v>
      </c>
      <c r="D1443" s="1659">
        <v>0</v>
      </c>
      <c r="E1443" s="1658">
        <v>5840</v>
      </c>
      <c r="F1443" s="1658">
        <v>5870</v>
      </c>
      <c r="G1443" s="1658">
        <v>5710</v>
      </c>
      <c r="H1443" s="1658">
        <v>45166</v>
      </c>
      <c r="I1443" s="1658">
        <v>261485210</v>
      </c>
      <c r="J1443" s="1658">
        <v>326490004000</v>
      </c>
      <c r="K1443" s="1658">
        <v>56291380</v>
      </c>
    </row>
    <row r="1444" spans="1:11" x14ac:dyDescent="0.3">
      <c r="A1444" s="1657">
        <v>43787</v>
      </c>
      <c r="B1444" s="1658">
        <v>5670</v>
      </c>
      <c r="C1444" s="1658">
        <v>-130</v>
      </c>
      <c r="D1444" s="1659">
        <v>-2.2400000000000002</v>
      </c>
      <c r="E1444" s="1658">
        <v>5800</v>
      </c>
      <c r="F1444" s="1658">
        <v>5800</v>
      </c>
      <c r="G1444" s="1658">
        <v>5650</v>
      </c>
      <c r="H1444" s="1658">
        <v>47868</v>
      </c>
      <c r="I1444" s="1658">
        <v>273101210</v>
      </c>
      <c r="J1444" s="1658">
        <v>319172124600</v>
      </c>
      <c r="K1444" s="1658">
        <v>56291380</v>
      </c>
    </row>
    <row r="1445" spans="1:11" x14ac:dyDescent="0.3">
      <c r="A1445" s="1657">
        <v>43788</v>
      </c>
      <c r="B1445" s="1658">
        <v>5520</v>
      </c>
      <c r="C1445" s="1658">
        <v>-150</v>
      </c>
      <c r="D1445" s="1659">
        <v>-2.65</v>
      </c>
      <c r="E1445" s="1658">
        <v>5700</v>
      </c>
      <c r="F1445" s="1658">
        <v>5710</v>
      </c>
      <c r="G1445" s="1658">
        <v>5470</v>
      </c>
      <c r="H1445" s="1658">
        <v>74996</v>
      </c>
      <c r="I1445" s="1658">
        <v>414559410</v>
      </c>
      <c r="J1445" s="1658">
        <v>310728417600</v>
      </c>
      <c r="K1445" s="1658">
        <v>56291380</v>
      </c>
    </row>
    <row r="1446" spans="1:11" x14ac:dyDescent="0.3">
      <c r="A1446" s="1657">
        <v>43789</v>
      </c>
      <c r="B1446" s="1658">
        <v>5500</v>
      </c>
      <c r="C1446" s="1658">
        <v>-20</v>
      </c>
      <c r="D1446" s="1659">
        <v>-0.36</v>
      </c>
      <c r="E1446" s="1658">
        <v>5530</v>
      </c>
      <c r="F1446" s="1658">
        <v>5600</v>
      </c>
      <c r="G1446" s="1658">
        <v>5380</v>
      </c>
      <c r="H1446" s="1658">
        <v>58306</v>
      </c>
      <c r="I1446" s="1658">
        <v>319126820</v>
      </c>
      <c r="J1446" s="1658">
        <v>309602590000</v>
      </c>
      <c r="K1446" s="1658">
        <v>56291380</v>
      </c>
    </row>
    <row r="1447" spans="1:11" x14ac:dyDescent="0.3">
      <c r="A1447" s="1657">
        <v>43790</v>
      </c>
      <c r="B1447" s="1658">
        <v>5160</v>
      </c>
      <c r="C1447" s="1658">
        <v>-340</v>
      </c>
      <c r="D1447" s="1659">
        <v>-6.18</v>
      </c>
      <c r="E1447" s="1658">
        <v>5470</v>
      </c>
      <c r="F1447" s="1658">
        <v>5470</v>
      </c>
      <c r="G1447" s="1658">
        <v>5150</v>
      </c>
      <c r="H1447" s="1658">
        <v>172016</v>
      </c>
      <c r="I1447" s="1658">
        <v>899658650</v>
      </c>
      <c r="J1447" s="1658">
        <v>290463520800</v>
      </c>
      <c r="K1447" s="1658">
        <v>56291380</v>
      </c>
    </row>
    <row r="1448" spans="1:11" x14ac:dyDescent="0.3">
      <c r="A1448" s="1657">
        <v>43791</v>
      </c>
      <c r="B1448" s="1658">
        <v>5150</v>
      </c>
      <c r="C1448" s="1658">
        <v>-10</v>
      </c>
      <c r="D1448" s="1659">
        <v>-0.19</v>
      </c>
      <c r="E1448" s="1658">
        <v>5200</v>
      </c>
      <c r="F1448" s="1658">
        <v>5440</v>
      </c>
      <c r="G1448" s="1658">
        <v>5090</v>
      </c>
      <c r="H1448" s="1658">
        <v>196952</v>
      </c>
      <c r="I1448" s="1658">
        <v>1029606340</v>
      </c>
      <c r="J1448" s="1658">
        <v>289900607000</v>
      </c>
      <c r="K1448" s="1658">
        <v>56291380</v>
      </c>
    </row>
    <row r="1449" spans="1:11" x14ac:dyDescent="0.3">
      <c r="A1449" s="1657">
        <v>43794</v>
      </c>
      <c r="B1449" s="1658">
        <v>5140</v>
      </c>
      <c r="C1449" s="1658">
        <v>-10</v>
      </c>
      <c r="D1449" s="1659">
        <v>-0.19</v>
      </c>
      <c r="E1449" s="1658">
        <v>5130</v>
      </c>
      <c r="F1449" s="1658">
        <v>5210</v>
      </c>
      <c r="G1449" s="1658">
        <v>5020</v>
      </c>
      <c r="H1449" s="1658">
        <v>149645</v>
      </c>
      <c r="I1449" s="1658">
        <v>759115110</v>
      </c>
      <c r="J1449" s="1658">
        <v>289337693200</v>
      </c>
      <c r="K1449" s="1658">
        <v>56291380</v>
      </c>
    </row>
    <row r="1450" spans="1:11" x14ac:dyDescent="0.3">
      <c r="A1450" s="1657">
        <v>43795</v>
      </c>
      <c r="B1450" s="1658">
        <v>5160</v>
      </c>
      <c r="C1450" s="1658">
        <v>20</v>
      </c>
      <c r="D1450" s="1659">
        <v>0.39</v>
      </c>
      <c r="E1450" s="1658">
        <v>5090</v>
      </c>
      <c r="F1450" s="1658">
        <v>5210</v>
      </c>
      <c r="G1450" s="1658">
        <v>5040</v>
      </c>
      <c r="H1450" s="1658">
        <v>91831</v>
      </c>
      <c r="I1450" s="1658">
        <v>473774200</v>
      </c>
      <c r="J1450" s="1658">
        <v>290463520800</v>
      </c>
      <c r="K1450" s="1658">
        <v>56291380</v>
      </c>
    </row>
    <row r="1451" spans="1:11" x14ac:dyDescent="0.3">
      <c r="A1451" s="1657">
        <v>43796</v>
      </c>
      <c r="B1451" s="1658">
        <v>5120</v>
      </c>
      <c r="C1451" s="1658">
        <v>-40</v>
      </c>
      <c r="D1451" s="1659">
        <v>-0.78</v>
      </c>
      <c r="E1451" s="1658">
        <v>5120</v>
      </c>
      <c r="F1451" s="1658">
        <v>5410</v>
      </c>
      <c r="G1451" s="1658">
        <v>5070</v>
      </c>
      <c r="H1451" s="1658">
        <v>213177</v>
      </c>
      <c r="I1451" s="1658">
        <v>1112207570</v>
      </c>
      <c r="J1451" s="1658">
        <v>288211865600</v>
      </c>
      <c r="K1451" s="1658">
        <v>56291380</v>
      </c>
    </row>
    <row r="1452" spans="1:11" x14ac:dyDescent="0.3">
      <c r="A1452" s="1657">
        <v>43797</v>
      </c>
      <c r="B1452" s="1658">
        <v>5140</v>
      </c>
      <c r="C1452" s="1658">
        <v>20</v>
      </c>
      <c r="D1452" s="1659">
        <v>0.39</v>
      </c>
      <c r="E1452" s="1658">
        <v>5100</v>
      </c>
      <c r="F1452" s="1658">
        <v>5170</v>
      </c>
      <c r="G1452" s="1658">
        <v>5060</v>
      </c>
      <c r="H1452" s="1658">
        <v>60493</v>
      </c>
      <c r="I1452" s="1658">
        <v>308818350</v>
      </c>
      <c r="J1452" s="1658">
        <v>289337693200</v>
      </c>
      <c r="K1452" s="1658">
        <v>56291380</v>
      </c>
    </row>
    <row r="1453" spans="1:11" x14ac:dyDescent="0.3">
      <c r="A1453" s="1657">
        <v>43798</v>
      </c>
      <c r="B1453" s="1658">
        <v>5130</v>
      </c>
      <c r="C1453" s="1658">
        <v>-10</v>
      </c>
      <c r="D1453" s="1659">
        <v>-0.19</v>
      </c>
      <c r="E1453" s="1658">
        <v>5190</v>
      </c>
      <c r="F1453" s="1658">
        <v>5190</v>
      </c>
      <c r="G1453" s="1658">
        <v>5040</v>
      </c>
      <c r="H1453" s="1658">
        <v>43391</v>
      </c>
      <c r="I1453" s="1658">
        <v>220620480</v>
      </c>
      <c r="J1453" s="1658">
        <v>288774779400</v>
      </c>
      <c r="K1453" s="1658">
        <v>56291380</v>
      </c>
    </row>
    <row r="1454" spans="1:11" x14ac:dyDescent="0.3">
      <c r="A1454" s="1657">
        <v>43801</v>
      </c>
      <c r="B1454" s="1658">
        <v>5150</v>
      </c>
      <c r="C1454" s="1658">
        <v>20</v>
      </c>
      <c r="D1454" s="1659">
        <v>0.39</v>
      </c>
      <c r="E1454" s="1658">
        <v>5070</v>
      </c>
      <c r="F1454" s="1658">
        <v>5180</v>
      </c>
      <c r="G1454" s="1658">
        <v>5060</v>
      </c>
      <c r="H1454" s="1658">
        <v>65815</v>
      </c>
      <c r="I1454" s="1658">
        <v>337240390</v>
      </c>
      <c r="J1454" s="1658">
        <v>289900607000</v>
      </c>
      <c r="K1454" s="1658">
        <v>56291380</v>
      </c>
    </row>
    <row r="1455" spans="1:11" x14ac:dyDescent="0.3">
      <c r="A1455" s="1657">
        <v>43802</v>
      </c>
      <c r="B1455" s="1658">
        <v>5040</v>
      </c>
      <c r="C1455" s="1658">
        <v>-110</v>
      </c>
      <c r="D1455" s="1659">
        <v>-2.14</v>
      </c>
      <c r="E1455" s="1658">
        <v>5060</v>
      </c>
      <c r="F1455" s="1658">
        <v>5150</v>
      </c>
      <c r="G1455" s="1658">
        <v>5000</v>
      </c>
      <c r="H1455" s="1658">
        <v>83191</v>
      </c>
      <c r="I1455" s="1658">
        <v>419342780</v>
      </c>
      <c r="J1455" s="1658">
        <v>283708555200</v>
      </c>
      <c r="K1455" s="1658">
        <v>56291380</v>
      </c>
    </row>
    <row r="1456" spans="1:11" x14ac:dyDescent="0.3">
      <c r="A1456" s="1657">
        <v>43803</v>
      </c>
      <c r="B1456" s="1658">
        <v>5040</v>
      </c>
      <c r="C1456" s="1658">
        <v>0</v>
      </c>
      <c r="D1456" s="1659">
        <v>0</v>
      </c>
      <c r="E1456" s="1658">
        <v>5000</v>
      </c>
      <c r="F1456" s="1658">
        <v>5110</v>
      </c>
      <c r="G1456" s="1658">
        <v>5000</v>
      </c>
      <c r="H1456" s="1658">
        <v>73810</v>
      </c>
      <c r="I1456" s="1658">
        <v>371890400</v>
      </c>
      <c r="J1456" s="1658">
        <v>283708555200</v>
      </c>
      <c r="K1456" s="1658">
        <v>56291380</v>
      </c>
    </row>
    <row r="1457" spans="1:11" x14ac:dyDescent="0.3">
      <c r="A1457" s="1657">
        <v>43804</v>
      </c>
      <c r="B1457" s="1658">
        <v>5040</v>
      </c>
      <c r="C1457" s="1658">
        <v>0</v>
      </c>
      <c r="D1457" s="1659">
        <v>0</v>
      </c>
      <c r="E1457" s="1658">
        <v>5010</v>
      </c>
      <c r="F1457" s="1658">
        <v>5290</v>
      </c>
      <c r="G1457" s="1658">
        <v>5010</v>
      </c>
      <c r="H1457" s="1658">
        <v>149194</v>
      </c>
      <c r="I1457" s="1658">
        <v>766676960</v>
      </c>
      <c r="J1457" s="1658">
        <v>283708555200</v>
      </c>
      <c r="K1457" s="1658">
        <v>56291380</v>
      </c>
    </row>
    <row r="1458" spans="1:11" x14ac:dyDescent="0.3">
      <c r="A1458" s="1657">
        <v>43805</v>
      </c>
      <c r="B1458" s="1658">
        <v>5190</v>
      </c>
      <c r="C1458" s="1658">
        <v>150</v>
      </c>
      <c r="D1458" s="1659">
        <v>2.98</v>
      </c>
      <c r="E1458" s="1658">
        <v>5090</v>
      </c>
      <c r="F1458" s="1658">
        <v>5230</v>
      </c>
      <c r="G1458" s="1658">
        <v>5040</v>
      </c>
      <c r="H1458" s="1658">
        <v>91348</v>
      </c>
      <c r="I1458" s="1658">
        <v>470382980</v>
      </c>
      <c r="J1458" s="1658">
        <v>295102605930</v>
      </c>
      <c r="K1458" s="1658">
        <v>56859847</v>
      </c>
    </row>
    <row r="1459" spans="1:11" x14ac:dyDescent="0.3">
      <c r="A1459" s="1657">
        <v>43808</v>
      </c>
      <c r="B1459" s="1658">
        <v>5100</v>
      </c>
      <c r="C1459" s="1658">
        <v>-90</v>
      </c>
      <c r="D1459" s="1659">
        <v>-1.73</v>
      </c>
      <c r="E1459" s="1658">
        <v>5190</v>
      </c>
      <c r="F1459" s="1658">
        <v>5220</v>
      </c>
      <c r="G1459" s="1658">
        <v>5000</v>
      </c>
      <c r="H1459" s="1658">
        <v>130815</v>
      </c>
      <c r="I1459" s="1658">
        <v>660053960</v>
      </c>
      <c r="J1459" s="1658">
        <v>289985219700</v>
      </c>
      <c r="K1459" s="1658">
        <v>56859847</v>
      </c>
    </row>
    <row r="1460" spans="1:11" x14ac:dyDescent="0.3">
      <c r="A1460" s="1657">
        <v>43809</v>
      </c>
      <c r="B1460" s="1658">
        <v>5070</v>
      </c>
      <c r="C1460" s="1658">
        <v>-30</v>
      </c>
      <c r="D1460" s="1659">
        <v>-0.59</v>
      </c>
      <c r="E1460" s="1658">
        <v>5040</v>
      </c>
      <c r="F1460" s="1658">
        <v>5100</v>
      </c>
      <c r="G1460" s="1658">
        <v>4995</v>
      </c>
      <c r="H1460" s="1658">
        <v>57876</v>
      </c>
      <c r="I1460" s="1658">
        <v>291653165</v>
      </c>
      <c r="J1460" s="1658">
        <v>288279424290</v>
      </c>
      <c r="K1460" s="1658">
        <v>56859847</v>
      </c>
    </row>
    <row r="1461" spans="1:11" x14ac:dyDescent="0.3">
      <c r="A1461" s="1657">
        <v>43810</v>
      </c>
      <c r="B1461" s="1658">
        <v>5090</v>
      </c>
      <c r="C1461" s="1658">
        <v>20</v>
      </c>
      <c r="D1461" s="1659">
        <v>0.39</v>
      </c>
      <c r="E1461" s="1658">
        <v>5020</v>
      </c>
      <c r="F1461" s="1658">
        <v>5170</v>
      </c>
      <c r="G1461" s="1658">
        <v>5010</v>
      </c>
      <c r="H1461" s="1658">
        <v>62356</v>
      </c>
      <c r="I1461" s="1658">
        <v>316962500</v>
      </c>
      <c r="J1461" s="1658">
        <v>289416621230</v>
      </c>
      <c r="K1461" s="1658">
        <v>56859847</v>
      </c>
    </row>
    <row r="1462" spans="1:11" x14ac:dyDescent="0.3">
      <c r="A1462" s="1657">
        <v>43811</v>
      </c>
      <c r="B1462" s="1658">
        <v>5280</v>
      </c>
      <c r="C1462" s="1658">
        <v>190</v>
      </c>
      <c r="D1462" s="1659">
        <v>3.73</v>
      </c>
      <c r="E1462" s="1658">
        <v>5100</v>
      </c>
      <c r="F1462" s="1658">
        <v>5400</v>
      </c>
      <c r="G1462" s="1658">
        <v>5020</v>
      </c>
      <c r="H1462" s="1658">
        <v>313219</v>
      </c>
      <c r="I1462" s="1658">
        <v>1651831640</v>
      </c>
      <c r="J1462" s="1658">
        <v>300219992160</v>
      </c>
      <c r="K1462" s="1658">
        <v>56859847</v>
      </c>
    </row>
    <row r="1463" spans="1:11" x14ac:dyDescent="0.3">
      <c r="A1463" s="1657">
        <v>43812</v>
      </c>
      <c r="B1463" s="1658">
        <v>5530</v>
      </c>
      <c r="C1463" s="1658">
        <v>250</v>
      </c>
      <c r="D1463" s="1659">
        <v>4.7300000000000004</v>
      </c>
      <c r="E1463" s="1658">
        <v>5300</v>
      </c>
      <c r="F1463" s="1658">
        <v>5590</v>
      </c>
      <c r="G1463" s="1658">
        <v>5300</v>
      </c>
      <c r="H1463" s="1658">
        <v>162361</v>
      </c>
      <c r="I1463" s="1658">
        <v>890853630</v>
      </c>
      <c r="J1463" s="1658">
        <v>314434953910</v>
      </c>
      <c r="K1463" s="1658">
        <v>56859847</v>
      </c>
    </row>
    <row r="1464" spans="1:11" x14ac:dyDescent="0.3">
      <c r="A1464" s="1657">
        <v>43815</v>
      </c>
      <c r="B1464" s="1658">
        <v>5470</v>
      </c>
      <c r="C1464" s="1658">
        <v>-60</v>
      </c>
      <c r="D1464" s="1659">
        <v>-1.08</v>
      </c>
      <c r="E1464" s="1658">
        <v>5530</v>
      </c>
      <c r="F1464" s="1658">
        <v>5640</v>
      </c>
      <c r="G1464" s="1658">
        <v>5440</v>
      </c>
      <c r="H1464" s="1658">
        <v>61969</v>
      </c>
      <c r="I1464" s="1658">
        <v>340553130</v>
      </c>
      <c r="J1464" s="1658">
        <v>311023363090</v>
      </c>
      <c r="K1464" s="1658">
        <v>56859847</v>
      </c>
    </row>
    <row r="1465" spans="1:11" x14ac:dyDescent="0.3">
      <c r="A1465" s="1657">
        <v>43816</v>
      </c>
      <c r="B1465" s="1658">
        <v>5600</v>
      </c>
      <c r="C1465" s="1658">
        <v>130</v>
      </c>
      <c r="D1465" s="1659">
        <v>2.38</v>
      </c>
      <c r="E1465" s="1658">
        <v>5470</v>
      </c>
      <c r="F1465" s="1658">
        <v>5600</v>
      </c>
      <c r="G1465" s="1658">
        <v>5450</v>
      </c>
      <c r="H1465" s="1658">
        <v>63019</v>
      </c>
      <c r="I1465" s="1658">
        <v>349809720</v>
      </c>
      <c r="J1465" s="1658">
        <v>318415143200</v>
      </c>
      <c r="K1465" s="1658">
        <v>56859847</v>
      </c>
    </row>
    <row r="1466" spans="1:11" x14ac:dyDescent="0.3">
      <c r="A1466" s="1657">
        <v>43817</v>
      </c>
      <c r="B1466" s="1658">
        <v>5530</v>
      </c>
      <c r="C1466" s="1658">
        <v>-70</v>
      </c>
      <c r="D1466" s="1659">
        <v>-1.25</v>
      </c>
      <c r="E1466" s="1658">
        <v>5690</v>
      </c>
      <c r="F1466" s="1658">
        <v>5690</v>
      </c>
      <c r="G1466" s="1658">
        <v>5500</v>
      </c>
      <c r="H1466" s="1658">
        <v>42188</v>
      </c>
      <c r="I1466" s="1658">
        <v>233961660</v>
      </c>
      <c r="J1466" s="1658">
        <v>314434953910</v>
      </c>
      <c r="K1466" s="1658">
        <v>56859847</v>
      </c>
    </row>
    <row r="1467" spans="1:11" x14ac:dyDescent="0.3">
      <c r="A1467" s="1657">
        <v>43818</v>
      </c>
      <c r="B1467" s="1658">
        <v>5560</v>
      </c>
      <c r="C1467" s="1658">
        <v>30</v>
      </c>
      <c r="D1467" s="1659">
        <v>0.54</v>
      </c>
      <c r="E1467" s="1658">
        <v>5480</v>
      </c>
      <c r="F1467" s="1658">
        <v>5630</v>
      </c>
      <c r="G1467" s="1658">
        <v>5400</v>
      </c>
      <c r="H1467" s="1658">
        <v>62200</v>
      </c>
      <c r="I1467" s="1658">
        <v>345052940</v>
      </c>
      <c r="J1467" s="1658">
        <v>316140749320</v>
      </c>
      <c r="K1467" s="1658">
        <v>56859847</v>
      </c>
    </row>
    <row r="1468" spans="1:11" x14ac:dyDescent="0.3">
      <c r="A1468" s="1657">
        <v>43819</v>
      </c>
      <c r="B1468" s="1658">
        <v>5540</v>
      </c>
      <c r="C1468" s="1658">
        <v>-20</v>
      </c>
      <c r="D1468" s="1659">
        <v>-0.36</v>
      </c>
      <c r="E1468" s="1658">
        <v>5560</v>
      </c>
      <c r="F1468" s="1658">
        <v>5560</v>
      </c>
      <c r="G1468" s="1658">
        <v>5440</v>
      </c>
      <c r="H1468" s="1658">
        <v>31877</v>
      </c>
      <c r="I1468" s="1658">
        <v>175983580</v>
      </c>
      <c r="J1468" s="1658">
        <v>315003552380</v>
      </c>
      <c r="K1468" s="1658">
        <v>56859847</v>
      </c>
    </row>
    <row r="1469" spans="1:11" x14ac:dyDescent="0.3">
      <c r="A1469" s="1657">
        <v>43822</v>
      </c>
      <c r="B1469" s="1658">
        <v>5600</v>
      </c>
      <c r="C1469" s="1658">
        <v>60</v>
      </c>
      <c r="D1469" s="1659">
        <v>1.08</v>
      </c>
      <c r="E1469" s="1658">
        <v>5540</v>
      </c>
      <c r="F1469" s="1658">
        <v>5650</v>
      </c>
      <c r="G1469" s="1658">
        <v>5500</v>
      </c>
      <c r="H1469" s="1658">
        <v>72865</v>
      </c>
      <c r="I1469" s="1658">
        <v>406439300</v>
      </c>
      <c r="J1469" s="1658">
        <v>318415143200</v>
      </c>
      <c r="K1469" s="1658">
        <v>56859847</v>
      </c>
    </row>
    <row r="1470" spans="1:11" x14ac:dyDescent="0.3">
      <c r="A1470" s="1657">
        <v>43823</v>
      </c>
      <c r="B1470" s="1658">
        <v>5600</v>
      </c>
      <c r="C1470" s="1658">
        <v>0</v>
      </c>
      <c r="D1470" s="1659">
        <v>0</v>
      </c>
      <c r="E1470" s="1658">
        <v>5560</v>
      </c>
      <c r="F1470" s="1658">
        <v>5620</v>
      </c>
      <c r="G1470" s="1658">
        <v>5550</v>
      </c>
      <c r="H1470" s="1658">
        <v>58507</v>
      </c>
      <c r="I1470" s="1658">
        <v>326637290</v>
      </c>
      <c r="J1470" s="1658">
        <v>318415143200</v>
      </c>
      <c r="K1470" s="1658">
        <v>56859847</v>
      </c>
    </row>
    <row r="1471" spans="1:11" x14ac:dyDescent="0.3">
      <c r="A1471" s="1657">
        <v>43825</v>
      </c>
      <c r="B1471" s="1658">
        <v>5900</v>
      </c>
      <c r="C1471" s="1658">
        <v>300</v>
      </c>
      <c r="D1471" s="1659">
        <v>5.36</v>
      </c>
      <c r="E1471" s="1658">
        <v>5600</v>
      </c>
      <c r="F1471" s="1658">
        <v>5900</v>
      </c>
      <c r="G1471" s="1658">
        <v>5460</v>
      </c>
      <c r="H1471" s="1658">
        <v>168627</v>
      </c>
      <c r="I1471" s="1658">
        <v>972272480</v>
      </c>
      <c r="J1471" s="1658">
        <v>335473097300</v>
      </c>
      <c r="K1471" s="1658">
        <v>56859847</v>
      </c>
    </row>
    <row r="1472" spans="1:11" x14ac:dyDescent="0.3">
      <c r="A1472" s="1657">
        <v>43826</v>
      </c>
      <c r="B1472" s="1658">
        <v>5930</v>
      </c>
      <c r="C1472" s="1658">
        <v>30</v>
      </c>
      <c r="D1472" s="1659">
        <v>0.51</v>
      </c>
      <c r="E1472" s="1658">
        <v>5800</v>
      </c>
      <c r="F1472" s="1658">
        <v>5980</v>
      </c>
      <c r="G1472" s="1658">
        <v>5800</v>
      </c>
      <c r="H1472" s="1658">
        <v>91104</v>
      </c>
      <c r="I1472" s="1658">
        <v>537498890</v>
      </c>
      <c r="J1472" s="1658">
        <v>337178892710</v>
      </c>
      <c r="K1472" s="1658">
        <v>56859847</v>
      </c>
    </row>
    <row r="1473" spans="1:11" x14ac:dyDescent="0.3">
      <c r="A1473" s="1657">
        <v>43829</v>
      </c>
      <c r="B1473" s="1658">
        <v>5970</v>
      </c>
      <c r="C1473" s="1658">
        <v>40</v>
      </c>
      <c r="D1473" s="1659">
        <v>0.67</v>
      </c>
      <c r="E1473" s="1658">
        <v>5940</v>
      </c>
      <c r="F1473" s="1658">
        <v>5970</v>
      </c>
      <c r="G1473" s="1658">
        <v>5840</v>
      </c>
      <c r="H1473" s="1658">
        <v>71914</v>
      </c>
      <c r="I1473" s="1658">
        <v>426664230</v>
      </c>
      <c r="J1473" s="1658">
        <v>339453286590</v>
      </c>
      <c r="K1473" s="1658">
        <v>56859847</v>
      </c>
    </row>
    <row r="1474" spans="1:11" x14ac:dyDescent="0.3">
      <c r="A1474" s="1657">
        <v>43832</v>
      </c>
      <c r="B1474" s="1658">
        <v>5810</v>
      </c>
      <c r="C1474" s="1658">
        <v>-160</v>
      </c>
      <c r="D1474" s="1659">
        <v>-2.68</v>
      </c>
      <c r="E1474" s="1658">
        <v>5970</v>
      </c>
      <c r="F1474" s="1658">
        <v>5980</v>
      </c>
      <c r="G1474" s="1658">
        <v>5700</v>
      </c>
      <c r="H1474" s="1658">
        <v>101243</v>
      </c>
      <c r="I1474" s="1658">
        <v>587064910</v>
      </c>
      <c r="J1474" s="1658">
        <v>330355711070</v>
      </c>
      <c r="K1474" s="1658">
        <v>56859847</v>
      </c>
    </row>
    <row r="1475" spans="1:11" x14ac:dyDescent="0.3">
      <c r="A1475" s="1657">
        <v>43833</v>
      </c>
      <c r="B1475" s="1658">
        <v>5630</v>
      </c>
      <c r="C1475" s="1658">
        <v>-180</v>
      </c>
      <c r="D1475" s="1659">
        <v>-3.1</v>
      </c>
      <c r="E1475" s="1658">
        <v>5870</v>
      </c>
      <c r="F1475" s="1658">
        <v>5890</v>
      </c>
      <c r="G1475" s="1658">
        <v>5590</v>
      </c>
      <c r="H1475" s="1658">
        <v>98639</v>
      </c>
      <c r="I1475" s="1658">
        <v>564535850</v>
      </c>
      <c r="J1475" s="1658">
        <v>320120938610</v>
      </c>
      <c r="K1475" s="1658">
        <v>56859847</v>
      </c>
    </row>
    <row r="1476" spans="1:11" x14ac:dyDescent="0.3">
      <c r="A1476" s="1657">
        <v>43836</v>
      </c>
      <c r="B1476" s="1658">
        <v>5470</v>
      </c>
      <c r="C1476" s="1658">
        <v>-160</v>
      </c>
      <c r="D1476" s="1659">
        <v>-2.84</v>
      </c>
      <c r="E1476" s="1658">
        <v>5620</v>
      </c>
      <c r="F1476" s="1658">
        <v>5760</v>
      </c>
      <c r="G1476" s="1658">
        <v>5470</v>
      </c>
      <c r="H1476" s="1658">
        <v>109474</v>
      </c>
      <c r="I1476" s="1658">
        <v>607646950</v>
      </c>
      <c r="J1476" s="1658">
        <v>311023363090</v>
      </c>
      <c r="K1476" s="1658">
        <v>56859847</v>
      </c>
    </row>
    <row r="1477" spans="1:11" x14ac:dyDescent="0.3">
      <c r="A1477" s="1657">
        <v>43837</v>
      </c>
      <c r="B1477" s="1658">
        <v>5540</v>
      </c>
      <c r="C1477" s="1658">
        <v>70</v>
      </c>
      <c r="D1477" s="1659">
        <v>1.28</v>
      </c>
      <c r="E1477" s="1658">
        <v>5430</v>
      </c>
      <c r="F1477" s="1658">
        <v>5640</v>
      </c>
      <c r="G1477" s="1658">
        <v>5430</v>
      </c>
      <c r="H1477" s="1658">
        <v>50860</v>
      </c>
      <c r="I1477" s="1658">
        <v>283481920</v>
      </c>
      <c r="J1477" s="1658">
        <v>315003552380</v>
      </c>
      <c r="K1477" s="1658">
        <v>56859847</v>
      </c>
    </row>
    <row r="1478" spans="1:11" x14ac:dyDescent="0.3">
      <c r="A1478" s="1657">
        <v>43838</v>
      </c>
      <c r="B1478" s="1658">
        <v>5460</v>
      </c>
      <c r="C1478" s="1658">
        <v>-80</v>
      </c>
      <c r="D1478" s="1659">
        <v>-1.44</v>
      </c>
      <c r="E1478" s="1658">
        <v>5650</v>
      </c>
      <c r="F1478" s="1658">
        <v>5650</v>
      </c>
      <c r="G1478" s="1658">
        <v>5410</v>
      </c>
      <c r="H1478" s="1658">
        <v>129628</v>
      </c>
      <c r="I1478" s="1658">
        <v>712523270</v>
      </c>
      <c r="J1478" s="1658">
        <v>310454764620</v>
      </c>
      <c r="K1478" s="1658">
        <v>56859847</v>
      </c>
    </row>
    <row r="1479" spans="1:11" x14ac:dyDescent="0.3">
      <c r="A1479" s="1657">
        <v>43839</v>
      </c>
      <c r="B1479" s="1658">
        <v>5770</v>
      </c>
      <c r="C1479" s="1658">
        <v>310</v>
      </c>
      <c r="D1479" s="1659">
        <v>5.68</v>
      </c>
      <c r="E1479" s="1658">
        <v>5520</v>
      </c>
      <c r="F1479" s="1658">
        <v>5780</v>
      </c>
      <c r="G1479" s="1658">
        <v>5520</v>
      </c>
      <c r="H1479" s="1658">
        <v>130216</v>
      </c>
      <c r="I1479" s="1658">
        <v>740331850</v>
      </c>
      <c r="J1479" s="1658">
        <v>328081317190</v>
      </c>
      <c r="K1479" s="1658">
        <v>56859847</v>
      </c>
    </row>
    <row r="1480" spans="1:11" x14ac:dyDescent="0.3">
      <c r="A1480" s="1657">
        <v>43840</v>
      </c>
      <c r="B1480" s="1658">
        <v>5850</v>
      </c>
      <c r="C1480" s="1658">
        <v>80</v>
      </c>
      <c r="D1480" s="1659">
        <v>1.39</v>
      </c>
      <c r="E1480" s="1658">
        <v>5820</v>
      </c>
      <c r="F1480" s="1658">
        <v>5950</v>
      </c>
      <c r="G1480" s="1658">
        <v>5730</v>
      </c>
      <c r="H1480" s="1658">
        <v>91954</v>
      </c>
      <c r="I1480" s="1658">
        <v>537120160</v>
      </c>
      <c r="J1480" s="1658">
        <v>332630104950</v>
      </c>
      <c r="K1480" s="1658">
        <v>56859847</v>
      </c>
    </row>
    <row r="1481" spans="1:11" x14ac:dyDescent="0.3">
      <c r="A1481" s="1657">
        <v>43843</v>
      </c>
      <c r="B1481" s="1658">
        <v>5880</v>
      </c>
      <c r="C1481" s="1658">
        <v>30</v>
      </c>
      <c r="D1481" s="1659">
        <v>0.51</v>
      </c>
      <c r="E1481" s="1658">
        <v>5930</v>
      </c>
      <c r="F1481" s="1658">
        <v>6000</v>
      </c>
      <c r="G1481" s="1658">
        <v>5790</v>
      </c>
      <c r="H1481" s="1658">
        <v>131192</v>
      </c>
      <c r="I1481" s="1658">
        <v>772690630</v>
      </c>
      <c r="J1481" s="1658">
        <v>334335900360</v>
      </c>
      <c r="K1481" s="1658">
        <v>56859847</v>
      </c>
    </row>
    <row r="1482" spans="1:11" x14ac:dyDescent="0.3">
      <c r="A1482" s="1657">
        <v>43844</v>
      </c>
      <c r="B1482" s="1658">
        <v>5710</v>
      </c>
      <c r="C1482" s="1658">
        <v>-170</v>
      </c>
      <c r="D1482" s="1659">
        <v>-2.89</v>
      </c>
      <c r="E1482" s="1658">
        <v>5950</v>
      </c>
      <c r="F1482" s="1658">
        <v>6090</v>
      </c>
      <c r="G1482" s="1658">
        <v>5630</v>
      </c>
      <c r="H1482" s="1658">
        <v>232938</v>
      </c>
      <c r="I1482" s="1658">
        <v>1343411590</v>
      </c>
      <c r="J1482" s="1658">
        <v>324669726370</v>
      </c>
      <c r="K1482" s="1658">
        <v>56859847</v>
      </c>
    </row>
    <row r="1483" spans="1:11" x14ac:dyDescent="0.3">
      <c r="A1483" s="1657">
        <v>43845</v>
      </c>
      <c r="B1483" s="1658">
        <v>5610</v>
      </c>
      <c r="C1483" s="1658">
        <v>-100</v>
      </c>
      <c r="D1483" s="1659">
        <v>-1.75</v>
      </c>
      <c r="E1483" s="1658">
        <v>5680</v>
      </c>
      <c r="F1483" s="1658">
        <v>5740</v>
      </c>
      <c r="G1483" s="1658">
        <v>5590</v>
      </c>
      <c r="H1483" s="1658">
        <v>107623</v>
      </c>
      <c r="I1483" s="1658">
        <v>606128870</v>
      </c>
      <c r="J1483" s="1658">
        <v>318983741670</v>
      </c>
      <c r="K1483" s="1658">
        <v>56859847</v>
      </c>
    </row>
    <row r="1484" spans="1:11" x14ac:dyDescent="0.3">
      <c r="A1484" s="1657">
        <v>43846</v>
      </c>
      <c r="B1484" s="1658">
        <v>5950</v>
      </c>
      <c r="C1484" s="1658">
        <v>340</v>
      </c>
      <c r="D1484" s="1659">
        <v>6.06</v>
      </c>
      <c r="E1484" s="1658">
        <v>5720</v>
      </c>
      <c r="F1484" s="1658">
        <v>6160</v>
      </c>
      <c r="G1484" s="1658">
        <v>5700</v>
      </c>
      <c r="H1484" s="1658">
        <v>390267</v>
      </c>
      <c r="I1484" s="1658">
        <v>2313874780</v>
      </c>
      <c r="J1484" s="1658">
        <v>338316089650</v>
      </c>
      <c r="K1484" s="1658">
        <v>56859847</v>
      </c>
    </row>
    <row r="1485" spans="1:11" x14ac:dyDescent="0.3">
      <c r="A1485" s="1657">
        <v>43847</v>
      </c>
      <c r="B1485" s="1658">
        <v>5940</v>
      </c>
      <c r="C1485" s="1658">
        <v>-10</v>
      </c>
      <c r="D1485" s="1659">
        <v>-0.17</v>
      </c>
      <c r="E1485" s="1658">
        <v>6000</v>
      </c>
      <c r="F1485" s="1658">
        <v>6140</v>
      </c>
      <c r="G1485" s="1658">
        <v>5930</v>
      </c>
      <c r="H1485" s="1658">
        <v>211856</v>
      </c>
      <c r="I1485" s="1658">
        <v>1268311320</v>
      </c>
      <c r="J1485" s="1658">
        <v>337747491180</v>
      </c>
      <c r="K1485" s="1658">
        <v>56859847</v>
      </c>
    </row>
    <row r="1486" spans="1:11" x14ac:dyDescent="0.3">
      <c r="A1486" s="1657">
        <v>43850</v>
      </c>
      <c r="B1486" s="1658">
        <v>5710</v>
      </c>
      <c r="C1486" s="1658">
        <v>-230</v>
      </c>
      <c r="D1486" s="1659">
        <v>-3.87</v>
      </c>
      <c r="E1486" s="1658">
        <v>6050</v>
      </c>
      <c r="F1486" s="1658">
        <v>6120</v>
      </c>
      <c r="G1486" s="1658">
        <v>5670</v>
      </c>
      <c r="H1486" s="1658">
        <v>277385</v>
      </c>
      <c r="I1486" s="1658">
        <v>1612161360</v>
      </c>
      <c r="J1486" s="1658">
        <v>324669726370</v>
      </c>
      <c r="K1486" s="1658">
        <v>56859847</v>
      </c>
    </row>
    <row r="1487" spans="1:11" x14ac:dyDescent="0.3">
      <c r="A1487" s="1657">
        <v>43851</v>
      </c>
      <c r="B1487" s="1658">
        <v>5640</v>
      </c>
      <c r="C1487" s="1658">
        <v>-70</v>
      </c>
      <c r="D1487" s="1659">
        <v>-1.23</v>
      </c>
      <c r="E1487" s="1658">
        <v>5710</v>
      </c>
      <c r="F1487" s="1658">
        <v>5740</v>
      </c>
      <c r="G1487" s="1658">
        <v>5520</v>
      </c>
      <c r="H1487" s="1658">
        <v>109317</v>
      </c>
      <c r="I1487" s="1658">
        <v>614340600</v>
      </c>
      <c r="J1487" s="1658">
        <v>320689537080</v>
      </c>
      <c r="K1487" s="1658">
        <v>56859847</v>
      </c>
    </row>
    <row r="1488" spans="1:11" x14ac:dyDescent="0.3">
      <c r="A1488" s="1657">
        <v>43852</v>
      </c>
      <c r="B1488" s="1658">
        <v>5770</v>
      </c>
      <c r="C1488" s="1658">
        <v>130</v>
      </c>
      <c r="D1488" s="1659">
        <v>2.2999999999999998</v>
      </c>
      <c r="E1488" s="1658">
        <v>5710</v>
      </c>
      <c r="F1488" s="1658">
        <v>5820</v>
      </c>
      <c r="G1488" s="1658">
        <v>5640</v>
      </c>
      <c r="H1488" s="1658">
        <v>72955</v>
      </c>
      <c r="I1488" s="1658">
        <v>418871720</v>
      </c>
      <c r="J1488" s="1658">
        <v>328081317190</v>
      </c>
      <c r="K1488" s="1658">
        <v>56859847</v>
      </c>
    </row>
    <row r="1489" spans="1:11" x14ac:dyDescent="0.3">
      <c r="A1489" s="1657">
        <v>43853</v>
      </c>
      <c r="B1489" s="1658">
        <v>5700</v>
      </c>
      <c r="C1489" s="1658">
        <v>-70</v>
      </c>
      <c r="D1489" s="1659">
        <v>-1.21</v>
      </c>
      <c r="E1489" s="1658">
        <v>5790</v>
      </c>
      <c r="F1489" s="1658">
        <v>5830</v>
      </c>
      <c r="G1489" s="1658">
        <v>5690</v>
      </c>
      <c r="H1489" s="1658">
        <v>104021</v>
      </c>
      <c r="I1489" s="1658">
        <v>597023100</v>
      </c>
      <c r="J1489" s="1658">
        <v>324101127900</v>
      </c>
      <c r="K1489" s="1658">
        <v>56859847</v>
      </c>
    </row>
    <row r="1490" spans="1:11" x14ac:dyDescent="0.3">
      <c r="A1490" s="1657">
        <v>43858</v>
      </c>
      <c r="B1490" s="1658">
        <v>5490</v>
      </c>
      <c r="C1490" s="1658">
        <v>-210</v>
      </c>
      <c r="D1490" s="1659">
        <v>-3.68</v>
      </c>
      <c r="E1490" s="1658">
        <v>5430</v>
      </c>
      <c r="F1490" s="1658">
        <v>5650</v>
      </c>
      <c r="G1490" s="1658">
        <v>5380</v>
      </c>
      <c r="H1490" s="1658">
        <v>166103</v>
      </c>
      <c r="I1490" s="1658">
        <v>906181270</v>
      </c>
      <c r="J1490" s="1658">
        <v>312160560030</v>
      </c>
      <c r="K1490" s="1658">
        <v>56859847</v>
      </c>
    </row>
    <row r="1491" spans="1:11" x14ac:dyDescent="0.3">
      <c r="A1491" s="1657">
        <v>43859</v>
      </c>
      <c r="B1491" s="1658">
        <v>5510</v>
      </c>
      <c r="C1491" s="1658">
        <v>20</v>
      </c>
      <c r="D1491" s="1659">
        <v>0.36</v>
      </c>
      <c r="E1491" s="1658">
        <v>5490</v>
      </c>
      <c r="F1491" s="1658">
        <v>5600</v>
      </c>
      <c r="G1491" s="1658">
        <v>5440</v>
      </c>
      <c r="H1491" s="1658">
        <v>63012</v>
      </c>
      <c r="I1491" s="1658">
        <v>346358480</v>
      </c>
      <c r="J1491" s="1658">
        <v>313297756970</v>
      </c>
      <c r="K1491" s="1658">
        <v>56859847</v>
      </c>
    </row>
    <row r="1492" spans="1:11" x14ac:dyDescent="0.3">
      <c r="A1492" s="1657">
        <v>43860</v>
      </c>
      <c r="B1492" s="1658">
        <v>5300</v>
      </c>
      <c r="C1492" s="1658">
        <v>-210</v>
      </c>
      <c r="D1492" s="1659">
        <v>-3.81</v>
      </c>
      <c r="E1492" s="1658">
        <v>5490</v>
      </c>
      <c r="F1492" s="1658">
        <v>5600</v>
      </c>
      <c r="G1492" s="1658">
        <v>5290</v>
      </c>
      <c r="H1492" s="1658">
        <v>158310</v>
      </c>
      <c r="I1492" s="1658">
        <v>849740770</v>
      </c>
      <c r="J1492" s="1658">
        <v>301357189100</v>
      </c>
      <c r="K1492" s="1658">
        <v>56859847</v>
      </c>
    </row>
    <row r="1493" spans="1:11" x14ac:dyDescent="0.3">
      <c r="A1493" s="1657">
        <v>43861</v>
      </c>
      <c r="B1493" s="1658">
        <v>5550</v>
      </c>
      <c r="C1493" s="1658">
        <v>250</v>
      </c>
      <c r="D1493" s="1659">
        <v>4.72</v>
      </c>
      <c r="E1493" s="1658">
        <v>5350</v>
      </c>
      <c r="F1493" s="1658">
        <v>5640</v>
      </c>
      <c r="G1493" s="1658">
        <v>5230</v>
      </c>
      <c r="H1493" s="1658">
        <v>157631</v>
      </c>
      <c r="I1493" s="1658">
        <v>868777470</v>
      </c>
      <c r="J1493" s="1658">
        <v>315572150850</v>
      </c>
      <c r="K1493" s="1658">
        <v>56859847</v>
      </c>
    </row>
    <row r="1494" spans="1:11" x14ac:dyDescent="0.3">
      <c r="A1494" s="1657">
        <v>43864</v>
      </c>
      <c r="B1494" s="1658">
        <v>5700</v>
      </c>
      <c r="C1494" s="1658">
        <v>150</v>
      </c>
      <c r="D1494" s="1659">
        <v>2.7</v>
      </c>
      <c r="E1494" s="1658">
        <v>5550</v>
      </c>
      <c r="F1494" s="1658">
        <v>5770</v>
      </c>
      <c r="G1494" s="1658">
        <v>5470</v>
      </c>
      <c r="H1494" s="1658">
        <v>237104</v>
      </c>
      <c r="I1494" s="1658">
        <v>1344844920</v>
      </c>
      <c r="J1494" s="1658">
        <v>324101127900</v>
      </c>
      <c r="K1494" s="1658">
        <v>56859847</v>
      </c>
    </row>
    <row r="1495" spans="1:11" x14ac:dyDescent="0.3">
      <c r="A1495" s="1657">
        <v>43865</v>
      </c>
      <c r="B1495" s="1658">
        <v>5710</v>
      </c>
      <c r="C1495" s="1658">
        <v>10</v>
      </c>
      <c r="D1495" s="1659">
        <v>0.18</v>
      </c>
      <c r="E1495" s="1658">
        <v>5800</v>
      </c>
      <c r="F1495" s="1658">
        <v>5800</v>
      </c>
      <c r="G1495" s="1658">
        <v>5600</v>
      </c>
      <c r="H1495" s="1658">
        <v>128391</v>
      </c>
      <c r="I1495" s="1658">
        <v>727657260</v>
      </c>
      <c r="J1495" s="1658">
        <v>324669726370</v>
      </c>
      <c r="K1495" s="1658">
        <v>56859847</v>
      </c>
    </row>
    <row r="1496" spans="1:11" x14ac:dyDescent="0.3">
      <c r="A1496" s="1657">
        <v>43866</v>
      </c>
      <c r="B1496" s="1658">
        <v>5570</v>
      </c>
      <c r="C1496" s="1658">
        <v>-140</v>
      </c>
      <c r="D1496" s="1659">
        <v>-2.4500000000000002</v>
      </c>
      <c r="E1496" s="1658">
        <v>5740</v>
      </c>
      <c r="F1496" s="1658">
        <v>5740</v>
      </c>
      <c r="G1496" s="1658">
        <v>5510</v>
      </c>
      <c r="H1496" s="1658">
        <v>121865</v>
      </c>
      <c r="I1496" s="1658">
        <v>683370600</v>
      </c>
      <c r="J1496" s="1658">
        <v>316709347790</v>
      </c>
      <c r="K1496" s="1658">
        <v>56859847</v>
      </c>
    </row>
    <row r="1497" spans="1:11" x14ac:dyDescent="0.3">
      <c r="A1497" s="1657">
        <v>43867</v>
      </c>
      <c r="B1497" s="1658">
        <v>5740</v>
      </c>
      <c r="C1497" s="1658">
        <v>170</v>
      </c>
      <c r="D1497" s="1659">
        <v>3.05</v>
      </c>
      <c r="E1497" s="1658">
        <v>5570</v>
      </c>
      <c r="F1497" s="1658">
        <v>5890</v>
      </c>
      <c r="G1497" s="1658">
        <v>5530</v>
      </c>
      <c r="H1497" s="1658">
        <v>220612</v>
      </c>
      <c r="I1497" s="1658">
        <v>1265478410</v>
      </c>
      <c r="J1497" s="1658">
        <v>326375521780</v>
      </c>
      <c r="K1497" s="1658">
        <v>56859847</v>
      </c>
    </row>
    <row r="1498" spans="1:11" x14ac:dyDescent="0.3">
      <c r="A1498" s="1657">
        <v>43868</v>
      </c>
      <c r="B1498" s="1658">
        <v>5630</v>
      </c>
      <c r="C1498" s="1658">
        <v>-110</v>
      </c>
      <c r="D1498" s="1659">
        <v>-1.92</v>
      </c>
      <c r="E1498" s="1658">
        <v>5750</v>
      </c>
      <c r="F1498" s="1658">
        <v>5750</v>
      </c>
      <c r="G1498" s="1658">
        <v>5580</v>
      </c>
      <c r="H1498" s="1658">
        <v>120671</v>
      </c>
      <c r="I1498" s="1658">
        <v>680539290</v>
      </c>
      <c r="J1498" s="1658">
        <v>320120938610</v>
      </c>
      <c r="K1498" s="1658">
        <v>56859847</v>
      </c>
    </row>
    <row r="1499" spans="1:11" x14ac:dyDescent="0.3">
      <c r="A1499" s="1657">
        <v>43871</v>
      </c>
      <c r="B1499" s="1658">
        <v>5890</v>
      </c>
      <c r="C1499" s="1658">
        <v>260</v>
      </c>
      <c r="D1499" s="1659">
        <v>4.62</v>
      </c>
      <c r="E1499" s="1658">
        <v>5570</v>
      </c>
      <c r="F1499" s="1658">
        <v>5900</v>
      </c>
      <c r="G1499" s="1658">
        <v>5550</v>
      </c>
      <c r="H1499" s="1658">
        <v>195518</v>
      </c>
      <c r="I1499" s="1658">
        <v>1132092160</v>
      </c>
      <c r="J1499" s="1658">
        <v>334904498830</v>
      </c>
      <c r="K1499" s="1658">
        <v>56859847</v>
      </c>
    </row>
    <row r="1500" spans="1:11" x14ac:dyDescent="0.3">
      <c r="A1500" s="1657">
        <v>43872</v>
      </c>
      <c r="B1500" s="1658">
        <v>5940</v>
      </c>
      <c r="C1500" s="1658">
        <v>50</v>
      </c>
      <c r="D1500" s="1659">
        <v>0.85</v>
      </c>
      <c r="E1500" s="1658">
        <v>5920</v>
      </c>
      <c r="F1500" s="1658">
        <v>6050</v>
      </c>
      <c r="G1500" s="1658">
        <v>5810</v>
      </c>
      <c r="H1500" s="1658">
        <v>179881</v>
      </c>
      <c r="I1500" s="1658">
        <v>1067059660</v>
      </c>
      <c r="J1500" s="1658">
        <v>337747491180</v>
      </c>
      <c r="K1500" s="1658">
        <v>56859847</v>
      </c>
    </row>
    <row r="1501" spans="1:11" x14ac:dyDescent="0.3">
      <c r="A1501" s="1657">
        <v>43873</v>
      </c>
      <c r="B1501" s="1658">
        <v>5940</v>
      </c>
      <c r="C1501" s="1658">
        <v>0</v>
      </c>
      <c r="D1501" s="1659">
        <v>0</v>
      </c>
      <c r="E1501" s="1658">
        <v>5920</v>
      </c>
      <c r="F1501" s="1658">
        <v>5980</v>
      </c>
      <c r="G1501" s="1658">
        <v>5820</v>
      </c>
      <c r="H1501" s="1658">
        <v>100739</v>
      </c>
      <c r="I1501" s="1658">
        <v>595146820</v>
      </c>
      <c r="J1501" s="1658">
        <v>337747491180</v>
      </c>
      <c r="K1501" s="1658">
        <v>56859847</v>
      </c>
    </row>
    <row r="1502" spans="1:11" x14ac:dyDescent="0.3">
      <c r="A1502" s="1657">
        <v>43874</v>
      </c>
      <c r="B1502" s="1658">
        <v>5970</v>
      </c>
      <c r="C1502" s="1658">
        <v>30</v>
      </c>
      <c r="D1502" s="1659">
        <v>0.51</v>
      </c>
      <c r="E1502" s="1658">
        <v>5880</v>
      </c>
      <c r="F1502" s="1658">
        <v>6000</v>
      </c>
      <c r="G1502" s="1658">
        <v>5840</v>
      </c>
      <c r="H1502" s="1658">
        <v>127764</v>
      </c>
      <c r="I1502" s="1658">
        <v>755543740</v>
      </c>
      <c r="J1502" s="1658">
        <v>339453286590</v>
      </c>
      <c r="K1502" s="1658">
        <v>56859847</v>
      </c>
    </row>
    <row r="1503" spans="1:11" x14ac:dyDescent="0.3">
      <c r="A1503" s="1657">
        <v>43875</v>
      </c>
      <c r="B1503" s="1658">
        <v>6240</v>
      </c>
      <c r="C1503" s="1658">
        <v>270</v>
      </c>
      <c r="D1503" s="1659">
        <v>4.5199999999999996</v>
      </c>
      <c r="E1503" s="1658">
        <v>5970</v>
      </c>
      <c r="F1503" s="1658">
        <v>6270</v>
      </c>
      <c r="G1503" s="1658">
        <v>5820</v>
      </c>
      <c r="H1503" s="1658">
        <v>501618</v>
      </c>
      <c r="I1503" s="1658">
        <v>3059512390</v>
      </c>
      <c r="J1503" s="1658">
        <v>354805445280</v>
      </c>
      <c r="K1503" s="1658">
        <v>56859847</v>
      </c>
    </row>
    <row r="1504" spans="1:11" x14ac:dyDescent="0.3">
      <c r="A1504" s="1657">
        <v>43878</v>
      </c>
      <c r="B1504" s="1658">
        <v>7240</v>
      </c>
      <c r="C1504" s="1658">
        <v>1000</v>
      </c>
      <c r="D1504" s="1659">
        <v>16.03</v>
      </c>
      <c r="E1504" s="1658">
        <v>6430</v>
      </c>
      <c r="F1504" s="1658">
        <v>7880</v>
      </c>
      <c r="G1504" s="1658">
        <v>5810</v>
      </c>
      <c r="H1504" s="1658">
        <v>7922404</v>
      </c>
      <c r="I1504" s="1658">
        <v>55716197740</v>
      </c>
      <c r="J1504" s="1658">
        <v>411665292280</v>
      </c>
      <c r="K1504" s="1658">
        <v>56859847</v>
      </c>
    </row>
    <row r="1505" spans="1:11" x14ac:dyDescent="0.3">
      <c r="A1505" s="1657">
        <v>43879</v>
      </c>
      <c r="B1505" s="1658">
        <v>7040</v>
      </c>
      <c r="C1505" s="1658">
        <v>-200</v>
      </c>
      <c r="D1505" s="1659">
        <v>-2.76</v>
      </c>
      <c r="E1505" s="1658">
        <v>7620</v>
      </c>
      <c r="F1505" s="1658">
        <v>7840</v>
      </c>
      <c r="G1505" s="1658">
        <v>6820</v>
      </c>
      <c r="H1505" s="1658">
        <v>4958696</v>
      </c>
      <c r="I1505" s="1658">
        <v>36902969250</v>
      </c>
      <c r="J1505" s="1658">
        <v>400293322880</v>
      </c>
      <c r="K1505" s="1658">
        <v>56859847</v>
      </c>
    </row>
    <row r="1506" spans="1:11" x14ac:dyDescent="0.3">
      <c r="A1506" s="1657">
        <v>43880</v>
      </c>
      <c r="B1506" s="1658">
        <v>7080</v>
      </c>
      <c r="C1506" s="1658">
        <v>40</v>
      </c>
      <c r="D1506" s="1659">
        <v>0.56999999999999995</v>
      </c>
      <c r="E1506" s="1658">
        <v>7250</v>
      </c>
      <c r="F1506" s="1658">
        <v>7350</v>
      </c>
      <c r="G1506" s="1658">
        <v>6710</v>
      </c>
      <c r="H1506" s="1658">
        <v>1343533</v>
      </c>
      <c r="I1506" s="1658">
        <v>9420783960</v>
      </c>
      <c r="J1506" s="1658">
        <v>402567716760</v>
      </c>
      <c r="K1506" s="1658">
        <v>56859847</v>
      </c>
    </row>
    <row r="1507" spans="1:11" x14ac:dyDescent="0.3">
      <c r="A1507" s="1657">
        <v>43881</v>
      </c>
      <c r="B1507" s="1658">
        <v>7960</v>
      </c>
      <c r="C1507" s="1658">
        <v>880</v>
      </c>
      <c r="D1507" s="1659">
        <v>12.43</v>
      </c>
      <c r="E1507" s="1658">
        <v>6860</v>
      </c>
      <c r="F1507" s="1658">
        <v>8460</v>
      </c>
      <c r="G1507" s="1658">
        <v>6830</v>
      </c>
      <c r="H1507" s="1658">
        <v>8688803</v>
      </c>
      <c r="I1507" s="1658">
        <v>67788868920</v>
      </c>
      <c r="J1507" s="1658">
        <v>452604382120</v>
      </c>
      <c r="K1507" s="1658">
        <v>56859847</v>
      </c>
    </row>
    <row r="1508" spans="1:11" x14ac:dyDescent="0.3">
      <c r="A1508" s="1657">
        <v>43882</v>
      </c>
      <c r="B1508" s="1658">
        <v>7400</v>
      </c>
      <c r="C1508" s="1658">
        <v>-560</v>
      </c>
      <c r="D1508" s="1659">
        <v>-7.04</v>
      </c>
      <c r="E1508" s="1658">
        <v>7570</v>
      </c>
      <c r="F1508" s="1658">
        <v>8360</v>
      </c>
      <c r="G1508" s="1658">
        <v>7310</v>
      </c>
      <c r="H1508" s="1658">
        <v>5054719</v>
      </c>
      <c r="I1508" s="1658">
        <v>39310370490</v>
      </c>
      <c r="J1508" s="1658">
        <v>420762867800</v>
      </c>
      <c r="K1508" s="1658">
        <v>56859847</v>
      </c>
    </row>
    <row r="1509" spans="1:11" x14ac:dyDescent="0.3">
      <c r="A1509" s="1657">
        <v>43885</v>
      </c>
      <c r="B1509" s="1658">
        <v>6730</v>
      </c>
      <c r="C1509" s="1658">
        <v>-670</v>
      </c>
      <c r="D1509" s="1659">
        <v>-9.0500000000000007</v>
      </c>
      <c r="E1509" s="1658">
        <v>7100</v>
      </c>
      <c r="F1509" s="1658">
        <v>7700</v>
      </c>
      <c r="G1509" s="1658">
        <v>6730</v>
      </c>
      <c r="H1509" s="1658">
        <v>3440894</v>
      </c>
      <c r="I1509" s="1658">
        <v>24883326000</v>
      </c>
      <c r="J1509" s="1658">
        <v>382666770310</v>
      </c>
      <c r="K1509" s="1658">
        <v>56859847</v>
      </c>
    </row>
    <row r="1510" spans="1:11" x14ac:dyDescent="0.3">
      <c r="A1510" s="1657">
        <v>43886</v>
      </c>
      <c r="B1510" s="1658">
        <v>6730</v>
      </c>
      <c r="C1510" s="1658">
        <v>0</v>
      </c>
      <c r="D1510" s="1659">
        <v>0</v>
      </c>
      <c r="E1510" s="1658">
        <v>6500</v>
      </c>
      <c r="F1510" s="1658">
        <v>6940</v>
      </c>
      <c r="G1510" s="1658">
        <v>6210</v>
      </c>
      <c r="H1510" s="1658">
        <v>1844564</v>
      </c>
      <c r="I1510" s="1658">
        <v>12229456230</v>
      </c>
      <c r="J1510" s="1658">
        <v>382666770310</v>
      </c>
      <c r="K1510" s="1658">
        <v>56859847</v>
      </c>
    </row>
    <row r="1511" spans="1:11" x14ac:dyDescent="0.3">
      <c r="A1511" s="1657">
        <v>43887</v>
      </c>
      <c r="B1511" s="1658">
        <v>6500</v>
      </c>
      <c r="C1511" s="1658">
        <v>-230</v>
      </c>
      <c r="D1511" s="1659">
        <v>-3.42</v>
      </c>
      <c r="E1511" s="1658">
        <v>6520</v>
      </c>
      <c r="F1511" s="1658">
        <v>7170</v>
      </c>
      <c r="G1511" s="1658">
        <v>6350</v>
      </c>
      <c r="H1511" s="1658">
        <v>1869202</v>
      </c>
      <c r="I1511" s="1658">
        <v>12457629910</v>
      </c>
      <c r="J1511" s="1658">
        <v>369589005500</v>
      </c>
      <c r="K1511" s="1658">
        <v>56859847</v>
      </c>
    </row>
    <row r="1512" spans="1:11" x14ac:dyDescent="0.3">
      <c r="A1512" s="1657">
        <v>43888</v>
      </c>
      <c r="B1512" s="1658">
        <v>6160</v>
      </c>
      <c r="C1512" s="1658">
        <v>-340</v>
      </c>
      <c r="D1512" s="1659">
        <v>-5.23</v>
      </c>
      <c r="E1512" s="1658">
        <v>6420</v>
      </c>
      <c r="F1512" s="1658">
        <v>6780</v>
      </c>
      <c r="G1512" s="1658">
        <v>5920</v>
      </c>
      <c r="H1512" s="1658">
        <v>872083</v>
      </c>
      <c r="I1512" s="1658">
        <v>5480999560</v>
      </c>
      <c r="J1512" s="1658">
        <v>350256657520</v>
      </c>
      <c r="K1512" s="1658">
        <v>56859847</v>
      </c>
    </row>
    <row r="1513" spans="1:11" x14ac:dyDescent="0.3">
      <c r="A1513" s="1657">
        <v>43889</v>
      </c>
      <c r="B1513" s="1658">
        <v>5860</v>
      </c>
      <c r="C1513" s="1658">
        <v>-300</v>
      </c>
      <c r="D1513" s="1659">
        <v>-4.87</v>
      </c>
      <c r="E1513" s="1658">
        <v>6010</v>
      </c>
      <c r="F1513" s="1658">
        <v>6220</v>
      </c>
      <c r="G1513" s="1658">
        <v>5680</v>
      </c>
      <c r="H1513" s="1658">
        <v>755817</v>
      </c>
      <c r="I1513" s="1658">
        <v>4468316540</v>
      </c>
      <c r="J1513" s="1658">
        <v>333198703420</v>
      </c>
      <c r="K1513" s="1658">
        <v>56859847</v>
      </c>
    </row>
    <row r="1514" spans="1:11" x14ac:dyDescent="0.3">
      <c r="A1514" s="1657">
        <v>43892</v>
      </c>
      <c r="B1514" s="1658">
        <v>5890</v>
      </c>
      <c r="C1514" s="1658">
        <v>30</v>
      </c>
      <c r="D1514" s="1659">
        <v>0.51</v>
      </c>
      <c r="E1514" s="1658">
        <v>5890</v>
      </c>
      <c r="F1514" s="1658">
        <v>5950</v>
      </c>
      <c r="G1514" s="1658">
        <v>5700</v>
      </c>
      <c r="H1514" s="1658">
        <v>373058</v>
      </c>
      <c r="I1514" s="1658">
        <v>2179481220</v>
      </c>
      <c r="J1514" s="1658">
        <v>334904498830</v>
      </c>
      <c r="K1514" s="1658">
        <v>56859847</v>
      </c>
    </row>
    <row r="1515" spans="1:11" x14ac:dyDescent="0.3">
      <c r="A1515" s="1657">
        <v>43893</v>
      </c>
      <c r="B1515" s="1658">
        <v>5770</v>
      </c>
      <c r="C1515" s="1658">
        <v>-120</v>
      </c>
      <c r="D1515" s="1659">
        <v>-2.04</v>
      </c>
      <c r="E1515" s="1658">
        <v>6100</v>
      </c>
      <c r="F1515" s="1658">
        <v>6200</v>
      </c>
      <c r="G1515" s="1658">
        <v>5710</v>
      </c>
      <c r="H1515" s="1658">
        <v>603671</v>
      </c>
      <c r="I1515" s="1658">
        <v>3578473000</v>
      </c>
      <c r="J1515" s="1658">
        <v>328081317190</v>
      </c>
      <c r="K1515" s="1658">
        <v>56859847</v>
      </c>
    </row>
    <row r="1516" spans="1:11" x14ac:dyDescent="0.3">
      <c r="A1516" s="1657">
        <v>43894</v>
      </c>
      <c r="B1516" s="1658">
        <v>5770</v>
      </c>
      <c r="C1516" s="1658">
        <v>0</v>
      </c>
      <c r="D1516" s="1659">
        <v>0</v>
      </c>
      <c r="E1516" s="1658">
        <v>5680</v>
      </c>
      <c r="F1516" s="1658">
        <v>5800</v>
      </c>
      <c r="G1516" s="1658">
        <v>5630</v>
      </c>
      <c r="H1516" s="1658">
        <v>344765</v>
      </c>
      <c r="I1516" s="1658">
        <v>1977551320</v>
      </c>
      <c r="J1516" s="1658">
        <v>328081317190</v>
      </c>
      <c r="K1516" s="1658">
        <v>56859847</v>
      </c>
    </row>
    <row r="1517" spans="1:11" x14ac:dyDescent="0.3">
      <c r="A1517" s="1657">
        <v>43895</v>
      </c>
      <c r="B1517" s="1658">
        <v>5660</v>
      </c>
      <c r="C1517" s="1658">
        <v>-110</v>
      </c>
      <c r="D1517" s="1659">
        <v>-1.91</v>
      </c>
      <c r="E1517" s="1658">
        <v>5870</v>
      </c>
      <c r="F1517" s="1658">
        <v>5870</v>
      </c>
      <c r="G1517" s="1658">
        <v>5580</v>
      </c>
      <c r="H1517" s="1658">
        <v>386295</v>
      </c>
      <c r="I1517" s="1658">
        <v>2193932560</v>
      </c>
      <c r="J1517" s="1658">
        <v>321826734020</v>
      </c>
      <c r="K1517" s="1658">
        <v>56859847</v>
      </c>
    </row>
    <row r="1518" spans="1:11" x14ac:dyDescent="0.3">
      <c r="A1518" s="1657">
        <v>43896</v>
      </c>
      <c r="B1518" s="1658">
        <v>5390</v>
      </c>
      <c r="C1518" s="1658">
        <v>-270</v>
      </c>
      <c r="D1518" s="1659">
        <v>-4.7699999999999996</v>
      </c>
      <c r="E1518" s="1658">
        <v>5590</v>
      </c>
      <c r="F1518" s="1658">
        <v>5650</v>
      </c>
      <c r="G1518" s="1658">
        <v>5310</v>
      </c>
      <c r="H1518" s="1658">
        <v>465149</v>
      </c>
      <c r="I1518" s="1658">
        <v>2509996830</v>
      </c>
      <c r="J1518" s="1658">
        <v>306474575330</v>
      </c>
      <c r="K1518" s="1658">
        <v>56859847</v>
      </c>
    </row>
    <row r="1519" spans="1:11" x14ac:dyDescent="0.3">
      <c r="A1519" s="1657">
        <v>43899</v>
      </c>
      <c r="B1519" s="1658">
        <v>4970</v>
      </c>
      <c r="C1519" s="1658">
        <v>-420</v>
      </c>
      <c r="D1519" s="1659">
        <v>-7.79</v>
      </c>
      <c r="E1519" s="1658">
        <v>5280</v>
      </c>
      <c r="F1519" s="1658">
        <v>5280</v>
      </c>
      <c r="G1519" s="1658">
        <v>4965</v>
      </c>
      <c r="H1519" s="1658">
        <v>496009</v>
      </c>
      <c r="I1519" s="1658">
        <v>2501459785</v>
      </c>
      <c r="J1519" s="1658">
        <v>282593439590</v>
      </c>
      <c r="K1519" s="1658">
        <v>56859847</v>
      </c>
    </row>
    <row r="1520" spans="1:11" x14ac:dyDescent="0.3">
      <c r="A1520" s="1657">
        <v>43900</v>
      </c>
      <c r="B1520" s="1658">
        <v>5060</v>
      </c>
      <c r="C1520" s="1658">
        <v>90</v>
      </c>
      <c r="D1520" s="1659">
        <v>1.81</v>
      </c>
      <c r="E1520" s="1658">
        <v>4800</v>
      </c>
      <c r="F1520" s="1658">
        <v>5080</v>
      </c>
      <c r="G1520" s="1658">
        <v>4700</v>
      </c>
      <c r="H1520" s="1658">
        <v>400586</v>
      </c>
      <c r="I1520" s="1658">
        <v>1981971725</v>
      </c>
      <c r="J1520" s="1658">
        <v>287710825820</v>
      </c>
      <c r="K1520" s="1658">
        <v>56859847</v>
      </c>
    </row>
    <row r="1521" spans="1:11" x14ac:dyDescent="0.3">
      <c r="A1521" s="1657">
        <v>43901</v>
      </c>
      <c r="B1521" s="1658">
        <v>4780</v>
      </c>
      <c r="C1521" s="1658">
        <v>-280</v>
      </c>
      <c r="D1521" s="1659">
        <v>-5.53</v>
      </c>
      <c r="E1521" s="1658">
        <v>5020</v>
      </c>
      <c r="F1521" s="1658">
        <v>5060</v>
      </c>
      <c r="G1521" s="1658">
        <v>4695</v>
      </c>
      <c r="H1521" s="1658">
        <v>315145</v>
      </c>
      <c r="I1521" s="1658">
        <v>1528449355</v>
      </c>
      <c r="J1521" s="1658">
        <v>271790068660</v>
      </c>
      <c r="K1521" s="1658">
        <v>56859847</v>
      </c>
    </row>
    <row r="1522" spans="1:11" x14ac:dyDescent="0.3">
      <c r="A1522" s="1657">
        <v>43902</v>
      </c>
      <c r="B1522" s="1658">
        <v>4300</v>
      </c>
      <c r="C1522" s="1658">
        <v>-480</v>
      </c>
      <c r="D1522" s="1659">
        <v>-10.039999999999999</v>
      </c>
      <c r="E1522" s="1658">
        <v>4700</v>
      </c>
      <c r="F1522" s="1658">
        <v>4735</v>
      </c>
      <c r="G1522" s="1658">
        <v>4235</v>
      </c>
      <c r="H1522" s="1658">
        <v>616369</v>
      </c>
      <c r="I1522" s="1658">
        <v>2740330045</v>
      </c>
      <c r="J1522" s="1658">
        <v>244497342100</v>
      </c>
      <c r="K1522" s="1658">
        <v>56859847</v>
      </c>
    </row>
    <row r="1523" spans="1:11" x14ac:dyDescent="0.3">
      <c r="A1523" s="1657">
        <v>43903</v>
      </c>
      <c r="B1523" s="1658">
        <v>3955</v>
      </c>
      <c r="C1523" s="1658">
        <v>-345</v>
      </c>
      <c r="D1523" s="1659">
        <v>-8.02</v>
      </c>
      <c r="E1523" s="1658">
        <v>4100</v>
      </c>
      <c r="F1523" s="1658">
        <v>4300</v>
      </c>
      <c r="G1523" s="1658">
        <v>3765</v>
      </c>
      <c r="H1523" s="1658">
        <v>708902</v>
      </c>
      <c r="I1523" s="1658">
        <v>2829716495</v>
      </c>
      <c r="J1523" s="1658">
        <v>224880694885</v>
      </c>
      <c r="K1523" s="1658">
        <v>56859847</v>
      </c>
    </row>
    <row r="1524" spans="1:11" x14ac:dyDescent="0.3">
      <c r="A1524" s="1657">
        <v>43906</v>
      </c>
      <c r="B1524" s="1658">
        <v>3770</v>
      </c>
      <c r="C1524" s="1658">
        <v>-185</v>
      </c>
      <c r="D1524" s="1659">
        <v>-4.68</v>
      </c>
      <c r="E1524" s="1658">
        <v>4065</v>
      </c>
      <c r="F1524" s="1658">
        <v>4120</v>
      </c>
      <c r="G1524" s="1658">
        <v>3770</v>
      </c>
      <c r="H1524" s="1658">
        <v>380394</v>
      </c>
      <c r="I1524" s="1658">
        <v>1498365585</v>
      </c>
      <c r="J1524" s="1658">
        <v>214361623190</v>
      </c>
      <c r="K1524" s="1658">
        <v>56859847</v>
      </c>
    </row>
    <row r="1525" spans="1:11" x14ac:dyDescent="0.3">
      <c r="A1525" s="1657">
        <v>43907</v>
      </c>
      <c r="B1525" s="1658">
        <v>3835</v>
      </c>
      <c r="C1525" s="1658">
        <v>65</v>
      </c>
      <c r="D1525" s="1659">
        <v>1.72</v>
      </c>
      <c r="E1525" s="1658">
        <v>3360</v>
      </c>
      <c r="F1525" s="1658">
        <v>3965</v>
      </c>
      <c r="G1525" s="1658">
        <v>3360</v>
      </c>
      <c r="H1525" s="1658">
        <v>281061</v>
      </c>
      <c r="I1525" s="1658">
        <v>1051263230</v>
      </c>
      <c r="J1525" s="1658">
        <v>218057513245</v>
      </c>
      <c r="K1525" s="1658">
        <v>56859847</v>
      </c>
    </row>
    <row r="1526" spans="1:11" x14ac:dyDescent="0.3">
      <c r="A1526" s="1657">
        <v>43908</v>
      </c>
      <c r="B1526" s="1658">
        <v>3500</v>
      </c>
      <c r="C1526" s="1658">
        <v>-335</v>
      </c>
      <c r="D1526" s="1659">
        <v>-8.74</v>
      </c>
      <c r="E1526" s="1658">
        <v>3835</v>
      </c>
      <c r="F1526" s="1658">
        <v>3950</v>
      </c>
      <c r="G1526" s="1658">
        <v>3500</v>
      </c>
      <c r="H1526" s="1658">
        <v>299316</v>
      </c>
      <c r="I1526" s="1658">
        <v>1114130170</v>
      </c>
      <c r="J1526" s="1658">
        <v>199009464500</v>
      </c>
      <c r="K1526" s="1658">
        <v>56859847</v>
      </c>
    </row>
    <row r="1527" spans="1:11" x14ac:dyDescent="0.3">
      <c r="A1527" s="1657">
        <v>43909</v>
      </c>
      <c r="B1527" s="1658">
        <v>3320</v>
      </c>
      <c r="C1527" s="1658">
        <v>-180</v>
      </c>
      <c r="D1527" s="1659">
        <v>-5.14</v>
      </c>
      <c r="E1527" s="1658">
        <v>3545</v>
      </c>
      <c r="F1527" s="1658">
        <v>3700</v>
      </c>
      <c r="G1527" s="1658">
        <v>3125</v>
      </c>
      <c r="H1527" s="1658">
        <v>625162</v>
      </c>
      <c r="I1527" s="1658">
        <v>2150368600</v>
      </c>
      <c r="J1527" s="1658">
        <v>188774692040</v>
      </c>
      <c r="K1527" s="1658">
        <v>56859847</v>
      </c>
    </row>
    <row r="1528" spans="1:11" x14ac:dyDescent="0.3">
      <c r="A1528" s="1657">
        <v>43910</v>
      </c>
      <c r="B1528" s="1658">
        <v>3530</v>
      </c>
      <c r="C1528" s="1658">
        <v>210</v>
      </c>
      <c r="D1528" s="1659">
        <v>6.33</v>
      </c>
      <c r="E1528" s="1658">
        <v>3475</v>
      </c>
      <c r="F1528" s="1658">
        <v>3580</v>
      </c>
      <c r="G1528" s="1658">
        <v>3215</v>
      </c>
      <c r="H1528" s="1658">
        <v>317054</v>
      </c>
      <c r="I1528" s="1658">
        <v>1078772565</v>
      </c>
      <c r="J1528" s="1658">
        <v>200715259910</v>
      </c>
      <c r="K1528" s="1658">
        <v>56859847</v>
      </c>
    </row>
    <row r="1529" spans="1:11" x14ac:dyDescent="0.3">
      <c r="A1529" s="1657">
        <v>43913</v>
      </c>
      <c r="B1529" s="1658">
        <v>3075</v>
      </c>
      <c r="C1529" s="1658">
        <v>-455</v>
      </c>
      <c r="D1529" s="1659">
        <v>-12.89</v>
      </c>
      <c r="E1529" s="1658">
        <v>3200</v>
      </c>
      <c r="F1529" s="1658">
        <v>3280</v>
      </c>
      <c r="G1529" s="1658">
        <v>3035</v>
      </c>
      <c r="H1529" s="1658">
        <v>312436</v>
      </c>
      <c r="I1529" s="1658">
        <v>978687165</v>
      </c>
      <c r="J1529" s="1658">
        <v>174844029525</v>
      </c>
      <c r="K1529" s="1658">
        <v>56859847</v>
      </c>
    </row>
    <row r="1530" spans="1:11" x14ac:dyDescent="0.3">
      <c r="A1530" s="1657">
        <v>43914</v>
      </c>
      <c r="B1530" s="1658">
        <v>3445</v>
      </c>
      <c r="C1530" s="1658">
        <v>370</v>
      </c>
      <c r="D1530" s="1659">
        <v>12.03</v>
      </c>
      <c r="E1530" s="1658">
        <v>3110</v>
      </c>
      <c r="F1530" s="1658">
        <v>3445</v>
      </c>
      <c r="G1530" s="1658">
        <v>3110</v>
      </c>
      <c r="H1530" s="1658">
        <v>232966</v>
      </c>
      <c r="I1530" s="1658">
        <v>753099375</v>
      </c>
      <c r="J1530" s="1658">
        <v>195882172915</v>
      </c>
      <c r="K1530" s="1658">
        <v>56859847</v>
      </c>
    </row>
    <row r="1531" spans="1:11" x14ac:dyDescent="0.3">
      <c r="A1531" s="1657">
        <v>43915</v>
      </c>
      <c r="B1531" s="1658">
        <v>3780</v>
      </c>
      <c r="C1531" s="1658">
        <v>335</v>
      </c>
      <c r="D1531" s="1659">
        <v>9.7200000000000006</v>
      </c>
      <c r="E1531" s="1658">
        <v>3540</v>
      </c>
      <c r="F1531" s="1658">
        <v>3780</v>
      </c>
      <c r="G1531" s="1658">
        <v>3455</v>
      </c>
      <c r="H1531" s="1658">
        <v>375698</v>
      </c>
      <c r="I1531" s="1658">
        <v>1348274715</v>
      </c>
      <c r="J1531" s="1658">
        <v>214930221660</v>
      </c>
      <c r="K1531" s="1658">
        <v>56859847</v>
      </c>
    </row>
    <row r="1532" spans="1:11" x14ac:dyDescent="0.3">
      <c r="A1532" s="1657">
        <v>43916</v>
      </c>
      <c r="B1532" s="1658">
        <v>3680</v>
      </c>
      <c r="C1532" s="1658">
        <v>-100</v>
      </c>
      <c r="D1532" s="1659">
        <v>-2.65</v>
      </c>
      <c r="E1532" s="1658">
        <v>3745</v>
      </c>
      <c r="F1532" s="1658">
        <v>3890</v>
      </c>
      <c r="G1532" s="1658">
        <v>3585</v>
      </c>
      <c r="H1532" s="1658">
        <v>296402</v>
      </c>
      <c r="I1532" s="1658">
        <v>1119816900</v>
      </c>
      <c r="J1532" s="1658">
        <v>209244236960</v>
      </c>
      <c r="K1532" s="1658">
        <v>56859847</v>
      </c>
    </row>
    <row r="1533" spans="1:11" x14ac:dyDescent="0.3">
      <c r="A1533" s="1657">
        <v>43917</v>
      </c>
      <c r="B1533" s="1658">
        <v>3640</v>
      </c>
      <c r="C1533" s="1658">
        <v>-40</v>
      </c>
      <c r="D1533" s="1659">
        <v>-1.0900000000000001</v>
      </c>
      <c r="E1533" s="1658">
        <v>3780</v>
      </c>
      <c r="F1533" s="1658">
        <v>3855</v>
      </c>
      <c r="G1533" s="1658">
        <v>3525</v>
      </c>
      <c r="H1533" s="1658">
        <v>331149</v>
      </c>
      <c r="I1533" s="1658">
        <v>1215538050</v>
      </c>
      <c r="J1533" s="1658">
        <v>206969843080</v>
      </c>
      <c r="K1533" s="1658">
        <v>56859847</v>
      </c>
    </row>
    <row r="1534" spans="1:11" x14ac:dyDescent="0.3">
      <c r="A1534" s="1657">
        <v>43920</v>
      </c>
      <c r="B1534" s="1658">
        <v>4000</v>
      </c>
      <c r="C1534" s="1658">
        <v>360</v>
      </c>
      <c r="D1534" s="1659">
        <v>9.89</v>
      </c>
      <c r="E1534" s="1658">
        <v>3635</v>
      </c>
      <c r="F1534" s="1658">
        <v>4200</v>
      </c>
      <c r="G1534" s="1658">
        <v>3455</v>
      </c>
      <c r="H1534" s="1658">
        <v>514876</v>
      </c>
      <c r="I1534" s="1658">
        <v>1985546085</v>
      </c>
      <c r="J1534" s="1658">
        <v>227439388000</v>
      </c>
      <c r="K1534" s="1658">
        <v>56859847</v>
      </c>
    </row>
    <row r="1535" spans="1:11" x14ac:dyDescent="0.3">
      <c r="A1535" s="1657">
        <v>43921</v>
      </c>
      <c r="B1535" s="1658">
        <v>4740</v>
      </c>
      <c r="C1535" s="1658">
        <v>740</v>
      </c>
      <c r="D1535" s="1659">
        <v>18.5</v>
      </c>
      <c r="E1535" s="1658">
        <v>4210</v>
      </c>
      <c r="F1535" s="1658">
        <v>4790</v>
      </c>
      <c r="G1535" s="1658">
        <v>4140</v>
      </c>
      <c r="H1535" s="1658">
        <v>1291130</v>
      </c>
      <c r="I1535" s="1658">
        <v>5825780855</v>
      </c>
      <c r="J1535" s="1658">
        <v>269515674780</v>
      </c>
      <c r="K1535" s="1658">
        <v>56859847</v>
      </c>
    </row>
    <row r="1536" spans="1:11" x14ac:dyDescent="0.3">
      <c r="A1536" s="1657">
        <v>43922</v>
      </c>
      <c r="B1536" s="1658">
        <v>4980</v>
      </c>
      <c r="C1536" s="1658">
        <v>240</v>
      </c>
      <c r="D1536" s="1659">
        <v>5.0599999999999996</v>
      </c>
      <c r="E1536" s="1658">
        <v>5000</v>
      </c>
      <c r="F1536" s="1658">
        <v>5370</v>
      </c>
      <c r="G1536" s="1658">
        <v>4800</v>
      </c>
      <c r="H1536" s="1658">
        <v>1652623</v>
      </c>
      <c r="I1536" s="1658">
        <v>8437985820</v>
      </c>
      <c r="J1536" s="1658">
        <v>283162038060</v>
      </c>
      <c r="K1536" s="1658">
        <v>56859847</v>
      </c>
    </row>
    <row r="1537" spans="1:11" x14ac:dyDescent="0.3">
      <c r="A1537" s="1657">
        <v>43923</v>
      </c>
      <c r="B1537" s="1658">
        <v>5760</v>
      </c>
      <c r="C1537" s="1658">
        <v>780</v>
      </c>
      <c r="D1537" s="1659">
        <v>15.66</v>
      </c>
      <c r="E1537" s="1658">
        <v>5730</v>
      </c>
      <c r="F1537" s="1658">
        <v>6180</v>
      </c>
      <c r="G1537" s="1658">
        <v>5250</v>
      </c>
      <c r="H1537" s="1658">
        <v>3682301</v>
      </c>
      <c r="I1537" s="1658">
        <v>21087569670</v>
      </c>
      <c r="J1537" s="1658">
        <v>327512718720</v>
      </c>
      <c r="K1537" s="1658">
        <v>56859847</v>
      </c>
    </row>
    <row r="1538" spans="1:11" x14ac:dyDescent="0.3">
      <c r="A1538" s="1657">
        <v>43924</v>
      </c>
      <c r="B1538" s="1658">
        <v>5330</v>
      </c>
      <c r="C1538" s="1658">
        <v>-430</v>
      </c>
      <c r="D1538" s="1659">
        <v>-7.47</v>
      </c>
      <c r="E1538" s="1658">
        <v>6060</v>
      </c>
      <c r="F1538" s="1658">
        <v>6070</v>
      </c>
      <c r="G1538" s="1658">
        <v>5190</v>
      </c>
      <c r="H1538" s="1658">
        <v>1455088</v>
      </c>
      <c r="I1538" s="1658">
        <v>8125870540</v>
      </c>
      <c r="J1538" s="1658">
        <v>303062984510</v>
      </c>
      <c r="K1538" s="1658">
        <v>56859847</v>
      </c>
    </row>
    <row r="1539" spans="1:11" x14ac:dyDescent="0.3">
      <c r="A1539" s="1657">
        <v>43927</v>
      </c>
      <c r="B1539" s="1658">
        <v>5450</v>
      </c>
      <c r="C1539" s="1658">
        <v>120</v>
      </c>
      <c r="D1539" s="1659">
        <v>2.25</v>
      </c>
      <c r="E1539" s="1658">
        <v>5350</v>
      </c>
      <c r="F1539" s="1658">
        <v>5550</v>
      </c>
      <c r="G1539" s="1658">
        <v>5220</v>
      </c>
      <c r="H1539" s="1658">
        <v>827575</v>
      </c>
      <c r="I1539" s="1658">
        <v>4453383160</v>
      </c>
      <c r="J1539" s="1658">
        <v>309886166150</v>
      </c>
      <c r="K1539" s="1658">
        <v>56859847</v>
      </c>
    </row>
    <row r="1540" spans="1:11" x14ac:dyDescent="0.3">
      <c r="A1540" s="1657">
        <v>43928</v>
      </c>
      <c r="B1540" s="1658">
        <v>5590</v>
      </c>
      <c r="C1540" s="1658">
        <v>140</v>
      </c>
      <c r="D1540" s="1659">
        <v>2.57</v>
      </c>
      <c r="E1540" s="1658">
        <v>5660</v>
      </c>
      <c r="F1540" s="1658">
        <v>5780</v>
      </c>
      <c r="G1540" s="1658">
        <v>5520</v>
      </c>
      <c r="H1540" s="1658">
        <v>1114826</v>
      </c>
      <c r="I1540" s="1658">
        <v>6291435660</v>
      </c>
      <c r="J1540" s="1658">
        <v>317846544730</v>
      </c>
      <c r="K1540" s="1658">
        <v>56859847</v>
      </c>
    </row>
    <row r="1541" spans="1:11" x14ac:dyDescent="0.3">
      <c r="A1541" s="1657">
        <v>43929</v>
      </c>
      <c r="B1541" s="1658">
        <v>5710</v>
      </c>
      <c r="C1541" s="1658">
        <v>120</v>
      </c>
      <c r="D1541" s="1659">
        <v>2.15</v>
      </c>
      <c r="E1541" s="1658">
        <v>5610</v>
      </c>
      <c r="F1541" s="1658">
        <v>6100</v>
      </c>
      <c r="G1541" s="1658">
        <v>5410</v>
      </c>
      <c r="H1541" s="1658">
        <v>1915481</v>
      </c>
      <c r="I1541" s="1658">
        <v>11107185410</v>
      </c>
      <c r="J1541" s="1658">
        <v>324669726370</v>
      </c>
      <c r="K1541" s="1658">
        <v>56859847</v>
      </c>
    </row>
    <row r="1542" spans="1:11" x14ac:dyDescent="0.3">
      <c r="A1542" s="1657">
        <v>43930</v>
      </c>
      <c r="B1542" s="1658">
        <v>5530</v>
      </c>
      <c r="C1542" s="1658">
        <v>-180</v>
      </c>
      <c r="D1542" s="1659">
        <v>-3.15</v>
      </c>
      <c r="E1542" s="1658">
        <v>5720</v>
      </c>
      <c r="F1542" s="1658">
        <v>5760</v>
      </c>
      <c r="G1542" s="1658">
        <v>5490</v>
      </c>
      <c r="H1542" s="1658">
        <v>666113</v>
      </c>
      <c r="I1542" s="1658">
        <v>3717617700</v>
      </c>
      <c r="J1542" s="1658">
        <v>314434953910</v>
      </c>
      <c r="K1542" s="1658">
        <v>56859847</v>
      </c>
    </row>
    <row r="1543" spans="1:11" x14ac:dyDescent="0.3">
      <c r="A1543" s="1657">
        <v>43931</v>
      </c>
      <c r="B1543" s="1658">
        <v>5250</v>
      </c>
      <c r="C1543" s="1658">
        <v>-280</v>
      </c>
      <c r="D1543" s="1659">
        <v>-5.0599999999999996</v>
      </c>
      <c r="E1543" s="1658">
        <v>5520</v>
      </c>
      <c r="F1543" s="1658">
        <v>5520</v>
      </c>
      <c r="G1543" s="1658">
        <v>4990</v>
      </c>
      <c r="H1543" s="1658">
        <v>708274</v>
      </c>
      <c r="I1543" s="1658">
        <v>3659722205</v>
      </c>
      <c r="J1543" s="1658">
        <v>298514196750</v>
      </c>
      <c r="K1543" s="1658">
        <v>56859847</v>
      </c>
    </row>
    <row r="1544" spans="1:11" x14ac:dyDescent="0.3">
      <c r="A1544" s="1657">
        <v>43934</v>
      </c>
      <c r="B1544" s="1658">
        <v>4850</v>
      </c>
      <c r="C1544" s="1658">
        <v>-400</v>
      </c>
      <c r="D1544" s="1659">
        <v>-7.62</v>
      </c>
      <c r="E1544" s="1658">
        <v>5140</v>
      </c>
      <c r="F1544" s="1658">
        <v>5140</v>
      </c>
      <c r="G1544" s="1658">
        <v>4850</v>
      </c>
      <c r="H1544" s="1658">
        <v>388646</v>
      </c>
      <c r="I1544" s="1658">
        <v>1937255190</v>
      </c>
      <c r="J1544" s="1658">
        <v>275770257950</v>
      </c>
      <c r="K1544" s="1658">
        <v>56859847</v>
      </c>
    </row>
    <row r="1545" spans="1:11" x14ac:dyDescent="0.3">
      <c r="A1545" s="1657">
        <v>43935</v>
      </c>
      <c r="B1545" s="1658">
        <v>4980</v>
      </c>
      <c r="C1545" s="1658">
        <v>130</v>
      </c>
      <c r="D1545" s="1659">
        <v>2.68</v>
      </c>
      <c r="E1545" s="1658">
        <v>4800</v>
      </c>
      <c r="F1545" s="1658">
        <v>5140</v>
      </c>
      <c r="G1545" s="1658">
        <v>4800</v>
      </c>
      <c r="H1545" s="1658">
        <v>271015</v>
      </c>
      <c r="I1545" s="1658">
        <v>1352835675</v>
      </c>
      <c r="J1545" s="1658">
        <v>283162038060</v>
      </c>
      <c r="K1545" s="1658">
        <v>56859847</v>
      </c>
    </row>
    <row r="1546" spans="1:11" x14ac:dyDescent="0.3">
      <c r="A1546" s="1657">
        <v>43937</v>
      </c>
      <c r="B1546" s="1658">
        <v>5040</v>
      </c>
      <c r="C1546" s="1658">
        <v>60</v>
      </c>
      <c r="D1546" s="1659">
        <v>1.2</v>
      </c>
      <c r="E1546" s="1658">
        <v>4935</v>
      </c>
      <c r="F1546" s="1658">
        <v>5060</v>
      </c>
      <c r="G1546" s="1658">
        <v>4755</v>
      </c>
      <c r="H1546" s="1658">
        <v>198662</v>
      </c>
      <c r="I1546" s="1658">
        <v>972939310</v>
      </c>
      <c r="J1546" s="1658">
        <v>286573628880</v>
      </c>
      <c r="K1546" s="1658">
        <v>56859847</v>
      </c>
    </row>
    <row r="1547" spans="1:11" x14ac:dyDescent="0.3">
      <c r="A1547" s="1657">
        <v>43938</v>
      </c>
      <c r="B1547" s="1658">
        <v>5040</v>
      </c>
      <c r="C1547" s="1658">
        <v>0</v>
      </c>
      <c r="D1547" s="1659">
        <v>0</v>
      </c>
      <c r="E1547" s="1658">
        <v>5090</v>
      </c>
      <c r="F1547" s="1658">
        <v>5250</v>
      </c>
      <c r="G1547" s="1658">
        <v>4960</v>
      </c>
      <c r="H1547" s="1658">
        <v>274532</v>
      </c>
      <c r="I1547" s="1658">
        <v>1385880135</v>
      </c>
      <c r="J1547" s="1658">
        <v>286573628880</v>
      </c>
      <c r="K1547" s="1658">
        <v>56859847</v>
      </c>
    </row>
    <row r="1548" spans="1:11" x14ac:dyDescent="0.3">
      <c r="A1548" s="1657">
        <v>43941</v>
      </c>
      <c r="B1548" s="1658">
        <v>5010</v>
      </c>
      <c r="C1548" s="1658">
        <v>-30</v>
      </c>
      <c r="D1548" s="1659">
        <v>-0.6</v>
      </c>
      <c r="E1548" s="1658">
        <v>5010</v>
      </c>
      <c r="F1548" s="1658">
        <v>5070</v>
      </c>
      <c r="G1548" s="1658">
        <v>4955</v>
      </c>
      <c r="H1548" s="1658">
        <v>163119</v>
      </c>
      <c r="I1548" s="1658">
        <v>815039730</v>
      </c>
      <c r="J1548" s="1658">
        <v>284867833470</v>
      </c>
      <c r="K1548" s="1658">
        <v>56859847</v>
      </c>
    </row>
    <row r="1549" spans="1:11" x14ac:dyDescent="0.3">
      <c r="A1549" s="1657">
        <v>43942</v>
      </c>
      <c r="B1549" s="1658">
        <v>4995</v>
      </c>
      <c r="C1549" s="1658">
        <v>-15</v>
      </c>
      <c r="D1549" s="1659">
        <v>-0.3</v>
      </c>
      <c r="E1549" s="1658">
        <v>4960</v>
      </c>
      <c r="F1549" s="1658">
        <v>5010</v>
      </c>
      <c r="G1549" s="1658">
        <v>4830</v>
      </c>
      <c r="H1549" s="1658">
        <v>288033</v>
      </c>
      <c r="I1549" s="1658">
        <v>1416543925</v>
      </c>
      <c r="J1549" s="1658">
        <v>284014935765</v>
      </c>
      <c r="K1549" s="1658">
        <v>56859847</v>
      </c>
    </row>
    <row r="1550" spans="1:11" x14ac:dyDescent="0.3">
      <c r="A1550" s="1657">
        <v>43943</v>
      </c>
      <c r="B1550" s="1658">
        <v>4900</v>
      </c>
      <c r="C1550" s="1658">
        <v>-95</v>
      </c>
      <c r="D1550" s="1659">
        <v>-1.9</v>
      </c>
      <c r="E1550" s="1658">
        <v>4900</v>
      </c>
      <c r="F1550" s="1658">
        <v>4975</v>
      </c>
      <c r="G1550" s="1658">
        <v>4825</v>
      </c>
      <c r="H1550" s="1658">
        <v>152144</v>
      </c>
      <c r="I1550" s="1658">
        <v>740837595</v>
      </c>
      <c r="J1550" s="1658">
        <v>278613250300</v>
      </c>
      <c r="K1550" s="1658">
        <v>56859847</v>
      </c>
    </row>
    <row r="1551" spans="1:11" x14ac:dyDescent="0.3">
      <c r="A1551" s="1657">
        <v>43944</v>
      </c>
      <c r="B1551" s="1658">
        <v>4915</v>
      </c>
      <c r="C1551" s="1658">
        <v>15</v>
      </c>
      <c r="D1551" s="1659">
        <v>0.31</v>
      </c>
      <c r="E1551" s="1658">
        <v>4835</v>
      </c>
      <c r="F1551" s="1658">
        <v>4965</v>
      </c>
      <c r="G1551" s="1658">
        <v>4825</v>
      </c>
      <c r="H1551" s="1658">
        <v>118177</v>
      </c>
      <c r="I1551" s="1658">
        <v>581167220</v>
      </c>
      <c r="J1551" s="1658">
        <v>279466148005</v>
      </c>
      <c r="K1551" s="1658">
        <v>56859847</v>
      </c>
    </row>
    <row r="1552" spans="1:11" x14ac:dyDescent="0.3">
      <c r="A1552" s="1657">
        <v>43945</v>
      </c>
      <c r="B1552" s="1658">
        <v>4810</v>
      </c>
      <c r="C1552" s="1658">
        <v>-105</v>
      </c>
      <c r="D1552" s="1659">
        <v>-2.14</v>
      </c>
      <c r="E1552" s="1658">
        <v>4895</v>
      </c>
      <c r="F1552" s="1658">
        <v>4920</v>
      </c>
      <c r="G1552" s="1658">
        <v>4770</v>
      </c>
      <c r="H1552" s="1658">
        <v>184243</v>
      </c>
      <c r="I1552" s="1658">
        <v>890584695</v>
      </c>
      <c r="J1552" s="1658">
        <v>273495864070</v>
      </c>
      <c r="K1552" s="1658">
        <v>56859847</v>
      </c>
    </row>
    <row r="1553" spans="1:11" x14ac:dyDescent="0.3">
      <c r="A1553" s="1657">
        <v>43948</v>
      </c>
      <c r="B1553" s="1658">
        <v>5010</v>
      </c>
      <c r="C1553" s="1658">
        <v>200</v>
      </c>
      <c r="D1553" s="1659">
        <v>4.16</v>
      </c>
      <c r="E1553" s="1658">
        <v>4760</v>
      </c>
      <c r="F1553" s="1658">
        <v>5010</v>
      </c>
      <c r="G1553" s="1658">
        <v>4730</v>
      </c>
      <c r="H1553" s="1658">
        <v>168988</v>
      </c>
      <c r="I1553" s="1658">
        <v>829010480</v>
      </c>
      <c r="J1553" s="1658">
        <v>284867833470</v>
      </c>
      <c r="K1553" s="1658">
        <v>56859847</v>
      </c>
    </row>
    <row r="1554" spans="1:11" x14ac:dyDescent="0.3">
      <c r="A1554" s="1657">
        <v>43949</v>
      </c>
      <c r="B1554" s="1658">
        <v>5360</v>
      </c>
      <c r="C1554" s="1658">
        <v>350</v>
      </c>
      <c r="D1554" s="1659">
        <v>6.99</v>
      </c>
      <c r="E1554" s="1658">
        <v>5020</v>
      </c>
      <c r="F1554" s="1658">
        <v>5450</v>
      </c>
      <c r="G1554" s="1658">
        <v>4890</v>
      </c>
      <c r="H1554" s="1658">
        <v>984123</v>
      </c>
      <c r="I1554" s="1658">
        <v>5140609655</v>
      </c>
      <c r="J1554" s="1658">
        <v>304768779920</v>
      </c>
      <c r="K1554" s="1658">
        <v>56859847</v>
      </c>
    </row>
    <row r="1555" spans="1:11" x14ac:dyDescent="0.3">
      <c r="A1555" s="1657">
        <v>43950</v>
      </c>
      <c r="B1555" s="1658">
        <v>5050</v>
      </c>
      <c r="C1555" s="1658">
        <v>-310</v>
      </c>
      <c r="D1555" s="1659">
        <v>-5.78</v>
      </c>
      <c r="E1555" s="1658">
        <v>5200</v>
      </c>
      <c r="F1555" s="1658">
        <v>5290</v>
      </c>
      <c r="G1555" s="1658">
        <v>5000</v>
      </c>
      <c r="H1555" s="1658">
        <v>334032</v>
      </c>
      <c r="I1555" s="1658">
        <v>1712758480</v>
      </c>
      <c r="J1555" s="1658">
        <v>287142227350</v>
      </c>
      <c r="K1555" s="1658">
        <v>56859847</v>
      </c>
    </row>
    <row r="1556" spans="1:11" x14ac:dyDescent="0.3">
      <c r="A1556" s="1657">
        <v>43955</v>
      </c>
      <c r="B1556" s="1658">
        <v>4935</v>
      </c>
      <c r="C1556" s="1658">
        <v>-115</v>
      </c>
      <c r="D1556" s="1659">
        <v>-2.2799999999999998</v>
      </c>
      <c r="E1556" s="1658">
        <v>5050</v>
      </c>
      <c r="F1556" s="1658">
        <v>5050</v>
      </c>
      <c r="G1556" s="1658">
        <v>4910</v>
      </c>
      <c r="H1556" s="1658">
        <v>165769</v>
      </c>
      <c r="I1556" s="1658">
        <v>822186755</v>
      </c>
      <c r="J1556" s="1658">
        <v>280603344945</v>
      </c>
      <c r="K1556" s="1658">
        <v>56859847</v>
      </c>
    </row>
    <row r="1557" spans="1:11" x14ac:dyDescent="0.3">
      <c r="A1557" s="1657">
        <v>43957</v>
      </c>
      <c r="B1557" s="1658">
        <v>5210</v>
      </c>
      <c r="C1557" s="1658">
        <v>275</v>
      </c>
      <c r="D1557" s="1659">
        <v>5.57</v>
      </c>
      <c r="E1557" s="1658">
        <v>5040</v>
      </c>
      <c r="F1557" s="1658">
        <v>5250</v>
      </c>
      <c r="G1557" s="1658">
        <v>4975</v>
      </c>
      <c r="H1557" s="1658">
        <v>358201</v>
      </c>
      <c r="I1557" s="1658">
        <v>1852945970</v>
      </c>
      <c r="J1557" s="1658">
        <v>296239802870</v>
      </c>
      <c r="K1557" s="1658">
        <v>56859847</v>
      </c>
    </row>
    <row r="1558" spans="1:11" x14ac:dyDescent="0.3">
      <c r="A1558" s="1657">
        <v>43958</v>
      </c>
      <c r="B1558" s="1658">
        <v>5200</v>
      </c>
      <c r="C1558" s="1658">
        <v>-10</v>
      </c>
      <c r="D1558" s="1659">
        <v>-0.19</v>
      </c>
      <c r="E1558" s="1658">
        <v>5210</v>
      </c>
      <c r="F1558" s="1658">
        <v>5300</v>
      </c>
      <c r="G1558" s="1658">
        <v>5160</v>
      </c>
      <c r="H1558" s="1658">
        <v>206407</v>
      </c>
      <c r="I1558" s="1658">
        <v>1078728320</v>
      </c>
      <c r="J1558" s="1658">
        <v>295671204400</v>
      </c>
      <c r="K1558" s="1658">
        <v>56859847</v>
      </c>
    </row>
    <row r="1559" spans="1:11" x14ac:dyDescent="0.3">
      <c r="A1559" s="1657">
        <v>43959</v>
      </c>
      <c r="B1559" s="1658">
        <v>5300</v>
      </c>
      <c r="C1559" s="1658">
        <v>100</v>
      </c>
      <c r="D1559" s="1659">
        <v>1.92</v>
      </c>
      <c r="E1559" s="1658">
        <v>5230</v>
      </c>
      <c r="F1559" s="1658">
        <v>5360</v>
      </c>
      <c r="G1559" s="1658">
        <v>5230</v>
      </c>
      <c r="H1559" s="1658">
        <v>209333</v>
      </c>
      <c r="I1559" s="1658">
        <v>1109353170</v>
      </c>
      <c r="J1559" s="1658">
        <v>301357189100</v>
      </c>
      <c r="K1559" s="1658">
        <v>56859847</v>
      </c>
    </row>
    <row r="1560" spans="1:11" x14ac:dyDescent="0.3">
      <c r="A1560" s="1657">
        <v>43962</v>
      </c>
      <c r="B1560" s="1658">
        <v>5350</v>
      </c>
      <c r="C1560" s="1658">
        <v>50</v>
      </c>
      <c r="D1560" s="1659">
        <v>0.94</v>
      </c>
      <c r="E1560" s="1658">
        <v>5280</v>
      </c>
      <c r="F1560" s="1658">
        <v>5430</v>
      </c>
      <c r="G1560" s="1658">
        <v>5170</v>
      </c>
      <c r="H1560" s="1658">
        <v>307890</v>
      </c>
      <c r="I1560" s="1658">
        <v>1633892110</v>
      </c>
      <c r="J1560" s="1658">
        <v>304200181450</v>
      </c>
      <c r="K1560" s="1658">
        <v>56859847</v>
      </c>
    </row>
    <row r="1561" spans="1:11" x14ac:dyDescent="0.3">
      <c r="A1561" s="1657">
        <v>43963</v>
      </c>
      <c r="B1561" s="1658">
        <v>5200</v>
      </c>
      <c r="C1561" s="1658">
        <v>-150</v>
      </c>
      <c r="D1561" s="1659">
        <v>-2.8</v>
      </c>
      <c r="E1561" s="1658">
        <v>5350</v>
      </c>
      <c r="F1561" s="1658">
        <v>5390</v>
      </c>
      <c r="G1561" s="1658">
        <v>5120</v>
      </c>
      <c r="H1561" s="1658">
        <v>195503</v>
      </c>
      <c r="I1561" s="1658">
        <v>1020457940</v>
      </c>
      <c r="J1561" s="1658">
        <v>295671204400</v>
      </c>
      <c r="K1561" s="1658">
        <v>56859847</v>
      </c>
    </row>
    <row r="1562" spans="1:11" x14ac:dyDescent="0.3">
      <c r="A1562" s="1657">
        <v>43964</v>
      </c>
      <c r="B1562" s="1658">
        <v>5180</v>
      </c>
      <c r="C1562" s="1658">
        <v>-20</v>
      </c>
      <c r="D1562" s="1659">
        <v>-0.38</v>
      </c>
      <c r="E1562" s="1658">
        <v>5120</v>
      </c>
      <c r="F1562" s="1658">
        <v>5230</v>
      </c>
      <c r="G1562" s="1658">
        <v>5050</v>
      </c>
      <c r="H1562" s="1658">
        <v>99569</v>
      </c>
      <c r="I1562" s="1658">
        <v>511131530</v>
      </c>
      <c r="J1562" s="1658">
        <v>294534007460</v>
      </c>
      <c r="K1562" s="1658">
        <v>56859847</v>
      </c>
    </row>
    <row r="1563" spans="1:11" x14ac:dyDescent="0.3">
      <c r="A1563" s="1657">
        <v>43965</v>
      </c>
      <c r="B1563" s="1658">
        <v>5140</v>
      </c>
      <c r="C1563" s="1658">
        <v>-40</v>
      </c>
      <c r="D1563" s="1659">
        <v>-0.77</v>
      </c>
      <c r="E1563" s="1658">
        <v>5120</v>
      </c>
      <c r="F1563" s="1658">
        <v>5280</v>
      </c>
      <c r="G1563" s="1658">
        <v>5070</v>
      </c>
      <c r="H1563" s="1658">
        <v>117199</v>
      </c>
      <c r="I1563" s="1658">
        <v>603709660</v>
      </c>
      <c r="J1563" s="1658">
        <v>292259613580</v>
      </c>
      <c r="K1563" s="1658">
        <v>56859847</v>
      </c>
    </row>
    <row r="1564" spans="1:11" x14ac:dyDescent="0.3">
      <c r="A1564" s="1657">
        <v>43966</v>
      </c>
      <c r="B1564" s="1658">
        <v>5190</v>
      </c>
      <c r="C1564" s="1658">
        <v>50</v>
      </c>
      <c r="D1564" s="1659">
        <v>0.97</v>
      </c>
      <c r="E1564" s="1658">
        <v>5190</v>
      </c>
      <c r="F1564" s="1658">
        <v>5190</v>
      </c>
      <c r="G1564" s="1658">
        <v>5050</v>
      </c>
      <c r="H1564" s="1658">
        <v>156802</v>
      </c>
      <c r="I1564" s="1658">
        <v>802933490</v>
      </c>
      <c r="J1564" s="1658">
        <v>295102605930</v>
      </c>
      <c r="K1564" s="1658">
        <v>56859847</v>
      </c>
    </row>
    <row r="1565" spans="1:11" x14ac:dyDescent="0.3">
      <c r="A1565" s="1657">
        <v>43969</v>
      </c>
      <c r="B1565" s="1658">
        <v>5180</v>
      </c>
      <c r="C1565" s="1658">
        <v>-10</v>
      </c>
      <c r="D1565" s="1659">
        <v>-0.19</v>
      </c>
      <c r="E1565" s="1658">
        <v>5160</v>
      </c>
      <c r="F1565" s="1658">
        <v>5240</v>
      </c>
      <c r="G1565" s="1658">
        <v>5080</v>
      </c>
      <c r="H1565" s="1658">
        <v>139686</v>
      </c>
      <c r="I1565" s="1658">
        <v>720009520</v>
      </c>
      <c r="J1565" s="1658">
        <v>294534007460</v>
      </c>
      <c r="K1565" s="1658">
        <v>56859847</v>
      </c>
    </row>
    <row r="1566" spans="1:11" x14ac:dyDescent="0.3">
      <c r="A1566" s="1657">
        <v>43970</v>
      </c>
      <c r="B1566" s="1658">
        <v>5260</v>
      </c>
      <c r="C1566" s="1658">
        <v>80</v>
      </c>
      <c r="D1566" s="1659">
        <v>1.54</v>
      </c>
      <c r="E1566" s="1658">
        <v>5200</v>
      </c>
      <c r="F1566" s="1658">
        <v>5300</v>
      </c>
      <c r="G1566" s="1658">
        <v>5180</v>
      </c>
      <c r="H1566" s="1658">
        <v>198748</v>
      </c>
      <c r="I1566" s="1658">
        <v>1041758380</v>
      </c>
      <c r="J1566" s="1658">
        <v>299082795220</v>
      </c>
      <c r="K1566" s="1658">
        <v>56859847</v>
      </c>
    </row>
    <row r="1567" spans="1:11" x14ac:dyDescent="0.3">
      <c r="A1567" s="1657">
        <v>43971</v>
      </c>
      <c r="B1567" s="1658">
        <v>5300</v>
      </c>
      <c r="C1567" s="1658">
        <v>40</v>
      </c>
      <c r="D1567" s="1659">
        <v>0.76</v>
      </c>
      <c r="E1567" s="1658">
        <v>5280</v>
      </c>
      <c r="F1567" s="1658">
        <v>5370</v>
      </c>
      <c r="G1567" s="1658">
        <v>5200</v>
      </c>
      <c r="H1567" s="1658">
        <v>196643</v>
      </c>
      <c r="I1567" s="1658">
        <v>1042234980</v>
      </c>
      <c r="J1567" s="1658">
        <v>301357189100</v>
      </c>
      <c r="K1567" s="1658">
        <v>56859847</v>
      </c>
    </row>
    <row r="1568" spans="1:11" x14ac:dyDescent="0.3">
      <c r="A1568" s="1657">
        <v>43972</v>
      </c>
      <c r="B1568" s="1658">
        <v>5330</v>
      </c>
      <c r="C1568" s="1658">
        <v>30</v>
      </c>
      <c r="D1568" s="1659">
        <v>0.56999999999999995</v>
      </c>
      <c r="E1568" s="1658">
        <v>5350</v>
      </c>
      <c r="F1568" s="1658">
        <v>5370</v>
      </c>
      <c r="G1568" s="1658">
        <v>5230</v>
      </c>
      <c r="H1568" s="1658">
        <v>202190</v>
      </c>
      <c r="I1568" s="1658">
        <v>1071118960</v>
      </c>
      <c r="J1568" s="1658">
        <v>303062984510</v>
      </c>
      <c r="K1568" s="1658">
        <v>56859847</v>
      </c>
    </row>
    <row r="1569" spans="1:11" x14ac:dyDescent="0.3">
      <c r="A1569" s="1657">
        <v>43973</v>
      </c>
      <c r="B1569" s="1658">
        <v>5220</v>
      </c>
      <c r="C1569" s="1658">
        <v>-110</v>
      </c>
      <c r="D1569" s="1659">
        <v>-2.06</v>
      </c>
      <c r="E1569" s="1658">
        <v>5290</v>
      </c>
      <c r="F1569" s="1658">
        <v>5350</v>
      </c>
      <c r="G1569" s="1658">
        <v>5150</v>
      </c>
      <c r="H1569" s="1658">
        <v>186691</v>
      </c>
      <c r="I1569" s="1658">
        <v>975689850</v>
      </c>
      <c r="J1569" s="1658">
        <v>296808401340</v>
      </c>
      <c r="K1569" s="1658">
        <v>56859847</v>
      </c>
    </row>
    <row r="1570" spans="1:11" x14ac:dyDescent="0.3">
      <c r="A1570" s="1657">
        <v>43976</v>
      </c>
      <c r="B1570" s="1658">
        <v>5390</v>
      </c>
      <c r="C1570" s="1658">
        <v>170</v>
      </c>
      <c r="D1570" s="1659">
        <v>3.26</v>
      </c>
      <c r="E1570" s="1658">
        <v>5180</v>
      </c>
      <c r="F1570" s="1658">
        <v>5430</v>
      </c>
      <c r="G1570" s="1658">
        <v>5170</v>
      </c>
      <c r="H1570" s="1658">
        <v>234183</v>
      </c>
      <c r="I1570" s="1658">
        <v>1251823980</v>
      </c>
      <c r="J1570" s="1658">
        <v>306474575330</v>
      </c>
      <c r="K1570" s="1658">
        <v>56859847</v>
      </c>
    </row>
    <row r="1571" spans="1:11" x14ac:dyDescent="0.3">
      <c r="A1571" s="1657">
        <v>43977</v>
      </c>
      <c r="B1571" s="1658">
        <v>5360</v>
      </c>
      <c r="C1571" s="1658">
        <v>-30</v>
      </c>
      <c r="D1571" s="1659">
        <v>-0.56000000000000005</v>
      </c>
      <c r="E1571" s="1658">
        <v>5390</v>
      </c>
      <c r="F1571" s="1658">
        <v>5460</v>
      </c>
      <c r="G1571" s="1658">
        <v>5320</v>
      </c>
      <c r="H1571" s="1658">
        <v>204740</v>
      </c>
      <c r="I1571" s="1658">
        <v>1100731010</v>
      </c>
      <c r="J1571" s="1658">
        <v>304768779920</v>
      </c>
      <c r="K1571" s="1658">
        <v>56859847</v>
      </c>
    </row>
    <row r="1572" spans="1:11" x14ac:dyDescent="0.3">
      <c r="A1572" s="1657">
        <v>43978</v>
      </c>
      <c r="B1572" s="1658">
        <v>5400</v>
      </c>
      <c r="C1572" s="1658">
        <v>40</v>
      </c>
      <c r="D1572" s="1659">
        <v>0.75</v>
      </c>
      <c r="E1572" s="1658">
        <v>5380</v>
      </c>
      <c r="F1572" s="1658">
        <v>5920</v>
      </c>
      <c r="G1572" s="1658">
        <v>5330</v>
      </c>
      <c r="H1572" s="1658">
        <v>1308274</v>
      </c>
      <c r="I1572" s="1658">
        <v>7368540770</v>
      </c>
      <c r="J1572" s="1658">
        <v>307043173800</v>
      </c>
      <c r="K1572" s="1658">
        <v>56859847</v>
      </c>
    </row>
    <row r="1573" spans="1:11" x14ac:dyDescent="0.3">
      <c r="A1573" s="1657">
        <v>43979</v>
      </c>
      <c r="B1573" s="1658">
        <v>5230</v>
      </c>
      <c r="C1573" s="1658">
        <v>-170</v>
      </c>
      <c r="D1573" s="1659">
        <v>-3.15</v>
      </c>
      <c r="E1573" s="1658">
        <v>5420</v>
      </c>
      <c r="F1573" s="1658">
        <v>5460</v>
      </c>
      <c r="G1573" s="1658">
        <v>5090</v>
      </c>
      <c r="H1573" s="1658">
        <v>435306</v>
      </c>
      <c r="I1573" s="1658">
        <v>2282591690</v>
      </c>
      <c r="J1573" s="1658">
        <v>297376999810</v>
      </c>
      <c r="K1573" s="1658">
        <v>56859847</v>
      </c>
    </row>
    <row r="1574" spans="1:11" x14ac:dyDescent="0.3">
      <c r="A1574" s="1657">
        <v>43980</v>
      </c>
      <c r="B1574" s="1658">
        <v>5110</v>
      </c>
      <c r="C1574" s="1658">
        <v>-120</v>
      </c>
      <c r="D1574" s="1659">
        <v>-2.29</v>
      </c>
      <c r="E1574" s="1658">
        <v>5210</v>
      </c>
      <c r="F1574" s="1658">
        <v>5210</v>
      </c>
      <c r="G1574" s="1658">
        <v>5090</v>
      </c>
      <c r="H1574" s="1658">
        <v>157459</v>
      </c>
      <c r="I1574" s="1658">
        <v>809579810</v>
      </c>
      <c r="J1574" s="1658">
        <v>290553818170</v>
      </c>
      <c r="K1574" s="1658">
        <v>56859847</v>
      </c>
    </row>
    <row r="1575" spans="1:11" x14ac:dyDescent="0.3">
      <c r="A1575" s="1657">
        <v>43983</v>
      </c>
      <c r="B1575" s="1658">
        <v>5220</v>
      </c>
      <c r="C1575" s="1658">
        <v>110</v>
      </c>
      <c r="D1575" s="1659">
        <v>2.15</v>
      </c>
      <c r="E1575" s="1658">
        <v>5070</v>
      </c>
      <c r="F1575" s="1658">
        <v>5300</v>
      </c>
      <c r="G1575" s="1658">
        <v>5050</v>
      </c>
      <c r="H1575" s="1658">
        <v>141182</v>
      </c>
      <c r="I1575" s="1658">
        <v>730683000</v>
      </c>
      <c r="J1575" s="1658">
        <v>296808401340</v>
      </c>
      <c r="K1575" s="1658">
        <v>56859847</v>
      </c>
    </row>
    <row r="1576" spans="1:11" x14ac:dyDescent="0.3">
      <c r="A1576" s="1657">
        <v>43984</v>
      </c>
      <c r="B1576" s="1658">
        <v>5350</v>
      </c>
      <c r="C1576" s="1658">
        <v>130</v>
      </c>
      <c r="D1576" s="1659">
        <v>2.4900000000000002</v>
      </c>
      <c r="E1576" s="1658">
        <v>5200</v>
      </c>
      <c r="F1576" s="1658">
        <v>5420</v>
      </c>
      <c r="G1576" s="1658">
        <v>5080</v>
      </c>
      <c r="H1576" s="1658">
        <v>247252</v>
      </c>
      <c r="I1576" s="1658">
        <v>1316361300</v>
      </c>
      <c r="J1576" s="1658">
        <v>304200181450</v>
      </c>
      <c r="K1576" s="1658">
        <v>56859847</v>
      </c>
    </row>
    <row r="1577" spans="1:11" x14ac:dyDescent="0.3">
      <c r="A1577" s="1657">
        <v>43985</v>
      </c>
      <c r="B1577" s="1658">
        <v>5430</v>
      </c>
      <c r="C1577" s="1658">
        <v>80</v>
      </c>
      <c r="D1577" s="1659">
        <v>1.5</v>
      </c>
      <c r="E1577" s="1658">
        <v>5360</v>
      </c>
      <c r="F1577" s="1658">
        <v>5560</v>
      </c>
      <c r="G1577" s="1658">
        <v>5330</v>
      </c>
      <c r="H1577" s="1658">
        <v>231998</v>
      </c>
      <c r="I1577" s="1658">
        <v>1262580870</v>
      </c>
      <c r="J1577" s="1658">
        <v>308748969210</v>
      </c>
      <c r="K1577" s="1658">
        <v>56859847</v>
      </c>
    </row>
    <row r="1578" spans="1:11" x14ac:dyDescent="0.3">
      <c r="A1578" s="1657">
        <v>43986</v>
      </c>
      <c r="B1578" s="1658">
        <v>5370</v>
      </c>
      <c r="C1578" s="1658">
        <v>-60</v>
      </c>
      <c r="D1578" s="1659">
        <v>-1.1000000000000001</v>
      </c>
      <c r="E1578" s="1658">
        <v>5380</v>
      </c>
      <c r="F1578" s="1658">
        <v>5540</v>
      </c>
      <c r="G1578" s="1658">
        <v>5340</v>
      </c>
      <c r="H1578" s="1658">
        <v>217085</v>
      </c>
      <c r="I1578" s="1658">
        <v>1180289040</v>
      </c>
      <c r="J1578" s="1658">
        <v>305337378390</v>
      </c>
      <c r="K1578" s="1658">
        <v>56859847</v>
      </c>
    </row>
    <row r="1579" spans="1:11" x14ac:dyDescent="0.3">
      <c r="A1579" s="1657">
        <v>43987</v>
      </c>
      <c r="B1579" s="1658">
        <v>5470</v>
      </c>
      <c r="C1579" s="1658">
        <v>100</v>
      </c>
      <c r="D1579" s="1659">
        <v>1.86</v>
      </c>
      <c r="E1579" s="1658">
        <v>5390</v>
      </c>
      <c r="F1579" s="1658">
        <v>5490</v>
      </c>
      <c r="G1579" s="1658">
        <v>5340</v>
      </c>
      <c r="H1579" s="1658">
        <v>145331</v>
      </c>
      <c r="I1579" s="1658">
        <v>789194320</v>
      </c>
      <c r="J1579" s="1658">
        <v>311023363090</v>
      </c>
      <c r="K1579" s="1658">
        <v>56859847</v>
      </c>
    </row>
    <row r="1580" spans="1:11" x14ac:dyDescent="0.3">
      <c r="A1580" s="1657">
        <v>43990</v>
      </c>
      <c r="B1580" s="1658">
        <v>5410</v>
      </c>
      <c r="C1580" s="1658">
        <v>-60</v>
      </c>
      <c r="D1580" s="1659">
        <v>-1.1000000000000001</v>
      </c>
      <c r="E1580" s="1658">
        <v>5480</v>
      </c>
      <c r="F1580" s="1658">
        <v>5520</v>
      </c>
      <c r="G1580" s="1658">
        <v>5390</v>
      </c>
      <c r="H1580" s="1658">
        <v>168281</v>
      </c>
      <c r="I1580" s="1658">
        <v>916628950</v>
      </c>
      <c r="J1580" s="1658">
        <v>307611772270</v>
      </c>
      <c r="K1580" s="1658">
        <v>56859847</v>
      </c>
    </row>
    <row r="1581" spans="1:11" x14ac:dyDescent="0.3">
      <c r="A1581" s="1657">
        <v>43991</v>
      </c>
      <c r="B1581" s="1658">
        <v>5370</v>
      </c>
      <c r="C1581" s="1658">
        <v>-40</v>
      </c>
      <c r="D1581" s="1659">
        <v>-0.74</v>
      </c>
      <c r="E1581" s="1658">
        <v>5480</v>
      </c>
      <c r="F1581" s="1658">
        <v>5490</v>
      </c>
      <c r="G1581" s="1658">
        <v>5280</v>
      </c>
      <c r="H1581" s="1658">
        <v>128631</v>
      </c>
      <c r="I1581" s="1658">
        <v>690012980</v>
      </c>
      <c r="J1581" s="1658">
        <v>305337378390</v>
      </c>
      <c r="K1581" s="1658">
        <v>56859847</v>
      </c>
    </row>
    <row r="1582" spans="1:11" x14ac:dyDescent="0.3">
      <c r="A1582" s="1657">
        <v>43992</v>
      </c>
      <c r="B1582" s="1658">
        <v>5340</v>
      </c>
      <c r="C1582" s="1658">
        <v>-30</v>
      </c>
      <c r="D1582" s="1659">
        <v>-0.56000000000000005</v>
      </c>
      <c r="E1582" s="1658">
        <v>5380</v>
      </c>
      <c r="F1582" s="1658">
        <v>5430</v>
      </c>
      <c r="G1582" s="1658">
        <v>5310</v>
      </c>
      <c r="H1582" s="1658">
        <v>94274</v>
      </c>
      <c r="I1582" s="1658">
        <v>505592820</v>
      </c>
      <c r="J1582" s="1658">
        <v>303631582980</v>
      </c>
      <c r="K1582" s="1658">
        <v>56859847</v>
      </c>
    </row>
    <row r="1583" spans="1:11" x14ac:dyDescent="0.3">
      <c r="A1583" s="1657">
        <v>43993</v>
      </c>
      <c r="B1583" s="1658">
        <v>5200</v>
      </c>
      <c r="C1583" s="1658">
        <v>-140</v>
      </c>
      <c r="D1583" s="1659">
        <v>-2.62</v>
      </c>
      <c r="E1583" s="1658">
        <v>5320</v>
      </c>
      <c r="F1583" s="1658">
        <v>5420</v>
      </c>
      <c r="G1583" s="1658">
        <v>5160</v>
      </c>
      <c r="H1583" s="1658">
        <v>264543</v>
      </c>
      <c r="I1583" s="1658">
        <v>1389355480</v>
      </c>
      <c r="J1583" s="1658">
        <v>295671204400</v>
      </c>
      <c r="K1583" s="1658">
        <v>56859847</v>
      </c>
    </row>
    <row r="1584" spans="1:11" x14ac:dyDescent="0.3">
      <c r="A1584" s="1657">
        <v>43994</v>
      </c>
      <c r="B1584" s="1658">
        <v>5060</v>
      </c>
      <c r="C1584" s="1658">
        <v>-140</v>
      </c>
      <c r="D1584" s="1659">
        <v>-2.69</v>
      </c>
      <c r="E1584" s="1658">
        <v>5000</v>
      </c>
      <c r="F1584" s="1658">
        <v>5130</v>
      </c>
      <c r="G1584" s="1658">
        <v>4950</v>
      </c>
      <c r="H1584" s="1658">
        <v>200877</v>
      </c>
      <c r="I1584" s="1658">
        <v>1009831680</v>
      </c>
      <c r="J1584" s="1658">
        <v>287710825820</v>
      </c>
      <c r="K1584" s="1658">
        <v>56859847</v>
      </c>
    </row>
    <row r="1585" spans="1:11" x14ac:dyDescent="0.3">
      <c r="A1585" s="1657">
        <v>43997</v>
      </c>
      <c r="B1585" s="1658">
        <v>4700</v>
      </c>
      <c r="C1585" s="1658">
        <v>-360</v>
      </c>
      <c r="D1585" s="1659">
        <v>-7.11</v>
      </c>
      <c r="E1585" s="1658">
        <v>5010</v>
      </c>
      <c r="F1585" s="1658">
        <v>5070</v>
      </c>
      <c r="G1585" s="1658">
        <v>4700</v>
      </c>
      <c r="H1585" s="1658">
        <v>264328</v>
      </c>
      <c r="I1585" s="1658">
        <v>1293053275</v>
      </c>
      <c r="J1585" s="1658">
        <v>267241280900</v>
      </c>
      <c r="K1585" s="1658">
        <v>56859847</v>
      </c>
    </row>
    <row r="1586" spans="1:11" x14ac:dyDescent="0.3">
      <c r="A1586" s="1657">
        <v>43998</v>
      </c>
      <c r="B1586" s="1658">
        <v>5140</v>
      </c>
      <c r="C1586" s="1658">
        <v>440</v>
      </c>
      <c r="D1586" s="1659">
        <v>9.36</v>
      </c>
      <c r="E1586" s="1658">
        <v>4710</v>
      </c>
      <c r="F1586" s="1658">
        <v>5160</v>
      </c>
      <c r="G1586" s="1658">
        <v>4710</v>
      </c>
      <c r="H1586" s="1658">
        <v>248060</v>
      </c>
      <c r="I1586" s="1658">
        <v>1238450885</v>
      </c>
      <c r="J1586" s="1658">
        <v>292259613580</v>
      </c>
      <c r="K1586" s="1658">
        <v>56859847</v>
      </c>
    </row>
    <row r="1587" spans="1:11" x14ac:dyDescent="0.3">
      <c r="A1587" s="1657">
        <v>43999</v>
      </c>
      <c r="B1587" s="1658">
        <v>4990</v>
      </c>
      <c r="C1587" s="1658">
        <v>-150</v>
      </c>
      <c r="D1587" s="1659">
        <v>-2.92</v>
      </c>
      <c r="E1587" s="1658">
        <v>5120</v>
      </c>
      <c r="F1587" s="1658">
        <v>5190</v>
      </c>
      <c r="G1587" s="1658">
        <v>4930</v>
      </c>
      <c r="H1587" s="1658">
        <v>159070</v>
      </c>
      <c r="I1587" s="1658">
        <v>800625160</v>
      </c>
      <c r="J1587" s="1658">
        <v>283730636530</v>
      </c>
      <c r="K1587" s="1658">
        <v>56859847</v>
      </c>
    </row>
    <row r="1588" spans="1:11" x14ac:dyDescent="0.3">
      <c r="A1588" s="1657">
        <v>44000</v>
      </c>
      <c r="B1588" s="1658">
        <v>4955</v>
      </c>
      <c r="C1588" s="1658">
        <v>-35</v>
      </c>
      <c r="D1588" s="1659">
        <v>-0.7</v>
      </c>
      <c r="E1588" s="1658">
        <v>4850</v>
      </c>
      <c r="F1588" s="1658">
        <v>5040</v>
      </c>
      <c r="G1588" s="1658">
        <v>4820</v>
      </c>
      <c r="H1588" s="1658">
        <v>88550</v>
      </c>
      <c r="I1588" s="1658">
        <v>438142795</v>
      </c>
      <c r="J1588" s="1658">
        <v>281740541885</v>
      </c>
      <c r="K1588" s="1658">
        <v>56859847</v>
      </c>
    </row>
    <row r="1589" spans="1:11" x14ac:dyDescent="0.3">
      <c r="A1589" s="1657">
        <v>44001</v>
      </c>
      <c r="B1589" s="1658">
        <v>4935</v>
      </c>
      <c r="C1589" s="1658">
        <v>-20</v>
      </c>
      <c r="D1589" s="1659">
        <v>-0.4</v>
      </c>
      <c r="E1589" s="1658">
        <v>4960</v>
      </c>
      <c r="F1589" s="1658">
        <v>5030</v>
      </c>
      <c r="G1589" s="1658">
        <v>4855</v>
      </c>
      <c r="H1589" s="1658">
        <v>99783</v>
      </c>
      <c r="I1589" s="1658">
        <v>491120545</v>
      </c>
      <c r="J1589" s="1658">
        <v>280603344945</v>
      </c>
      <c r="K1589" s="1658">
        <v>56859847</v>
      </c>
    </row>
    <row r="1590" spans="1:11" x14ac:dyDescent="0.3">
      <c r="A1590" s="1657">
        <v>44004</v>
      </c>
      <c r="B1590" s="1658">
        <v>4885</v>
      </c>
      <c r="C1590" s="1658">
        <v>-50</v>
      </c>
      <c r="D1590" s="1659">
        <v>-1.01</v>
      </c>
      <c r="E1590" s="1658">
        <v>4880</v>
      </c>
      <c r="F1590" s="1658">
        <v>4975</v>
      </c>
      <c r="G1590" s="1658">
        <v>4830</v>
      </c>
      <c r="H1590" s="1658">
        <v>93691</v>
      </c>
      <c r="I1590" s="1658">
        <v>458851400</v>
      </c>
      <c r="J1590" s="1658">
        <v>277760352595</v>
      </c>
      <c r="K1590" s="1658">
        <v>56859847</v>
      </c>
    </row>
    <row r="1591" spans="1:11" x14ac:dyDescent="0.3">
      <c r="A1591" s="1657">
        <v>44005</v>
      </c>
      <c r="B1591" s="1658">
        <v>4990</v>
      </c>
      <c r="C1591" s="1658">
        <v>105</v>
      </c>
      <c r="D1591" s="1659">
        <v>2.15</v>
      </c>
      <c r="E1591" s="1658">
        <v>4850</v>
      </c>
      <c r="F1591" s="1658">
        <v>5110</v>
      </c>
      <c r="G1591" s="1658">
        <v>4845</v>
      </c>
      <c r="H1591" s="1658">
        <v>142456</v>
      </c>
      <c r="I1591" s="1658">
        <v>709885765</v>
      </c>
      <c r="J1591" s="1658">
        <v>283730636530</v>
      </c>
      <c r="K1591" s="1658">
        <v>56859847</v>
      </c>
    </row>
    <row r="1592" spans="1:11" x14ac:dyDescent="0.3">
      <c r="A1592" s="1657">
        <v>44006</v>
      </c>
      <c r="B1592" s="1658">
        <v>5050</v>
      </c>
      <c r="C1592" s="1658">
        <v>60</v>
      </c>
      <c r="D1592" s="1659">
        <v>1.2</v>
      </c>
      <c r="E1592" s="1658">
        <v>4970</v>
      </c>
      <c r="F1592" s="1658">
        <v>5080</v>
      </c>
      <c r="G1592" s="1658">
        <v>4890</v>
      </c>
      <c r="H1592" s="1658">
        <v>184733</v>
      </c>
      <c r="I1592" s="1658">
        <v>922417295</v>
      </c>
      <c r="J1592" s="1658">
        <v>287142227350</v>
      </c>
      <c r="K1592" s="1658">
        <v>56859847</v>
      </c>
    </row>
    <row r="1593" spans="1:11" x14ac:dyDescent="0.3">
      <c r="A1593" s="1657">
        <v>44007</v>
      </c>
      <c r="B1593" s="1658">
        <v>4960</v>
      </c>
      <c r="C1593" s="1658">
        <v>-90</v>
      </c>
      <c r="D1593" s="1659">
        <v>-1.78</v>
      </c>
      <c r="E1593" s="1658">
        <v>4955</v>
      </c>
      <c r="F1593" s="1658">
        <v>5300</v>
      </c>
      <c r="G1593" s="1658">
        <v>4910</v>
      </c>
      <c r="H1593" s="1658">
        <v>415710</v>
      </c>
      <c r="I1593" s="1658">
        <v>2109391615</v>
      </c>
      <c r="J1593" s="1658">
        <v>282024841120</v>
      </c>
      <c r="K1593" s="1658">
        <v>56859847</v>
      </c>
    </row>
    <row r="1594" spans="1:11" x14ac:dyDescent="0.3">
      <c r="A1594" s="1657">
        <v>44008</v>
      </c>
      <c r="B1594" s="1658">
        <v>5030</v>
      </c>
      <c r="C1594" s="1658">
        <v>70</v>
      </c>
      <c r="D1594" s="1659">
        <v>1.41</v>
      </c>
      <c r="E1594" s="1658">
        <v>5000</v>
      </c>
      <c r="F1594" s="1658">
        <v>5040</v>
      </c>
      <c r="G1594" s="1658">
        <v>4910</v>
      </c>
      <c r="H1594" s="1658">
        <v>133604</v>
      </c>
      <c r="I1594" s="1658">
        <v>663128140</v>
      </c>
      <c r="J1594" s="1658">
        <v>286005030410</v>
      </c>
      <c r="K1594" s="1658">
        <v>56859847</v>
      </c>
    </row>
    <row r="1595" spans="1:11" x14ac:dyDescent="0.3">
      <c r="A1595" s="1657">
        <v>44011</v>
      </c>
      <c r="B1595" s="1658">
        <v>4870</v>
      </c>
      <c r="C1595" s="1658">
        <v>-160</v>
      </c>
      <c r="D1595" s="1659">
        <v>-3.18</v>
      </c>
      <c r="E1595" s="1658">
        <v>5010</v>
      </c>
      <c r="F1595" s="1658">
        <v>5010</v>
      </c>
      <c r="G1595" s="1658">
        <v>4850</v>
      </c>
      <c r="H1595" s="1658">
        <v>141804</v>
      </c>
      <c r="I1595" s="1658">
        <v>695045735</v>
      </c>
      <c r="J1595" s="1658">
        <v>276907454890</v>
      </c>
      <c r="K1595" s="1658">
        <v>56859847</v>
      </c>
    </row>
    <row r="1596" spans="1:11" x14ac:dyDescent="0.3">
      <c r="A1596" s="1657">
        <v>44012</v>
      </c>
      <c r="B1596" s="1658">
        <v>5040</v>
      </c>
      <c r="C1596" s="1658">
        <v>170</v>
      </c>
      <c r="D1596" s="1659">
        <v>3.49</v>
      </c>
      <c r="E1596" s="1658">
        <v>4930</v>
      </c>
      <c r="F1596" s="1658">
        <v>5150</v>
      </c>
      <c r="G1596" s="1658">
        <v>4930</v>
      </c>
      <c r="H1596" s="1658">
        <v>244989</v>
      </c>
      <c r="I1596" s="1658">
        <v>1237148410</v>
      </c>
      <c r="J1596" s="1658">
        <v>286573628880</v>
      </c>
      <c r="K1596" s="1658">
        <v>56859847</v>
      </c>
    </row>
    <row r="1597" spans="1:11" x14ac:dyDescent="0.3">
      <c r="A1597" s="1657">
        <v>44013</v>
      </c>
      <c r="B1597" s="1658">
        <v>5070</v>
      </c>
      <c r="C1597" s="1658">
        <v>30</v>
      </c>
      <c r="D1597" s="1659">
        <v>0.6</v>
      </c>
      <c r="E1597" s="1658">
        <v>5010</v>
      </c>
      <c r="F1597" s="1658">
        <v>5090</v>
      </c>
      <c r="G1597" s="1658">
        <v>4990</v>
      </c>
      <c r="H1597" s="1658">
        <v>87801</v>
      </c>
      <c r="I1597" s="1658">
        <v>441799790</v>
      </c>
      <c r="J1597" s="1658">
        <v>288279424290</v>
      </c>
      <c r="K1597" s="1658">
        <v>56859847</v>
      </c>
    </row>
    <row r="1598" spans="1:11" x14ac:dyDescent="0.3">
      <c r="A1598" s="1657">
        <v>44014</v>
      </c>
      <c r="B1598" s="1658">
        <v>5180</v>
      </c>
      <c r="C1598" s="1658">
        <v>110</v>
      </c>
      <c r="D1598" s="1659">
        <v>2.17</v>
      </c>
      <c r="E1598" s="1658">
        <v>5030</v>
      </c>
      <c r="F1598" s="1658">
        <v>5280</v>
      </c>
      <c r="G1598" s="1658">
        <v>5020</v>
      </c>
      <c r="H1598" s="1658">
        <v>223527</v>
      </c>
      <c r="I1598" s="1658">
        <v>1154992030</v>
      </c>
      <c r="J1598" s="1658">
        <v>294534007460</v>
      </c>
      <c r="K1598" s="1658">
        <v>56859847</v>
      </c>
    </row>
    <row r="1599" spans="1:11" x14ac:dyDescent="0.3">
      <c r="A1599" s="1657">
        <v>44015</v>
      </c>
      <c r="B1599" s="1658">
        <v>5260</v>
      </c>
      <c r="C1599" s="1658">
        <v>80</v>
      </c>
      <c r="D1599" s="1659">
        <v>1.54</v>
      </c>
      <c r="E1599" s="1658">
        <v>5210</v>
      </c>
      <c r="F1599" s="1658">
        <v>5540</v>
      </c>
      <c r="G1599" s="1658">
        <v>5150</v>
      </c>
      <c r="H1599" s="1658">
        <v>645822</v>
      </c>
      <c r="I1599" s="1658">
        <v>3453966930</v>
      </c>
      <c r="J1599" s="1658">
        <v>299082795220</v>
      </c>
      <c r="K1599" s="1658">
        <v>56859847</v>
      </c>
    </row>
    <row r="1600" spans="1:11" x14ac:dyDescent="0.3">
      <c r="A1600" s="1657">
        <v>44018</v>
      </c>
      <c r="B1600" s="1658">
        <v>5300</v>
      </c>
      <c r="C1600" s="1658">
        <v>40</v>
      </c>
      <c r="D1600" s="1659">
        <v>0.76</v>
      </c>
      <c r="E1600" s="1658">
        <v>5180</v>
      </c>
      <c r="F1600" s="1658">
        <v>5440</v>
      </c>
      <c r="G1600" s="1658">
        <v>5100</v>
      </c>
      <c r="H1600" s="1658">
        <v>301538</v>
      </c>
      <c r="I1600" s="1658">
        <v>1601075810</v>
      </c>
      <c r="J1600" s="1658">
        <v>301357189100</v>
      </c>
      <c r="K1600" s="1658">
        <v>56859847</v>
      </c>
    </row>
    <row r="1601" spans="1:11" x14ac:dyDescent="0.3">
      <c r="A1601" s="1657">
        <v>44019</v>
      </c>
      <c r="B1601" s="1658">
        <v>5230</v>
      </c>
      <c r="C1601" s="1658">
        <v>-70</v>
      </c>
      <c r="D1601" s="1659">
        <v>-1.32</v>
      </c>
      <c r="E1601" s="1658">
        <v>5310</v>
      </c>
      <c r="F1601" s="1658">
        <v>5310</v>
      </c>
      <c r="G1601" s="1658">
        <v>5160</v>
      </c>
      <c r="H1601" s="1658">
        <v>129248</v>
      </c>
      <c r="I1601" s="1658">
        <v>674442480</v>
      </c>
      <c r="J1601" s="1658">
        <v>297376999810</v>
      </c>
      <c r="K1601" s="1658">
        <v>56859847</v>
      </c>
    </row>
    <row r="1602" spans="1:11" x14ac:dyDescent="0.3">
      <c r="A1602" s="1657">
        <v>44020</v>
      </c>
      <c r="B1602" s="1658">
        <v>5250</v>
      </c>
      <c r="C1602" s="1658">
        <v>20</v>
      </c>
      <c r="D1602" s="1659">
        <v>0.38</v>
      </c>
      <c r="E1602" s="1658">
        <v>5150</v>
      </c>
      <c r="F1602" s="1658">
        <v>5330</v>
      </c>
      <c r="G1602" s="1658">
        <v>5150</v>
      </c>
      <c r="H1602" s="1658">
        <v>135524</v>
      </c>
      <c r="I1602" s="1658">
        <v>710225040</v>
      </c>
      <c r="J1602" s="1658">
        <v>298514196750</v>
      </c>
      <c r="K1602" s="1658">
        <v>56859847</v>
      </c>
    </row>
    <row r="1603" spans="1:11" x14ac:dyDescent="0.3">
      <c r="A1603" s="1657">
        <v>44021</v>
      </c>
      <c r="B1603" s="1658">
        <v>5300</v>
      </c>
      <c r="C1603" s="1658">
        <v>50</v>
      </c>
      <c r="D1603" s="1659">
        <v>0.95</v>
      </c>
      <c r="E1603" s="1658">
        <v>5410</v>
      </c>
      <c r="F1603" s="1658">
        <v>5410</v>
      </c>
      <c r="G1603" s="1658">
        <v>5200</v>
      </c>
      <c r="H1603" s="1658">
        <v>119579</v>
      </c>
      <c r="I1603" s="1658">
        <v>627347520</v>
      </c>
      <c r="J1603" s="1658">
        <v>301357189100</v>
      </c>
      <c r="K1603" s="1658">
        <v>56859847</v>
      </c>
    </row>
    <row r="1604" spans="1:11" x14ac:dyDescent="0.3">
      <c r="A1604" s="1657">
        <v>44022</v>
      </c>
      <c r="B1604" s="1658">
        <v>5300</v>
      </c>
      <c r="C1604" s="1658">
        <v>0</v>
      </c>
      <c r="D1604" s="1659">
        <v>0</v>
      </c>
      <c r="E1604" s="1658">
        <v>5300</v>
      </c>
      <c r="F1604" s="1658">
        <v>5370</v>
      </c>
      <c r="G1604" s="1658">
        <v>5120</v>
      </c>
      <c r="H1604" s="1658">
        <v>214741</v>
      </c>
      <c r="I1604" s="1658">
        <v>1121837090</v>
      </c>
      <c r="J1604" s="1658">
        <v>301357189100</v>
      </c>
      <c r="K1604" s="1658">
        <v>56859847</v>
      </c>
    </row>
    <row r="1605" spans="1:11" x14ac:dyDescent="0.3">
      <c r="A1605" s="1657">
        <v>44025</v>
      </c>
      <c r="B1605" s="1658">
        <v>5250</v>
      </c>
      <c r="C1605" s="1658">
        <v>-50</v>
      </c>
      <c r="D1605" s="1659">
        <v>-0.94</v>
      </c>
      <c r="E1605" s="1658">
        <v>5300</v>
      </c>
      <c r="F1605" s="1658">
        <v>5300</v>
      </c>
      <c r="G1605" s="1658">
        <v>5210</v>
      </c>
      <c r="H1605" s="1658">
        <v>90786</v>
      </c>
      <c r="I1605" s="1658">
        <v>476410530</v>
      </c>
      <c r="J1605" s="1658">
        <v>298514196750</v>
      </c>
      <c r="K1605" s="1658">
        <v>56859847</v>
      </c>
    </row>
    <row r="1606" spans="1:11" x14ac:dyDescent="0.3">
      <c r="A1606" s="1657">
        <v>44026</v>
      </c>
      <c r="B1606" s="1658">
        <v>5240</v>
      </c>
      <c r="C1606" s="1658">
        <v>-10</v>
      </c>
      <c r="D1606" s="1659">
        <v>-0.19</v>
      </c>
      <c r="E1606" s="1658">
        <v>5150</v>
      </c>
      <c r="F1606" s="1658">
        <v>5330</v>
      </c>
      <c r="G1606" s="1658">
        <v>5150</v>
      </c>
      <c r="H1606" s="1658">
        <v>116477</v>
      </c>
      <c r="I1606" s="1658">
        <v>607525640</v>
      </c>
      <c r="J1606" s="1658">
        <v>297945598280</v>
      </c>
      <c r="K1606" s="1658">
        <v>56859847</v>
      </c>
    </row>
    <row r="1607" spans="1:11" x14ac:dyDescent="0.3">
      <c r="A1607" s="1657">
        <v>44027</v>
      </c>
      <c r="B1607" s="1658">
        <v>5240</v>
      </c>
      <c r="C1607" s="1658">
        <v>0</v>
      </c>
      <c r="D1607" s="1659">
        <v>0</v>
      </c>
      <c r="E1607" s="1658">
        <v>5150</v>
      </c>
      <c r="F1607" s="1658">
        <v>5310</v>
      </c>
      <c r="G1607" s="1658">
        <v>5150</v>
      </c>
      <c r="H1607" s="1658">
        <v>111622</v>
      </c>
      <c r="I1607" s="1658">
        <v>583163580</v>
      </c>
      <c r="J1607" s="1658">
        <v>297945598280</v>
      </c>
      <c r="K1607" s="1658">
        <v>56859847</v>
      </c>
    </row>
    <row r="1608" spans="1:11" x14ac:dyDescent="0.3">
      <c r="A1608" s="1657">
        <v>44028</v>
      </c>
      <c r="B1608" s="1658">
        <v>5200</v>
      </c>
      <c r="C1608" s="1658">
        <v>-40</v>
      </c>
      <c r="D1608" s="1659">
        <v>-0.76</v>
      </c>
      <c r="E1608" s="1658">
        <v>5240</v>
      </c>
      <c r="F1608" s="1658">
        <v>5300</v>
      </c>
      <c r="G1608" s="1658">
        <v>5090</v>
      </c>
      <c r="H1608" s="1658">
        <v>131995</v>
      </c>
      <c r="I1608" s="1658">
        <v>681931120</v>
      </c>
      <c r="J1608" s="1658">
        <v>295671204400</v>
      </c>
      <c r="K1608" s="1658">
        <v>56859847</v>
      </c>
    </row>
    <row r="1609" spans="1:11" x14ac:dyDescent="0.3">
      <c r="A1609" s="1657">
        <v>44029</v>
      </c>
      <c r="B1609" s="1658">
        <v>5130</v>
      </c>
      <c r="C1609" s="1658">
        <v>-70</v>
      </c>
      <c r="D1609" s="1659">
        <v>-1.35</v>
      </c>
      <c r="E1609" s="1658">
        <v>5150</v>
      </c>
      <c r="F1609" s="1658">
        <v>5190</v>
      </c>
      <c r="G1609" s="1658">
        <v>5060</v>
      </c>
      <c r="H1609" s="1658">
        <v>125342</v>
      </c>
      <c r="I1609" s="1658">
        <v>641154300</v>
      </c>
      <c r="J1609" s="1658">
        <v>291691015110</v>
      </c>
      <c r="K1609" s="1658">
        <v>56859847</v>
      </c>
    </row>
    <row r="1610" spans="1:11" x14ac:dyDescent="0.3">
      <c r="A1610" s="1657">
        <v>44032</v>
      </c>
      <c r="B1610" s="1658">
        <v>5090</v>
      </c>
      <c r="C1610" s="1658">
        <v>-40</v>
      </c>
      <c r="D1610" s="1659">
        <v>-0.78</v>
      </c>
      <c r="E1610" s="1658">
        <v>5140</v>
      </c>
      <c r="F1610" s="1658">
        <v>5230</v>
      </c>
      <c r="G1610" s="1658">
        <v>5020</v>
      </c>
      <c r="H1610" s="1658">
        <v>114490</v>
      </c>
      <c r="I1610" s="1658">
        <v>580039810</v>
      </c>
      <c r="J1610" s="1658">
        <v>289416621230</v>
      </c>
      <c r="K1610" s="1658">
        <v>56859847</v>
      </c>
    </row>
    <row r="1611" spans="1:11" x14ac:dyDescent="0.3">
      <c r="A1611" s="1657">
        <v>44033</v>
      </c>
      <c r="B1611" s="1658">
        <v>5080</v>
      </c>
      <c r="C1611" s="1658">
        <v>-10</v>
      </c>
      <c r="D1611" s="1659">
        <v>-0.2</v>
      </c>
      <c r="E1611" s="1658">
        <v>5090</v>
      </c>
      <c r="F1611" s="1658">
        <v>5190</v>
      </c>
      <c r="G1611" s="1658">
        <v>5050</v>
      </c>
      <c r="H1611" s="1658">
        <v>127221</v>
      </c>
      <c r="I1611" s="1658">
        <v>652710150</v>
      </c>
      <c r="J1611" s="1658">
        <v>288848022760</v>
      </c>
      <c r="K1611" s="1658">
        <v>56859847</v>
      </c>
    </row>
    <row r="1612" spans="1:11" x14ac:dyDescent="0.3">
      <c r="A1612" s="1657">
        <v>44034</v>
      </c>
      <c r="B1612" s="1658">
        <v>5060</v>
      </c>
      <c r="C1612" s="1658">
        <v>-20</v>
      </c>
      <c r="D1612" s="1659">
        <v>-0.39</v>
      </c>
      <c r="E1612" s="1658">
        <v>5070</v>
      </c>
      <c r="F1612" s="1658">
        <v>5140</v>
      </c>
      <c r="G1612" s="1658">
        <v>5030</v>
      </c>
      <c r="H1612" s="1658">
        <v>125687</v>
      </c>
      <c r="I1612" s="1658">
        <v>636494700</v>
      </c>
      <c r="J1612" s="1658">
        <v>287710825820</v>
      </c>
      <c r="K1612" s="1658">
        <v>56859847</v>
      </c>
    </row>
    <row r="1613" spans="1:11" x14ac:dyDescent="0.3">
      <c r="A1613" s="1657">
        <v>44035</v>
      </c>
      <c r="B1613" s="1658">
        <v>5040</v>
      </c>
      <c r="C1613" s="1658">
        <v>-20</v>
      </c>
      <c r="D1613" s="1659">
        <v>-0.4</v>
      </c>
      <c r="E1613" s="1658">
        <v>5050</v>
      </c>
      <c r="F1613" s="1658">
        <v>5090</v>
      </c>
      <c r="G1613" s="1658">
        <v>4985</v>
      </c>
      <c r="H1613" s="1658">
        <v>138232</v>
      </c>
      <c r="I1613" s="1658">
        <v>693385885</v>
      </c>
      <c r="J1613" s="1658">
        <v>286573628880</v>
      </c>
      <c r="K1613" s="1658">
        <v>56859847</v>
      </c>
    </row>
    <row r="1614" spans="1:11" x14ac:dyDescent="0.3">
      <c r="A1614" s="1657">
        <v>44036</v>
      </c>
      <c r="B1614" s="1658">
        <v>5030</v>
      </c>
      <c r="C1614" s="1658">
        <v>-10</v>
      </c>
      <c r="D1614" s="1659">
        <v>-0.2</v>
      </c>
      <c r="E1614" s="1658">
        <v>5040</v>
      </c>
      <c r="F1614" s="1658">
        <v>5060</v>
      </c>
      <c r="G1614" s="1658">
        <v>4970</v>
      </c>
      <c r="H1614" s="1658">
        <v>114224</v>
      </c>
      <c r="I1614" s="1658">
        <v>570929625</v>
      </c>
      <c r="J1614" s="1658">
        <v>286005030410</v>
      </c>
      <c r="K1614" s="1658">
        <v>56859847</v>
      </c>
    </row>
    <row r="1615" spans="1:11" x14ac:dyDescent="0.3">
      <c r="A1615" s="1657">
        <v>44039</v>
      </c>
      <c r="B1615" s="1658">
        <v>5000</v>
      </c>
      <c r="C1615" s="1658">
        <v>-30</v>
      </c>
      <c r="D1615" s="1659">
        <v>-0.6</v>
      </c>
      <c r="E1615" s="1658">
        <v>5040</v>
      </c>
      <c r="F1615" s="1658">
        <v>5070</v>
      </c>
      <c r="G1615" s="1658">
        <v>4980</v>
      </c>
      <c r="H1615" s="1658">
        <v>101384</v>
      </c>
      <c r="I1615" s="1658">
        <v>508553620</v>
      </c>
      <c r="J1615" s="1658">
        <v>284299235000</v>
      </c>
      <c r="K1615" s="1658">
        <v>56859847</v>
      </c>
    </row>
    <row r="1616" spans="1:11" x14ac:dyDescent="0.3">
      <c r="A1616" s="1657">
        <v>44040</v>
      </c>
      <c r="B1616" s="1658">
        <v>4970</v>
      </c>
      <c r="C1616" s="1658">
        <v>-30</v>
      </c>
      <c r="D1616" s="1659">
        <v>-0.6</v>
      </c>
      <c r="E1616" s="1658">
        <v>5000</v>
      </c>
      <c r="F1616" s="1658">
        <v>5050</v>
      </c>
      <c r="G1616" s="1658">
        <v>4955</v>
      </c>
      <c r="H1616" s="1658">
        <v>97680</v>
      </c>
      <c r="I1616" s="1658">
        <v>487803215</v>
      </c>
      <c r="J1616" s="1658">
        <v>282593439590</v>
      </c>
      <c r="K1616" s="1658">
        <v>56859847</v>
      </c>
    </row>
    <row r="1617" spans="1:11" x14ac:dyDescent="0.3">
      <c r="A1617" s="1657">
        <v>44041</v>
      </c>
      <c r="B1617" s="1658">
        <v>4985</v>
      </c>
      <c r="C1617" s="1658">
        <v>15</v>
      </c>
      <c r="D1617" s="1659">
        <v>0.3</v>
      </c>
      <c r="E1617" s="1658">
        <v>5000</v>
      </c>
      <c r="F1617" s="1658">
        <v>5000</v>
      </c>
      <c r="G1617" s="1658">
        <v>4915</v>
      </c>
      <c r="H1617" s="1658">
        <v>104164</v>
      </c>
      <c r="I1617" s="1658">
        <v>515359110</v>
      </c>
      <c r="J1617" s="1658">
        <v>283446337295</v>
      </c>
      <c r="K1617" s="1658">
        <v>56859847</v>
      </c>
    </row>
    <row r="1618" spans="1:11" x14ac:dyDescent="0.3">
      <c r="A1618" s="1657">
        <v>44042</v>
      </c>
      <c r="B1618" s="1658">
        <v>4995</v>
      </c>
      <c r="C1618" s="1658">
        <v>10</v>
      </c>
      <c r="D1618" s="1659">
        <v>0.2</v>
      </c>
      <c r="E1618" s="1658">
        <v>4940</v>
      </c>
      <c r="F1618" s="1658">
        <v>5020</v>
      </c>
      <c r="G1618" s="1658">
        <v>4925</v>
      </c>
      <c r="H1618" s="1658">
        <v>127430</v>
      </c>
      <c r="I1618" s="1658">
        <v>632976175</v>
      </c>
      <c r="J1618" s="1658">
        <v>284014935765</v>
      </c>
      <c r="K1618" s="1658">
        <v>56859847</v>
      </c>
    </row>
    <row r="1619" spans="1:11" x14ac:dyDescent="0.3">
      <c r="A1619" s="1657">
        <v>44043</v>
      </c>
      <c r="B1619" s="1658">
        <v>4945</v>
      </c>
      <c r="C1619" s="1658">
        <v>-50</v>
      </c>
      <c r="D1619" s="1659">
        <v>-1</v>
      </c>
      <c r="E1619" s="1658">
        <v>5000</v>
      </c>
      <c r="F1619" s="1658">
        <v>5010</v>
      </c>
      <c r="G1619" s="1658">
        <v>4935</v>
      </c>
      <c r="H1619" s="1658">
        <v>80824</v>
      </c>
      <c r="I1619" s="1658">
        <v>400122880</v>
      </c>
      <c r="J1619" s="1658">
        <v>281171943415</v>
      </c>
      <c r="K1619" s="1658">
        <v>56859847</v>
      </c>
    </row>
    <row r="1620" spans="1:11" x14ac:dyDescent="0.3">
      <c r="A1620" s="1657">
        <v>44046</v>
      </c>
      <c r="B1620" s="1658">
        <v>4895</v>
      </c>
      <c r="C1620" s="1658">
        <v>-50</v>
      </c>
      <c r="D1620" s="1659">
        <v>-1.01</v>
      </c>
      <c r="E1620" s="1658">
        <v>4930</v>
      </c>
      <c r="F1620" s="1658">
        <v>4975</v>
      </c>
      <c r="G1620" s="1658">
        <v>4880</v>
      </c>
      <c r="H1620" s="1658">
        <v>111346</v>
      </c>
      <c r="I1620" s="1658">
        <v>546283125</v>
      </c>
      <c r="J1620" s="1658">
        <v>278328951065</v>
      </c>
      <c r="K1620" s="1658">
        <v>56859847</v>
      </c>
    </row>
    <row r="1621" spans="1:11" x14ac:dyDescent="0.3">
      <c r="A1621" s="1657">
        <v>44047</v>
      </c>
      <c r="B1621" s="1658">
        <v>4975</v>
      </c>
      <c r="C1621" s="1658">
        <v>80</v>
      </c>
      <c r="D1621" s="1659">
        <v>1.63</v>
      </c>
      <c r="E1621" s="1658">
        <v>4850</v>
      </c>
      <c r="F1621" s="1658">
        <v>4980</v>
      </c>
      <c r="G1621" s="1658">
        <v>4840</v>
      </c>
      <c r="H1621" s="1658">
        <v>76212</v>
      </c>
      <c r="I1621" s="1658">
        <v>376045385</v>
      </c>
      <c r="J1621" s="1658">
        <v>282877738825</v>
      </c>
      <c r="K1621" s="1658">
        <v>56859847</v>
      </c>
    </row>
    <row r="1622" spans="1:11" x14ac:dyDescent="0.3">
      <c r="A1622" s="1657">
        <v>44048</v>
      </c>
      <c r="B1622" s="1658">
        <v>5080</v>
      </c>
      <c r="C1622" s="1658">
        <v>105</v>
      </c>
      <c r="D1622" s="1659">
        <v>2.11</v>
      </c>
      <c r="E1622" s="1658">
        <v>4990</v>
      </c>
      <c r="F1622" s="1658">
        <v>5110</v>
      </c>
      <c r="G1622" s="1658">
        <v>4975</v>
      </c>
      <c r="H1622" s="1658">
        <v>148527</v>
      </c>
      <c r="I1622" s="1658">
        <v>751385745</v>
      </c>
      <c r="J1622" s="1658">
        <v>288848022760</v>
      </c>
      <c r="K1622" s="1658">
        <v>56859847</v>
      </c>
    </row>
    <row r="1623" spans="1:11" x14ac:dyDescent="0.3">
      <c r="A1623" s="1657">
        <v>44049</v>
      </c>
      <c r="B1623" s="1658">
        <v>5080</v>
      </c>
      <c r="C1623" s="1658">
        <v>0</v>
      </c>
      <c r="D1623" s="1659">
        <v>0</v>
      </c>
      <c r="E1623" s="1658">
        <v>5090</v>
      </c>
      <c r="F1623" s="1658">
        <v>5220</v>
      </c>
      <c r="G1623" s="1658">
        <v>5060</v>
      </c>
      <c r="H1623" s="1658">
        <v>144369</v>
      </c>
      <c r="I1623" s="1658">
        <v>740617280</v>
      </c>
      <c r="J1623" s="1658">
        <v>288848022760</v>
      </c>
      <c r="K1623" s="1658">
        <v>56859847</v>
      </c>
    </row>
    <row r="1624" spans="1:11" x14ac:dyDescent="0.3">
      <c r="A1624" s="1657">
        <v>44050</v>
      </c>
      <c r="B1624" s="1658">
        <v>5040</v>
      </c>
      <c r="C1624" s="1658">
        <v>-40</v>
      </c>
      <c r="D1624" s="1659">
        <v>-0.79</v>
      </c>
      <c r="E1624" s="1658">
        <v>5080</v>
      </c>
      <c r="F1624" s="1658">
        <v>5190</v>
      </c>
      <c r="G1624" s="1658">
        <v>4980</v>
      </c>
      <c r="H1624" s="1658">
        <v>113537</v>
      </c>
      <c r="I1624" s="1658">
        <v>575899400</v>
      </c>
      <c r="J1624" s="1658">
        <v>286573628880</v>
      </c>
      <c r="K1624" s="1658">
        <v>56859847</v>
      </c>
    </row>
    <row r="1625" spans="1:11" x14ac:dyDescent="0.3">
      <c r="A1625" s="1657">
        <v>44053</v>
      </c>
      <c r="B1625" s="1658">
        <v>5030</v>
      </c>
      <c r="C1625" s="1658">
        <v>-10</v>
      </c>
      <c r="D1625" s="1659">
        <v>-0.2</v>
      </c>
      <c r="E1625" s="1658">
        <v>5010</v>
      </c>
      <c r="F1625" s="1658">
        <v>5070</v>
      </c>
      <c r="G1625" s="1658">
        <v>4970</v>
      </c>
      <c r="H1625" s="1658">
        <v>83397</v>
      </c>
      <c r="I1625" s="1658">
        <v>418277220</v>
      </c>
      <c r="J1625" s="1658">
        <v>286005030410</v>
      </c>
      <c r="K1625" s="1658">
        <v>56859847</v>
      </c>
    </row>
    <row r="1626" spans="1:11" x14ac:dyDescent="0.3">
      <c r="A1626" s="1657">
        <v>44054</v>
      </c>
      <c r="B1626" s="1658">
        <v>5020</v>
      </c>
      <c r="C1626" s="1658">
        <v>-10</v>
      </c>
      <c r="D1626" s="1659">
        <v>-0.2</v>
      </c>
      <c r="E1626" s="1658">
        <v>5050</v>
      </c>
      <c r="F1626" s="1658">
        <v>5060</v>
      </c>
      <c r="G1626" s="1658">
        <v>4980</v>
      </c>
      <c r="H1626" s="1658">
        <v>87533</v>
      </c>
      <c r="I1626" s="1658">
        <v>437881640</v>
      </c>
      <c r="J1626" s="1658">
        <v>285436431940</v>
      </c>
      <c r="K1626" s="1658">
        <v>56859847</v>
      </c>
    </row>
    <row r="1627" spans="1:11" x14ac:dyDescent="0.3">
      <c r="A1627" s="1657">
        <v>44055</v>
      </c>
      <c r="B1627" s="1658">
        <v>4985</v>
      </c>
      <c r="C1627" s="1658">
        <v>-35</v>
      </c>
      <c r="D1627" s="1659">
        <v>-0.7</v>
      </c>
      <c r="E1627" s="1658">
        <v>5040</v>
      </c>
      <c r="F1627" s="1658">
        <v>5060</v>
      </c>
      <c r="G1627" s="1658">
        <v>4870</v>
      </c>
      <c r="H1627" s="1658">
        <v>188274</v>
      </c>
      <c r="I1627" s="1658">
        <v>931374080</v>
      </c>
      <c r="J1627" s="1658">
        <v>283446337295</v>
      </c>
      <c r="K1627" s="1658">
        <v>56859847</v>
      </c>
    </row>
    <row r="1628" spans="1:11" x14ac:dyDescent="0.3">
      <c r="A1628" s="1657">
        <v>44056</v>
      </c>
      <c r="B1628" s="1658">
        <v>5130</v>
      </c>
      <c r="C1628" s="1658">
        <v>145</v>
      </c>
      <c r="D1628" s="1659">
        <v>2.91</v>
      </c>
      <c r="E1628" s="1658">
        <v>5000</v>
      </c>
      <c r="F1628" s="1658">
        <v>5180</v>
      </c>
      <c r="G1628" s="1658">
        <v>4935</v>
      </c>
      <c r="H1628" s="1658">
        <v>195137</v>
      </c>
      <c r="I1628" s="1658">
        <v>989064460</v>
      </c>
      <c r="J1628" s="1658">
        <v>291691015110</v>
      </c>
      <c r="K1628" s="1658">
        <v>56859847</v>
      </c>
    </row>
    <row r="1629" spans="1:11" x14ac:dyDescent="0.3">
      <c r="A1629" s="1657">
        <v>44057</v>
      </c>
      <c r="B1629" s="1658">
        <v>5080</v>
      </c>
      <c r="C1629" s="1658">
        <v>-50</v>
      </c>
      <c r="D1629" s="1659">
        <v>-0.97</v>
      </c>
      <c r="E1629" s="1658">
        <v>5090</v>
      </c>
      <c r="F1629" s="1658">
        <v>5150</v>
      </c>
      <c r="G1629" s="1658">
        <v>5030</v>
      </c>
      <c r="H1629" s="1658">
        <v>122955</v>
      </c>
      <c r="I1629" s="1658">
        <v>625002960</v>
      </c>
      <c r="J1629" s="1658">
        <v>288848022760</v>
      </c>
      <c r="K1629" s="1658">
        <v>56859847</v>
      </c>
    </row>
    <row r="1630" spans="1:11" x14ac:dyDescent="0.3">
      <c r="A1630" s="1657">
        <v>44061</v>
      </c>
      <c r="B1630" s="1658">
        <v>4870</v>
      </c>
      <c r="C1630" s="1658">
        <v>-210</v>
      </c>
      <c r="D1630" s="1659">
        <v>-4.13</v>
      </c>
      <c r="E1630" s="1658">
        <v>5100</v>
      </c>
      <c r="F1630" s="1658">
        <v>5100</v>
      </c>
      <c r="G1630" s="1658">
        <v>4830</v>
      </c>
      <c r="H1630" s="1658">
        <v>221494</v>
      </c>
      <c r="I1630" s="1658">
        <v>1090336645</v>
      </c>
      <c r="J1630" s="1658">
        <v>276907454890</v>
      </c>
      <c r="K1630" s="1658">
        <v>56859847</v>
      </c>
    </row>
    <row r="1631" spans="1:11" x14ac:dyDescent="0.3">
      <c r="A1631" s="1657">
        <v>44062</v>
      </c>
      <c r="B1631" s="1658">
        <v>4940</v>
      </c>
      <c r="C1631" s="1658">
        <v>70</v>
      </c>
      <c r="D1631" s="1659">
        <v>1.44</v>
      </c>
      <c r="E1631" s="1658">
        <v>4950</v>
      </c>
      <c r="F1631" s="1658">
        <v>4965</v>
      </c>
      <c r="G1631" s="1658">
        <v>4800</v>
      </c>
      <c r="H1631" s="1658">
        <v>106873</v>
      </c>
      <c r="I1631" s="1658">
        <v>521867805</v>
      </c>
      <c r="J1631" s="1658">
        <v>280887644180</v>
      </c>
      <c r="K1631" s="1658">
        <v>56859847</v>
      </c>
    </row>
    <row r="1632" spans="1:11" x14ac:dyDescent="0.3">
      <c r="A1632" s="1657">
        <v>44063</v>
      </c>
      <c r="B1632" s="1658">
        <v>4690</v>
      </c>
      <c r="C1632" s="1658">
        <v>-250</v>
      </c>
      <c r="D1632" s="1659">
        <v>-5.0599999999999996</v>
      </c>
      <c r="E1632" s="1658">
        <v>4895</v>
      </c>
      <c r="F1632" s="1658">
        <v>4940</v>
      </c>
      <c r="G1632" s="1658">
        <v>4680</v>
      </c>
      <c r="H1632" s="1658">
        <v>198252</v>
      </c>
      <c r="I1632" s="1658">
        <v>945132120</v>
      </c>
      <c r="J1632" s="1658">
        <v>266672682430</v>
      </c>
      <c r="K1632" s="1658">
        <v>56859847</v>
      </c>
    </row>
    <row r="1633" spans="1:11" x14ac:dyDescent="0.3">
      <c r="A1633" s="1657">
        <v>44064</v>
      </c>
      <c r="B1633" s="1658">
        <v>4765</v>
      </c>
      <c r="C1633" s="1658">
        <v>75</v>
      </c>
      <c r="D1633" s="1659">
        <v>1.6</v>
      </c>
      <c r="E1633" s="1658">
        <v>4825</v>
      </c>
      <c r="F1633" s="1658">
        <v>4895</v>
      </c>
      <c r="G1633" s="1658">
        <v>4695</v>
      </c>
      <c r="H1633" s="1658">
        <v>123223</v>
      </c>
      <c r="I1633" s="1658">
        <v>589278875</v>
      </c>
      <c r="J1633" s="1658">
        <v>270937170955</v>
      </c>
      <c r="K1633" s="1658">
        <v>56859847</v>
      </c>
    </row>
    <row r="1634" spans="1:11" x14ac:dyDescent="0.3">
      <c r="A1634" s="1657">
        <v>44067</v>
      </c>
      <c r="B1634" s="1658">
        <v>4870</v>
      </c>
      <c r="C1634" s="1658">
        <v>105</v>
      </c>
      <c r="D1634" s="1659">
        <v>2.2000000000000002</v>
      </c>
      <c r="E1634" s="1658">
        <v>4795</v>
      </c>
      <c r="F1634" s="1658">
        <v>4900</v>
      </c>
      <c r="G1634" s="1658">
        <v>4710</v>
      </c>
      <c r="H1634" s="1658">
        <v>109926</v>
      </c>
      <c r="I1634" s="1658">
        <v>531659270</v>
      </c>
      <c r="J1634" s="1658">
        <v>276907454890</v>
      </c>
      <c r="K1634" s="1658">
        <v>56859847</v>
      </c>
    </row>
    <row r="1635" spans="1:11" x14ac:dyDescent="0.3">
      <c r="A1635" s="1657">
        <v>44068</v>
      </c>
      <c r="B1635" s="1658">
        <v>4900</v>
      </c>
      <c r="C1635" s="1658">
        <v>30</v>
      </c>
      <c r="D1635" s="1659">
        <v>0.62</v>
      </c>
      <c r="E1635" s="1658">
        <v>4870</v>
      </c>
      <c r="F1635" s="1658">
        <v>4935</v>
      </c>
      <c r="G1635" s="1658">
        <v>4820</v>
      </c>
      <c r="H1635" s="1658">
        <v>95542</v>
      </c>
      <c r="I1635" s="1658">
        <v>467104130</v>
      </c>
      <c r="J1635" s="1658">
        <v>278613250300</v>
      </c>
      <c r="K1635" s="1658">
        <v>56859847</v>
      </c>
    </row>
    <row r="1636" spans="1:11" x14ac:dyDescent="0.3">
      <c r="A1636" s="1657">
        <v>44069</v>
      </c>
      <c r="B1636" s="1658">
        <v>4745</v>
      </c>
      <c r="C1636" s="1658">
        <v>-155</v>
      </c>
      <c r="D1636" s="1659">
        <v>-3.16</v>
      </c>
      <c r="E1636" s="1658">
        <v>4930</v>
      </c>
      <c r="F1636" s="1658">
        <v>4930</v>
      </c>
      <c r="G1636" s="1658">
        <v>4720</v>
      </c>
      <c r="H1636" s="1658">
        <v>209147</v>
      </c>
      <c r="I1636" s="1658">
        <v>996285440</v>
      </c>
      <c r="J1636" s="1658">
        <v>269799974015</v>
      </c>
      <c r="K1636" s="1658">
        <v>56859847</v>
      </c>
    </row>
    <row r="1637" spans="1:11" x14ac:dyDescent="0.3">
      <c r="A1637" s="1657">
        <v>44070</v>
      </c>
      <c r="B1637" s="1658">
        <v>4630</v>
      </c>
      <c r="C1637" s="1658">
        <v>-115</v>
      </c>
      <c r="D1637" s="1659">
        <v>-2.42</v>
      </c>
      <c r="E1637" s="1658">
        <v>4770</v>
      </c>
      <c r="F1637" s="1658">
        <v>4770</v>
      </c>
      <c r="G1637" s="1658">
        <v>4610</v>
      </c>
      <c r="H1637" s="1658">
        <v>193728</v>
      </c>
      <c r="I1637" s="1658">
        <v>903564880</v>
      </c>
      <c r="J1637" s="1658">
        <v>263261091610</v>
      </c>
      <c r="K1637" s="1658">
        <v>56859847</v>
      </c>
    </row>
    <row r="1638" spans="1:11" x14ac:dyDescent="0.3">
      <c r="A1638" s="1657">
        <v>44071</v>
      </c>
      <c r="B1638" s="1658">
        <v>4695</v>
      </c>
      <c r="C1638" s="1658">
        <v>65</v>
      </c>
      <c r="D1638" s="1659">
        <v>1.4</v>
      </c>
      <c r="E1638" s="1658">
        <v>4635</v>
      </c>
      <c r="F1638" s="1658">
        <v>4820</v>
      </c>
      <c r="G1638" s="1658">
        <v>4635</v>
      </c>
      <c r="H1638" s="1658">
        <v>167140</v>
      </c>
      <c r="I1638" s="1658">
        <v>792514595</v>
      </c>
      <c r="J1638" s="1658">
        <v>266956981665</v>
      </c>
      <c r="K1638" s="1658">
        <v>56859847</v>
      </c>
    </row>
    <row r="1639" spans="1:11" x14ac:dyDescent="0.3">
      <c r="A1639" s="1657">
        <v>44074</v>
      </c>
      <c r="B1639" s="1658">
        <v>4885</v>
      </c>
      <c r="C1639" s="1658">
        <v>190</v>
      </c>
      <c r="D1639" s="1659">
        <v>4.05</v>
      </c>
      <c r="E1639" s="1658">
        <v>4720</v>
      </c>
      <c r="F1639" s="1658">
        <v>5020</v>
      </c>
      <c r="G1639" s="1658">
        <v>4685</v>
      </c>
      <c r="H1639" s="1658">
        <v>254346</v>
      </c>
      <c r="I1639" s="1658">
        <v>1250519140</v>
      </c>
      <c r="J1639" s="1658">
        <v>277760352595</v>
      </c>
      <c r="K1639" s="1658">
        <v>56859847</v>
      </c>
    </row>
    <row r="1640" spans="1:11" x14ac:dyDescent="0.3">
      <c r="A1640" s="1657">
        <v>44075</v>
      </c>
      <c r="B1640" s="1658">
        <v>4850</v>
      </c>
      <c r="C1640" s="1658">
        <v>-35</v>
      </c>
      <c r="D1640" s="1659">
        <v>-0.72</v>
      </c>
      <c r="E1640" s="1658">
        <v>5320</v>
      </c>
      <c r="F1640" s="1658">
        <v>5320</v>
      </c>
      <c r="G1640" s="1658">
        <v>4850</v>
      </c>
      <c r="H1640" s="1658">
        <v>363805</v>
      </c>
      <c r="I1640" s="1658">
        <v>1832658060</v>
      </c>
      <c r="J1640" s="1658">
        <v>275770257950</v>
      </c>
      <c r="K1640" s="1658">
        <v>56859847</v>
      </c>
    </row>
    <row r="1641" spans="1:11" x14ac:dyDescent="0.3">
      <c r="A1641" s="1657">
        <v>44076</v>
      </c>
      <c r="B1641" s="1658">
        <v>4900</v>
      </c>
      <c r="C1641" s="1658">
        <v>50</v>
      </c>
      <c r="D1641" s="1659">
        <v>1.03</v>
      </c>
      <c r="E1641" s="1658">
        <v>4935</v>
      </c>
      <c r="F1641" s="1658">
        <v>4985</v>
      </c>
      <c r="G1641" s="1658">
        <v>4860</v>
      </c>
      <c r="H1641" s="1658">
        <v>101513</v>
      </c>
      <c r="I1641" s="1658">
        <v>498203180</v>
      </c>
      <c r="J1641" s="1658">
        <v>278613250300</v>
      </c>
      <c r="K1641" s="1658">
        <v>56859847</v>
      </c>
    </row>
    <row r="1642" spans="1:11" x14ac:dyDescent="0.3">
      <c r="A1642" s="1657">
        <v>44077</v>
      </c>
      <c r="B1642" s="1658">
        <v>4990</v>
      </c>
      <c r="C1642" s="1658">
        <v>90</v>
      </c>
      <c r="D1642" s="1659">
        <v>1.84</v>
      </c>
      <c r="E1642" s="1658">
        <v>5100</v>
      </c>
      <c r="F1642" s="1658">
        <v>5130</v>
      </c>
      <c r="G1642" s="1658">
        <v>4915</v>
      </c>
      <c r="H1642" s="1658">
        <v>192325</v>
      </c>
      <c r="I1642" s="1658">
        <v>962377060</v>
      </c>
      <c r="J1642" s="1658">
        <v>283730636530</v>
      </c>
      <c r="K1642" s="1658">
        <v>56859847</v>
      </c>
    </row>
    <row r="1643" spans="1:11" x14ac:dyDescent="0.3">
      <c r="A1643" s="1657">
        <v>44078</v>
      </c>
      <c r="B1643" s="1658">
        <v>4885</v>
      </c>
      <c r="C1643" s="1658">
        <v>-105</v>
      </c>
      <c r="D1643" s="1659">
        <v>-2.1</v>
      </c>
      <c r="E1643" s="1658">
        <v>4850</v>
      </c>
      <c r="F1643" s="1658">
        <v>4960</v>
      </c>
      <c r="G1643" s="1658">
        <v>4800</v>
      </c>
      <c r="H1643" s="1658">
        <v>188172</v>
      </c>
      <c r="I1643" s="1658">
        <v>917257650</v>
      </c>
      <c r="J1643" s="1658">
        <v>277760352595</v>
      </c>
      <c r="K1643" s="1658">
        <v>56859847</v>
      </c>
    </row>
    <row r="1644" spans="1:11" x14ac:dyDescent="0.3">
      <c r="A1644" s="1657">
        <v>44081</v>
      </c>
      <c r="B1644" s="1658">
        <v>4980</v>
      </c>
      <c r="C1644" s="1658">
        <v>95</v>
      </c>
      <c r="D1644" s="1659">
        <v>1.94</v>
      </c>
      <c r="E1644" s="1658">
        <v>4920</v>
      </c>
      <c r="F1644" s="1658">
        <v>5100</v>
      </c>
      <c r="G1644" s="1658">
        <v>4920</v>
      </c>
      <c r="H1644" s="1658">
        <v>185382</v>
      </c>
      <c r="I1644" s="1658">
        <v>927725755</v>
      </c>
      <c r="J1644" s="1658">
        <v>283162038060</v>
      </c>
      <c r="K1644" s="1658">
        <v>56859847</v>
      </c>
    </row>
    <row r="1645" spans="1:11" x14ac:dyDescent="0.3">
      <c r="A1645" s="1657">
        <v>44082</v>
      </c>
      <c r="B1645" s="1658">
        <v>5200</v>
      </c>
      <c r="C1645" s="1658">
        <v>220</v>
      </c>
      <c r="D1645" s="1659">
        <v>4.42</v>
      </c>
      <c r="E1645" s="1658">
        <v>5070</v>
      </c>
      <c r="F1645" s="1658">
        <v>5300</v>
      </c>
      <c r="G1645" s="1658">
        <v>4980</v>
      </c>
      <c r="H1645" s="1658">
        <v>558116</v>
      </c>
      <c r="I1645" s="1658">
        <v>2883132560</v>
      </c>
      <c r="J1645" s="1658">
        <v>295671204400</v>
      </c>
      <c r="K1645" s="1658">
        <v>56859847</v>
      </c>
    </row>
    <row r="1646" spans="1:11" x14ac:dyDescent="0.3">
      <c r="A1646" s="1657">
        <v>44083</v>
      </c>
      <c r="B1646" s="1658">
        <v>5080</v>
      </c>
      <c r="C1646" s="1658">
        <v>-120</v>
      </c>
      <c r="D1646" s="1659">
        <v>-2.31</v>
      </c>
      <c r="E1646" s="1658">
        <v>5110</v>
      </c>
      <c r="F1646" s="1658">
        <v>5260</v>
      </c>
      <c r="G1646" s="1658">
        <v>5040</v>
      </c>
      <c r="H1646" s="1658">
        <v>295305</v>
      </c>
      <c r="I1646" s="1658">
        <v>1515571470</v>
      </c>
      <c r="J1646" s="1658">
        <v>288848022760</v>
      </c>
      <c r="K1646" s="1658">
        <v>56859847</v>
      </c>
    </row>
    <row r="1647" spans="1:11" x14ac:dyDescent="0.3">
      <c r="A1647" s="1657">
        <v>44084</v>
      </c>
      <c r="B1647" s="1658">
        <v>5160</v>
      </c>
      <c r="C1647" s="1658">
        <v>80</v>
      </c>
      <c r="D1647" s="1659">
        <v>1.57</v>
      </c>
      <c r="E1647" s="1658">
        <v>5120</v>
      </c>
      <c r="F1647" s="1658">
        <v>5250</v>
      </c>
      <c r="G1647" s="1658">
        <v>5060</v>
      </c>
      <c r="H1647" s="1658">
        <v>268048</v>
      </c>
      <c r="I1647" s="1658">
        <v>1373400070</v>
      </c>
      <c r="J1647" s="1658">
        <v>293396810520</v>
      </c>
      <c r="K1647" s="1658">
        <v>56859847</v>
      </c>
    </row>
    <row r="1648" spans="1:11" x14ac:dyDescent="0.3">
      <c r="A1648" s="1657">
        <v>44085</v>
      </c>
      <c r="B1648" s="1658">
        <v>5140</v>
      </c>
      <c r="C1648" s="1658">
        <v>-20</v>
      </c>
      <c r="D1648" s="1659">
        <v>-0.39</v>
      </c>
      <c r="E1648" s="1658">
        <v>5210</v>
      </c>
      <c r="F1648" s="1658">
        <v>5210</v>
      </c>
      <c r="G1648" s="1658">
        <v>5050</v>
      </c>
      <c r="H1648" s="1658">
        <v>159824</v>
      </c>
      <c r="I1648" s="1658">
        <v>816034810</v>
      </c>
      <c r="J1648" s="1658">
        <v>292259613580</v>
      </c>
      <c r="K1648" s="1658">
        <v>56859847</v>
      </c>
    </row>
    <row r="1649" spans="1:11" x14ac:dyDescent="0.3">
      <c r="A1649" s="1657">
        <v>44088</v>
      </c>
      <c r="B1649" s="1658">
        <v>5440</v>
      </c>
      <c r="C1649" s="1658">
        <v>300</v>
      </c>
      <c r="D1649" s="1659">
        <v>5.84</v>
      </c>
      <c r="E1649" s="1658">
        <v>5160</v>
      </c>
      <c r="F1649" s="1658">
        <v>5450</v>
      </c>
      <c r="G1649" s="1658">
        <v>5140</v>
      </c>
      <c r="H1649" s="1658">
        <v>482922</v>
      </c>
      <c r="I1649" s="1658">
        <v>2583538720</v>
      </c>
      <c r="J1649" s="1658">
        <v>309317567680</v>
      </c>
      <c r="K1649" s="1658">
        <v>56859847</v>
      </c>
    </row>
    <row r="1650" spans="1:11" x14ac:dyDescent="0.3">
      <c r="A1650" s="1657">
        <v>44089</v>
      </c>
      <c r="B1650" s="1658">
        <v>5380</v>
      </c>
      <c r="C1650" s="1658">
        <v>-60</v>
      </c>
      <c r="D1650" s="1659">
        <v>-1.1000000000000001</v>
      </c>
      <c r="E1650" s="1658">
        <v>5310</v>
      </c>
      <c r="F1650" s="1658">
        <v>5420</v>
      </c>
      <c r="G1650" s="1658">
        <v>5250</v>
      </c>
      <c r="H1650" s="1658">
        <v>201489</v>
      </c>
      <c r="I1650" s="1658">
        <v>1073644430</v>
      </c>
      <c r="J1650" s="1658">
        <v>305905976860</v>
      </c>
      <c r="K1650" s="1658">
        <v>56859847</v>
      </c>
    </row>
    <row r="1651" spans="1:11" x14ac:dyDescent="0.3">
      <c r="A1651" s="1657">
        <v>44090</v>
      </c>
      <c r="B1651" s="1658">
        <v>5190</v>
      </c>
      <c r="C1651" s="1658">
        <v>-190</v>
      </c>
      <c r="D1651" s="1659">
        <v>-3.53</v>
      </c>
      <c r="E1651" s="1658">
        <v>5350</v>
      </c>
      <c r="F1651" s="1658">
        <v>5350</v>
      </c>
      <c r="G1651" s="1658">
        <v>5180</v>
      </c>
      <c r="H1651" s="1658">
        <v>176057</v>
      </c>
      <c r="I1651" s="1658">
        <v>923720590</v>
      </c>
      <c r="J1651" s="1658">
        <v>295102605930</v>
      </c>
      <c r="K1651" s="1658">
        <v>56859847</v>
      </c>
    </row>
    <row r="1652" spans="1:11" x14ac:dyDescent="0.3">
      <c r="A1652" s="1657">
        <v>44091</v>
      </c>
      <c r="B1652" s="1658">
        <v>5030</v>
      </c>
      <c r="C1652" s="1658">
        <v>-160</v>
      </c>
      <c r="D1652" s="1659">
        <v>-3.08</v>
      </c>
      <c r="E1652" s="1658">
        <v>5170</v>
      </c>
      <c r="F1652" s="1658">
        <v>5280</v>
      </c>
      <c r="G1652" s="1658">
        <v>5000</v>
      </c>
      <c r="H1652" s="1658">
        <v>191886</v>
      </c>
      <c r="I1652" s="1658">
        <v>973254050</v>
      </c>
      <c r="J1652" s="1658">
        <v>286005030410</v>
      </c>
      <c r="K1652" s="1658">
        <v>56859847</v>
      </c>
    </row>
    <row r="1653" spans="1:11" x14ac:dyDescent="0.3">
      <c r="A1653" s="1657">
        <v>44092</v>
      </c>
      <c r="B1653" s="1658">
        <v>5060</v>
      </c>
      <c r="C1653" s="1658">
        <v>30</v>
      </c>
      <c r="D1653" s="1659">
        <v>0.6</v>
      </c>
      <c r="E1653" s="1658">
        <v>5120</v>
      </c>
      <c r="F1653" s="1658">
        <v>5120</v>
      </c>
      <c r="G1653" s="1658">
        <v>4985</v>
      </c>
      <c r="H1653" s="1658">
        <v>112229</v>
      </c>
      <c r="I1653" s="1658">
        <v>563523725</v>
      </c>
      <c r="J1653" s="1658">
        <v>287710825820</v>
      </c>
      <c r="K1653" s="1658">
        <v>56859847</v>
      </c>
    </row>
    <row r="1654" spans="1:11" x14ac:dyDescent="0.3">
      <c r="A1654" s="1657">
        <v>44095</v>
      </c>
      <c r="B1654" s="1658">
        <v>4950</v>
      </c>
      <c r="C1654" s="1658">
        <v>-110</v>
      </c>
      <c r="D1654" s="1659">
        <v>-2.17</v>
      </c>
      <c r="E1654" s="1658">
        <v>5020</v>
      </c>
      <c r="F1654" s="1658">
        <v>5120</v>
      </c>
      <c r="G1654" s="1658">
        <v>4930</v>
      </c>
      <c r="H1654" s="1658">
        <v>191002</v>
      </c>
      <c r="I1654" s="1658">
        <v>952117220</v>
      </c>
      <c r="J1654" s="1658">
        <v>281456242650</v>
      </c>
      <c r="K1654" s="1658">
        <v>56859847</v>
      </c>
    </row>
    <row r="1655" spans="1:11" x14ac:dyDescent="0.3">
      <c r="A1655" s="1657">
        <v>44096</v>
      </c>
      <c r="B1655" s="1658">
        <v>4850</v>
      </c>
      <c r="C1655" s="1658">
        <v>-100</v>
      </c>
      <c r="D1655" s="1659">
        <v>-2.02</v>
      </c>
      <c r="E1655" s="1658">
        <v>4995</v>
      </c>
      <c r="F1655" s="1658">
        <v>5000</v>
      </c>
      <c r="G1655" s="1658">
        <v>4845</v>
      </c>
      <c r="H1655" s="1658">
        <v>141458</v>
      </c>
      <c r="I1655" s="1658">
        <v>696626915</v>
      </c>
      <c r="J1655" s="1658">
        <v>275770257950</v>
      </c>
      <c r="K1655" s="1658">
        <v>56859847</v>
      </c>
    </row>
    <row r="1656" spans="1:11" x14ac:dyDescent="0.3">
      <c r="A1656" s="1657">
        <v>44097</v>
      </c>
      <c r="B1656" s="1658">
        <v>4915</v>
      </c>
      <c r="C1656" s="1658">
        <v>65</v>
      </c>
      <c r="D1656" s="1659">
        <v>1.34</v>
      </c>
      <c r="E1656" s="1658">
        <v>4910</v>
      </c>
      <c r="F1656" s="1658">
        <v>4920</v>
      </c>
      <c r="G1656" s="1658">
        <v>4790</v>
      </c>
      <c r="H1656" s="1658">
        <v>124231</v>
      </c>
      <c r="I1656" s="1658">
        <v>603314970</v>
      </c>
      <c r="J1656" s="1658">
        <v>279466148005</v>
      </c>
      <c r="K1656" s="1658">
        <v>56859847</v>
      </c>
    </row>
    <row r="1657" spans="1:11" x14ac:dyDescent="0.3">
      <c r="A1657" s="1657">
        <v>44098</v>
      </c>
      <c r="B1657" s="1658">
        <v>5070</v>
      </c>
      <c r="C1657" s="1658">
        <v>155</v>
      </c>
      <c r="D1657" s="1659">
        <v>3.15</v>
      </c>
      <c r="E1657" s="1658">
        <v>4890</v>
      </c>
      <c r="F1657" s="1658">
        <v>5800</v>
      </c>
      <c r="G1657" s="1658">
        <v>4795</v>
      </c>
      <c r="H1657" s="1658">
        <v>1403450</v>
      </c>
      <c r="I1657" s="1658">
        <v>7350427000</v>
      </c>
      <c r="J1657" s="1658">
        <v>288279424290</v>
      </c>
      <c r="K1657" s="1658">
        <v>56859847</v>
      </c>
    </row>
    <row r="1658" spans="1:11" x14ac:dyDescent="0.3">
      <c r="A1658" s="1657">
        <v>44099</v>
      </c>
      <c r="B1658" s="1658">
        <v>4910</v>
      </c>
      <c r="C1658" s="1658">
        <v>-160</v>
      </c>
      <c r="D1658" s="1659">
        <v>-3.16</v>
      </c>
      <c r="E1658" s="1658">
        <v>5050</v>
      </c>
      <c r="F1658" s="1658">
        <v>5050</v>
      </c>
      <c r="G1658" s="1658">
        <v>4880</v>
      </c>
      <c r="H1658" s="1658">
        <v>201660</v>
      </c>
      <c r="I1658" s="1658">
        <v>995837515</v>
      </c>
      <c r="J1658" s="1658">
        <v>279181848770</v>
      </c>
      <c r="K1658" s="1658">
        <v>56859847</v>
      </c>
    </row>
    <row r="1659" spans="1:11" x14ac:dyDescent="0.3">
      <c r="A1659" s="1657">
        <v>44102</v>
      </c>
      <c r="B1659" s="1658">
        <v>4930</v>
      </c>
      <c r="C1659" s="1658">
        <v>20</v>
      </c>
      <c r="D1659" s="1659">
        <v>0.41</v>
      </c>
      <c r="E1659" s="1658">
        <v>5020</v>
      </c>
      <c r="F1659" s="1658">
        <v>5020</v>
      </c>
      <c r="G1659" s="1658">
        <v>4860</v>
      </c>
      <c r="H1659" s="1658">
        <v>173798</v>
      </c>
      <c r="I1659" s="1658">
        <v>857453150</v>
      </c>
      <c r="J1659" s="1658">
        <v>280319045710</v>
      </c>
      <c r="K1659" s="1658">
        <v>56859847</v>
      </c>
    </row>
    <row r="1660" spans="1:11" x14ac:dyDescent="0.3">
      <c r="A1660" s="1657">
        <v>44103</v>
      </c>
      <c r="B1660" s="1658">
        <v>5140</v>
      </c>
      <c r="C1660" s="1658">
        <v>210</v>
      </c>
      <c r="D1660" s="1659">
        <v>4.26</v>
      </c>
      <c r="E1660" s="1658">
        <v>4935</v>
      </c>
      <c r="F1660" s="1658">
        <v>5230</v>
      </c>
      <c r="G1660" s="1658">
        <v>4935</v>
      </c>
      <c r="H1660" s="1658">
        <v>347677</v>
      </c>
      <c r="I1660" s="1658">
        <v>1773753235</v>
      </c>
      <c r="J1660" s="1658">
        <v>292259613580</v>
      </c>
      <c r="K1660" s="1658">
        <v>56859847</v>
      </c>
    </row>
    <row r="1661" spans="1:11" x14ac:dyDescent="0.3">
      <c r="A1661" s="1657">
        <v>44109</v>
      </c>
      <c r="B1661" s="1658">
        <v>5200</v>
      </c>
      <c r="C1661" s="1658">
        <v>60</v>
      </c>
      <c r="D1661" s="1659">
        <v>1.17</v>
      </c>
      <c r="E1661" s="1658">
        <v>5150</v>
      </c>
      <c r="F1661" s="1658">
        <v>5280</v>
      </c>
      <c r="G1661" s="1658">
        <v>5120</v>
      </c>
      <c r="H1661" s="1658">
        <v>221546</v>
      </c>
      <c r="I1661" s="1658">
        <v>1153001920</v>
      </c>
      <c r="J1661" s="1658">
        <v>295671204400</v>
      </c>
      <c r="K1661" s="1658">
        <v>56859847</v>
      </c>
    </row>
    <row r="1662" spans="1:11" x14ac:dyDescent="0.3">
      <c r="A1662" s="1657">
        <v>44110</v>
      </c>
      <c r="B1662" s="1658">
        <v>5100</v>
      </c>
      <c r="C1662" s="1658">
        <v>-100</v>
      </c>
      <c r="D1662" s="1659">
        <v>-1.92</v>
      </c>
      <c r="E1662" s="1658">
        <v>5170</v>
      </c>
      <c r="F1662" s="1658">
        <v>5210</v>
      </c>
      <c r="G1662" s="1658">
        <v>5060</v>
      </c>
      <c r="H1662" s="1658">
        <v>167226</v>
      </c>
      <c r="I1662" s="1658">
        <v>853084960</v>
      </c>
      <c r="J1662" s="1658">
        <v>289985219700</v>
      </c>
      <c r="K1662" s="1658">
        <v>56859847</v>
      </c>
    </row>
    <row r="1663" spans="1:11" x14ac:dyDescent="0.3">
      <c r="A1663" s="1657">
        <v>44111</v>
      </c>
      <c r="B1663" s="1658">
        <v>5120</v>
      </c>
      <c r="C1663" s="1658">
        <v>20</v>
      </c>
      <c r="D1663" s="1659">
        <v>0.39</v>
      </c>
      <c r="E1663" s="1658">
        <v>5080</v>
      </c>
      <c r="F1663" s="1658">
        <v>5140</v>
      </c>
      <c r="G1663" s="1658">
        <v>5020</v>
      </c>
      <c r="H1663" s="1658">
        <v>98301</v>
      </c>
      <c r="I1663" s="1658">
        <v>499937510</v>
      </c>
      <c r="J1663" s="1658">
        <v>291122416640</v>
      </c>
      <c r="K1663" s="1658">
        <v>56859847</v>
      </c>
    </row>
    <row r="1664" spans="1:11" x14ac:dyDescent="0.3">
      <c r="A1664" s="1657">
        <v>44112</v>
      </c>
      <c r="B1664" s="1658">
        <v>5120</v>
      </c>
      <c r="C1664" s="1658">
        <v>0</v>
      </c>
      <c r="D1664" s="1659">
        <v>0</v>
      </c>
      <c r="E1664" s="1658">
        <v>5120</v>
      </c>
      <c r="F1664" s="1658">
        <v>5160</v>
      </c>
      <c r="G1664" s="1658">
        <v>5030</v>
      </c>
      <c r="H1664" s="1658">
        <v>98019</v>
      </c>
      <c r="I1664" s="1658">
        <v>498809250</v>
      </c>
      <c r="J1664" s="1658">
        <v>291122416640</v>
      </c>
      <c r="K1664" s="1658">
        <v>56859847</v>
      </c>
    </row>
    <row r="1665" spans="1:11" x14ac:dyDescent="0.3">
      <c r="A1665" s="1657">
        <v>44116</v>
      </c>
      <c r="B1665" s="1658">
        <v>5190</v>
      </c>
      <c r="C1665" s="1658">
        <v>70</v>
      </c>
      <c r="D1665" s="1659">
        <v>1.37</v>
      </c>
      <c r="E1665" s="1658">
        <v>5100</v>
      </c>
      <c r="F1665" s="1658">
        <v>5190</v>
      </c>
      <c r="G1665" s="1658">
        <v>5060</v>
      </c>
      <c r="H1665" s="1658">
        <v>121625</v>
      </c>
      <c r="I1665" s="1658">
        <v>623481760</v>
      </c>
      <c r="J1665" s="1658">
        <v>295102605930</v>
      </c>
      <c r="K1665" s="1658">
        <v>56859847</v>
      </c>
    </row>
    <row r="1666" spans="1:11" x14ac:dyDescent="0.3">
      <c r="A1666" s="1657">
        <v>44117</v>
      </c>
      <c r="B1666" s="1658">
        <v>5220</v>
      </c>
      <c r="C1666" s="1658">
        <v>30</v>
      </c>
      <c r="D1666" s="1659">
        <v>0.57999999999999996</v>
      </c>
      <c r="E1666" s="1658">
        <v>5230</v>
      </c>
      <c r="F1666" s="1658">
        <v>5230</v>
      </c>
      <c r="G1666" s="1658">
        <v>5160</v>
      </c>
      <c r="H1666" s="1658">
        <v>169629</v>
      </c>
      <c r="I1666" s="1658">
        <v>881310890</v>
      </c>
      <c r="J1666" s="1658">
        <v>296808401340</v>
      </c>
      <c r="K1666" s="1658">
        <v>56859847</v>
      </c>
    </row>
    <row r="1667" spans="1:11" x14ac:dyDescent="0.3">
      <c r="A1667" s="1657">
        <v>44118</v>
      </c>
      <c r="B1667" s="1658">
        <v>5080</v>
      </c>
      <c r="C1667" s="1658">
        <v>-140</v>
      </c>
      <c r="D1667" s="1659">
        <v>-2.68</v>
      </c>
      <c r="E1667" s="1658">
        <v>5250</v>
      </c>
      <c r="F1667" s="1658">
        <v>5290</v>
      </c>
      <c r="G1667" s="1658">
        <v>5070</v>
      </c>
      <c r="H1667" s="1658">
        <v>158317</v>
      </c>
      <c r="I1667" s="1658">
        <v>812544560</v>
      </c>
      <c r="J1667" s="1658">
        <v>288848022760</v>
      </c>
      <c r="K1667" s="1658">
        <v>56859847</v>
      </c>
    </row>
    <row r="1668" spans="1:11" x14ac:dyDescent="0.3">
      <c r="A1668" s="1657">
        <v>44119</v>
      </c>
      <c r="B1668" s="1658">
        <v>4965</v>
      </c>
      <c r="C1668" s="1658">
        <v>-115</v>
      </c>
      <c r="D1668" s="1659">
        <v>-2.2599999999999998</v>
      </c>
      <c r="E1668" s="1658">
        <v>5030</v>
      </c>
      <c r="F1668" s="1658">
        <v>5140</v>
      </c>
      <c r="G1668" s="1658">
        <v>4905</v>
      </c>
      <c r="H1668" s="1658">
        <v>222736</v>
      </c>
      <c r="I1668" s="1658">
        <v>1106217835</v>
      </c>
      <c r="J1668" s="1658">
        <v>282309140355</v>
      </c>
      <c r="K1668" s="1658">
        <v>56859847</v>
      </c>
    </row>
    <row r="1669" spans="1:11" x14ac:dyDescent="0.3">
      <c r="A1669" s="1657">
        <v>44120</v>
      </c>
      <c r="B1669" s="1658">
        <v>4850</v>
      </c>
      <c r="C1669" s="1658">
        <v>-115</v>
      </c>
      <c r="D1669" s="1659">
        <v>-2.3199999999999998</v>
      </c>
      <c r="E1669" s="1658">
        <v>4965</v>
      </c>
      <c r="F1669" s="1658">
        <v>4965</v>
      </c>
      <c r="G1669" s="1658">
        <v>4780</v>
      </c>
      <c r="H1669" s="1658">
        <v>161862</v>
      </c>
      <c r="I1669" s="1658">
        <v>784471100</v>
      </c>
      <c r="J1669" s="1658">
        <v>275770257950</v>
      </c>
      <c r="K1669" s="1658">
        <v>56859847</v>
      </c>
    </row>
    <row r="1670" spans="1:11" x14ac:dyDescent="0.3">
      <c r="A1670" s="1657">
        <v>44123</v>
      </c>
      <c r="B1670" s="1658">
        <v>4865</v>
      </c>
      <c r="C1670" s="1658">
        <v>15</v>
      </c>
      <c r="D1670" s="1659">
        <v>0.31</v>
      </c>
      <c r="E1670" s="1658">
        <v>4885</v>
      </c>
      <c r="F1670" s="1658">
        <v>4960</v>
      </c>
      <c r="G1670" s="1658">
        <v>4780</v>
      </c>
      <c r="H1670" s="1658">
        <v>87947</v>
      </c>
      <c r="I1670" s="1658">
        <v>429344000</v>
      </c>
      <c r="J1670" s="1658">
        <v>276623155655</v>
      </c>
      <c r="K1670" s="1658">
        <v>56859847</v>
      </c>
    </row>
    <row r="1671" spans="1:11" x14ac:dyDescent="0.3">
      <c r="A1671" s="1657">
        <v>44124</v>
      </c>
      <c r="B1671" s="1658">
        <v>4915</v>
      </c>
      <c r="C1671" s="1658">
        <v>50</v>
      </c>
      <c r="D1671" s="1659">
        <v>1.03</v>
      </c>
      <c r="E1671" s="1658">
        <v>4865</v>
      </c>
      <c r="F1671" s="1658">
        <v>4920</v>
      </c>
      <c r="G1671" s="1658">
        <v>4775</v>
      </c>
      <c r="H1671" s="1658">
        <v>94558</v>
      </c>
      <c r="I1671" s="1658">
        <v>456897525</v>
      </c>
      <c r="J1671" s="1658">
        <v>279466148005</v>
      </c>
      <c r="K1671" s="1658">
        <v>56859847</v>
      </c>
    </row>
    <row r="1672" spans="1:11" x14ac:dyDescent="0.3">
      <c r="A1672" s="1657">
        <v>44125</v>
      </c>
      <c r="B1672" s="1658">
        <v>5020</v>
      </c>
      <c r="C1672" s="1658">
        <v>105</v>
      </c>
      <c r="D1672" s="1659">
        <v>2.14</v>
      </c>
      <c r="E1672" s="1658">
        <v>4855</v>
      </c>
      <c r="F1672" s="1658">
        <v>5020</v>
      </c>
      <c r="G1672" s="1658">
        <v>4835</v>
      </c>
      <c r="H1672" s="1658">
        <v>87156</v>
      </c>
      <c r="I1672" s="1658">
        <v>430796445</v>
      </c>
      <c r="J1672" s="1658">
        <v>285436431940</v>
      </c>
      <c r="K1672" s="1658">
        <v>56859847</v>
      </c>
    </row>
    <row r="1673" spans="1:11" x14ac:dyDescent="0.3">
      <c r="A1673" s="1657">
        <v>44126</v>
      </c>
      <c r="B1673" s="1658">
        <v>4935</v>
      </c>
      <c r="C1673" s="1658">
        <v>-85</v>
      </c>
      <c r="D1673" s="1659">
        <v>-1.69</v>
      </c>
      <c r="E1673" s="1658">
        <v>4965</v>
      </c>
      <c r="F1673" s="1658">
        <v>5030</v>
      </c>
      <c r="G1673" s="1658">
        <v>4915</v>
      </c>
      <c r="H1673" s="1658">
        <v>58848</v>
      </c>
      <c r="I1673" s="1658">
        <v>290846830</v>
      </c>
      <c r="J1673" s="1658">
        <v>280603344945</v>
      </c>
      <c r="K1673" s="1658">
        <v>56859847</v>
      </c>
    </row>
    <row r="1674" spans="1:11" x14ac:dyDescent="0.3">
      <c r="A1674" s="1657">
        <v>44127</v>
      </c>
      <c r="B1674" s="1658">
        <v>4850</v>
      </c>
      <c r="C1674" s="1658">
        <v>-85</v>
      </c>
      <c r="D1674" s="1659">
        <v>-1.72</v>
      </c>
      <c r="E1674" s="1658">
        <v>4905</v>
      </c>
      <c r="F1674" s="1658">
        <v>4965</v>
      </c>
      <c r="G1674" s="1658">
        <v>4815</v>
      </c>
      <c r="H1674" s="1658">
        <v>115408</v>
      </c>
      <c r="I1674" s="1658">
        <v>563164135</v>
      </c>
      <c r="J1674" s="1658">
        <v>275770257950</v>
      </c>
      <c r="K1674" s="1658">
        <v>56859847</v>
      </c>
    </row>
    <row r="1675" spans="1:11" x14ac:dyDescent="0.3">
      <c r="A1675" s="1657">
        <v>44130</v>
      </c>
      <c r="B1675" s="1658">
        <v>4770</v>
      </c>
      <c r="C1675" s="1658">
        <v>-80</v>
      </c>
      <c r="D1675" s="1659">
        <v>-1.65</v>
      </c>
      <c r="E1675" s="1658">
        <v>4805</v>
      </c>
      <c r="F1675" s="1658">
        <v>4910</v>
      </c>
      <c r="G1675" s="1658">
        <v>4770</v>
      </c>
      <c r="H1675" s="1658">
        <v>67966</v>
      </c>
      <c r="I1675" s="1658">
        <v>327674295</v>
      </c>
      <c r="J1675" s="1658">
        <v>271221470190</v>
      </c>
      <c r="K1675" s="1658">
        <v>56859847</v>
      </c>
    </row>
    <row r="1676" spans="1:11" x14ac:dyDescent="0.3">
      <c r="A1676" s="1657">
        <v>44131</v>
      </c>
      <c r="B1676" s="1658">
        <v>4855</v>
      </c>
      <c r="C1676" s="1658">
        <v>85</v>
      </c>
      <c r="D1676" s="1659">
        <v>1.78</v>
      </c>
      <c r="E1676" s="1658">
        <v>4780</v>
      </c>
      <c r="F1676" s="1658">
        <v>4930</v>
      </c>
      <c r="G1676" s="1658">
        <v>4770</v>
      </c>
      <c r="H1676" s="1658">
        <v>79667</v>
      </c>
      <c r="I1676" s="1658">
        <v>385633540</v>
      </c>
      <c r="J1676" s="1658">
        <v>276054557185</v>
      </c>
      <c r="K1676" s="1658">
        <v>56859847</v>
      </c>
    </row>
    <row r="1677" spans="1:11" x14ac:dyDescent="0.3">
      <c r="A1677" s="1657">
        <v>44132</v>
      </c>
      <c r="B1677" s="1658">
        <v>4900</v>
      </c>
      <c r="C1677" s="1658">
        <v>45</v>
      </c>
      <c r="D1677" s="1659">
        <v>0.93</v>
      </c>
      <c r="E1677" s="1658">
        <v>4855</v>
      </c>
      <c r="F1677" s="1658">
        <v>4915</v>
      </c>
      <c r="G1677" s="1658">
        <v>4785</v>
      </c>
      <c r="H1677" s="1658">
        <v>132386</v>
      </c>
      <c r="I1677" s="1658">
        <v>639693555</v>
      </c>
      <c r="J1677" s="1658">
        <v>278613250300</v>
      </c>
      <c r="K1677" s="1658">
        <v>56859847</v>
      </c>
    </row>
    <row r="1678" spans="1:11" x14ac:dyDescent="0.3">
      <c r="A1678" s="1657">
        <v>44133</v>
      </c>
      <c r="B1678" s="1658">
        <v>4930</v>
      </c>
      <c r="C1678" s="1658">
        <v>30</v>
      </c>
      <c r="D1678" s="1659">
        <v>0.61</v>
      </c>
      <c r="E1678" s="1658">
        <v>4810</v>
      </c>
      <c r="F1678" s="1658">
        <v>4940</v>
      </c>
      <c r="G1678" s="1658">
        <v>4765</v>
      </c>
      <c r="H1678" s="1658">
        <v>207327</v>
      </c>
      <c r="I1678" s="1658">
        <v>1017326630</v>
      </c>
      <c r="J1678" s="1658">
        <v>280319045710</v>
      </c>
      <c r="K1678" s="1658">
        <v>56859847</v>
      </c>
    </row>
    <row r="1679" spans="1:11" x14ac:dyDescent="0.3">
      <c r="A1679" s="1657">
        <v>44134</v>
      </c>
      <c r="B1679" s="1658">
        <v>4800</v>
      </c>
      <c r="C1679" s="1658">
        <v>-130</v>
      </c>
      <c r="D1679" s="1659">
        <v>-2.64</v>
      </c>
      <c r="E1679" s="1658">
        <v>4930</v>
      </c>
      <c r="F1679" s="1658">
        <v>4930</v>
      </c>
      <c r="G1679" s="1658">
        <v>4785</v>
      </c>
      <c r="H1679" s="1658">
        <v>63379</v>
      </c>
      <c r="I1679" s="1658">
        <v>306479295</v>
      </c>
      <c r="J1679" s="1658">
        <v>272927265600</v>
      </c>
      <c r="K1679" s="1658">
        <v>56859847</v>
      </c>
    </row>
    <row r="1680" spans="1:11" x14ac:dyDescent="0.3">
      <c r="A1680" s="1657">
        <v>44137</v>
      </c>
      <c r="B1680" s="1658">
        <v>4855</v>
      </c>
      <c r="C1680" s="1658">
        <v>55</v>
      </c>
      <c r="D1680" s="1659">
        <v>1.1499999999999999</v>
      </c>
      <c r="E1680" s="1658">
        <v>4800</v>
      </c>
      <c r="F1680" s="1658">
        <v>4870</v>
      </c>
      <c r="G1680" s="1658">
        <v>4750</v>
      </c>
      <c r="H1680" s="1658">
        <v>50055</v>
      </c>
      <c r="I1680" s="1658">
        <v>241547050</v>
      </c>
      <c r="J1680" s="1658">
        <v>276054557185</v>
      </c>
      <c r="K1680" s="1658">
        <v>56859847</v>
      </c>
    </row>
    <row r="1681" spans="1:11" x14ac:dyDescent="0.3">
      <c r="A1681" s="1657">
        <v>44138</v>
      </c>
      <c r="B1681" s="1658">
        <v>4855</v>
      </c>
      <c r="C1681" s="1658">
        <v>0</v>
      </c>
      <c r="D1681" s="1659">
        <v>0</v>
      </c>
      <c r="E1681" s="1658">
        <v>4860</v>
      </c>
      <c r="F1681" s="1658">
        <v>4910</v>
      </c>
      <c r="G1681" s="1658">
        <v>4815</v>
      </c>
      <c r="H1681" s="1658">
        <v>72357</v>
      </c>
      <c r="I1681" s="1658">
        <v>352329985</v>
      </c>
      <c r="J1681" s="1658">
        <v>276054557185</v>
      </c>
      <c r="K1681" s="1658">
        <v>56859847</v>
      </c>
    </row>
    <row r="1682" spans="1:11" x14ac:dyDescent="0.3">
      <c r="A1682" s="1657">
        <v>44139</v>
      </c>
      <c r="B1682" s="1658">
        <v>4920</v>
      </c>
      <c r="C1682" s="1658">
        <v>65</v>
      </c>
      <c r="D1682" s="1659">
        <v>1.34</v>
      </c>
      <c r="E1682" s="1658">
        <v>4870</v>
      </c>
      <c r="F1682" s="1658">
        <v>4990</v>
      </c>
      <c r="G1682" s="1658">
        <v>4720</v>
      </c>
      <c r="H1682" s="1658">
        <v>162103</v>
      </c>
      <c r="I1682" s="1658">
        <v>789366935</v>
      </c>
      <c r="J1682" s="1658">
        <v>279750447240</v>
      </c>
      <c r="K1682" s="1658">
        <v>56859847</v>
      </c>
    </row>
    <row r="1683" spans="1:11" x14ac:dyDescent="0.3">
      <c r="A1683" s="1657">
        <v>44140</v>
      </c>
      <c r="B1683" s="1658">
        <v>4960</v>
      </c>
      <c r="C1683" s="1658">
        <v>40</v>
      </c>
      <c r="D1683" s="1659">
        <v>0.81</v>
      </c>
      <c r="E1683" s="1658">
        <v>4970</v>
      </c>
      <c r="F1683" s="1658">
        <v>5040</v>
      </c>
      <c r="G1683" s="1658">
        <v>4905</v>
      </c>
      <c r="H1683" s="1658">
        <v>74845</v>
      </c>
      <c r="I1683" s="1658">
        <v>373286000</v>
      </c>
      <c r="J1683" s="1658">
        <v>282024841120</v>
      </c>
      <c r="K1683" s="1658">
        <v>56859847</v>
      </c>
    </row>
    <row r="1684" spans="1:11" x14ac:dyDescent="0.3">
      <c r="A1684" s="1657">
        <v>44141</v>
      </c>
      <c r="B1684" s="1658">
        <v>4840</v>
      </c>
      <c r="C1684" s="1658">
        <v>-120</v>
      </c>
      <c r="D1684" s="1659">
        <v>-2.42</v>
      </c>
      <c r="E1684" s="1658">
        <v>4905</v>
      </c>
      <c r="F1684" s="1658">
        <v>4965</v>
      </c>
      <c r="G1684" s="1658">
        <v>4825</v>
      </c>
      <c r="H1684" s="1658">
        <v>137517</v>
      </c>
      <c r="I1684" s="1658">
        <v>668768270</v>
      </c>
      <c r="J1684" s="1658">
        <v>275201659480</v>
      </c>
      <c r="K1684" s="1658">
        <v>56859847</v>
      </c>
    </row>
    <row r="1685" spans="1:11" x14ac:dyDescent="0.3">
      <c r="A1685" s="1657">
        <v>44144</v>
      </c>
      <c r="B1685" s="1658">
        <v>4900</v>
      </c>
      <c r="C1685" s="1658">
        <v>60</v>
      </c>
      <c r="D1685" s="1659">
        <v>1.24</v>
      </c>
      <c r="E1685" s="1658">
        <v>4875</v>
      </c>
      <c r="F1685" s="1658">
        <v>4945</v>
      </c>
      <c r="G1685" s="1658">
        <v>4810</v>
      </c>
      <c r="H1685" s="1658">
        <v>73128</v>
      </c>
      <c r="I1685" s="1658">
        <v>358076345</v>
      </c>
      <c r="J1685" s="1658">
        <v>278613250300</v>
      </c>
      <c r="K1685" s="1658">
        <v>56859847</v>
      </c>
    </row>
    <row r="1686" spans="1:11" x14ac:dyDescent="0.3">
      <c r="A1686" s="1657">
        <v>44145</v>
      </c>
      <c r="B1686" s="1658">
        <v>4860</v>
      </c>
      <c r="C1686" s="1658">
        <v>-40</v>
      </c>
      <c r="D1686" s="1659">
        <v>-0.82</v>
      </c>
      <c r="E1686" s="1658">
        <v>4905</v>
      </c>
      <c r="F1686" s="1658">
        <v>4910</v>
      </c>
      <c r="G1686" s="1658">
        <v>4835</v>
      </c>
      <c r="H1686" s="1658">
        <v>64184</v>
      </c>
      <c r="I1686" s="1658">
        <v>312468665</v>
      </c>
      <c r="J1686" s="1658">
        <v>276338856420</v>
      </c>
      <c r="K1686" s="1658">
        <v>56859847</v>
      </c>
    </row>
    <row r="1687" spans="1:11" x14ac:dyDescent="0.3">
      <c r="A1687" s="1657">
        <v>44146</v>
      </c>
      <c r="B1687" s="1658">
        <v>4910</v>
      </c>
      <c r="C1687" s="1658">
        <v>50</v>
      </c>
      <c r="D1687" s="1659">
        <v>1.03</v>
      </c>
      <c r="E1687" s="1658">
        <v>4875</v>
      </c>
      <c r="F1687" s="1658">
        <v>4950</v>
      </c>
      <c r="G1687" s="1658">
        <v>4845</v>
      </c>
      <c r="H1687" s="1658">
        <v>96220</v>
      </c>
      <c r="I1687" s="1658">
        <v>472360850</v>
      </c>
      <c r="J1687" s="1658">
        <v>279181848770</v>
      </c>
      <c r="K1687" s="1658">
        <v>56859847</v>
      </c>
    </row>
    <row r="1688" spans="1:11" x14ac:dyDescent="0.3">
      <c r="A1688" s="1657">
        <v>44147</v>
      </c>
      <c r="B1688" s="1658">
        <v>4920</v>
      </c>
      <c r="C1688" s="1658">
        <v>10</v>
      </c>
      <c r="D1688" s="1659">
        <v>0.2</v>
      </c>
      <c r="E1688" s="1658">
        <v>4860</v>
      </c>
      <c r="F1688" s="1658">
        <v>5020</v>
      </c>
      <c r="G1688" s="1658">
        <v>4855</v>
      </c>
      <c r="H1688" s="1658">
        <v>141555</v>
      </c>
      <c r="I1688" s="1658">
        <v>697978105</v>
      </c>
      <c r="J1688" s="1658">
        <v>279750447240</v>
      </c>
      <c r="K1688" s="1658">
        <v>56859847</v>
      </c>
    </row>
    <row r="1689" spans="1:11" x14ac:dyDescent="0.3">
      <c r="A1689" s="1657">
        <v>44148</v>
      </c>
      <c r="B1689" s="1658">
        <v>4950</v>
      </c>
      <c r="C1689" s="1658">
        <v>30</v>
      </c>
      <c r="D1689" s="1659">
        <v>0.61</v>
      </c>
      <c r="E1689" s="1658">
        <v>4865</v>
      </c>
      <c r="F1689" s="1658">
        <v>5190</v>
      </c>
      <c r="G1689" s="1658">
        <v>4835</v>
      </c>
      <c r="H1689" s="1658">
        <v>448839</v>
      </c>
      <c r="I1689" s="1658">
        <v>2250824205</v>
      </c>
      <c r="J1689" s="1658">
        <v>281456242650</v>
      </c>
      <c r="K1689" s="1658">
        <v>56859847</v>
      </c>
    </row>
    <row r="1690" spans="1:11" x14ac:dyDescent="0.3">
      <c r="A1690" s="1657">
        <v>44151</v>
      </c>
      <c r="B1690" s="1658">
        <v>5060</v>
      </c>
      <c r="C1690" s="1658">
        <v>110</v>
      </c>
      <c r="D1690" s="1659">
        <v>2.2200000000000002</v>
      </c>
      <c r="E1690" s="1658">
        <v>4990</v>
      </c>
      <c r="F1690" s="1658">
        <v>5400</v>
      </c>
      <c r="G1690" s="1658">
        <v>4915</v>
      </c>
      <c r="H1690" s="1658">
        <v>1032783</v>
      </c>
      <c r="I1690" s="1658">
        <v>5305326200</v>
      </c>
      <c r="J1690" s="1658">
        <v>287710825820</v>
      </c>
      <c r="K1690" s="1658">
        <v>56859847</v>
      </c>
    </row>
    <row r="1691" spans="1:11" x14ac:dyDescent="0.3">
      <c r="A1691" s="1657">
        <v>44152</v>
      </c>
      <c r="B1691" s="1658">
        <v>4900</v>
      </c>
      <c r="C1691" s="1658">
        <v>-160</v>
      </c>
      <c r="D1691" s="1659">
        <v>-3.16</v>
      </c>
      <c r="E1691" s="1658">
        <v>5000</v>
      </c>
      <c r="F1691" s="1658">
        <v>5100</v>
      </c>
      <c r="G1691" s="1658">
        <v>4860</v>
      </c>
      <c r="H1691" s="1658">
        <v>282031</v>
      </c>
      <c r="I1691" s="1658">
        <v>1391384760</v>
      </c>
      <c r="J1691" s="1658">
        <v>278613250300</v>
      </c>
      <c r="K1691" s="1658">
        <v>56859847</v>
      </c>
    </row>
    <row r="1692" spans="1:11" x14ac:dyDescent="0.3">
      <c r="A1692" s="1657">
        <v>44153</v>
      </c>
      <c r="B1692" s="1658">
        <v>4930</v>
      </c>
      <c r="C1692" s="1658">
        <v>30</v>
      </c>
      <c r="D1692" s="1659">
        <v>0.61</v>
      </c>
      <c r="E1692" s="1658">
        <v>4900</v>
      </c>
      <c r="F1692" s="1658">
        <v>5340</v>
      </c>
      <c r="G1692" s="1658">
        <v>4850</v>
      </c>
      <c r="H1692" s="1658">
        <v>1304794</v>
      </c>
      <c r="I1692" s="1658">
        <v>6600942800</v>
      </c>
      <c r="J1692" s="1658">
        <v>280319045710</v>
      </c>
      <c r="K1692" s="1658">
        <v>56859847</v>
      </c>
    </row>
    <row r="1693" spans="1:11" x14ac:dyDescent="0.3">
      <c r="A1693" s="1657">
        <v>44154</v>
      </c>
      <c r="B1693" s="1658">
        <v>4975</v>
      </c>
      <c r="C1693" s="1658">
        <v>45</v>
      </c>
      <c r="D1693" s="1659">
        <v>0.91</v>
      </c>
      <c r="E1693" s="1658">
        <v>4935</v>
      </c>
      <c r="F1693" s="1658">
        <v>5020</v>
      </c>
      <c r="G1693" s="1658">
        <v>4870</v>
      </c>
      <c r="H1693" s="1658">
        <v>295828</v>
      </c>
      <c r="I1693" s="1658">
        <v>1459309565</v>
      </c>
      <c r="J1693" s="1658">
        <v>282877738825</v>
      </c>
      <c r="K1693" s="1658">
        <v>56859847</v>
      </c>
    </row>
    <row r="1694" spans="1:11" x14ac:dyDescent="0.3">
      <c r="A1694" s="1657">
        <v>44155</v>
      </c>
      <c r="B1694" s="1658">
        <v>5080</v>
      </c>
      <c r="C1694" s="1658">
        <v>105</v>
      </c>
      <c r="D1694" s="1659">
        <v>2.11</v>
      </c>
      <c r="E1694" s="1658">
        <v>4980</v>
      </c>
      <c r="F1694" s="1658">
        <v>5170</v>
      </c>
      <c r="G1694" s="1658">
        <v>4955</v>
      </c>
      <c r="H1694" s="1658">
        <v>700225</v>
      </c>
      <c r="I1694" s="1658">
        <v>3558211660</v>
      </c>
      <c r="J1694" s="1658">
        <v>288848022760</v>
      </c>
      <c r="K1694" s="1658">
        <v>56859847</v>
      </c>
    </row>
    <row r="1695" spans="1:11" x14ac:dyDescent="0.3">
      <c r="A1695" s="1657">
        <v>44158</v>
      </c>
      <c r="B1695" s="1658">
        <v>4940</v>
      </c>
      <c r="C1695" s="1658">
        <v>-140</v>
      </c>
      <c r="D1695" s="1659">
        <v>-2.76</v>
      </c>
      <c r="E1695" s="1658">
        <v>5100</v>
      </c>
      <c r="F1695" s="1658">
        <v>5100</v>
      </c>
      <c r="G1695" s="1658">
        <v>4925</v>
      </c>
      <c r="H1695" s="1658">
        <v>393242</v>
      </c>
      <c r="I1695" s="1658">
        <v>1956512425</v>
      </c>
      <c r="J1695" s="1658">
        <v>280887644180</v>
      </c>
      <c r="K1695" s="1658">
        <v>56859847</v>
      </c>
    </row>
    <row r="1696" spans="1:11" x14ac:dyDescent="0.3">
      <c r="A1696" s="1657">
        <v>44159</v>
      </c>
      <c r="B1696" s="1658">
        <v>5050</v>
      </c>
      <c r="C1696" s="1658">
        <v>110</v>
      </c>
      <c r="D1696" s="1659">
        <v>2.23</v>
      </c>
      <c r="E1696" s="1658">
        <v>4965</v>
      </c>
      <c r="F1696" s="1658">
        <v>5070</v>
      </c>
      <c r="G1696" s="1658">
        <v>4925</v>
      </c>
      <c r="H1696" s="1658">
        <v>421656</v>
      </c>
      <c r="I1696" s="1658">
        <v>2114536535</v>
      </c>
      <c r="J1696" s="1658">
        <v>287142227350</v>
      </c>
      <c r="K1696" s="1658">
        <v>56859847</v>
      </c>
    </row>
    <row r="1697" spans="1:11" x14ac:dyDescent="0.3">
      <c r="A1697" s="1657">
        <v>44160</v>
      </c>
      <c r="B1697" s="1658">
        <v>4925</v>
      </c>
      <c r="C1697" s="1658">
        <v>-125</v>
      </c>
      <c r="D1697" s="1659">
        <v>-2.48</v>
      </c>
      <c r="E1697" s="1658">
        <v>5100</v>
      </c>
      <c r="F1697" s="1658">
        <v>5100</v>
      </c>
      <c r="G1697" s="1658">
        <v>4885</v>
      </c>
      <c r="H1697" s="1658">
        <v>315655</v>
      </c>
      <c r="I1697" s="1658">
        <v>1569952160</v>
      </c>
      <c r="J1697" s="1658">
        <v>280034746475</v>
      </c>
      <c r="K1697" s="1658">
        <v>56859847</v>
      </c>
    </row>
    <row r="1698" spans="1:11" x14ac:dyDescent="0.3">
      <c r="A1698" s="1657">
        <v>44161</v>
      </c>
      <c r="B1698" s="1658">
        <v>5030</v>
      </c>
      <c r="C1698" s="1658">
        <v>105</v>
      </c>
      <c r="D1698" s="1659">
        <v>2.13</v>
      </c>
      <c r="E1698" s="1658">
        <v>4935</v>
      </c>
      <c r="F1698" s="1658">
        <v>5190</v>
      </c>
      <c r="G1698" s="1658">
        <v>4890</v>
      </c>
      <c r="H1698" s="1658">
        <v>764607</v>
      </c>
      <c r="I1698" s="1658">
        <v>3883637515</v>
      </c>
      <c r="J1698" s="1658">
        <v>286005030410</v>
      </c>
      <c r="K1698" s="1658">
        <v>56859847</v>
      </c>
    </row>
    <row r="1699" spans="1:11" x14ac:dyDescent="0.3">
      <c r="A1699" s="1657">
        <v>44162</v>
      </c>
      <c r="B1699" s="1658">
        <v>5070</v>
      </c>
      <c r="C1699" s="1658">
        <v>40</v>
      </c>
      <c r="D1699" s="1659">
        <v>0.8</v>
      </c>
      <c r="E1699" s="1658">
        <v>5030</v>
      </c>
      <c r="F1699" s="1658">
        <v>5090</v>
      </c>
      <c r="G1699" s="1658">
        <v>4975</v>
      </c>
      <c r="H1699" s="1658">
        <v>220085</v>
      </c>
      <c r="I1699" s="1658">
        <v>1109905880</v>
      </c>
      <c r="J1699" s="1658">
        <v>288279424290</v>
      </c>
      <c r="K1699" s="1658">
        <v>56859847</v>
      </c>
    </row>
    <row r="1700" spans="1:11" x14ac:dyDescent="0.3">
      <c r="A1700" s="1657">
        <v>44165</v>
      </c>
      <c r="B1700" s="1658">
        <v>5030</v>
      </c>
      <c r="C1700" s="1658">
        <v>-40</v>
      </c>
      <c r="D1700" s="1659">
        <v>-0.79</v>
      </c>
      <c r="E1700" s="1658">
        <v>5080</v>
      </c>
      <c r="F1700" s="1658">
        <v>5140</v>
      </c>
      <c r="G1700" s="1658">
        <v>4995</v>
      </c>
      <c r="H1700" s="1658">
        <v>213774</v>
      </c>
      <c r="I1700" s="1658">
        <v>1076056895</v>
      </c>
      <c r="J1700" s="1658">
        <v>286005030410</v>
      </c>
      <c r="K1700" s="1658">
        <v>56859847</v>
      </c>
    </row>
    <row r="1701" spans="1:11" x14ac:dyDescent="0.3">
      <c r="A1701" s="1657">
        <v>44166</v>
      </c>
      <c r="B1701" s="1658">
        <v>5040</v>
      </c>
      <c r="C1701" s="1658">
        <v>10</v>
      </c>
      <c r="D1701" s="1659">
        <v>0.2</v>
      </c>
      <c r="E1701" s="1658">
        <v>5030</v>
      </c>
      <c r="F1701" s="1658">
        <v>5070</v>
      </c>
      <c r="G1701" s="1658">
        <v>4995</v>
      </c>
      <c r="H1701" s="1658">
        <v>189903</v>
      </c>
      <c r="I1701" s="1658">
        <v>953813980</v>
      </c>
      <c r="J1701" s="1658">
        <v>286573628880</v>
      </c>
      <c r="K1701" s="1658">
        <v>56859847</v>
      </c>
    </row>
    <row r="1702" spans="1:11" x14ac:dyDescent="0.3">
      <c r="A1702" s="1657">
        <v>44167</v>
      </c>
      <c r="B1702" s="1658">
        <v>4985</v>
      </c>
      <c r="C1702" s="1658">
        <v>-55</v>
      </c>
      <c r="D1702" s="1659">
        <v>-1.0900000000000001</v>
      </c>
      <c r="E1702" s="1658">
        <v>5020</v>
      </c>
      <c r="F1702" s="1658">
        <v>5030</v>
      </c>
      <c r="G1702" s="1658">
        <v>4950</v>
      </c>
      <c r="H1702" s="1658">
        <v>208930</v>
      </c>
      <c r="I1702" s="1658">
        <v>1039692925</v>
      </c>
      <c r="J1702" s="1658">
        <v>283446337295</v>
      </c>
      <c r="K1702" s="1658">
        <v>56859847</v>
      </c>
    </row>
    <row r="1703" spans="1:11" x14ac:dyDescent="0.3">
      <c r="A1703" s="1657">
        <v>44168</v>
      </c>
      <c r="B1703" s="1658">
        <v>4980</v>
      </c>
      <c r="C1703" s="1658">
        <v>-5</v>
      </c>
      <c r="D1703" s="1659">
        <v>-0.1</v>
      </c>
      <c r="E1703" s="1658">
        <v>4975</v>
      </c>
      <c r="F1703" s="1658">
        <v>5020</v>
      </c>
      <c r="G1703" s="1658">
        <v>4940</v>
      </c>
      <c r="H1703" s="1658">
        <v>114310</v>
      </c>
      <c r="I1703" s="1658">
        <v>567243125</v>
      </c>
      <c r="J1703" s="1658">
        <v>283162038060</v>
      </c>
      <c r="K1703" s="1658">
        <v>56859847</v>
      </c>
    </row>
    <row r="1704" spans="1:11" x14ac:dyDescent="0.3">
      <c r="A1704" s="1657">
        <v>44169</v>
      </c>
      <c r="B1704" s="1658">
        <v>4925</v>
      </c>
      <c r="C1704" s="1658">
        <v>-55</v>
      </c>
      <c r="D1704" s="1659">
        <v>-1.1000000000000001</v>
      </c>
      <c r="E1704" s="1658">
        <v>5000</v>
      </c>
      <c r="F1704" s="1658">
        <v>5000</v>
      </c>
      <c r="G1704" s="1658">
        <v>4895</v>
      </c>
      <c r="H1704" s="1658">
        <v>183892</v>
      </c>
      <c r="I1704" s="1658">
        <v>906393770</v>
      </c>
      <c r="J1704" s="1658">
        <v>280034746475</v>
      </c>
      <c r="K1704" s="1658">
        <v>56859847</v>
      </c>
    </row>
    <row r="1705" spans="1:11" x14ac:dyDescent="0.3">
      <c r="A1705" s="1657">
        <v>44172</v>
      </c>
      <c r="B1705" s="1658">
        <v>4870</v>
      </c>
      <c r="C1705" s="1658">
        <v>-55</v>
      </c>
      <c r="D1705" s="1659">
        <v>-1.1200000000000001</v>
      </c>
      <c r="E1705" s="1658">
        <v>4920</v>
      </c>
      <c r="F1705" s="1658">
        <v>4920</v>
      </c>
      <c r="G1705" s="1658">
        <v>4825</v>
      </c>
      <c r="H1705" s="1658">
        <v>219848</v>
      </c>
      <c r="I1705" s="1658">
        <v>1069841080</v>
      </c>
      <c r="J1705" s="1658">
        <v>276907454890</v>
      </c>
      <c r="K1705" s="1658">
        <v>56859847</v>
      </c>
    </row>
    <row r="1706" spans="1:11" x14ac:dyDescent="0.3">
      <c r="A1706" s="1657">
        <v>44173</v>
      </c>
      <c r="B1706" s="1658">
        <v>4950</v>
      </c>
      <c r="C1706" s="1658">
        <v>80</v>
      </c>
      <c r="D1706" s="1659">
        <v>1.64</v>
      </c>
      <c r="E1706" s="1658">
        <v>4855</v>
      </c>
      <c r="F1706" s="1658">
        <v>4965</v>
      </c>
      <c r="G1706" s="1658">
        <v>4845</v>
      </c>
      <c r="H1706" s="1658">
        <v>138419</v>
      </c>
      <c r="I1706" s="1658">
        <v>682173125</v>
      </c>
      <c r="J1706" s="1658">
        <v>281456242650</v>
      </c>
      <c r="K1706" s="1658">
        <v>56859847</v>
      </c>
    </row>
    <row r="1707" spans="1:11" x14ac:dyDescent="0.3">
      <c r="A1707" s="1657">
        <v>44174</v>
      </c>
      <c r="B1707" s="1658">
        <v>4880</v>
      </c>
      <c r="C1707" s="1658">
        <v>-70</v>
      </c>
      <c r="D1707" s="1659">
        <v>-1.41</v>
      </c>
      <c r="E1707" s="1658">
        <v>4910</v>
      </c>
      <c r="F1707" s="1658">
        <v>4970</v>
      </c>
      <c r="G1707" s="1658">
        <v>4860</v>
      </c>
      <c r="H1707" s="1658">
        <v>162005</v>
      </c>
      <c r="I1707" s="1658">
        <v>794479430</v>
      </c>
      <c r="J1707" s="1658">
        <v>277476053360</v>
      </c>
      <c r="K1707" s="1658">
        <v>56859847</v>
      </c>
    </row>
    <row r="1708" spans="1:11" x14ac:dyDescent="0.3">
      <c r="A1708" s="1657">
        <v>44175</v>
      </c>
      <c r="B1708" s="1658">
        <v>4870</v>
      </c>
      <c r="C1708" s="1658">
        <v>-10</v>
      </c>
      <c r="D1708" s="1659">
        <v>-0.2</v>
      </c>
      <c r="E1708" s="1658">
        <v>4880</v>
      </c>
      <c r="F1708" s="1658">
        <v>4930</v>
      </c>
      <c r="G1708" s="1658">
        <v>4830</v>
      </c>
      <c r="H1708" s="1658">
        <v>186056</v>
      </c>
      <c r="I1708" s="1658">
        <v>906101965</v>
      </c>
      <c r="J1708" s="1658">
        <v>276907454890</v>
      </c>
      <c r="K1708" s="1658">
        <v>56859847</v>
      </c>
    </row>
    <row r="1709" spans="1:11" x14ac:dyDescent="0.3">
      <c r="A1709" s="1657">
        <v>44176</v>
      </c>
      <c r="B1709" s="1658">
        <v>5180</v>
      </c>
      <c r="C1709" s="1658">
        <v>310</v>
      </c>
      <c r="D1709" s="1659">
        <v>6.37</v>
      </c>
      <c r="E1709" s="1658">
        <v>4870</v>
      </c>
      <c r="F1709" s="1658">
        <v>6310</v>
      </c>
      <c r="G1709" s="1658">
        <v>4845</v>
      </c>
      <c r="H1709" s="1658">
        <v>9878800</v>
      </c>
      <c r="I1709" s="1658">
        <v>54937310550</v>
      </c>
      <c r="J1709" s="1658">
        <v>294534007460</v>
      </c>
      <c r="K1709" s="1658">
        <v>56859847</v>
      </c>
    </row>
    <row r="1710" spans="1:11" x14ac:dyDescent="0.3">
      <c r="A1710" s="1657">
        <v>44179</v>
      </c>
      <c r="B1710" s="1658">
        <v>5210</v>
      </c>
      <c r="C1710" s="1658">
        <v>30</v>
      </c>
      <c r="D1710" s="1659">
        <v>0.57999999999999996</v>
      </c>
      <c r="E1710" s="1658">
        <v>5170</v>
      </c>
      <c r="F1710" s="1658">
        <v>5330</v>
      </c>
      <c r="G1710" s="1658">
        <v>5050</v>
      </c>
      <c r="H1710" s="1658">
        <v>1126753</v>
      </c>
      <c r="I1710" s="1658">
        <v>5846860980</v>
      </c>
      <c r="J1710" s="1658">
        <v>296239802870</v>
      </c>
      <c r="K1710" s="1658">
        <v>56859847</v>
      </c>
    </row>
    <row r="1711" spans="1:11" x14ac:dyDescent="0.3">
      <c r="A1711" s="1657">
        <v>44180</v>
      </c>
      <c r="B1711" s="1658">
        <v>5310</v>
      </c>
      <c r="C1711" s="1658">
        <v>100</v>
      </c>
      <c r="D1711" s="1659">
        <v>1.92</v>
      </c>
      <c r="E1711" s="1658">
        <v>5200</v>
      </c>
      <c r="F1711" s="1658">
        <v>5360</v>
      </c>
      <c r="G1711" s="1658">
        <v>5150</v>
      </c>
      <c r="H1711" s="1658">
        <v>630166</v>
      </c>
      <c r="I1711" s="1658">
        <v>3319424820</v>
      </c>
      <c r="J1711" s="1658">
        <v>301925787570</v>
      </c>
      <c r="K1711" s="1658">
        <v>56859847</v>
      </c>
    </row>
    <row r="1712" spans="1:11" x14ac:dyDescent="0.3">
      <c r="A1712" s="1657">
        <v>44181</v>
      </c>
      <c r="B1712" s="1658">
        <v>5260</v>
      </c>
      <c r="C1712" s="1658">
        <v>-50</v>
      </c>
      <c r="D1712" s="1659">
        <v>-0.94</v>
      </c>
      <c r="E1712" s="1658">
        <v>5290</v>
      </c>
      <c r="F1712" s="1658">
        <v>5340</v>
      </c>
      <c r="G1712" s="1658">
        <v>5210</v>
      </c>
      <c r="H1712" s="1658">
        <v>423567</v>
      </c>
      <c r="I1712" s="1658">
        <v>2228184370</v>
      </c>
      <c r="J1712" s="1658">
        <v>299082795220</v>
      </c>
      <c r="K1712" s="1658">
        <v>56859847</v>
      </c>
    </row>
    <row r="1713" spans="1:11" x14ac:dyDescent="0.3">
      <c r="A1713" s="1657">
        <v>44182</v>
      </c>
      <c r="B1713" s="1658">
        <v>5400</v>
      </c>
      <c r="C1713" s="1658">
        <v>140</v>
      </c>
      <c r="D1713" s="1659">
        <v>2.66</v>
      </c>
      <c r="E1713" s="1658">
        <v>5270</v>
      </c>
      <c r="F1713" s="1658">
        <v>5430</v>
      </c>
      <c r="G1713" s="1658">
        <v>5230</v>
      </c>
      <c r="H1713" s="1658">
        <v>553700</v>
      </c>
      <c r="I1713" s="1658">
        <v>2955035090</v>
      </c>
      <c r="J1713" s="1658">
        <v>307043173800</v>
      </c>
      <c r="K1713" s="1658">
        <v>56859847</v>
      </c>
    </row>
    <row r="1714" spans="1:11" x14ac:dyDescent="0.3">
      <c r="A1714" s="1657">
        <v>44183</v>
      </c>
      <c r="B1714" s="1658">
        <v>5350</v>
      </c>
      <c r="C1714" s="1658">
        <v>-50</v>
      </c>
      <c r="D1714" s="1659">
        <v>-0.93</v>
      </c>
      <c r="E1714" s="1658">
        <v>5440</v>
      </c>
      <c r="F1714" s="1658">
        <v>5440</v>
      </c>
      <c r="G1714" s="1658">
        <v>5300</v>
      </c>
      <c r="H1714" s="1658">
        <v>305143</v>
      </c>
      <c r="I1714" s="1658">
        <v>1633383930</v>
      </c>
      <c r="J1714" s="1658">
        <v>304200181450</v>
      </c>
      <c r="K1714" s="1658">
        <v>56859847</v>
      </c>
    </row>
    <row r="1715" spans="1:11" x14ac:dyDescent="0.3">
      <c r="A1715" s="1657">
        <v>44186</v>
      </c>
      <c r="B1715" s="1658">
        <v>5250</v>
      </c>
      <c r="C1715" s="1658">
        <v>-100</v>
      </c>
      <c r="D1715" s="1659">
        <v>-1.87</v>
      </c>
      <c r="E1715" s="1658">
        <v>5340</v>
      </c>
      <c r="F1715" s="1658">
        <v>5340</v>
      </c>
      <c r="G1715" s="1658">
        <v>5170</v>
      </c>
      <c r="H1715" s="1658">
        <v>309255</v>
      </c>
      <c r="I1715" s="1658">
        <v>1621011970</v>
      </c>
      <c r="J1715" s="1658">
        <v>298514196750</v>
      </c>
      <c r="K1715" s="1658">
        <v>56859847</v>
      </c>
    </row>
    <row r="1716" spans="1:11" x14ac:dyDescent="0.3">
      <c r="A1716" s="1657">
        <v>44187</v>
      </c>
      <c r="B1716" s="1658">
        <v>5030</v>
      </c>
      <c r="C1716" s="1658">
        <v>-220</v>
      </c>
      <c r="D1716" s="1659">
        <v>-4.1900000000000004</v>
      </c>
      <c r="E1716" s="1658">
        <v>5210</v>
      </c>
      <c r="F1716" s="1658">
        <v>5270</v>
      </c>
      <c r="G1716" s="1658">
        <v>5010</v>
      </c>
      <c r="H1716" s="1658">
        <v>393121</v>
      </c>
      <c r="I1716" s="1658">
        <v>2007072960</v>
      </c>
      <c r="J1716" s="1658">
        <v>286005030410</v>
      </c>
      <c r="K1716" s="1658">
        <v>56859847</v>
      </c>
    </row>
    <row r="1717" spans="1:11" x14ac:dyDescent="0.3">
      <c r="A1717" s="1657">
        <v>44188</v>
      </c>
      <c r="B1717" s="1658">
        <v>5460</v>
      </c>
      <c r="C1717" s="1658">
        <v>430</v>
      </c>
      <c r="D1717" s="1659">
        <v>8.5500000000000007</v>
      </c>
      <c r="E1717" s="1658">
        <v>5000</v>
      </c>
      <c r="F1717" s="1658">
        <v>5500</v>
      </c>
      <c r="G1717" s="1658">
        <v>5000</v>
      </c>
      <c r="H1717" s="1658">
        <v>1659517</v>
      </c>
      <c r="I1717" s="1658">
        <v>8904367100</v>
      </c>
      <c r="J1717" s="1658">
        <v>310454764620</v>
      </c>
      <c r="K1717" s="1658">
        <v>56859847</v>
      </c>
    </row>
    <row r="1718" spans="1:11" x14ac:dyDescent="0.3">
      <c r="A1718" s="1657">
        <v>44189</v>
      </c>
      <c r="B1718" s="1658">
        <v>5470</v>
      </c>
      <c r="C1718" s="1658">
        <v>10</v>
      </c>
      <c r="D1718" s="1659">
        <v>0.18</v>
      </c>
      <c r="E1718" s="1658">
        <v>5580</v>
      </c>
      <c r="F1718" s="1658">
        <v>5610</v>
      </c>
      <c r="G1718" s="1658">
        <v>5300</v>
      </c>
      <c r="H1718" s="1658">
        <v>906216</v>
      </c>
      <c r="I1718" s="1658">
        <v>4982495650</v>
      </c>
      <c r="J1718" s="1658">
        <v>311023363090</v>
      </c>
      <c r="K1718" s="1658">
        <v>56859847</v>
      </c>
    </row>
    <row r="1719" spans="1:11" x14ac:dyDescent="0.3">
      <c r="A1719" s="1657">
        <v>44193</v>
      </c>
      <c r="B1719" s="1658">
        <v>5560</v>
      </c>
      <c r="C1719" s="1658">
        <v>90</v>
      </c>
      <c r="D1719" s="1659">
        <v>1.65</v>
      </c>
      <c r="E1719" s="1658">
        <v>5590</v>
      </c>
      <c r="F1719" s="1658">
        <v>5600</v>
      </c>
      <c r="G1719" s="1658">
        <v>5350</v>
      </c>
      <c r="H1719" s="1658">
        <v>581143</v>
      </c>
      <c r="I1719" s="1658">
        <v>3182584780</v>
      </c>
      <c r="J1719" s="1658">
        <v>316140749320</v>
      </c>
      <c r="K1719" s="1658">
        <v>56859847</v>
      </c>
    </row>
    <row r="1720" spans="1:11" x14ac:dyDescent="0.3">
      <c r="A1720" s="1657">
        <v>44194</v>
      </c>
      <c r="B1720" s="1658">
        <v>5380</v>
      </c>
      <c r="C1720" s="1658">
        <v>-180</v>
      </c>
      <c r="D1720" s="1659">
        <v>-3.24</v>
      </c>
      <c r="E1720" s="1658">
        <v>5520</v>
      </c>
      <c r="F1720" s="1658">
        <v>5560</v>
      </c>
      <c r="G1720" s="1658">
        <v>5260</v>
      </c>
      <c r="H1720" s="1658">
        <v>481288</v>
      </c>
      <c r="I1720" s="1658">
        <v>2575750180</v>
      </c>
      <c r="J1720" s="1658">
        <v>305905976860</v>
      </c>
      <c r="K1720" s="1658">
        <v>56859847</v>
      </c>
    </row>
    <row r="1721" spans="1:11" x14ac:dyDescent="0.3">
      <c r="A1721" s="1657">
        <v>44195</v>
      </c>
      <c r="B1721" s="1658">
        <v>5280</v>
      </c>
      <c r="C1721" s="1658">
        <v>-100</v>
      </c>
      <c r="D1721" s="1659">
        <v>-1.86</v>
      </c>
      <c r="E1721" s="1658">
        <v>5390</v>
      </c>
      <c r="F1721" s="1658">
        <v>5440</v>
      </c>
      <c r="G1721" s="1658">
        <v>5260</v>
      </c>
      <c r="H1721" s="1658">
        <v>371178</v>
      </c>
      <c r="I1721" s="1658">
        <v>1973908250</v>
      </c>
      <c r="J1721" s="1658">
        <v>300219992160</v>
      </c>
      <c r="K1721" s="1658">
        <v>56859847</v>
      </c>
    </row>
    <row r="1722" spans="1:11" x14ac:dyDescent="0.3">
      <c r="A1722" s="1657">
        <v>44200</v>
      </c>
      <c r="B1722" s="1658">
        <v>5220</v>
      </c>
      <c r="C1722" s="1658">
        <v>-60</v>
      </c>
      <c r="D1722" s="1659">
        <v>-1.1399999999999999</v>
      </c>
      <c r="E1722" s="1658">
        <v>5290</v>
      </c>
      <c r="F1722" s="1658">
        <v>5290</v>
      </c>
      <c r="G1722" s="1658">
        <v>5170</v>
      </c>
      <c r="H1722" s="1658">
        <v>352780</v>
      </c>
      <c r="I1722" s="1658">
        <v>1837950820</v>
      </c>
      <c r="J1722" s="1658">
        <v>296808401340</v>
      </c>
      <c r="K1722" s="1658">
        <v>56859847</v>
      </c>
    </row>
    <row r="1723" spans="1:11" x14ac:dyDescent="0.3">
      <c r="A1723" s="1657">
        <v>44201</v>
      </c>
      <c r="B1723" s="1658">
        <v>5170</v>
      </c>
      <c r="C1723" s="1658">
        <v>-50</v>
      </c>
      <c r="D1723" s="1659">
        <v>-0.96</v>
      </c>
      <c r="E1723" s="1658">
        <v>5240</v>
      </c>
      <c r="F1723" s="1658">
        <v>5280</v>
      </c>
      <c r="G1723" s="1658">
        <v>5060</v>
      </c>
      <c r="H1723" s="1658">
        <v>449711</v>
      </c>
      <c r="I1723" s="1658">
        <v>2312547060</v>
      </c>
      <c r="J1723" s="1658">
        <v>293965408990</v>
      </c>
      <c r="K1723" s="1658">
        <v>56859847</v>
      </c>
    </row>
    <row r="1724" spans="1:11" x14ac:dyDescent="0.3">
      <c r="A1724" s="1657">
        <v>44202</v>
      </c>
      <c r="B1724" s="1658">
        <v>5440</v>
      </c>
      <c r="C1724" s="1658">
        <v>270</v>
      </c>
      <c r="D1724" s="1659">
        <v>5.22</v>
      </c>
      <c r="E1724" s="1658">
        <v>5190</v>
      </c>
      <c r="F1724" s="1658">
        <v>5560</v>
      </c>
      <c r="G1724" s="1658">
        <v>5150</v>
      </c>
      <c r="H1724" s="1658">
        <v>876825</v>
      </c>
      <c r="I1724" s="1658">
        <v>4729699180</v>
      </c>
      <c r="J1724" s="1658">
        <v>309317567680</v>
      </c>
      <c r="K1724" s="1658">
        <v>56859847</v>
      </c>
    </row>
    <row r="1725" spans="1:11" x14ac:dyDescent="0.3">
      <c r="A1725" s="1657">
        <v>44203</v>
      </c>
      <c r="B1725" s="1658">
        <v>5350</v>
      </c>
      <c r="C1725" s="1658">
        <v>-90</v>
      </c>
      <c r="D1725" s="1659">
        <v>-1.65</v>
      </c>
      <c r="E1725" s="1658">
        <v>5440</v>
      </c>
      <c r="F1725" s="1658">
        <v>5530</v>
      </c>
      <c r="G1725" s="1658">
        <v>5280</v>
      </c>
      <c r="H1725" s="1658">
        <v>371945</v>
      </c>
      <c r="I1725" s="1658">
        <v>2005746220</v>
      </c>
      <c r="J1725" s="1658">
        <v>304200181450</v>
      </c>
      <c r="K1725" s="1658">
        <v>56859847</v>
      </c>
    </row>
    <row r="1726" spans="1:11" x14ac:dyDescent="0.3">
      <c r="A1726" s="1657">
        <v>44204</v>
      </c>
      <c r="B1726" s="1658">
        <v>5300</v>
      </c>
      <c r="C1726" s="1658">
        <v>-50</v>
      </c>
      <c r="D1726" s="1659">
        <v>-0.93</v>
      </c>
      <c r="E1726" s="1658">
        <v>5320</v>
      </c>
      <c r="F1726" s="1658">
        <v>5370</v>
      </c>
      <c r="G1726" s="1658">
        <v>5250</v>
      </c>
      <c r="H1726" s="1658">
        <v>248817</v>
      </c>
      <c r="I1726" s="1658">
        <v>1318601330</v>
      </c>
      <c r="J1726" s="1658">
        <v>301357189100</v>
      </c>
      <c r="K1726" s="1658">
        <v>56859847</v>
      </c>
    </row>
    <row r="1727" spans="1:11" x14ac:dyDescent="0.3">
      <c r="A1727" s="1657">
        <v>44207</v>
      </c>
      <c r="B1727" s="1658">
        <v>5440</v>
      </c>
      <c r="C1727" s="1658">
        <v>140</v>
      </c>
      <c r="D1727" s="1659">
        <v>2.64</v>
      </c>
      <c r="E1727" s="1658">
        <v>5400</v>
      </c>
      <c r="F1727" s="1658">
        <v>5550</v>
      </c>
      <c r="G1727" s="1658">
        <v>5090</v>
      </c>
      <c r="H1727" s="1658">
        <v>721111</v>
      </c>
      <c r="I1727" s="1658">
        <v>3875329960</v>
      </c>
      <c r="J1727" s="1658">
        <v>309317567680</v>
      </c>
      <c r="K1727" s="1658">
        <v>56859847</v>
      </c>
    </row>
    <row r="1728" spans="1:11" x14ac:dyDescent="0.3">
      <c r="A1728" s="1657">
        <v>44208</v>
      </c>
      <c r="B1728" s="1658">
        <v>5350</v>
      </c>
      <c r="C1728" s="1658">
        <v>-90</v>
      </c>
      <c r="D1728" s="1659">
        <v>-1.65</v>
      </c>
      <c r="E1728" s="1658">
        <v>5430</v>
      </c>
      <c r="F1728" s="1658">
        <v>5500</v>
      </c>
      <c r="G1728" s="1658">
        <v>5260</v>
      </c>
      <c r="H1728" s="1658">
        <v>345355</v>
      </c>
      <c r="I1728" s="1658">
        <v>1854374170</v>
      </c>
      <c r="J1728" s="1658">
        <v>304200181450</v>
      </c>
      <c r="K1728" s="1658">
        <v>56859847</v>
      </c>
    </row>
    <row r="1729" spans="1:11" x14ac:dyDescent="0.3">
      <c r="A1729" s="1657">
        <v>44209</v>
      </c>
      <c r="B1729" s="1658">
        <v>5310</v>
      </c>
      <c r="C1729" s="1658">
        <v>-40</v>
      </c>
      <c r="D1729" s="1659">
        <v>-0.75</v>
      </c>
      <c r="E1729" s="1658">
        <v>5400</v>
      </c>
      <c r="F1729" s="1658">
        <v>5400</v>
      </c>
      <c r="G1729" s="1658">
        <v>5260</v>
      </c>
      <c r="H1729" s="1658">
        <v>180733</v>
      </c>
      <c r="I1729" s="1658">
        <v>957714950</v>
      </c>
      <c r="J1729" s="1658">
        <v>301925787570</v>
      </c>
      <c r="K1729" s="1658">
        <v>56859847</v>
      </c>
    </row>
    <row r="1730" spans="1:11" x14ac:dyDescent="0.3">
      <c r="A1730" s="1657">
        <v>44210</v>
      </c>
      <c r="B1730" s="1658">
        <v>5430</v>
      </c>
      <c r="C1730" s="1658">
        <v>120</v>
      </c>
      <c r="D1730" s="1659">
        <v>2.2599999999999998</v>
      </c>
      <c r="E1730" s="1658">
        <v>5310</v>
      </c>
      <c r="F1730" s="1658">
        <v>5790</v>
      </c>
      <c r="G1730" s="1658">
        <v>5220</v>
      </c>
      <c r="H1730" s="1658">
        <v>1133973</v>
      </c>
      <c r="I1730" s="1658">
        <v>6188364880</v>
      </c>
      <c r="J1730" s="1658">
        <v>308748969210</v>
      </c>
      <c r="K1730" s="1658">
        <v>56859847</v>
      </c>
    </row>
    <row r="1731" spans="1:11" x14ac:dyDescent="0.3">
      <c r="A1731" s="1657">
        <v>44211</v>
      </c>
      <c r="B1731" s="1658">
        <v>5220</v>
      </c>
      <c r="C1731" s="1658">
        <v>-210</v>
      </c>
      <c r="D1731" s="1659">
        <v>-3.87</v>
      </c>
      <c r="E1731" s="1658">
        <v>5420</v>
      </c>
      <c r="F1731" s="1658">
        <v>5460</v>
      </c>
      <c r="G1731" s="1658">
        <v>5170</v>
      </c>
      <c r="H1731" s="1658">
        <v>404102</v>
      </c>
      <c r="I1731" s="1658">
        <v>2133987170</v>
      </c>
      <c r="J1731" s="1658">
        <v>296808401340</v>
      </c>
      <c r="K1731" s="1658">
        <v>56859847</v>
      </c>
    </row>
    <row r="1732" spans="1:11" x14ac:dyDescent="0.3">
      <c r="A1732" s="1657">
        <v>44214</v>
      </c>
      <c r="B1732" s="1658">
        <v>5150</v>
      </c>
      <c r="C1732" s="1658">
        <v>-70</v>
      </c>
      <c r="D1732" s="1659">
        <v>-1.34</v>
      </c>
      <c r="E1732" s="1658">
        <v>5220</v>
      </c>
      <c r="F1732" s="1658">
        <v>5270</v>
      </c>
      <c r="G1732" s="1658">
        <v>5070</v>
      </c>
      <c r="H1732" s="1658">
        <v>295115</v>
      </c>
      <c r="I1732" s="1658">
        <v>1519865560</v>
      </c>
      <c r="J1732" s="1658">
        <v>292828212050</v>
      </c>
      <c r="K1732" s="1658">
        <v>56859847</v>
      </c>
    </row>
    <row r="1733" spans="1:11" x14ac:dyDescent="0.3">
      <c r="A1733" s="1657">
        <v>44215</v>
      </c>
      <c r="B1733" s="1658">
        <v>5320</v>
      </c>
      <c r="C1733" s="1658">
        <v>170</v>
      </c>
      <c r="D1733" s="1659">
        <v>3.3</v>
      </c>
      <c r="E1733" s="1658">
        <v>5130</v>
      </c>
      <c r="F1733" s="1658">
        <v>5330</v>
      </c>
      <c r="G1733" s="1658">
        <v>5100</v>
      </c>
      <c r="H1733" s="1658">
        <v>273049</v>
      </c>
      <c r="I1733" s="1658">
        <v>1433087160</v>
      </c>
      <c r="J1733" s="1658">
        <v>302494386040</v>
      </c>
      <c r="K1733" s="1658">
        <v>56859847</v>
      </c>
    </row>
    <row r="1734" spans="1:11" x14ac:dyDescent="0.3">
      <c r="A1734" s="1657">
        <v>44216</v>
      </c>
      <c r="B1734" s="1658">
        <v>5630</v>
      </c>
      <c r="C1734" s="1658">
        <v>310</v>
      </c>
      <c r="D1734" s="1659">
        <v>5.83</v>
      </c>
      <c r="E1734" s="1658">
        <v>5280</v>
      </c>
      <c r="F1734" s="1658">
        <v>5710</v>
      </c>
      <c r="G1734" s="1658">
        <v>5260</v>
      </c>
      <c r="H1734" s="1658">
        <v>1279736</v>
      </c>
      <c r="I1734" s="1658">
        <v>7112159430</v>
      </c>
      <c r="J1734" s="1658">
        <v>320120938610</v>
      </c>
      <c r="K1734" s="1658">
        <v>56859847</v>
      </c>
    </row>
    <row r="1735" spans="1:11" x14ac:dyDescent="0.3">
      <c r="A1735" s="1657">
        <v>44217</v>
      </c>
      <c r="B1735" s="1658">
        <v>5620</v>
      </c>
      <c r="C1735" s="1658">
        <v>-10</v>
      </c>
      <c r="D1735" s="1659">
        <v>-0.18</v>
      </c>
      <c r="E1735" s="1658">
        <v>5600</v>
      </c>
      <c r="F1735" s="1658">
        <v>5650</v>
      </c>
      <c r="G1735" s="1658">
        <v>5440</v>
      </c>
      <c r="H1735" s="1658">
        <v>601394</v>
      </c>
      <c r="I1735" s="1658">
        <v>3335813460</v>
      </c>
      <c r="J1735" s="1658">
        <v>319552340140</v>
      </c>
      <c r="K1735" s="1658">
        <v>56859847</v>
      </c>
    </row>
    <row r="1736" spans="1:11" x14ac:dyDescent="0.3">
      <c r="A1736" s="1657">
        <v>44218</v>
      </c>
      <c r="B1736" s="1658">
        <v>5660</v>
      </c>
      <c r="C1736" s="1658">
        <v>40</v>
      </c>
      <c r="D1736" s="1659">
        <v>0.71</v>
      </c>
      <c r="E1736" s="1658">
        <v>5570</v>
      </c>
      <c r="F1736" s="1658">
        <v>5760</v>
      </c>
      <c r="G1736" s="1658">
        <v>5470</v>
      </c>
      <c r="H1736" s="1658">
        <v>734608</v>
      </c>
      <c r="I1736" s="1658">
        <v>4149981340</v>
      </c>
      <c r="J1736" s="1658">
        <v>321826734020</v>
      </c>
      <c r="K1736" s="1658">
        <v>56859847</v>
      </c>
    </row>
    <row r="1737" spans="1:11" x14ac:dyDescent="0.3">
      <c r="A1737" s="1657">
        <v>44221</v>
      </c>
      <c r="B1737" s="1658">
        <v>5740</v>
      </c>
      <c r="C1737" s="1658">
        <v>80</v>
      </c>
      <c r="D1737" s="1659">
        <v>1.41</v>
      </c>
      <c r="E1737" s="1658">
        <v>5770</v>
      </c>
      <c r="F1737" s="1658">
        <v>5790</v>
      </c>
      <c r="G1737" s="1658">
        <v>5580</v>
      </c>
      <c r="H1737" s="1658">
        <v>641315</v>
      </c>
      <c r="I1737" s="1658">
        <v>3658446240</v>
      </c>
      <c r="J1737" s="1658">
        <v>326375521780</v>
      </c>
      <c r="K1737" s="1658">
        <v>56859847</v>
      </c>
    </row>
    <row r="1738" spans="1:11" x14ac:dyDescent="0.3">
      <c r="A1738" s="1657">
        <v>44222</v>
      </c>
      <c r="B1738" s="1658">
        <v>5530</v>
      </c>
      <c r="C1738" s="1658">
        <v>-210</v>
      </c>
      <c r="D1738" s="1659">
        <v>-3.66</v>
      </c>
      <c r="E1738" s="1658">
        <v>5710</v>
      </c>
      <c r="F1738" s="1658">
        <v>5710</v>
      </c>
      <c r="G1738" s="1658">
        <v>5480</v>
      </c>
      <c r="H1738" s="1658">
        <v>400336</v>
      </c>
      <c r="I1738" s="1658">
        <v>2227398670</v>
      </c>
      <c r="J1738" s="1658">
        <v>314434953910</v>
      </c>
      <c r="K1738" s="1658">
        <v>56859847</v>
      </c>
    </row>
    <row r="1739" spans="1:11" x14ac:dyDescent="0.3">
      <c r="A1739" s="1657">
        <v>44223</v>
      </c>
      <c r="B1739" s="1658">
        <v>5490</v>
      </c>
      <c r="C1739" s="1658">
        <v>-40</v>
      </c>
      <c r="D1739" s="1659">
        <v>-0.72</v>
      </c>
      <c r="E1739" s="1658">
        <v>5580</v>
      </c>
      <c r="F1739" s="1658">
        <v>5620</v>
      </c>
      <c r="G1739" s="1658">
        <v>5460</v>
      </c>
      <c r="H1739" s="1658">
        <v>259848</v>
      </c>
      <c r="I1739" s="1658">
        <v>1436894500</v>
      </c>
      <c r="J1739" s="1658">
        <v>312160560030</v>
      </c>
      <c r="K1739" s="1658">
        <v>56859847</v>
      </c>
    </row>
    <row r="1740" spans="1:11" x14ac:dyDescent="0.3">
      <c r="A1740" s="1657">
        <v>44224</v>
      </c>
      <c r="B1740" s="1658">
        <v>5220</v>
      </c>
      <c r="C1740" s="1658">
        <v>-270</v>
      </c>
      <c r="D1740" s="1659">
        <v>-4.92</v>
      </c>
      <c r="E1740" s="1658">
        <v>5430</v>
      </c>
      <c r="F1740" s="1658">
        <v>5430</v>
      </c>
      <c r="G1740" s="1658">
        <v>5180</v>
      </c>
      <c r="H1740" s="1658">
        <v>465276</v>
      </c>
      <c r="I1740" s="1658">
        <v>2455973450</v>
      </c>
      <c r="J1740" s="1658">
        <v>296808401340</v>
      </c>
      <c r="K1740" s="1658">
        <v>56859847</v>
      </c>
    </row>
    <row r="1741" spans="1:11" x14ac:dyDescent="0.3">
      <c r="A1741" s="1657">
        <v>44225</v>
      </c>
      <c r="B1741" s="1658">
        <v>5060</v>
      </c>
      <c r="C1741" s="1658">
        <v>-160</v>
      </c>
      <c r="D1741" s="1659">
        <v>-3.07</v>
      </c>
      <c r="E1741" s="1658">
        <v>5260</v>
      </c>
      <c r="F1741" s="1658">
        <v>5300</v>
      </c>
      <c r="G1741" s="1658">
        <v>5020</v>
      </c>
      <c r="H1741" s="1658">
        <v>396641</v>
      </c>
      <c r="I1741" s="1658">
        <v>2034886210</v>
      </c>
      <c r="J1741" s="1658">
        <v>287710825820</v>
      </c>
      <c r="K1741" s="1658">
        <v>56859847</v>
      </c>
    </row>
    <row r="1742" spans="1:11" x14ac:dyDescent="0.3">
      <c r="A1742" s="1657">
        <v>44228</v>
      </c>
      <c r="B1742" s="1658">
        <v>5050</v>
      </c>
      <c r="C1742" s="1658">
        <v>-10</v>
      </c>
      <c r="D1742" s="1659">
        <v>-0.2</v>
      </c>
      <c r="E1742" s="1658">
        <v>5000</v>
      </c>
      <c r="F1742" s="1658">
        <v>5120</v>
      </c>
      <c r="G1742" s="1658">
        <v>4930</v>
      </c>
      <c r="H1742" s="1658">
        <v>200674</v>
      </c>
      <c r="I1742" s="1658">
        <v>1010802445</v>
      </c>
      <c r="J1742" s="1658">
        <v>287142227350</v>
      </c>
      <c r="K1742" s="1658">
        <v>56859847</v>
      </c>
    </row>
    <row r="1743" spans="1:11" x14ac:dyDescent="0.3">
      <c r="A1743" s="1657">
        <v>44229</v>
      </c>
      <c r="B1743" s="1658">
        <v>5160</v>
      </c>
      <c r="C1743" s="1658">
        <v>110</v>
      </c>
      <c r="D1743" s="1659">
        <v>2.1800000000000002</v>
      </c>
      <c r="E1743" s="1658">
        <v>5090</v>
      </c>
      <c r="F1743" s="1658">
        <v>5230</v>
      </c>
      <c r="G1743" s="1658">
        <v>5070</v>
      </c>
      <c r="H1743" s="1658">
        <v>210569</v>
      </c>
      <c r="I1743" s="1658">
        <v>1084644520</v>
      </c>
      <c r="J1743" s="1658">
        <v>293396810520</v>
      </c>
      <c r="K1743" s="1658">
        <v>56859847</v>
      </c>
    </row>
    <row r="1744" spans="1:11" x14ac:dyDescent="0.3">
      <c r="A1744" s="1657">
        <v>44230</v>
      </c>
      <c r="B1744" s="1658">
        <v>5170</v>
      </c>
      <c r="C1744" s="1658">
        <v>10</v>
      </c>
      <c r="D1744" s="1659">
        <v>0.19</v>
      </c>
      <c r="E1744" s="1658">
        <v>5200</v>
      </c>
      <c r="F1744" s="1658">
        <v>5230</v>
      </c>
      <c r="G1744" s="1658">
        <v>5090</v>
      </c>
      <c r="H1744" s="1658">
        <v>156005</v>
      </c>
      <c r="I1744" s="1658">
        <v>802835290</v>
      </c>
      <c r="J1744" s="1658">
        <v>293965408990</v>
      </c>
      <c r="K1744" s="1658">
        <v>56859847</v>
      </c>
    </row>
    <row r="1745" spans="1:11" x14ac:dyDescent="0.3">
      <c r="A1745" s="1657">
        <v>44231</v>
      </c>
      <c r="B1745" s="1658">
        <v>5100</v>
      </c>
      <c r="C1745" s="1658">
        <v>-70</v>
      </c>
      <c r="D1745" s="1659">
        <v>-1.35</v>
      </c>
      <c r="E1745" s="1658">
        <v>5140</v>
      </c>
      <c r="F1745" s="1658">
        <v>5210</v>
      </c>
      <c r="G1745" s="1658">
        <v>5030</v>
      </c>
      <c r="H1745" s="1658">
        <v>198924</v>
      </c>
      <c r="I1745" s="1658">
        <v>1010065670</v>
      </c>
      <c r="J1745" s="1658">
        <v>289985219700</v>
      </c>
      <c r="K1745" s="1658">
        <v>56859847</v>
      </c>
    </row>
    <row r="1746" spans="1:11" x14ac:dyDescent="0.3">
      <c r="A1746" s="1657">
        <v>44232</v>
      </c>
      <c r="B1746" s="1658">
        <v>5110</v>
      </c>
      <c r="C1746" s="1658">
        <v>10</v>
      </c>
      <c r="D1746" s="1659">
        <v>0.2</v>
      </c>
      <c r="E1746" s="1658">
        <v>5110</v>
      </c>
      <c r="F1746" s="1658">
        <v>5140</v>
      </c>
      <c r="G1746" s="1658">
        <v>5050</v>
      </c>
      <c r="H1746" s="1658">
        <v>121004</v>
      </c>
      <c r="I1746" s="1658">
        <v>614385790</v>
      </c>
      <c r="J1746" s="1658">
        <v>290553818170</v>
      </c>
      <c r="K1746" s="1658">
        <v>56859847</v>
      </c>
    </row>
    <row r="1747" spans="1:11" x14ac:dyDescent="0.3">
      <c r="A1747" s="1657">
        <v>44235</v>
      </c>
      <c r="B1747" s="1658">
        <v>5260</v>
      </c>
      <c r="C1747" s="1658">
        <v>150</v>
      </c>
      <c r="D1747" s="1659">
        <v>2.94</v>
      </c>
      <c r="E1747" s="1658">
        <v>5080</v>
      </c>
      <c r="F1747" s="1658">
        <v>5400</v>
      </c>
      <c r="G1747" s="1658">
        <v>5070</v>
      </c>
      <c r="H1747" s="1658">
        <v>376468</v>
      </c>
      <c r="I1747" s="1658">
        <v>1977166220</v>
      </c>
      <c r="J1747" s="1658">
        <v>299082795220</v>
      </c>
      <c r="K1747" s="1658">
        <v>56859847</v>
      </c>
    </row>
    <row r="1748" spans="1:11" x14ac:dyDescent="0.3">
      <c r="A1748" s="1657">
        <v>44236</v>
      </c>
      <c r="B1748" s="1658">
        <v>5270</v>
      </c>
      <c r="C1748" s="1658">
        <v>10</v>
      </c>
      <c r="D1748" s="1659">
        <v>0.19</v>
      </c>
      <c r="E1748" s="1658">
        <v>5280</v>
      </c>
      <c r="F1748" s="1658">
        <v>5340</v>
      </c>
      <c r="G1748" s="1658">
        <v>5200</v>
      </c>
      <c r="H1748" s="1658">
        <v>148472</v>
      </c>
      <c r="I1748" s="1658">
        <v>782800510</v>
      </c>
      <c r="J1748" s="1658">
        <v>299651393690</v>
      </c>
      <c r="K1748" s="1658">
        <v>56859847</v>
      </c>
    </row>
    <row r="1749" spans="1:11" x14ac:dyDescent="0.3">
      <c r="A1749" s="1657">
        <v>44237</v>
      </c>
      <c r="B1749" s="1658">
        <v>5450</v>
      </c>
      <c r="C1749" s="1658">
        <v>180</v>
      </c>
      <c r="D1749" s="1659">
        <v>3.42</v>
      </c>
      <c r="E1749" s="1658">
        <v>5350</v>
      </c>
      <c r="F1749" s="1658">
        <v>5550</v>
      </c>
      <c r="G1749" s="1658">
        <v>5320</v>
      </c>
      <c r="H1749" s="1658">
        <v>750484</v>
      </c>
      <c r="I1749" s="1658">
        <v>4078682450</v>
      </c>
      <c r="J1749" s="1658">
        <v>309886166150</v>
      </c>
      <c r="K1749" s="1658">
        <v>56859847</v>
      </c>
    </row>
    <row r="1750" spans="1:11" x14ac:dyDescent="0.3">
      <c r="A1750" s="1657">
        <v>44242</v>
      </c>
      <c r="B1750" s="1658">
        <v>5440</v>
      </c>
      <c r="C1750" s="1658">
        <v>-10</v>
      </c>
      <c r="D1750" s="1659">
        <v>-0.18</v>
      </c>
      <c r="E1750" s="1658">
        <v>5430</v>
      </c>
      <c r="F1750" s="1658">
        <v>5510</v>
      </c>
      <c r="G1750" s="1658">
        <v>5330</v>
      </c>
      <c r="H1750" s="1658">
        <v>272992</v>
      </c>
      <c r="I1750" s="1658">
        <v>1482139540</v>
      </c>
      <c r="J1750" s="1658">
        <v>309317567680</v>
      </c>
      <c r="K1750" s="1658">
        <v>56859847</v>
      </c>
    </row>
    <row r="1751" spans="1:11" x14ac:dyDescent="0.3">
      <c r="A1751" s="1657">
        <v>44243</v>
      </c>
      <c r="B1751" s="1658">
        <v>5370</v>
      </c>
      <c r="C1751" s="1658">
        <v>-70</v>
      </c>
      <c r="D1751" s="1659">
        <v>-1.29</v>
      </c>
      <c r="E1751" s="1658">
        <v>5440</v>
      </c>
      <c r="F1751" s="1658">
        <v>5480</v>
      </c>
      <c r="G1751" s="1658">
        <v>5350</v>
      </c>
      <c r="H1751" s="1658">
        <v>296362</v>
      </c>
      <c r="I1751" s="1658">
        <v>1598471320</v>
      </c>
      <c r="J1751" s="1658">
        <v>305337378390</v>
      </c>
      <c r="K1751" s="1658">
        <v>56859847</v>
      </c>
    </row>
    <row r="1752" spans="1:11" x14ac:dyDescent="0.3">
      <c r="A1752" s="1657">
        <v>44244</v>
      </c>
      <c r="B1752" s="1658">
        <v>5490</v>
      </c>
      <c r="C1752" s="1658">
        <v>120</v>
      </c>
      <c r="D1752" s="1659">
        <v>2.23</v>
      </c>
      <c r="E1752" s="1658">
        <v>5410</v>
      </c>
      <c r="F1752" s="1658">
        <v>5490</v>
      </c>
      <c r="G1752" s="1658">
        <v>5320</v>
      </c>
      <c r="H1752" s="1658">
        <v>203344</v>
      </c>
      <c r="I1752" s="1658">
        <v>1104466680</v>
      </c>
      <c r="J1752" s="1658">
        <v>312160560030</v>
      </c>
      <c r="K1752" s="1658">
        <v>56859847</v>
      </c>
    </row>
    <row r="1753" spans="1:11" x14ac:dyDescent="0.3">
      <c r="A1753" s="1657">
        <v>44245</v>
      </c>
      <c r="B1753" s="1658">
        <v>5360</v>
      </c>
      <c r="C1753" s="1658">
        <v>-130</v>
      </c>
      <c r="D1753" s="1659">
        <v>-2.37</v>
      </c>
      <c r="E1753" s="1658">
        <v>5490</v>
      </c>
      <c r="F1753" s="1658">
        <v>5500</v>
      </c>
      <c r="G1753" s="1658">
        <v>5320</v>
      </c>
      <c r="H1753" s="1658">
        <v>196857</v>
      </c>
      <c r="I1753" s="1658">
        <v>1057294890</v>
      </c>
      <c r="J1753" s="1658">
        <v>304768779920</v>
      </c>
      <c r="K1753" s="1658">
        <v>56859847</v>
      </c>
    </row>
    <row r="1754" spans="1:11" x14ac:dyDescent="0.3">
      <c r="A1754" s="1657">
        <v>44246</v>
      </c>
      <c r="B1754" s="1658">
        <v>5400</v>
      </c>
      <c r="C1754" s="1658">
        <v>40</v>
      </c>
      <c r="D1754" s="1659">
        <v>0.75</v>
      </c>
      <c r="E1754" s="1658">
        <v>5300</v>
      </c>
      <c r="F1754" s="1658">
        <v>5430</v>
      </c>
      <c r="G1754" s="1658">
        <v>5200</v>
      </c>
      <c r="H1754" s="1658">
        <v>296501</v>
      </c>
      <c r="I1754" s="1658">
        <v>1574210880</v>
      </c>
      <c r="J1754" s="1658">
        <v>307043173800</v>
      </c>
      <c r="K1754" s="1658">
        <v>56859847</v>
      </c>
    </row>
    <row r="1755" spans="1:11" x14ac:dyDescent="0.3">
      <c r="A1755" s="1657">
        <v>44249</v>
      </c>
      <c r="B1755" s="1658">
        <v>5460</v>
      </c>
      <c r="C1755" s="1658">
        <v>60</v>
      </c>
      <c r="D1755" s="1659">
        <v>1.1100000000000001</v>
      </c>
      <c r="E1755" s="1658">
        <v>5440</v>
      </c>
      <c r="F1755" s="1658">
        <v>5660</v>
      </c>
      <c r="G1755" s="1658">
        <v>5360</v>
      </c>
      <c r="H1755" s="1658">
        <v>539761</v>
      </c>
      <c r="I1755" s="1658">
        <v>2972528680</v>
      </c>
      <c r="J1755" s="1658">
        <v>310454764620</v>
      </c>
      <c r="K1755" s="1658">
        <v>56859847</v>
      </c>
    </row>
    <row r="1756" spans="1:11" x14ac:dyDescent="0.3">
      <c r="A1756" s="1657">
        <v>44250</v>
      </c>
      <c r="B1756" s="1658">
        <v>5360</v>
      </c>
      <c r="C1756" s="1658">
        <v>-100</v>
      </c>
      <c r="D1756" s="1659">
        <v>-1.83</v>
      </c>
      <c r="E1756" s="1658">
        <v>5370</v>
      </c>
      <c r="F1756" s="1658">
        <v>5470</v>
      </c>
      <c r="G1756" s="1658">
        <v>5320</v>
      </c>
      <c r="H1756" s="1658">
        <v>213632</v>
      </c>
      <c r="I1756" s="1658">
        <v>1149882190</v>
      </c>
      <c r="J1756" s="1658">
        <v>304768779920</v>
      </c>
      <c r="K1756" s="1658">
        <v>56859847</v>
      </c>
    </row>
    <row r="1757" spans="1:11" x14ac:dyDescent="0.3">
      <c r="A1757" s="1657">
        <v>44251</v>
      </c>
      <c r="B1757" s="1658">
        <v>5130</v>
      </c>
      <c r="C1757" s="1658">
        <v>-230</v>
      </c>
      <c r="D1757" s="1659">
        <v>-4.29</v>
      </c>
      <c r="E1757" s="1658">
        <v>5320</v>
      </c>
      <c r="F1757" s="1658">
        <v>5420</v>
      </c>
      <c r="G1757" s="1658">
        <v>5070</v>
      </c>
      <c r="H1757" s="1658">
        <v>291017</v>
      </c>
      <c r="I1757" s="1658">
        <v>1516163200</v>
      </c>
      <c r="J1757" s="1658">
        <v>291691015110</v>
      </c>
      <c r="K1757" s="1658">
        <v>56859847</v>
      </c>
    </row>
    <row r="1758" spans="1:11" x14ac:dyDescent="0.3">
      <c r="A1758" s="1657">
        <v>44252</v>
      </c>
      <c r="B1758" s="1658">
        <v>5300</v>
      </c>
      <c r="C1758" s="1658">
        <v>170</v>
      </c>
      <c r="D1758" s="1659">
        <v>3.31</v>
      </c>
      <c r="E1758" s="1658">
        <v>5150</v>
      </c>
      <c r="F1758" s="1658">
        <v>5350</v>
      </c>
      <c r="G1758" s="1658">
        <v>5150</v>
      </c>
      <c r="H1758" s="1658">
        <v>168853</v>
      </c>
      <c r="I1758" s="1658">
        <v>887610570</v>
      </c>
      <c r="J1758" s="1658">
        <v>301357189100</v>
      </c>
      <c r="K1758" s="1658">
        <v>56859847</v>
      </c>
    </row>
    <row r="1759" spans="1:11" x14ac:dyDescent="0.3">
      <c r="A1759" s="1657">
        <v>44253</v>
      </c>
      <c r="B1759" s="1658">
        <v>5100</v>
      </c>
      <c r="C1759" s="1658">
        <v>-200</v>
      </c>
      <c r="D1759" s="1659">
        <v>-3.77</v>
      </c>
      <c r="E1759" s="1658">
        <v>5100</v>
      </c>
      <c r="F1759" s="1658">
        <v>5190</v>
      </c>
      <c r="G1759" s="1658">
        <v>5080</v>
      </c>
      <c r="H1759" s="1658">
        <v>207966</v>
      </c>
      <c r="I1759" s="1658">
        <v>1064305210</v>
      </c>
      <c r="J1759" s="1658">
        <v>289985219700</v>
      </c>
      <c r="K1759" s="1658">
        <v>56859847</v>
      </c>
    </row>
    <row r="1760" spans="1:11" x14ac:dyDescent="0.3">
      <c r="A1760" s="1657">
        <v>44257</v>
      </c>
      <c r="B1760" s="1658">
        <v>5200</v>
      </c>
      <c r="C1760" s="1658">
        <v>100</v>
      </c>
      <c r="D1760" s="1659">
        <v>1.96</v>
      </c>
      <c r="E1760" s="1658">
        <v>5170</v>
      </c>
      <c r="F1760" s="1658">
        <v>5330</v>
      </c>
      <c r="G1760" s="1658">
        <v>5110</v>
      </c>
      <c r="H1760" s="1658">
        <v>184241</v>
      </c>
      <c r="I1760" s="1658">
        <v>962582350</v>
      </c>
      <c r="J1760" s="1658">
        <v>295671204400</v>
      </c>
      <c r="K1760" s="1658">
        <v>56859847</v>
      </c>
    </row>
    <row r="1761" spans="1:11" x14ac:dyDescent="0.3">
      <c r="A1761" s="1657">
        <v>44258</v>
      </c>
      <c r="B1761" s="1658">
        <v>5390</v>
      </c>
      <c r="C1761" s="1658">
        <v>190</v>
      </c>
      <c r="D1761" s="1659">
        <v>3.65</v>
      </c>
      <c r="E1761" s="1658">
        <v>5150</v>
      </c>
      <c r="F1761" s="1658">
        <v>5470</v>
      </c>
      <c r="G1761" s="1658">
        <v>5140</v>
      </c>
      <c r="H1761" s="1658">
        <v>358142</v>
      </c>
      <c r="I1761" s="1658">
        <v>1907444540</v>
      </c>
      <c r="J1761" s="1658">
        <v>306474575330</v>
      </c>
      <c r="K1761" s="1658">
        <v>56859847</v>
      </c>
    </row>
    <row r="1762" spans="1:11" x14ac:dyDescent="0.3">
      <c r="A1762" s="1657">
        <v>44259</v>
      </c>
      <c r="B1762" s="1658">
        <v>5400</v>
      </c>
      <c r="C1762" s="1658">
        <v>10</v>
      </c>
      <c r="D1762" s="1659">
        <v>0.19</v>
      </c>
      <c r="E1762" s="1658">
        <v>5310</v>
      </c>
      <c r="F1762" s="1658">
        <v>5550</v>
      </c>
      <c r="G1762" s="1658">
        <v>5270</v>
      </c>
      <c r="H1762" s="1658">
        <v>443742</v>
      </c>
      <c r="I1762" s="1658">
        <v>2396855340</v>
      </c>
      <c r="J1762" s="1658">
        <v>307043173800</v>
      </c>
      <c r="K1762" s="1658">
        <v>56859847</v>
      </c>
    </row>
    <row r="1763" spans="1:11" x14ac:dyDescent="0.3">
      <c r="A1763" s="1657">
        <v>44260</v>
      </c>
      <c r="B1763" s="1658">
        <v>5410</v>
      </c>
      <c r="C1763" s="1658">
        <v>10</v>
      </c>
      <c r="D1763" s="1659">
        <v>0.19</v>
      </c>
      <c r="E1763" s="1658">
        <v>5290</v>
      </c>
      <c r="F1763" s="1658">
        <v>5460</v>
      </c>
      <c r="G1763" s="1658">
        <v>5290</v>
      </c>
      <c r="H1763" s="1658">
        <v>185969</v>
      </c>
      <c r="I1763" s="1658">
        <v>998720430</v>
      </c>
      <c r="J1763" s="1658">
        <v>307611772270</v>
      </c>
      <c r="K1763" s="1658">
        <v>56859847</v>
      </c>
    </row>
    <row r="1764" spans="1:11" x14ac:dyDescent="0.3">
      <c r="A1764" s="1657">
        <v>44263</v>
      </c>
      <c r="B1764" s="1658">
        <v>5270</v>
      </c>
      <c r="C1764" s="1658">
        <v>-140</v>
      </c>
      <c r="D1764" s="1659">
        <v>-2.59</v>
      </c>
      <c r="E1764" s="1658">
        <v>5440</v>
      </c>
      <c r="F1764" s="1658">
        <v>5480</v>
      </c>
      <c r="G1764" s="1658">
        <v>5210</v>
      </c>
      <c r="H1764" s="1658">
        <v>220944</v>
      </c>
      <c r="I1764" s="1658">
        <v>1184781790</v>
      </c>
      <c r="J1764" s="1658">
        <v>299651393690</v>
      </c>
      <c r="K1764" s="1658">
        <v>56859847</v>
      </c>
    </row>
    <row r="1765" spans="1:11" x14ac:dyDescent="0.3">
      <c r="A1765" s="1657">
        <v>44264</v>
      </c>
      <c r="B1765" s="1658">
        <v>5380</v>
      </c>
      <c r="C1765" s="1658">
        <v>110</v>
      </c>
      <c r="D1765" s="1659">
        <v>2.09</v>
      </c>
      <c r="E1765" s="1658">
        <v>5280</v>
      </c>
      <c r="F1765" s="1658">
        <v>5380</v>
      </c>
      <c r="G1765" s="1658">
        <v>5180</v>
      </c>
      <c r="H1765" s="1658">
        <v>236260</v>
      </c>
      <c r="I1765" s="1658">
        <v>1249701160</v>
      </c>
      <c r="J1765" s="1658">
        <v>305905976860</v>
      </c>
      <c r="K1765" s="1658">
        <v>56859847</v>
      </c>
    </row>
    <row r="1766" spans="1:11" x14ac:dyDescent="0.3">
      <c r="A1766" s="1657">
        <v>44265</v>
      </c>
      <c r="B1766" s="1658">
        <v>5370</v>
      </c>
      <c r="C1766" s="1658">
        <v>-10</v>
      </c>
      <c r="D1766" s="1659">
        <v>-0.19</v>
      </c>
      <c r="E1766" s="1658">
        <v>5430</v>
      </c>
      <c r="F1766" s="1658">
        <v>5430</v>
      </c>
      <c r="G1766" s="1658">
        <v>5240</v>
      </c>
      <c r="H1766" s="1658">
        <v>227288</v>
      </c>
      <c r="I1766" s="1658">
        <v>1209075060</v>
      </c>
      <c r="J1766" s="1658">
        <v>305337378390</v>
      </c>
      <c r="K1766" s="1658">
        <v>56859847</v>
      </c>
    </row>
    <row r="1767" spans="1:11" x14ac:dyDescent="0.3">
      <c r="A1767" s="1657">
        <v>44266</v>
      </c>
      <c r="B1767" s="1658">
        <v>5500</v>
      </c>
      <c r="C1767" s="1658">
        <v>130</v>
      </c>
      <c r="D1767" s="1659">
        <v>2.42</v>
      </c>
      <c r="E1767" s="1658">
        <v>5370</v>
      </c>
      <c r="F1767" s="1658">
        <v>5500</v>
      </c>
      <c r="G1767" s="1658">
        <v>5310</v>
      </c>
      <c r="H1767" s="1658">
        <v>436847</v>
      </c>
      <c r="I1767" s="1658">
        <v>2375311510</v>
      </c>
      <c r="J1767" s="1658">
        <v>312729158500</v>
      </c>
      <c r="K1767" s="1658">
        <v>56859847</v>
      </c>
    </row>
    <row r="1768" spans="1:11" x14ac:dyDescent="0.3">
      <c r="A1768" s="1657">
        <v>44267</v>
      </c>
      <c r="B1768" s="1658">
        <v>5400</v>
      </c>
      <c r="C1768" s="1658">
        <v>-100</v>
      </c>
      <c r="D1768" s="1659">
        <v>-1.82</v>
      </c>
      <c r="E1768" s="1658">
        <v>5470</v>
      </c>
      <c r="F1768" s="1658">
        <v>5500</v>
      </c>
      <c r="G1768" s="1658">
        <v>5400</v>
      </c>
      <c r="H1768" s="1658">
        <v>229788</v>
      </c>
      <c r="I1768" s="1658">
        <v>1249447160</v>
      </c>
      <c r="J1768" s="1658">
        <v>307043173800</v>
      </c>
      <c r="K1768" s="1658">
        <v>56859847</v>
      </c>
    </row>
    <row r="1769" spans="1:11" x14ac:dyDescent="0.3">
      <c r="A1769" s="1657">
        <v>44270</v>
      </c>
      <c r="B1769" s="1658">
        <v>5420</v>
      </c>
      <c r="C1769" s="1658">
        <v>20</v>
      </c>
      <c r="D1769" s="1659">
        <v>0.37</v>
      </c>
      <c r="E1769" s="1658">
        <v>5410</v>
      </c>
      <c r="F1769" s="1658">
        <v>5530</v>
      </c>
      <c r="G1769" s="1658">
        <v>5340</v>
      </c>
      <c r="H1769" s="1658">
        <v>198886</v>
      </c>
      <c r="I1769" s="1658">
        <v>1085305410</v>
      </c>
      <c r="J1769" s="1658">
        <v>308180370740</v>
      </c>
      <c r="K1769" s="1658">
        <v>56859847</v>
      </c>
    </row>
    <row r="1770" spans="1:11" x14ac:dyDescent="0.3">
      <c r="A1770" s="1657">
        <v>44271</v>
      </c>
      <c r="B1770" s="1658">
        <v>5510</v>
      </c>
      <c r="C1770" s="1658">
        <v>90</v>
      </c>
      <c r="D1770" s="1659">
        <v>1.66</v>
      </c>
      <c r="E1770" s="1658">
        <v>5400</v>
      </c>
      <c r="F1770" s="1658">
        <v>5590</v>
      </c>
      <c r="G1770" s="1658">
        <v>5400</v>
      </c>
      <c r="H1770" s="1658">
        <v>410396</v>
      </c>
      <c r="I1770" s="1658">
        <v>2256284470</v>
      </c>
      <c r="J1770" s="1658">
        <v>313297756970</v>
      </c>
      <c r="K1770" s="1658">
        <v>56859847</v>
      </c>
    </row>
    <row r="1771" spans="1:11" x14ac:dyDescent="0.3">
      <c r="A1771" s="1657">
        <v>44272</v>
      </c>
      <c r="B1771" s="1658">
        <v>5720</v>
      </c>
      <c r="C1771" s="1658">
        <v>210</v>
      </c>
      <c r="D1771" s="1659">
        <v>3.81</v>
      </c>
      <c r="E1771" s="1658">
        <v>5510</v>
      </c>
      <c r="F1771" s="1658">
        <v>5730</v>
      </c>
      <c r="G1771" s="1658">
        <v>5470</v>
      </c>
      <c r="H1771" s="1658">
        <v>712560</v>
      </c>
      <c r="I1771" s="1658">
        <v>4012688370</v>
      </c>
      <c r="J1771" s="1658">
        <v>325238324840</v>
      </c>
      <c r="K1771" s="1658">
        <v>56859847</v>
      </c>
    </row>
    <row r="1772" spans="1:11" x14ac:dyDescent="0.3">
      <c r="A1772" s="1657">
        <v>44273</v>
      </c>
      <c r="B1772" s="1658">
        <v>5580</v>
      </c>
      <c r="C1772" s="1658">
        <v>-140</v>
      </c>
      <c r="D1772" s="1659">
        <v>-2.4500000000000002</v>
      </c>
      <c r="E1772" s="1658">
        <v>5670</v>
      </c>
      <c r="F1772" s="1658">
        <v>5710</v>
      </c>
      <c r="G1772" s="1658">
        <v>5510</v>
      </c>
      <c r="H1772" s="1658">
        <v>311046</v>
      </c>
      <c r="I1772" s="1658">
        <v>1746176960</v>
      </c>
      <c r="J1772" s="1658">
        <v>317277946260</v>
      </c>
      <c r="K1772" s="1658">
        <v>56859847</v>
      </c>
    </row>
    <row r="1773" spans="1:11" x14ac:dyDescent="0.3">
      <c r="A1773" s="1657">
        <v>44274</v>
      </c>
      <c r="B1773" s="1658">
        <v>5500</v>
      </c>
      <c r="C1773" s="1658">
        <v>-80</v>
      </c>
      <c r="D1773" s="1659">
        <v>-1.43</v>
      </c>
      <c r="E1773" s="1658">
        <v>5570</v>
      </c>
      <c r="F1773" s="1658">
        <v>5570</v>
      </c>
      <c r="G1773" s="1658">
        <v>5460</v>
      </c>
      <c r="H1773" s="1658">
        <v>192850</v>
      </c>
      <c r="I1773" s="1658">
        <v>1062785110</v>
      </c>
      <c r="J1773" s="1658">
        <v>312729158500</v>
      </c>
      <c r="K1773" s="1658">
        <v>56859847</v>
      </c>
    </row>
    <row r="1774" spans="1:11" x14ac:dyDescent="0.3">
      <c r="A1774" s="1657">
        <v>44277</v>
      </c>
      <c r="B1774" s="1658">
        <v>5560</v>
      </c>
      <c r="C1774" s="1658">
        <v>60</v>
      </c>
      <c r="D1774" s="1659">
        <v>1.0900000000000001</v>
      </c>
      <c r="E1774" s="1658">
        <v>5470</v>
      </c>
      <c r="F1774" s="1658">
        <v>5620</v>
      </c>
      <c r="G1774" s="1658">
        <v>5440</v>
      </c>
      <c r="H1774" s="1658">
        <v>193236</v>
      </c>
      <c r="I1774" s="1658">
        <v>1071311930</v>
      </c>
      <c r="J1774" s="1658">
        <v>316140749320</v>
      </c>
      <c r="K1774" s="1658">
        <v>56859847</v>
      </c>
    </row>
    <row r="1775" spans="1:11" x14ac:dyDescent="0.3">
      <c r="A1775" s="1657">
        <v>44278</v>
      </c>
      <c r="B1775" s="1658">
        <v>5450</v>
      </c>
      <c r="C1775" s="1658">
        <v>-110</v>
      </c>
      <c r="D1775" s="1659">
        <v>-1.98</v>
      </c>
      <c r="E1775" s="1658">
        <v>5560</v>
      </c>
      <c r="F1775" s="1658">
        <v>5610</v>
      </c>
      <c r="G1775" s="1658">
        <v>5410</v>
      </c>
      <c r="H1775" s="1658">
        <v>336725</v>
      </c>
      <c r="I1775" s="1658">
        <v>1845883410</v>
      </c>
      <c r="J1775" s="1658">
        <v>309886166150</v>
      </c>
      <c r="K1775" s="1658">
        <v>56859847</v>
      </c>
    </row>
    <row r="1776" spans="1:11" x14ac:dyDescent="0.3">
      <c r="A1776" s="1657">
        <v>44279</v>
      </c>
      <c r="B1776" s="1658">
        <v>5580</v>
      </c>
      <c r="C1776" s="1658">
        <v>130</v>
      </c>
      <c r="D1776" s="1659">
        <v>2.39</v>
      </c>
      <c r="E1776" s="1658">
        <v>5430</v>
      </c>
      <c r="F1776" s="1658">
        <v>5670</v>
      </c>
      <c r="G1776" s="1658">
        <v>5410</v>
      </c>
      <c r="H1776" s="1658">
        <v>450506</v>
      </c>
      <c r="I1776" s="1658">
        <v>2522083800</v>
      </c>
      <c r="J1776" s="1658">
        <v>317277946260</v>
      </c>
      <c r="K1776" s="1658">
        <v>56859847</v>
      </c>
    </row>
    <row r="1777" spans="1:11" x14ac:dyDescent="0.3">
      <c r="A1777" s="1657">
        <v>44280</v>
      </c>
      <c r="B1777" s="1658">
        <v>5490</v>
      </c>
      <c r="C1777" s="1658">
        <v>-90</v>
      </c>
      <c r="D1777" s="1659">
        <v>-1.61</v>
      </c>
      <c r="E1777" s="1658">
        <v>5520</v>
      </c>
      <c r="F1777" s="1658">
        <v>5560</v>
      </c>
      <c r="G1777" s="1658">
        <v>5420</v>
      </c>
      <c r="H1777" s="1658">
        <v>255772</v>
      </c>
      <c r="I1777" s="1658">
        <v>1398422830</v>
      </c>
      <c r="J1777" s="1658">
        <v>312160560030</v>
      </c>
      <c r="K1777" s="1658">
        <v>56859847</v>
      </c>
    </row>
    <row r="1778" spans="1:11" x14ac:dyDescent="0.3">
      <c r="A1778" s="1657">
        <v>44281</v>
      </c>
      <c r="B1778" s="1658">
        <v>5410</v>
      </c>
      <c r="C1778" s="1658">
        <v>-80</v>
      </c>
      <c r="D1778" s="1659">
        <v>-1.46</v>
      </c>
      <c r="E1778" s="1658">
        <v>5510</v>
      </c>
      <c r="F1778" s="1658">
        <v>5550</v>
      </c>
      <c r="G1778" s="1658">
        <v>5350</v>
      </c>
      <c r="H1778" s="1658">
        <v>253951</v>
      </c>
      <c r="I1778" s="1658">
        <v>1379475330</v>
      </c>
      <c r="J1778" s="1658">
        <v>307611772270</v>
      </c>
      <c r="K1778" s="1658">
        <v>56859847</v>
      </c>
    </row>
    <row r="1779" spans="1:11" x14ac:dyDescent="0.3">
      <c r="A1779" s="1657">
        <v>44284</v>
      </c>
      <c r="B1779" s="1658">
        <v>5300</v>
      </c>
      <c r="C1779" s="1658">
        <v>-110</v>
      </c>
      <c r="D1779" s="1659">
        <v>-2.0299999999999998</v>
      </c>
      <c r="E1779" s="1658">
        <v>5410</v>
      </c>
      <c r="F1779" s="1658">
        <v>5430</v>
      </c>
      <c r="G1779" s="1658">
        <v>5270</v>
      </c>
      <c r="H1779" s="1658">
        <v>227274</v>
      </c>
      <c r="I1779" s="1658">
        <v>1213506120</v>
      </c>
      <c r="J1779" s="1658">
        <v>301357189100</v>
      </c>
      <c r="K1779" s="1658">
        <v>56859847</v>
      </c>
    </row>
    <row r="1780" spans="1:11" x14ac:dyDescent="0.3">
      <c r="A1780" s="1657">
        <v>44285</v>
      </c>
      <c r="B1780" s="1658">
        <v>5550</v>
      </c>
      <c r="C1780" s="1658">
        <v>250</v>
      </c>
      <c r="D1780" s="1659">
        <v>4.72</v>
      </c>
      <c r="E1780" s="1658">
        <v>5310</v>
      </c>
      <c r="F1780" s="1658">
        <v>5600</v>
      </c>
      <c r="G1780" s="1658">
        <v>5250</v>
      </c>
      <c r="H1780" s="1658">
        <v>399835</v>
      </c>
      <c r="I1780" s="1658">
        <v>2193320750</v>
      </c>
      <c r="J1780" s="1658">
        <v>315572150850</v>
      </c>
      <c r="K1780" s="1658">
        <v>56859847</v>
      </c>
    </row>
    <row r="1781" spans="1:11" x14ac:dyDescent="0.3">
      <c r="A1781" s="1657">
        <v>44286</v>
      </c>
      <c r="B1781" s="1658">
        <v>6500</v>
      </c>
      <c r="C1781" s="1658">
        <v>950</v>
      </c>
      <c r="D1781" s="1659">
        <v>17.12</v>
      </c>
      <c r="E1781" s="1658">
        <v>5590</v>
      </c>
      <c r="F1781" s="1658">
        <v>6680</v>
      </c>
      <c r="G1781" s="1658">
        <v>5570</v>
      </c>
      <c r="H1781" s="1658">
        <v>5205452</v>
      </c>
      <c r="I1781" s="1658">
        <v>32701318760</v>
      </c>
      <c r="J1781" s="1658">
        <v>369589005500</v>
      </c>
      <c r="K1781" s="1658">
        <v>56859847</v>
      </c>
    </row>
    <row r="1782" spans="1:11" x14ac:dyDescent="0.3">
      <c r="A1782" s="1657">
        <v>44287</v>
      </c>
      <c r="B1782" s="1658">
        <v>6240</v>
      </c>
      <c r="C1782" s="1658">
        <v>-260</v>
      </c>
      <c r="D1782" s="1659">
        <v>-4</v>
      </c>
      <c r="E1782" s="1658">
        <v>6370</v>
      </c>
      <c r="F1782" s="1658">
        <v>7000</v>
      </c>
      <c r="G1782" s="1658">
        <v>5900</v>
      </c>
      <c r="H1782" s="1658">
        <v>3974619</v>
      </c>
      <c r="I1782" s="1658">
        <v>25446885380</v>
      </c>
      <c r="J1782" s="1658">
        <v>354805445280</v>
      </c>
      <c r="K1782" s="1658">
        <v>56859847</v>
      </c>
    </row>
    <row r="1783" spans="1:11" x14ac:dyDescent="0.3">
      <c r="A1783" s="1657">
        <v>44288</v>
      </c>
      <c r="B1783" s="1658">
        <v>6120</v>
      </c>
      <c r="C1783" s="1658">
        <v>-120</v>
      </c>
      <c r="D1783" s="1659">
        <v>-1.92</v>
      </c>
      <c r="E1783" s="1658">
        <v>6300</v>
      </c>
      <c r="F1783" s="1658">
        <v>6350</v>
      </c>
      <c r="G1783" s="1658">
        <v>6090</v>
      </c>
      <c r="H1783" s="1658">
        <v>558410</v>
      </c>
      <c r="I1783" s="1658">
        <v>3453320840</v>
      </c>
      <c r="J1783" s="1658">
        <v>347982263640</v>
      </c>
      <c r="K1783" s="1658">
        <v>56859847</v>
      </c>
    </row>
    <row r="1784" spans="1:11" x14ac:dyDescent="0.3">
      <c r="A1784" s="1657">
        <v>44291</v>
      </c>
      <c r="B1784" s="1658">
        <v>6280</v>
      </c>
      <c r="C1784" s="1658">
        <v>160</v>
      </c>
      <c r="D1784" s="1659">
        <v>2.61</v>
      </c>
      <c r="E1784" s="1658">
        <v>6190</v>
      </c>
      <c r="F1784" s="1658">
        <v>6370</v>
      </c>
      <c r="G1784" s="1658">
        <v>6160</v>
      </c>
      <c r="H1784" s="1658">
        <v>529724</v>
      </c>
      <c r="I1784" s="1658">
        <v>3318809040</v>
      </c>
      <c r="J1784" s="1658">
        <v>357079839160</v>
      </c>
      <c r="K1784" s="1658">
        <v>56859847</v>
      </c>
    </row>
    <row r="1785" spans="1:11" x14ac:dyDescent="0.3">
      <c r="A1785" s="1657">
        <v>44292</v>
      </c>
      <c r="B1785" s="1658">
        <v>6120</v>
      </c>
      <c r="C1785" s="1658">
        <v>-160</v>
      </c>
      <c r="D1785" s="1659">
        <v>-2.5499999999999998</v>
      </c>
      <c r="E1785" s="1658">
        <v>6390</v>
      </c>
      <c r="F1785" s="1658">
        <v>6390</v>
      </c>
      <c r="G1785" s="1658">
        <v>6060</v>
      </c>
      <c r="H1785" s="1658">
        <v>463590</v>
      </c>
      <c r="I1785" s="1658">
        <v>2849577810</v>
      </c>
      <c r="J1785" s="1658">
        <v>347982263640</v>
      </c>
      <c r="K1785" s="1658">
        <v>56859847</v>
      </c>
    </row>
    <row r="1786" spans="1:11" x14ac:dyDescent="0.3">
      <c r="A1786" s="1657">
        <v>44293</v>
      </c>
      <c r="B1786" s="1658">
        <v>6270</v>
      </c>
      <c r="C1786" s="1658">
        <v>150</v>
      </c>
      <c r="D1786" s="1659">
        <v>2.4500000000000002</v>
      </c>
      <c r="E1786" s="1658">
        <v>6130</v>
      </c>
      <c r="F1786" s="1658">
        <v>6270</v>
      </c>
      <c r="G1786" s="1658">
        <v>6060</v>
      </c>
      <c r="H1786" s="1658">
        <v>322697</v>
      </c>
      <c r="I1786" s="1658">
        <v>1999587050</v>
      </c>
      <c r="J1786" s="1658">
        <v>356511240690</v>
      </c>
      <c r="K1786" s="1658">
        <v>56859847</v>
      </c>
    </row>
    <row r="1787" spans="1:11" x14ac:dyDescent="0.3">
      <c r="A1787" s="1657">
        <v>44294</v>
      </c>
      <c r="B1787" s="1658">
        <v>6260</v>
      </c>
      <c r="C1787" s="1658">
        <v>-10</v>
      </c>
      <c r="D1787" s="1659">
        <v>-0.16</v>
      </c>
      <c r="E1787" s="1658">
        <v>6270</v>
      </c>
      <c r="F1787" s="1658">
        <v>6440</v>
      </c>
      <c r="G1787" s="1658">
        <v>6120</v>
      </c>
      <c r="H1787" s="1658">
        <v>472515</v>
      </c>
      <c r="I1787" s="1658">
        <v>2948004790</v>
      </c>
      <c r="J1787" s="1658">
        <v>355942642220</v>
      </c>
      <c r="K1787" s="1658">
        <v>56859847</v>
      </c>
    </row>
    <row r="1788" spans="1:11" x14ac:dyDescent="0.3">
      <c r="A1788" s="1657">
        <v>44295</v>
      </c>
      <c r="B1788" s="1658">
        <v>6270</v>
      </c>
      <c r="C1788" s="1658">
        <v>10</v>
      </c>
      <c r="D1788" s="1659">
        <v>0.16</v>
      </c>
      <c r="E1788" s="1658">
        <v>6270</v>
      </c>
      <c r="F1788" s="1658">
        <v>6300</v>
      </c>
      <c r="G1788" s="1658">
        <v>6150</v>
      </c>
      <c r="H1788" s="1658">
        <v>203849</v>
      </c>
      <c r="I1788" s="1658">
        <v>1270462120</v>
      </c>
      <c r="J1788" s="1658">
        <v>356511240690</v>
      </c>
      <c r="K1788" s="1658">
        <v>56859847</v>
      </c>
    </row>
    <row r="1789" spans="1:11" x14ac:dyDescent="0.3">
      <c r="A1789" s="1657">
        <v>44298</v>
      </c>
      <c r="B1789" s="1658">
        <v>6330</v>
      </c>
      <c r="C1789" s="1658">
        <v>60</v>
      </c>
      <c r="D1789" s="1659">
        <v>0.96</v>
      </c>
      <c r="E1789" s="1658">
        <v>6300</v>
      </c>
      <c r="F1789" s="1658">
        <v>6390</v>
      </c>
      <c r="G1789" s="1658">
        <v>6230</v>
      </c>
      <c r="H1789" s="1658">
        <v>444925</v>
      </c>
      <c r="I1789" s="1658">
        <v>2806080350</v>
      </c>
      <c r="J1789" s="1658">
        <v>359922831510</v>
      </c>
      <c r="K1789" s="1658">
        <v>56859847</v>
      </c>
    </row>
    <row r="1790" spans="1:11" x14ac:dyDescent="0.3">
      <c r="A1790" s="1657">
        <v>44299</v>
      </c>
      <c r="B1790" s="1658">
        <v>6450</v>
      </c>
      <c r="C1790" s="1658">
        <v>120</v>
      </c>
      <c r="D1790" s="1659">
        <v>1.9</v>
      </c>
      <c r="E1790" s="1658">
        <v>6380</v>
      </c>
      <c r="F1790" s="1658">
        <v>6660</v>
      </c>
      <c r="G1790" s="1658">
        <v>6060</v>
      </c>
      <c r="H1790" s="1658">
        <v>2583336</v>
      </c>
      <c r="I1790" s="1658">
        <v>16643012130</v>
      </c>
      <c r="J1790" s="1658">
        <v>366746013150</v>
      </c>
      <c r="K1790" s="1658">
        <v>56859847</v>
      </c>
    </row>
    <row r="1791" spans="1:11" x14ac:dyDescent="0.3">
      <c r="A1791" s="1657">
        <v>44300</v>
      </c>
      <c r="B1791" s="1658">
        <v>6200</v>
      </c>
      <c r="C1791" s="1658">
        <v>-250</v>
      </c>
      <c r="D1791" s="1659">
        <v>-3.88</v>
      </c>
      <c r="E1791" s="1658">
        <v>6430</v>
      </c>
      <c r="F1791" s="1658">
        <v>6430</v>
      </c>
      <c r="G1791" s="1658">
        <v>6160</v>
      </c>
      <c r="H1791" s="1658">
        <v>637197</v>
      </c>
      <c r="I1791" s="1658">
        <v>3979646050</v>
      </c>
      <c r="J1791" s="1658">
        <v>352531051400</v>
      </c>
      <c r="K1791" s="1658">
        <v>56859847</v>
      </c>
    </row>
    <row r="1792" spans="1:11" x14ac:dyDescent="0.3">
      <c r="A1792" s="1657">
        <v>44301</v>
      </c>
      <c r="B1792" s="1658">
        <v>6030</v>
      </c>
      <c r="C1792" s="1658">
        <v>-170</v>
      </c>
      <c r="D1792" s="1659">
        <v>-2.74</v>
      </c>
      <c r="E1792" s="1658">
        <v>6190</v>
      </c>
      <c r="F1792" s="1658">
        <v>6190</v>
      </c>
      <c r="G1792" s="1658">
        <v>5980</v>
      </c>
      <c r="H1792" s="1658">
        <v>445186</v>
      </c>
      <c r="I1792" s="1658">
        <v>2696574820</v>
      </c>
      <c r="J1792" s="1658">
        <v>342864877410</v>
      </c>
      <c r="K1792" s="1658">
        <v>56859847</v>
      </c>
    </row>
    <row r="1793" spans="1:11" x14ac:dyDescent="0.3">
      <c r="A1793" s="1657">
        <v>44302</v>
      </c>
      <c r="B1793" s="1658">
        <v>5760</v>
      </c>
      <c r="C1793" s="1658">
        <v>-270</v>
      </c>
      <c r="D1793" s="1659">
        <v>-4.4800000000000004</v>
      </c>
      <c r="E1793" s="1658">
        <v>6110</v>
      </c>
      <c r="F1793" s="1658">
        <v>6110</v>
      </c>
      <c r="G1793" s="1658">
        <v>5730</v>
      </c>
      <c r="H1793" s="1658">
        <v>701887</v>
      </c>
      <c r="I1793" s="1658">
        <v>4105129340</v>
      </c>
      <c r="J1793" s="1658">
        <v>327512718720</v>
      </c>
      <c r="K1793" s="1658">
        <v>56859847</v>
      </c>
    </row>
    <row r="1794" spans="1:11" x14ac:dyDescent="0.3">
      <c r="A1794" s="1657">
        <v>44305</v>
      </c>
      <c r="B1794" s="1658">
        <v>5800</v>
      </c>
      <c r="C1794" s="1658">
        <v>40</v>
      </c>
      <c r="D1794" s="1659">
        <v>0.69</v>
      </c>
      <c r="E1794" s="1658">
        <v>5770</v>
      </c>
      <c r="F1794" s="1658">
        <v>5890</v>
      </c>
      <c r="G1794" s="1658">
        <v>5760</v>
      </c>
      <c r="H1794" s="1658">
        <v>238776</v>
      </c>
      <c r="I1794" s="1658">
        <v>1387702320</v>
      </c>
      <c r="J1794" s="1658">
        <v>329787112600</v>
      </c>
      <c r="K1794" s="1658">
        <v>56859847</v>
      </c>
    </row>
    <row r="1795" spans="1:11" x14ac:dyDescent="0.3">
      <c r="A1795" s="1657">
        <v>44306</v>
      </c>
      <c r="B1795" s="1658">
        <v>5790</v>
      </c>
      <c r="C1795" s="1658">
        <v>-10</v>
      </c>
      <c r="D1795" s="1659">
        <v>-0.17</v>
      </c>
      <c r="E1795" s="1658">
        <v>5800</v>
      </c>
      <c r="F1795" s="1658">
        <v>5900</v>
      </c>
      <c r="G1795" s="1658">
        <v>5630</v>
      </c>
      <c r="H1795" s="1658">
        <v>295207</v>
      </c>
      <c r="I1795" s="1658">
        <v>1701596290</v>
      </c>
      <c r="J1795" s="1658">
        <v>329218514130</v>
      </c>
      <c r="K1795" s="1658">
        <v>56859847</v>
      </c>
    </row>
    <row r="1796" spans="1:11" x14ac:dyDescent="0.3">
      <c r="A1796" s="1657">
        <v>44307</v>
      </c>
      <c r="B1796" s="1658">
        <v>5840</v>
      </c>
      <c r="C1796" s="1658">
        <v>50</v>
      </c>
      <c r="D1796" s="1659">
        <v>0.86</v>
      </c>
      <c r="E1796" s="1658">
        <v>5800</v>
      </c>
      <c r="F1796" s="1658">
        <v>5840</v>
      </c>
      <c r="G1796" s="1658">
        <v>5680</v>
      </c>
      <c r="H1796" s="1658">
        <v>206603</v>
      </c>
      <c r="I1796" s="1658">
        <v>1184347380</v>
      </c>
      <c r="J1796" s="1658">
        <v>332061506480</v>
      </c>
      <c r="K1796" s="1658">
        <v>56859847</v>
      </c>
    </row>
    <row r="1797" spans="1:11" x14ac:dyDescent="0.3">
      <c r="A1797" s="1657">
        <v>44308</v>
      </c>
      <c r="B1797" s="1658">
        <v>5740</v>
      </c>
      <c r="C1797" s="1658">
        <v>-100</v>
      </c>
      <c r="D1797" s="1659">
        <v>-1.71</v>
      </c>
      <c r="E1797" s="1658">
        <v>5850</v>
      </c>
      <c r="F1797" s="1658">
        <v>5850</v>
      </c>
      <c r="G1797" s="1658">
        <v>5720</v>
      </c>
      <c r="H1797" s="1658">
        <v>171405</v>
      </c>
      <c r="I1797" s="1658">
        <v>985698010</v>
      </c>
      <c r="J1797" s="1658">
        <v>326375521780</v>
      </c>
      <c r="K1797" s="1658">
        <v>56859847</v>
      </c>
    </row>
    <row r="1798" spans="1:11" x14ac:dyDescent="0.3">
      <c r="A1798" s="1657">
        <v>44309</v>
      </c>
      <c r="B1798" s="1658">
        <v>5610</v>
      </c>
      <c r="C1798" s="1658">
        <v>-130</v>
      </c>
      <c r="D1798" s="1659">
        <v>-2.2599999999999998</v>
      </c>
      <c r="E1798" s="1658">
        <v>5710</v>
      </c>
      <c r="F1798" s="1658">
        <v>5740</v>
      </c>
      <c r="G1798" s="1658">
        <v>5580</v>
      </c>
      <c r="H1798" s="1658">
        <v>352403</v>
      </c>
      <c r="I1798" s="1658">
        <v>1988005270</v>
      </c>
      <c r="J1798" s="1658">
        <v>318983741670</v>
      </c>
      <c r="K1798" s="1658">
        <v>56859847</v>
      </c>
    </row>
    <row r="1799" spans="1:11" x14ac:dyDescent="0.3">
      <c r="A1799" s="1657">
        <v>44312</v>
      </c>
      <c r="B1799" s="1658">
        <v>5700</v>
      </c>
      <c r="C1799" s="1658">
        <v>90</v>
      </c>
      <c r="D1799" s="1659">
        <v>1.6</v>
      </c>
      <c r="E1799" s="1658">
        <v>5630</v>
      </c>
      <c r="F1799" s="1658">
        <v>5730</v>
      </c>
      <c r="G1799" s="1658">
        <v>5620</v>
      </c>
      <c r="H1799" s="1658">
        <v>189020</v>
      </c>
      <c r="I1799" s="1658">
        <v>1075036980</v>
      </c>
      <c r="J1799" s="1658">
        <v>324101127900</v>
      </c>
      <c r="K1799" s="1658">
        <v>56859847</v>
      </c>
    </row>
    <row r="1800" spans="1:11" x14ac:dyDescent="0.3">
      <c r="A1800" s="1657">
        <v>44313</v>
      </c>
      <c r="B1800" s="1658">
        <v>5770</v>
      </c>
      <c r="C1800" s="1658">
        <v>70</v>
      </c>
      <c r="D1800" s="1659">
        <v>1.23</v>
      </c>
      <c r="E1800" s="1658">
        <v>5700</v>
      </c>
      <c r="F1800" s="1658">
        <v>5920</v>
      </c>
      <c r="G1800" s="1658">
        <v>5670</v>
      </c>
      <c r="H1800" s="1658">
        <v>634228</v>
      </c>
      <c r="I1800" s="1658">
        <v>3680852290</v>
      </c>
      <c r="J1800" s="1658">
        <v>328081317190</v>
      </c>
      <c r="K1800" s="1658">
        <v>56859847</v>
      </c>
    </row>
    <row r="1801" spans="1:11" x14ac:dyDescent="0.3">
      <c r="A1801" s="1657">
        <v>44314</v>
      </c>
      <c r="B1801" s="1658">
        <v>5660</v>
      </c>
      <c r="C1801" s="1658">
        <v>-110</v>
      </c>
      <c r="D1801" s="1659">
        <v>-1.91</v>
      </c>
      <c r="E1801" s="1658">
        <v>5830</v>
      </c>
      <c r="F1801" s="1658">
        <v>5860</v>
      </c>
      <c r="G1801" s="1658">
        <v>5600</v>
      </c>
      <c r="H1801" s="1658">
        <v>301966</v>
      </c>
      <c r="I1801" s="1658">
        <v>1727960100</v>
      </c>
      <c r="J1801" s="1658">
        <v>321826734020</v>
      </c>
      <c r="K1801" s="1658">
        <v>56859847</v>
      </c>
    </row>
    <row r="1802" spans="1:11" x14ac:dyDescent="0.3">
      <c r="A1802" s="1657">
        <v>44315</v>
      </c>
      <c r="B1802" s="1658">
        <v>5640</v>
      </c>
      <c r="C1802" s="1658">
        <v>-20</v>
      </c>
      <c r="D1802" s="1659">
        <v>-0.35</v>
      </c>
      <c r="E1802" s="1658">
        <v>5630</v>
      </c>
      <c r="F1802" s="1658">
        <v>5720</v>
      </c>
      <c r="G1802" s="1658">
        <v>5460</v>
      </c>
      <c r="H1802" s="1658">
        <v>257073</v>
      </c>
      <c r="I1802" s="1658">
        <v>1441788680</v>
      </c>
      <c r="J1802" s="1658">
        <v>320689537080</v>
      </c>
      <c r="K1802" s="1658">
        <v>56859847</v>
      </c>
    </row>
    <row r="1803" spans="1:11" x14ac:dyDescent="0.3">
      <c r="A1803" s="1657">
        <v>44316</v>
      </c>
      <c r="B1803" s="1658">
        <v>5730</v>
      </c>
      <c r="C1803" s="1658">
        <v>90</v>
      </c>
      <c r="D1803" s="1659">
        <v>1.6</v>
      </c>
      <c r="E1803" s="1658">
        <v>5630</v>
      </c>
      <c r="F1803" s="1658">
        <v>5830</v>
      </c>
      <c r="G1803" s="1658">
        <v>5600</v>
      </c>
      <c r="H1803" s="1658">
        <v>422286</v>
      </c>
      <c r="I1803" s="1658">
        <v>2447768840</v>
      </c>
      <c r="J1803" s="1658">
        <v>325806923310</v>
      </c>
      <c r="K1803" s="1658">
        <v>56859847</v>
      </c>
    </row>
    <row r="1804" spans="1:11" x14ac:dyDescent="0.3">
      <c r="A1804" s="1657">
        <v>44319</v>
      </c>
      <c r="B1804" s="1658">
        <v>5560</v>
      </c>
      <c r="C1804" s="1658">
        <v>-170</v>
      </c>
      <c r="D1804" s="1659">
        <v>-2.97</v>
      </c>
      <c r="E1804" s="1658">
        <v>5860</v>
      </c>
      <c r="F1804" s="1658">
        <v>5870</v>
      </c>
      <c r="G1804" s="1658">
        <v>5550</v>
      </c>
      <c r="H1804" s="1658">
        <v>410748</v>
      </c>
      <c r="I1804" s="1658">
        <v>2354579790</v>
      </c>
      <c r="J1804" s="1658">
        <v>316140749320</v>
      </c>
      <c r="K1804" s="1658">
        <v>56859847</v>
      </c>
    </row>
    <row r="1805" spans="1:11" x14ac:dyDescent="0.3">
      <c r="A1805" s="1657">
        <v>44320</v>
      </c>
      <c r="B1805" s="1658">
        <v>5840</v>
      </c>
      <c r="C1805" s="1658">
        <v>280</v>
      </c>
      <c r="D1805" s="1659">
        <v>5.04</v>
      </c>
      <c r="E1805" s="1658">
        <v>5560</v>
      </c>
      <c r="F1805" s="1658">
        <v>5860</v>
      </c>
      <c r="G1805" s="1658">
        <v>5520</v>
      </c>
      <c r="H1805" s="1658">
        <v>452174</v>
      </c>
      <c r="I1805" s="1658">
        <v>2585504350</v>
      </c>
      <c r="J1805" s="1658">
        <v>332061506480</v>
      </c>
      <c r="K1805" s="1658">
        <v>56859847</v>
      </c>
    </row>
    <row r="1806" spans="1:11" x14ac:dyDescent="0.3">
      <c r="A1806" s="1657">
        <v>44322</v>
      </c>
      <c r="B1806" s="1658">
        <v>6000</v>
      </c>
      <c r="C1806" s="1658">
        <v>160</v>
      </c>
      <c r="D1806" s="1659">
        <v>2.74</v>
      </c>
      <c r="E1806" s="1658">
        <v>5770</v>
      </c>
      <c r="F1806" s="1658">
        <v>6030</v>
      </c>
      <c r="G1806" s="1658">
        <v>5750</v>
      </c>
      <c r="H1806" s="1658">
        <v>364912</v>
      </c>
      <c r="I1806" s="1658">
        <v>2151000160</v>
      </c>
      <c r="J1806" s="1658">
        <v>341159082000</v>
      </c>
      <c r="K1806" s="1658">
        <v>56859847</v>
      </c>
    </row>
    <row r="1807" spans="1:11" x14ac:dyDescent="0.3">
      <c r="A1807" s="1657">
        <v>44323</v>
      </c>
      <c r="B1807" s="1658">
        <v>6000</v>
      </c>
      <c r="C1807" s="1658">
        <v>0</v>
      </c>
      <c r="D1807" s="1659">
        <v>0</v>
      </c>
      <c r="E1807" s="1658">
        <v>5960</v>
      </c>
      <c r="F1807" s="1658">
        <v>6080</v>
      </c>
      <c r="G1807" s="1658">
        <v>5910</v>
      </c>
      <c r="H1807" s="1658">
        <v>215356</v>
      </c>
      <c r="I1807" s="1658">
        <v>1290546970</v>
      </c>
      <c r="J1807" s="1658">
        <v>341159082000</v>
      </c>
      <c r="K1807" s="1658">
        <v>56859847</v>
      </c>
    </row>
    <row r="1808" spans="1:11" x14ac:dyDescent="0.3">
      <c r="A1808" s="1657">
        <v>44326</v>
      </c>
      <c r="B1808" s="1658">
        <v>6030</v>
      </c>
      <c r="C1808" s="1658">
        <v>30</v>
      </c>
      <c r="D1808" s="1659">
        <v>0.5</v>
      </c>
      <c r="E1808" s="1658">
        <v>6010</v>
      </c>
      <c r="F1808" s="1658">
        <v>6120</v>
      </c>
      <c r="G1808" s="1658">
        <v>5960</v>
      </c>
      <c r="H1808" s="1658">
        <v>238862</v>
      </c>
      <c r="I1808" s="1658">
        <v>1444936250</v>
      </c>
      <c r="J1808" s="1658">
        <v>342864877410</v>
      </c>
      <c r="K1808" s="1658">
        <v>56859847</v>
      </c>
    </row>
    <row r="1809" spans="1:11" x14ac:dyDescent="0.3">
      <c r="A1809" s="1657">
        <v>44327</v>
      </c>
      <c r="B1809" s="1658">
        <v>5830</v>
      </c>
      <c r="C1809" s="1658">
        <v>-200</v>
      </c>
      <c r="D1809" s="1659">
        <v>-3.32</v>
      </c>
      <c r="E1809" s="1658">
        <v>5940</v>
      </c>
      <c r="F1809" s="1658">
        <v>5990</v>
      </c>
      <c r="G1809" s="1658">
        <v>5830</v>
      </c>
      <c r="H1809" s="1658">
        <v>241853</v>
      </c>
      <c r="I1809" s="1658">
        <v>1424714520</v>
      </c>
      <c r="J1809" s="1658">
        <v>331492908010</v>
      </c>
      <c r="K1809" s="1658">
        <v>56859847</v>
      </c>
    </row>
    <row r="1810" spans="1:11" x14ac:dyDescent="0.3">
      <c r="A1810" s="1657">
        <v>44328</v>
      </c>
      <c r="B1810" s="1658">
        <v>5810</v>
      </c>
      <c r="C1810" s="1658">
        <v>-20</v>
      </c>
      <c r="D1810" s="1659">
        <v>-0.34</v>
      </c>
      <c r="E1810" s="1658">
        <v>5830</v>
      </c>
      <c r="F1810" s="1658">
        <v>5930</v>
      </c>
      <c r="G1810" s="1658">
        <v>5720</v>
      </c>
      <c r="H1810" s="1658">
        <v>214522</v>
      </c>
      <c r="I1810" s="1658">
        <v>1243225090</v>
      </c>
      <c r="J1810" s="1658">
        <v>330355711070</v>
      </c>
      <c r="K1810" s="1658">
        <v>56859847</v>
      </c>
    </row>
    <row r="1811" spans="1:11" x14ac:dyDescent="0.3">
      <c r="A1811" s="1657">
        <v>44329</v>
      </c>
      <c r="B1811" s="1658">
        <v>5730</v>
      </c>
      <c r="C1811" s="1658">
        <v>-80</v>
      </c>
      <c r="D1811" s="1659">
        <v>-1.38</v>
      </c>
      <c r="E1811" s="1658">
        <v>5680</v>
      </c>
      <c r="F1811" s="1658">
        <v>5870</v>
      </c>
      <c r="G1811" s="1658">
        <v>5640</v>
      </c>
      <c r="H1811" s="1658">
        <v>182086</v>
      </c>
      <c r="I1811" s="1658">
        <v>1049279100</v>
      </c>
      <c r="J1811" s="1658">
        <v>325806923310</v>
      </c>
      <c r="K1811" s="1658">
        <v>56859847</v>
      </c>
    </row>
    <row r="1812" spans="1:11" x14ac:dyDescent="0.3">
      <c r="A1812" s="1657">
        <v>44330</v>
      </c>
      <c r="B1812" s="1658">
        <v>5930</v>
      </c>
      <c r="C1812" s="1658">
        <v>200</v>
      </c>
      <c r="D1812" s="1659">
        <v>3.49</v>
      </c>
      <c r="E1812" s="1658">
        <v>5750</v>
      </c>
      <c r="F1812" s="1658">
        <v>5930</v>
      </c>
      <c r="G1812" s="1658">
        <v>5730</v>
      </c>
      <c r="H1812" s="1658">
        <v>139950</v>
      </c>
      <c r="I1812" s="1658">
        <v>815503430</v>
      </c>
      <c r="J1812" s="1658">
        <v>337178892710</v>
      </c>
      <c r="K1812" s="1658">
        <v>56859847</v>
      </c>
    </row>
    <row r="1813" spans="1:11" x14ac:dyDescent="0.3">
      <c r="A1813" s="1657">
        <v>44333</v>
      </c>
      <c r="B1813" s="1658">
        <v>5890</v>
      </c>
      <c r="C1813" s="1658">
        <v>-40</v>
      </c>
      <c r="D1813" s="1659">
        <v>-0.67</v>
      </c>
      <c r="E1813" s="1658">
        <v>5960</v>
      </c>
      <c r="F1813" s="1658">
        <v>5970</v>
      </c>
      <c r="G1813" s="1658">
        <v>5770</v>
      </c>
      <c r="H1813" s="1658">
        <v>221033</v>
      </c>
      <c r="I1813" s="1658">
        <v>1290998490</v>
      </c>
      <c r="J1813" s="1658">
        <v>334904498830</v>
      </c>
      <c r="K1813" s="1658">
        <v>56859847</v>
      </c>
    </row>
    <row r="1814" spans="1:11" x14ac:dyDescent="0.3">
      <c r="A1814" s="1657">
        <v>44334</v>
      </c>
      <c r="B1814" s="1658">
        <v>6110</v>
      </c>
      <c r="C1814" s="1658">
        <v>220</v>
      </c>
      <c r="D1814" s="1659">
        <v>3.74</v>
      </c>
      <c r="E1814" s="1658">
        <v>5890</v>
      </c>
      <c r="F1814" s="1658">
        <v>6190</v>
      </c>
      <c r="G1814" s="1658">
        <v>5890</v>
      </c>
      <c r="H1814" s="1658">
        <v>391112</v>
      </c>
      <c r="I1814" s="1658">
        <v>2387520360</v>
      </c>
      <c r="J1814" s="1658">
        <v>347413665170</v>
      </c>
      <c r="K1814" s="1658">
        <v>56859847</v>
      </c>
    </row>
    <row r="1815" spans="1:11" x14ac:dyDescent="0.3">
      <c r="A1815" s="1657">
        <v>44336</v>
      </c>
      <c r="B1815" s="1658">
        <v>5970</v>
      </c>
      <c r="C1815" s="1658">
        <v>-140</v>
      </c>
      <c r="D1815" s="1659">
        <v>-2.29</v>
      </c>
      <c r="E1815" s="1658">
        <v>6220</v>
      </c>
      <c r="F1815" s="1658">
        <v>6220</v>
      </c>
      <c r="G1815" s="1658">
        <v>5940</v>
      </c>
      <c r="H1815" s="1658">
        <v>239895</v>
      </c>
      <c r="I1815" s="1658">
        <v>1448900150</v>
      </c>
      <c r="J1815" s="1658">
        <v>339453286590</v>
      </c>
      <c r="K1815" s="1658">
        <v>56859847</v>
      </c>
    </row>
    <row r="1816" spans="1:11" x14ac:dyDescent="0.3">
      <c r="A1816" s="1657">
        <v>44337</v>
      </c>
      <c r="B1816" s="1658">
        <v>5870</v>
      </c>
      <c r="C1816" s="1658">
        <v>-100</v>
      </c>
      <c r="D1816" s="1659">
        <v>-1.68</v>
      </c>
      <c r="E1816" s="1658">
        <v>5980</v>
      </c>
      <c r="F1816" s="1658">
        <v>6100</v>
      </c>
      <c r="G1816" s="1658">
        <v>5830</v>
      </c>
      <c r="H1816" s="1658">
        <v>225213</v>
      </c>
      <c r="I1816" s="1658">
        <v>1337413010</v>
      </c>
      <c r="J1816" s="1658">
        <v>333767301890</v>
      </c>
      <c r="K1816" s="1658">
        <v>56859847</v>
      </c>
    </row>
    <row r="1817" spans="1:11" x14ac:dyDescent="0.3">
      <c r="A1817" s="1657">
        <v>44340</v>
      </c>
      <c r="B1817" s="1658">
        <v>5930</v>
      </c>
      <c r="C1817" s="1658">
        <v>60</v>
      </c>
      <c r="D1817" s="1659">
        <v>1.02</v>
      </c>
      <c r="E1817" s="1658">
        <v>5870</v>
      </c>
      <c r="F1817" s="1658">
        <v>6090</v>
      </c>
      <c r="G1817" s="1658">
        <v>5810</v>
      </c>
      <c r="H1817" s="1658">
        <v>227621</v>
      </c>
      <c r="I1817" s="1658">
        <v>1364528700</v>
      </c>
      <c r="J1817" s="1658">
        <v>337178892710</v>
      </c>
      <c r="K1817" s="1658">
        <v>56859847</v>
      </c>
    </row>
    <row r="1818" spans="1:11" x14ac:dyDescent="0.3">
      <c r="A1818" s="1657">
        <v>44341</v>
      </c>
      <c r="B1818" s="1658">
        <v>5940</v>
      </c>
      <c r="C1818" s="1658">
        <v>10</v>
      </c>
      <c r="D1818" s="1659">
        <v>0.17</v>
      </c>
      <c r="E1818" s="1658">
        <v>5980</v>
      </c>
      <c r="F1818" s="1658">
        <v>6100</v>
      </c>
      <c r="G1818" s="1658">
        <v>5860</v>
      </c>
      <c r="H1818" s="1658">
        <v>244168</v>
      </c>
      <c r="I1818" s="1658">
        <v>1454386420</v>
      </c>
      <c r="J1818" s="1658">
        <v>337747491180</v>
      </c>
      <c r="K1818" s="1658">
        <v>56859847</v>
      </c>
    </row>
    <row r="1819" spans="1:11" x14ac:dyDescent="0.3">
      <c r="A1819" s="1657">
        <v>44342</v>
      </c>
      <c r="B1819" s="1658">
        <v>6000</v>
      </c>
      <c r="C1819" s="1658">
        <v>60</v>
      </c>
      <c r="D1819" s="1659">
        <v>1.01</v>
      </c>
      <c r="E1819" s="1658">
        <v>5930</v>
      </c>
      <c r="F1819" s="1658">
        <v>6050</v>
      </c>
      <c r="G1819" s="1658">
        <v>5860</v>
      </c>
      <c r="H1819" s="1658">
        <v>182250</v>
      </c>
      <c r="I1819" s="1658">
        <v>1090780190</v>
      </c>
      <c r="J1819" s="1658">
        <v>341159082000</v>
      </c>
      <c r="K1819" s="1658">
        <v>56859847</v>
      </c>
    </row>
    <row r="1820" spans="1:11" x14ac:dyDescent="0.3">
      <c r="A1820" s="1657">
        <v>44343</v>
      </c>
      <c r="B1820" s="1658">
        <v>5970</v>
      </c>
      <c r="C1820" s="1658">
        <v>-30</v>
      </c>
      <c r="D1820" s="1659">
        <v>-0.5</v>
      </c>
      <c r="E1820" s="1658">
        <v>6010</v>
      </c>
      <c r="F1820" s="1658">
        <v>6080</v>
      </c>
      <c r="G1820" s="1658">
        <v>5900</v>
      </c>
      <c r="H1820" s="1658">
        <v>196981</v>
      </c>
      <c r="I1820" s="1658">
        <v>1173371720</v>
      </c>
      <c r="J1820" s="1658">
        <v>339453286590</v>
      </c>
      <c r="K1820" s="1658">
        <v>56859847</v>
      </c>
    </row>
    <row r="1821" spans="1:11" x14ac:dyDescent="0.3">
      <c r="A1821" s="1657">
        <v>44344</v>
      </c>
      <c r="B1821" s="1658">
        <v>6100</v>
      </c>
      <c r="C1821" s="1658">
        <v>130</v>
      </c>
      <c r="D1821" s="1659">
        <v>2.1800000000000002</v>
      </c>
      <c r="E1821" s="1658">
        <v>5980</v>
      </c>
      <c r="F1821" s="1658">
        <v>6380</v>
      </c>
      <c r="G1821" s="1658">
        <v>5930</v>
      </c>
      <c r="H1821" s="1658">
        <v>638583</v>
      </c>
      <c r="I1821" s="1658">
        <v>3894161120</v>
      </c>
      <c r="J1821" s="1658">
        <v>346845066700</v>
      </c>
      <c r="K1821" s="1658">
        <v>56859847</v>
      </c>
    </row>
    <row r="1822" spans="1:11" x14ac:dyDescent="0.3">
      <c r="A1822" s="1657">
        <v>44347</v>
      </c>
      <c r="B1822" s="1658">
        <v>6250</v>
      </c>
      <c r="C1822" s="1658">
        <v>150</v>
      </c>
      <c r="D1822" s="1659">
        <v>2.46</v>
      </c>
      <c r="E1822" s="1658">
        <v>6100</v>
      </c>
      <c r="F1822" s="1658">
        <v>6260</v>
      </c>
      <c r="G1822" s="1658">
        <v>6050</v>
      </c>
      <c r="H1822" s="1658">
        <v>391915</v>
      </c>
      <c r="I1822" s="1658">
        <v>2422189290</v>
      </c>
      <c r="J1822" s="1658">
        <v>355374043750</v>
      </c>
      <c r="K1822" s="1658">
        <v>56859847</v>
      </c>
    </row>
    <row r="1823" spans="1:11" x14ac:dyDescent="0.3">
      <c r="A1823" s="1657">
        <v>44348</v>
      </c>
      <c r="B1823" s="1658">
        <v>6240</v>
      </c>
      <c r="C1823" s="1658">
        <v>-10</v>
      </c>
      <c r="D1823" s="1659">
        <v>-0.16</v>
      </c>
      <c r="E1823" s="1658">
        <v>6260</v>
      </c>
      <c r="F1823" s="1658">
        <v>6280</v>
      </c>
      <c r="G1823" s="1658">
        <v>6120</v>
      </c>
      <c r="H1823" s="1658">
        <v>208852</v>
      </c>
      <c r="I1823" s="1658">
        <v>1296963860</v>
      </c>
      <c r="J1823" s="1658">
        <v>354805445280</v>
      </c>
      <c r="K1823" s="1658">
        <v>56859847</v>
      </c>
    </row>
    <row r="1824" spans="1:11" x14ac:dyDescent="0.3">
      <c r="A1824" s="1657">
        <v>44349</v>
      </c>
      <c r="B1824" s="1658">
        <v>6240</v>
      </c>
      <c r="C1824" s="1658">
        <v>0</v>
      </c>
      <c r="D1824" s="1659">
        <v>0</v>
      </c>
      <c r="E1824" s="1658">
        <v>6330</v>
      </c>
      <c r="F1824" s="1658">
        <v>6330</v>
      </c>
      <c r="G1824" s="1658">
        <v>6160</v>
      </c>
      <c r="H1824" s="1658">
        <v>273217</v>
      </c>
      <c r="I1824" s="1658">
        <v>1704130160</v>
      </c>
      <c r="J1824" s="1658">
        <v>354805445280</v>
      </c>
      <c r="K1824" s="1658">
        <v>56859847</v>
      </c>
    </row>
    <row r="1825" spans="1:11" x14ac:dyDescent="0.3">
      <c r="A1825" s="1657">
        <v>44350</v>
      </c>
      <c r="B1825" s="1658">
        <v>6550</v>
      </c>
      <c r="C1825" s="1658">
        <v>310</v>
      </c>
      <c r="D1825" s="1659">
        <v>4.97</v>
      </c>
      <c r="E1825" s="1658">
        <v>6240</v>
      </c>
      <c r="F1825" s="1658">
        <v>6590</v>
      </c>
      <c r="G1825" s="1658">
        <v>6210</v>
      </c>
      <c r="H1825" s="1658">
        <v>1070941</v>
      </c>
      <c r="I1825" s="1658">
        <v>6920027310</v>
      </c>
      <c r="J1825" s="1658">
        <v>372431997850</v>
      </c>
      <c r="K1825" s="1658">
        <v>56859847</v>
      </c>
    </row>
    <row r="1826" spans="1:11" x14ac:dyDescent="0.3">
      <c r="A1826" s="1657">
        <v>44351</v>
      </c>
      <c r="B1826" s="1658">
        <v>6410</v>
      </c>
      <c r="C1826" s="1658">
        <v>-140</v>
      </c>
      <c r="D1826" s="1659">
        <v>-2.14</v>
      </c>
      <c r="E1826" s="1658">
        <v>6520</v>
      </c>
      <c r="F1826" s="1658">
        <v>6530</v>
      </c>
      <c r="G1826" s="1658">
        <v>6350</v>
      </c>
      <c r="H1826" s="1658">
        <v>410477</v>
      </c>
      <c r="I1826" s="1658">
        <v>2630291100</v>
      </c>
      <c r="J1826" s="1658">
        <v>364471619270</v>
      </c>
      <c r="K1826" s="1658">
        <v>56859847</v>
      </c>
    </row>
    <row r="1827" spans="1:11" x14ac:dyDescent="0.3">
      <c r="A1827" s="1657">
        <v>44354</v>
      </c>
      <c r="B1827" s="1658">
        <v>6250</v>
      </c>
      <c r="C1827" s="1658">
        <v>-160</v>
      </c>
      <c r="D1827" s="1659">
        <v>-2.5</v>
      </c>
      <c r="E1827" s="1658">
        <v>6420</v>
      </c>
      <c r="F1827" s="1658">
        <v>6430</v>
      </c>
      <c r="G1827" s="1658">
        <v>6140</v>
      </c>
      <c r="H1827" s="1658">
        <v>400900</v>
      </c>
      <c r="I1827" s="1658">
        <v>2494522850</v>
      </c>
      <c r="J1827" s="1658">
        <v>355374043750</v>
      </c>
      <c r="K1827" s="1658">
        <v>56859847</v>
      </c>
    </row>
    <row r="1828" spans="1:11" x14ac:dyDescent="0.3">
      <c r="A1828" s="1657">
        <v>44355</v>
      </c>
      <c r="B1828" s="1658">
        <v>6280</v>
      </c>
      <c r="C1828" s="1658">
        <v>30</v>
      </c>
      <c r="D1828" s="1659">
        <v>0.48</v>
      </c>
      <c r="E1828" s="1658">
        <v>6250</v>
      </c>
      <c r="F1828" s="1658">
        <v>6430</v>
      </c>
      <c r="G1828" s="1658">
        <v>6170</v>
      </c>
      <c r="H1828" s="1658">
        <v>309766</v>
      </c>
      <c r="I1828" s="1658">
        <v>1945493240</v>
      </c>
      <c r="J1828" s="1658">
        <v>357079839160</v>
      </c>
      <c r="K1828" s="1658">
        <v>56859847</v>
      </c>
    </row>
    <row r="1829" spans="1:11" x14ac:dyDescent="0.3">
      <c r="A1829" s="1657">
        <v>44356</v>
      </c>
      <c r="B1829" s="1658">
        <v>6150</v>
      </c>
      <c r="C1829" s="1658">
        <v>-130</v>
      </c>
      <c r="D1829" s="1659">
        <v>-2.0699999999999998</v>
      </c>
      <c r="E1829" s="1658">
        <v>6240</v>
      </c>
      <c r="F1829" s="1658">
        <v>6290</v>
      </c>
      <c r="G1829" s="1658">
        <v>6110</v>
      </c>
      <c r="H1829" s="1658">
        <v>228400</v>
      </c>
      <c r="I1829" s="1658">
        <v>1408333010</v>
      </c>
      <c r="J1829" s="1658">
        <v>349688059050</v>
      </c>
      <c r="K1829" s="1658">
        <v>56859847</v>
      </c>
    </row>
    <row r="1830" spans="1:11" x14ac:dyDescent="0.3">
      <c r="A1830" s="1657">
        <v>44357</v>
      </c>
      <c r="B1830" s="1658">
        <v>6000</v>
      </c>
      <c r="C1830" s="1658">
        <v>-150</v>
      </c>
      <c r="D1830" s="1659">
        <v>-2.44</v>
      </c>
      <c r="E1830" s="1658">
        <v>6150</v>
      </c>
      <c r="F1830" s="1658">
        <v>6240</v>
      </c>
      <c r="G1830" s="1658">
        <v>6000</v>
      </c>
      <c r="H1830" s="1658">
        <v>1000848</v>
      </c>
      <c r="I1830" s="1658">
        <v>6042754170</v>
      </c>
      <c r="J1830" s="1658">
        <v>341159082000</v>
      </c>
      <c r="K1830" s="1658">
        <v>56859847</v>
      </c>
    </row>
    <row r="1831" spans="1:11" x14ac:dyDescent="0.3">
      <c r="A1831" s="1657">
        <v>44358</v>
      </c>
      <c r="B1831" s="1658">
        <v>5990</v>
      </c>
      <c r="C1831" s="1658">
        <v>-10</v>
      </c>
      <c r="D1831" s="1659">
        <v>-0.17</v>
      </c>
      <c r="E1831" s="1658">
        <v>6050</v>
      </c>
      <c r="F1831" s="1658">
        <v>6070</v>
      </c>
      <c r="G1831" s="1658">
        <v>5950</v>
      </c>
      <c r="H1831" s="1658">
        <v>203282</v>
      </c>
      <c r="I1831" s="1658">
        <v>1219888730</v>
      </c>
      <c r="J1831" s="1658">
        <v>340590483530</v>
      </c>
      <c r="K1831" s="1658">
        <v>56859847</v>
      </c>
    </row>
    <row r="1832" spans="1:11" x14ac:dyDescent="0.3">
      <c r="A1832" s="1657">
        <v>44361</v>
      </c>
      <c r="B1832" s="1658">
        <v>6220</v>
      </c>
      <c r="C1832" s="1658">
        <v>230</v>
      </c>
      <c r="D1832" s="1659">
        <v>3.84</v>
      </c>
      <c r="E1832" s="1658">
        <v>6010</v>
      </c>
      <c r="F1832" s="1658">
        <v>6230</v>
      </c>
      <c r="G1832" s="1658">
        <v>6010</v>
      </c>
      <c r="H1832" s="1658">
        <v>275252</v>
      </c>
      <c r="I1832" s="1658">
        <v>1694544000</v>
      </c>
      <c r="J1832" s="1658">
        <v>353668248340</v>
      </c>
      <c r="K1832" s="1658">
        <v>56859847</v>
      </c>
    </row>
    <row r="1833" spans="1:11" x14ac:dyDescent="0.3">
      <c r="A1833" s="1657">
        <v>44362</v>
      </c>
      <c r="B1833" s="1658">
        <v>6220</v>
      </c>
      <c r="C1833" s="1658">
        <v>0</v>
      </c>
      <c r="D1833" s="1659">
        <v>0</v>
      </c>
      <c r="E1833" s="1658">
        <v>6270</v>
      </c>
      <c r="F1833" s="1658">
        <v>6270</v>
      </c>
      <c r="G1833" s="1658">
        <v>6110</v>
      </c>
      <c r="H1833" s="1658">
        <v>201214</v>
      </c>
      <c r="I1833" s="1658">
        <v>1243651350</v>
      </c>
      <c r="J1833" s="1658">
        <v>353668248340</v>
      </c>
      <c r="K1833" s="1658">
        <v>56859847</v>
      </c>
    </row>
    <row r="1834" spans="1:11" x14ac:dyDescent="0.3">
      <c r="A1834" s="1657">
        <v>44363</v>
      </c>
      <c r="B1834" s="1658">
        <v>6190</v>
      </c>
      <c r="C1834" s="1658">
        <v>-30</v>
      </c>
      <c r="D1834" s="1659">
        <v>-0.48</v>
      </c>
      <c r="E1834" s="1658">
        <v>6180</v>
      </c>
      <c r="F1834" s="1658">
        <v>6410</v>
      </c>
      <c r="G1834" s="1658">
        <v>6160</v>
      </c>
      <c r="H1834" s="1658">
        <v>380424</v>
      </c>
      <c r="I1834" s="1658">
        <v>2386723850</v>
      </c>
      <c r="J1834" s="1658">
        <v>351962452930</v>
      </c>
      <c r="K1834" s="1658">
        <v>56859847</v>
      </c>
    </row>
    <row r="1835" spans="1:11" x14ac:dyDescent="0.3">
      <c r="A1835" s="1657">
        <v>44364</v>
      </c>
      <c r="B1835" s="1658">
        <v>6190</v>
      </c>
      <c r="C1835" s="1658">
        <v>0</v>
      </c>
      <c r="D1835" s="1659">
        <v>0</v>
      </c>
      <c r="E1835" s="1658">
        <v>6190</v>
      </c>
      <c r="F1835" s="1658">
        <v>6270</v>
      </c>
      <c r="G1835" s="1658">
        <v>6150</v>
      </c>
      <c r="H1835" s="1658">
        <v>144954</v>
      </c>
      <c r="I1835" s="1658">
        <v>898257650</v>
      </c>
      <c r="J1835" s="1658">
        <v>351962452930</v>
      </c>
      <c r="K1835" s="1658">
        <v>56859847</v>
      </c>
    </row>
    <row r="1836" spans="1:11" x14ac:dyDescent="0.3">
      <c r="A1836" s="1657">
        <v>44365</v>
      </c>
      <c r="B1836" s="1658">
        <v>6140</v>
      </c>
      <c r="C1836" s="1658">
        <v>-50</v>
      </c>
      <c r="D1836" s="1659">
        <v>-0.81</v>
      </c>
      <c r="E1836" s="1658">
        <v>6190</v>
      </c>
      <c r="F1836" s="1658">
        <v>6250</v>
      </c>
      <c r="G1836" s="1658">
        <v>6060</v>
      </c>
      <c r="H1836" s="1658">
        <v>133386</v>
      </c>
      <c r="I1836" s="1658">
        <v>820857720</v>
      </c>
      <c r="J1836" s="1658">
        <v>349119460580</v>
      </c>
      <c r="K1836" s="1658">
        <v>56859847</v>
      </c>
    </row>
    <row r="1837" spans="1:11" x14ac:dyDescent="0.3">
      <c r="A1837" s="1657">
        <v>44368</v>
      </c>
      <c r="B1837" s="1658">
        <v>6030</v>
      </c>
      <c r="C1837" s="1658">
        <v>-110</v>
      </c>
      <c r="D1837" s="1659">
        <v>-1.79</v>
      </c>
      <c r="E1837" s="1658">
        <v>6120</v>
      </c>
      <c r="F1837" s="1658">
        <v>6170</v>
      </c>
      <c r="G1837" s="1658">
        <v>5980</v>
      </c>
      <c r="H1837" s="1658">
        <v>240045</v>
      </c>
      <c r="I1837" s="1658">
        <v>1451283190</v>
      </c>
      <c r="J1837" s="1658">
        <v>342864877410</v>
      </c>
      <c r="K1837" s="1658">
        <v>56859847</v>
      </c>
    </row>
    <row r="1838" spans="1:11" x14ac:dyDescent="0.3">
      <c r="A1838" s="1657">
        <v>44369</v>
      </c>
      <c r="B1838" s="1658">
        <v>6020</v>
      </c>
      <c r="C1838" s="1658">
        <v>-10</v>
      </c>
      <c r="D1838" s="1659">
        <v>-0.17</v>
      </c>
      <c r="E1838" s="1658">
        <v>6070</v>
      </c>
      <c r="F1838" s="1658">
        <v>6090</v>
      </c>
      <c r="G1838" s="1658">
        <v>5990</v>
      </c>
      <c r="H1838" s="1658">
        <v>140185</v>
      </c>
      <c r="I1838" s="1658">
        <v>844392410</v>
      </c>
      <c r="J1838" s="1658">
        <v>342296278940</v>
      </c>
      <c r="K1838" s="1658">
        <v>56859847</v>
      </c>
    </row>
    <row r="1839" spans="1:11" x14ac:dyDescent="0.3">
      <c r="A1839" s="1657">
        <v>44370</v>
      </c>
      <c r="B1839" s="1658">
        <v>6080</v>
      </c>
      <c r="C1839" s="1658">
        <v>60</v>
      </c>
      <c r="D1839" s="1659">
        <v>1</v>
      </c>
      <c r="E1839" s="1658">
        <v>6040</v>
      </c>
      <c r="F1839" s="1658">
        <v>6170</v>
      </c>
      <c r="G1839" s="1658">
        <v>6000</v>
      </c>
      <c r="H1839" s="1658">
        <v>197177</v>
      </c>
      <c r="I1839" s="1658">
        <v>1197879970</v>
      </c>
      <c r="J1839" s="1658">
        <v>345707869760</v>
      </c>
      <c r="K1839" s="1658">
        <v>56859847</v>
      </c>
    </row>
    <row r="1840" spans="1:11" x14ac:dyDescent="0.3">
      <c r="A1840" s="1657">
        <v>44371</v>
      </c>
      <c r="B1840" s="1658">
        <v>5940</v>
      </c>
      <c r="C1840" s="1658">
        <v>-140</v>
      </c>
      <c r="D1840" s="1659">
        <v>-2.2999999999999998</v>
      </c>
      <c r="E1840" s="1658">
        <v>6080</v>
      </c>
      <c r="F1840" s="1658">
        <v>6100</v>
      </c>
      <c r="G1840" s="1658">
        <v>5900</v>
      </c>
      <c r="H1840" s="1658">
        <v>232828</v>
      </c>
      <c r="I1840" s="1658">
        <v>1388368980</v>
      </c>
      <c r="J1840" s="1658">
        <v>337747491180</v>
      </c>
      <c r="K1840" s="1658">
        <v>56859847</v>
      </c>
    </row>
    <row r="1841" spans="1:11" x14ac:dyDescent="0.3">
      <c r="A1841" s="1657">
        <v>44372</v>
      </c>
      <c r="B1841" s="1658">
        <v>5960</v>
      </c>
      <c r="C1841" s="1658">
        <v>20</v>
      </c>
      <c r="D1841" s="1659">
        <v>0.34</v>
      </c>
      <c r="E1841" s="1658">
        <v>5940</v>
      </c>
      <c r="F1841" s="1658">
        <v>6010</v>
      </c>
      <c r="G1841" s="1658">
        <v>5930</v>
      </c>
      <c r="H1841" s="1658">
        <v>86940</v>
      </c>
      <c r="I1841" s="1658">
        <v>519034200</v>
      </c>
      <c r="J1841" s="1658">
        <v>338884688120</v>
      </c>
      <c r="K1841" s="1658">
        <v>56859847</v>
      </c>
    </row>
    <row r="1842" spans="1:11" x14ac:dyDescent="0.3">
      <c r="A1842" s="1657">
        <v>44375</v>
      </c>
      <c r="B1842" s="1658">
        <v>5980</v>
      </c>
      <c r="C1842" s="1658">
        <v>20</v>
      </c>
      <c r="D1842" s="1659">
        <v>0.34</v>
      </c>
      <c r="E1842" s="1658">
        <v>5980</v>
      </c>
      <c r="F1842" s="1658">
        <v>6080</v>
      </c>
      <c r="G1842" s="1658">
        <v>5940</v>
      </c>
      <c r="H1842" s="1658">
        <v>158566</v>
      </c>
      <c r="I1842" s="1658">
        <v>951755660</v>
      </c>
      <c r="J1842" s="1658">
        <v>340021885060</v>
      </c>
      <c r="K1842" s="1658">
        <v>56859847</v>
      </c>
    </row>
    <row r="1843" spans="1:11" x14ac:dyDescent="0.3">
      <c r="A1843" s="1657">
        <v>44376</v>
      </c>
      <c r="B1843" s="1658">
        <v>5940</v>
      </c>
      <c r="C1843" s="1658">
        <v>-40</v>
      </c>
      <c r="D1843" s="1659">
        <v>-0.67</v>
      </c>
      <c r="E1843" s="1658">
        <v>6010</v>
      </c>
      <c r="F1843" s="1658">
        <v>6040</v>
      </c>
      <c r="G1843" s="1658">
        <v>5930</v>
      </c>
      <c r="H1843" s="1658">
        <v>99689</v>
      </c>
      <c r="I1843" s="1658">
        <v>595343440</v>
      </c>
      <c r="J1843" s="1658">
        <v>337747491180</v>
      </c>
      <c r="K1843" s="1658">
        <v>56859847</v>
      </c>
    </row>
    <row r="1844" spans="1:11" x14ac:dyDescent="0.3">
      <c r="A1844" s="1657">
        <v>44377</v>
      </c>
      <c r="B1844" s="1658">
        <v>5910</v>
      </c>
      <c r="C1844" s="1658">
        <v>-30</v>
      </c>
      <c r="D1844" s="1659">
        <v>-0.51</v>
      </c>
      <c r="E1844" s="1658">
        <v>5970</v>
      </c>
      <c r="F1844" s="1658">
        <v>5970</v>
      </c>
      <c r="G1844" s="1658">
        <v>5910</v>
      </c>
      <c r="H1844" s="1658">
        <v>84167</v>
      </c>
      <c r="I1844" s="1658">
        <v>499565320</v>
      </c>
      <c r="J1844" s="1658">
        <v>336041695770</v>
      </c>
      <c r="K1844" s="1658">
        <v>56859847</v>
      </c>
    </row>
    <row r="1845" spans="1:11" x14ac:dyDescent="0.3">
      <c r="A1845" s="1657">
        <v>44378</v>
      </c>
      <c r="B1845" s="1658">
        <v>5860</v>
      </c>
      <c r="C1845" s="1658">
        <v>-50</v>
      </c>
      <c r="D1845" s="1659">
        <v>-0.85</v>
      </c>
      <c r="E1845" s="1658">
        <v>5900</v>
      </c>
      <c r="F1845" s="1658">
        <v>5950</v>
      </c>
      <c r="G1845" s="1658">
        <v>5810</v>
      </c>
      <c r="H1845" s="1658">
        <v>147353</v>
      </c>
      <c r="I1845" s="1658">
        <v>865195290</v>
      </c>
      <c r="J1845" s="1658">
        <v>333198703420</v>
      </c>
      <c r="K1845" s="1658">
        <v>56859847</v>
      </c>
    </row>
    <row r="1846" spans="1:11" x14ac:dyDescent="0.3">
      <c r="A1846" s="1657">
        <v>44379</v>
      </c>
      <c r="B1846" s="1658">
        <v>5980</v>
      </c>
      <c r="C1846" s="1658">
        <v>120</v>
      </c>
      <c r="D1846" s="1659">
        <v>2.0499999999999998</v>
      </c>
      <c r="E1846" s="1658">
        <v>5840</v>
      </c>
      <c r="F1846" s="1658">
        <v>5980</v>
      </c>
      <c r="G1846" s="1658">
        <v>5830</v>
      </c>
      <c r="H1846" s="1658">
        <v>119728</v>
      </c>
      <c r="I1846" s="1658">
        <v>707146390</v>
      </c>
      <c r="J1846" s="1658">
        <v>340021885060</v>
      </c>
      <c r="K1846" s="1658">
        <v>56859847</v>
      </c>
    </row>
    <row r="1847" spans="1:11" x14ac:dyDescent="0.3">
      <c r="A1847" s="1657">
        <v>44382</v>
      </c>
      <c r="B1847" s="1658">
        <v>5960</v>
      </c>
      <c r="C1847" s="1658">
        <v>-20</v>
      </c>
      <c r="D1847" s="1659">
        <v>-0.33</v>
      </c>
      <c r="E1847" s="1658">
        <v>5990</v>
      </c>
      <c r="F1847" s="1658">
        <v>6020</v>
      </c>
      <c r="G1847" s="1658">
        <v>5920</v>
      </c>
      <c r="H1847" s="1658">
        <v>90491</v>
      </c>
      <c r="I1847" s="1658">
        <v>539056500</v>
      </c>
      <c r="J1847" s="1658">
        <v>338884688120</v>
      </c>
      <c r="K1847" s="1658">
        <v>56859847</v>
      </c>
    </row>
    <row r="1848" spans="1:11" x14ac:dyDescent="0.3">
      <c r="A1848" s="1657">
        <v>44383</v>
      </c>
      <c r="B1848" s="1658">
        <v>5890</v>
      </c>
      <c r="C1848" s="1658">
        <v>-70</v>
      </c>
      <c r="D1848" s="1659">
        <v>-1.17</v>
      </c>
      <c r="E1848" s="1658">
        <v>5960</v>
      </c>
      <c r="F1848" s="1658">
        <v>5990</v>
      </c>
      <c r="G1848" s="1658">
        <v>5830</v>
      </c>
      <c r="H1848" s="1658">
        <v>123316</v>
      </c>
      <c r="I1848" s="1658">
        <v>728029530</v>
      </c>
      <c r="J1848" s="1658">
        <v>334904498830</v>
      </c>
      <c r="K1848" s="1658">
        <v>56859847</v>
      </c>
    </row>
    <row r="1849" spans="1:11" x14ac:dyDescent="0.3">
      <c r="A1849" s="1657">
        <v>44384</v>
      </c>
      <c r="B1849" s="1658">
        <v>5870</v>
      </c>
      <c r="C1849" s="1658">
        <v>-20</v>
      </c>
      <c r="D1849" s="1659">
        <v>-0.34</v>
      </c>
      <c r="E1849" s="1658">
        <v>5880</v>
      </c>
      <c r="F1849" s="1658">
        <v>5920</v>
      </c>
      <c r="G1849" s="1658">
        <v>5820</v>
      </c>
      <c r="H1849" s="1658">
        <v>79866</v>
      </c>
      <c r="I1849" s="1658">
        <v>467759350</v>
      </c>
      <c r="J1849" s="1658">
        <v>333767301890</v>
      </c>
      <c r="K1849" s="1658">
        <v>56859847</v>
      </c>
    </row>
    <row r="1850" spans="1:11" x14ac:dyDescent="0.3">
      <c r="A1850" s="1657">
        <v>44385</v>
      </c>
      <c r="B1850" s="1658">
        <v>5790</v>
      </c>
      <c r="C1850" s="1658">
        <v>-80</v>
      </c>
      <c r="D1850" s="1659">
        <v>-1.36</v>
      </c>
      <c r="E1850" s="1658">
        <v>5820</v>
      </c>
      <c r="F1850" s="1658">
        <v>5910</v>
      </c>
      <c r="G1850" s="1658">
        <v>5730</v>
      </c>
      <c r="H1850" s="1658">
        <v>160513</v>
      </c>
      <c r="I1850" s="1658">
        <v>929540460</v>
      </c>
      <c r="J1850" s="1658">
        <v>329218514130</v>
      </c>
      <c r="K1850" s="1658">
        <v>56859847</v>
      </c>
    </row>
    <row r="1851" spans="1:11" x14ac:dyDescent="0.3">
      <c r="A1851" s="1657">
        <v>44386</v>
      </c>
      <c r="B1851" s="1658">
        <v>5610</v>
      </c>
      <c r="C1851" s="1658">
        <v>-180</v>
      </c>
      <c r="D1851" s="1659">
        <v>-3.11</v>
      </c>
      <c r="E1851" s="1658">
        <v>5730</v>
      </c>
      <c r="F1851" s="1658">
        <v>5730</v>
      </c>
      <c r="G1851" s="1658">
        <v>5490</v>
      </c>
      <c r="H1851" s="1658">
        <v>335498</v>
      </c>
      <c r="I1851" s="1658">
        <v>1875976570</v>
      </c>
      <c r="J1851" s="1658">
        <v>318983741670</v>
      </c>
      <c r="K1851" s="1658">
        <v>56859847</v>
      </c>
    </row>
    <row r="1852" spans="1:11" x14ac:dyDescent="0.3">
      <c r="A1852" s="1657">
        <v>44389</v>
      </c>
      <c r="B1852" s="1658">
        <v>5610</v>
      </c>
      <c r="C1852" s="1658">
        <v>0</v>
      </c>
      <c r="D1852" s="1659">
        <v>0</v>
      </c>
      <c r="E1852" s="1658">
        <v>5630</v>
      </c>
      <c r="F1852" s="1658">
        <v>5700</v>
      </c>
      <c r="G1852" s="1658">
        <v>5610</v>
      </c>
      <c r="H1852" s="1658">
        <v>69953</v>
      </c>
      <c r="I1852" s="1658">
        <v>395527360</v>
      </c>
      <c r="J1852" s="1658">
        <v>318983741670</v>
      </c>
      <c r="K1852" s="1658">
        <v>56859847</v>
      </c>
    </row>
    <row r="1853" spans="1:11" x14ac:dyDescent="0.3">
      <c r="A1853" s="1657">
        <v>44390</v>
      </c>
      <c r="B1853" s="1658">
        <v>5680</v>
      </c>
      <c r="C1853" s="1658">
        <v>70</v>
      </c>
      <c r="D1853" s="1659">
        <v>1.25</v>
      </c>
      <c r="E1853" s="1658">
        <v>5620</v>
      </c>
      <c r="F1853" s="1658">
        <v>5700</v>
      </c>
      <c r="G1853" s="1658">
        <v>5620</v>
      </c>
      <c r="H1853" s="1658">
        <v>61414</v>
      </c>
      <c r="I1853" s="1658">
        <v>348495140</v>
      </c>
      <c r="J1853" s="1658">
        <v>322963930960</v>
      </c>
      <c r="K1853" s="1658">
        <v>56859847</v>
      </c>
    </row>
    <row r="1854" spans="1:11" x14ac:dyDescent="0.3">
      <c r="A1854" s="1657">
        <v>44391</v>
      </c>
      <c r="B1854" s="1658">
        <v>5760</v>
      </c>
      <c r="C1854" s="1658">
        <v>80</v>
      </c>
      <c r="D1854" s="1659">
        <v>1.41</v>
      </c>
      <c r="E1854" s="1658">
        <v>5670</v>
      </c>
      <c r="F1854" s="1658">
        <v>5910</v>
      </c>
      <c r="G1854" s="1658">
        <v>5640</v>
      </c>
      <c r="H1854" s="1658">
        <v>219012</v>
      </c>
      <c r="I1854" s="1658">
        <v>1271681830</v>
      </c>
      <c r="J1854" s="1658">
        <v>327512718720</v>
      </c>
      <c r="K1854" s="1658">
        <v>56859847</v>
      </c>
    </row>
    <row r="1855" spans="1:11" x14ac:dyDescent="0.3">
      <c r="A1855" s="1657">
        <v>44392</v>
      </c>
      <c r="B1855" s="1658">
        <v>5800</v>
      </c>
      <c r="C1855" s="1658">
        <v>40</v>
      </c>
      <c r="D1855" s="1659">
        <v>0.69</v>
      </c>
      <c r="E1855" s="1658">
        <v>5760</v>
      </c>
      <c r="F1855" s="1658">
        <v>5830</v>
      </c>
      <c r="G1855" s="1658">
        <v>5690</v>
      </c>
      <c r="H1855" s="1658">
        <v>93456</v>
      </c>
      <c r="I1855" s="1658">
        <v>537636060</v>
      </c>
      <c r="J1855" s="1658">
        <v>329787112600</v>
      </c>
      <c r="K1855" s="1658">
        <v>56859847</v>
      </c>
    </row>
    <row r="1856" spans="1:11" x14ac:dyDescent="0.3">
      <c r="A1856" s="1657">
        <v>44393</v>
      </c>
      <c r="B1856" s="1658">
        <v>5700</v>
      </c>
      <c r="C1856" s="1658">
        <v>-100</v>
      </c>
      <c r="D1856" s="1659">
        <v>-1.72</v>
      </c>
      <c r="E1856" s="1658">
        <v>5800</v>
      </c>
      <c r="F1856" s="1658">
        <v>5840</v>
      </c>
      <c r="G1856" s="1658">
        <v>5660</v>
      </c>
      <c r="H1856" s="1658">
        <v>99868</v>
      </c>
      <c r="I1856" s="1658">
        <v>570070140</v>
      </c>
      <c r="J1856" s="1658">
        <v>324101127900</v>
      </c>
      <c r="K1856" s="1658">
        <v>56859847</v>
      </c>
    </row>
    <row r="1857" spans="1:11" x14ac:dyDescent="0.3">
      <c r="A1857" s="1657">
        <v>44396</v>
      </c>
      <c r="B1857" s="1658">
        <v>5800</v>
      </c>
      <c r="C1857" s="1658">
        <v>100</v>
      </c>
      <c r="D1857" s="1659">
        <v>1.75</v>
      </c>
      <c r="E1857" s="1658">
        <v>5640</v>
      </c>
      <c r="F1857" s="1658">
        <v>5870</v>
      </c>
      <c r="G1857" s="1658">
        <v>5590</v>
      </c>
      <c r="H1857" s="1658">
        <v>290219</v>
      </c>
      <c r="I1857" s="1658">
        <v>1651384740</v>
      </c>
      <c r="J1857" s="1658">
        <v>329787112600</v>
      </c>
      <c r="K1857" s="1658">
        <v>56859847</v>
      </c>
    </row>
    <row r="1858" spans="1:11" x14ac:dyDescent="0.3">
      <c r="A1858" s="1657">
        <v>44397</v>
      </c>
      <c r="B1858" s="1658">
        <v>5790</v>
      </c>
      <c r="C1858" s="1658">
        <v>-10</v>
      </c>
      <c r="D1858" s="1659">
        <v>-0.17</v>
      </c>
      <c r="E1858" s="1658">
        <v>5800</v>
      </c>
      <c r="F1858" s="1658">
        <v>5840</v>
      </c>
      <c r="G1858" s="1658">
        <v>5680</v>
      </c>
      <c r="H1858" s="1658">
        <v>145693</v>
      </c>
      <c r="I1858" s="1658">
        <v>841955540</v>
      </c>
      <c r="J1858" s="1658">
        <v>329218514130</v>
      </c>
      <c r="K1858" s="1658">
        <v>56859847</v>
      </c>
    </row>
    <row r="1859" spans="1:11" x14ac:dyDescent="0.3">
      <c r="A1859" s="1657">
        <v>44398</v>
      </c>
      <c r="B1859" s="1658">
        <v>5750</v>
      </c>
      <c r="C1859" s="1658">
        <v>-40</v>
      </c>
      <c r="D1859" s="1659">
        <v>-0.69</v>
      </c>
      <c r="E1859" s="1658">
        <v>5770</v>
      </c>
      <c r="F1859" s="1658">
        <v>5890</v>
      </c>
      <c r="G1859" s="1658">
        <v>5740</v>
      </c>
      <c r="H1859" s="1658">
        <v>131392</v>
      </c>
      <c r="I1859" s="1658">
        <v>762908650</v>
      </c>
      <c r="J1859" s="1658">
        <v>326944120250</v>
      </c>
      <c r="K1859" s="1658">
        <v>56859847</v>
      </c>
    </row>
    <row r="1860" spans="1:11" x14ac:dyDescent="0.3">
      <c r="A1860" s="1657">
        <v>44399</v>
      </c>
      <c r="B1860" s="1658">
        <v>5760</v>
      </c>
      <c r="C1860" s="1658">
        <v>10</v>
      </c>
      <c r="D1860" s="1659">
        <v>0.17</v>
      </c>
      <c r="E1860" s="1658">
        <v>5790</v>
      </c>
      <c r="F1860" s="1658">
        <v>5830</v>
      </c>
      <c r="G1860" s="1658">
        <v>5740</v>
      </c>
      <c r="H1860" s="1658">
        <v>93512</v>
      </c>
      <c r="I1860" s="1658">
        <v>540703430</v>
      </c>
      <c r="J1860" s="1658">
        <v>327512718720</v>
      </c>
      <c r="K1860" s="1658">
        <v>56859847</v>
      </c>
    </row>
    <row r="1861" spans="1:11" x14ac:dyDescent="0.3">
      <c r="A1861" s="1657">
        <v>44400</v>
      </c>
      <c r="B1861" s="1658">
        <v>5770</v>
      </c>
      <c r="C1861" s="1658">
        <v>10</v>
      </c>
      <c r="D1861" s="1659">
        <v>0.17</v>
      </c>
      <c r="E1861" s="1658">
        <v>5760</v>
      </c>
      <c r="F1861" s="1658">
        <v>5840</v>
      </c>
      <c r="G1861" s="1658">
        <v>5720</v>
      </c>
      <c r="H1861" s="1658">
        <v>63649</v>
      </c>
      <c r="I1861" s="1658">
        <v>366735020</v>
      </c>
      <c r="J1861" s="1658">
        <v>328081317190</v>
      </c>
      <c r="K1861" s="1658">
        <v>56859847</v>
      </c>
    </row>
    <row r="1862" spans="1:11" x14ac:dyDescent="0.3">
      <c r="A1862" s="1657">
        <v>44403</v>
      </c>
      <c r="B1862" s="1658">
        <v>5630</v>
      </c>
      <c r="C1862" s="1658">
        <v>-140</v>
      </c>
      <c r="D1862" s="1659">
        <v>-2.4300000000000002</v>
      </c>
      <c r="E1862" s="1658">
        <v>5750</v>
      </c>
      <c r="F1862" s="1658">
        <v>5790</v>
      </c>
      <c r="G1862" s="1658">
        <v>5610</v>
      </c>
      <c r="H1862" s="1658">
        <v>130500</v>
      </c>
      <c r="I1862" s="1658">
        <v>739484820</v>
      </c>
      <c r="J1862" s="1658">
        <v>320120938610</v>
      </c>
      <c r="K1862" s="1658">
        <v>56859847</v>
      </c>
    </row>
    <row r="1863" spans="1:11" x14ac:dyDescent="0.3">
      <c r="A1863" s="1657">
        <v>44404</v>
      </c>
      <c r="B1863" s="1658">
        <v>5640</v>
      </c>
      <c r="C1863" s="1658">
        <v>10</v>
      </c>
      <c r="D1863" s="1659">
        <v>0.18</v>
      </c>
      <c r="E1863" s="1658">
        <v>5690</v>
      </c>
      <c r="F1863" s="1658">
        <v>5790</v>
      </c>
      <c r="G1863" s="1658">
        <v>5640</v>
      </c>
      <c r="H1863" s="1658">
        <v>107950</v>
      </c>
      <c r="I1863" s="1658">
        <v>614801030</v>
      </c>
      <c r="J1863" s="1658">
        <v>320689537080</v>
      </c>
      <c r="K1863" s="1658">
        <v>56859847</v>
      </c>
    </row>
    <row r="1864" spans="1:11" x14ac:dyDescent="0.3">
      <c r="A1864" s="1657">
        <v>44405</v>
      </c>
      <c r="B1864" s="1658">
        <v>5550</v>
      </c>
      <c r="C1864" s="1658">
        <v>-90</v>
      </c>
      <c r="D1864" s="1659">
        <v>-1.6</v>
      </c>
      <c r="E1864" s="1658">
        <v>5620</v>
      </c>
      <c r="F1864" s="1658">
        <v>5690</v>
      </c>
      <c r="G1864" s="1658">
        <v>5510</v>
      </c>
      <c r="H1864" s="1658">
        <v>176558</v>
      </c>
      <c r="I1864" s="1658">
        <v>984297740</v>
      </c>
      <c r="J1864" s="1658">
        <v>315572150850</v>
      </c>
      <c r="K1864" s="1658">
        <v>56859847</v>
      </c>
    </row>
    <row r="1865" spans="1:11" x14ac:dyDescent="0.3">
      <c r="A1865" s="1657">
        <v>44406</v>
      </c>
      <c r="B1865" s="1658">
        <v>5570</v>
      </c>
      <c r="C1865" s="1658">
        <v>20</v>
      </c>
      <c r="D1865" s="1659">
        <v>0.36</v>
      </c>
      <c r="E1865" s="1658">
        <v>5550</v>
      </c>
      <c r="F1865" s="1658">
        <v>5600</v>
      </c>
      <c r="G1865" s="1658">
        <v>5520</v>
      </c>
      <c r="H1865" s="1658">
        <v>89257</v>
      </c>
      <c r="I1865" s="1658">
        <v>495582220</v>
      </c>
      <c r="J1865" s="1658">
        <v>316709347790</v>
      </c>
      <c r="K1865" s="1658">
        <v>56859847</v>
      </c>
    </row>
    <row r="1866" spans="1:11" x14ac:dyDescent="0.3">
      <c r="A1866" s="1657">
        <v>44407</v>
      </c>
      <c r="B1866" s="1658">
        <v>5460</v>
      </c>
      <c r="C1866" s="1658">
        <v>-110</v>
      </c>
      <c r="D1866" s="1659">
        <v>-1.97</v>
      </c>
      <c r="E1866" s="1658">
        <v>5580</v>
      </c>
      <c r="F1866" s="1658">
        <v>5590</v>
      </c>
      <c r="G1866" s="1658">
        <v>5450</v>
      </c>
      <c r="H1866" s="1658">
        <v>139899</v>
      </c>
      <c r="I1866" s="1658">
        <v>767075230</v>
      </c>
      <c r="J1866" s="1658">
        <v>310454764620</v>
      </c>
      <c r="K1866" s="1658">
        <v>56859847</v>
      </c>
    </row>
    <row r="1867" spans="1:11" x14ac:dyDescent="0.3">
      <c r="A1867" s="1657">
        <v>44410</v>
      </c>
      <c r="B1867" s="1658">
        <v>5380</v>
      </c>
      <c r="C1867" s="1658">
        <v>-80</v>
      </c>
      <c r="D1867" s="1659">
        <v>-1.47</v>
      </c>
      <c r="E1867" s="1658">
        <v>5460</v>
      </c>
      <c r="F1867" s="1658">
        <v>5480</v>
      </c>
      <c r="G1867" s="1658">
        <v>5320</v>
      </c>
      <c r="H1867" s="1658">
        <v>172230</v>
      </c>
      <c r="I1867" s="1658">
        <v>926126440</v>
      </c>
      <c r="J1867" s="1658">
        <v>305905976860</v>
      </c>
      <c r="K1867" s="1658">
        <v>56859847</v>
      </c>
    </row>
    <row r="1868" spans="1:11" x14ac:dyDescent="0.3">
      <c r="A1868" s="1657">
        <v>44411</v>
      </c>
      <c r="B1868" s="1658">
        <v>5580</v>
      </c>
      <c r="C1868" s="1658">
        <v>200</v>
      </c>
      <c r="D1868" s="1659">
        <v>3.72</v>
      </c>
      <c r="E1868" s="1658">
        <v>5380</v>
      </c>
      <c r="F1868" s="1658">
        <v>5910</v>
      </c>
      <c r="G1868" s="1658">
        <v>5360</v>
      </c>
      <c r="H1868" s="1658">
        <v>1138076</v>
      </c>
      <c r="I1868" s="1658">
        <v>6453949970</v>
      </c>
      <c r="J1868" s="1658">
        <v>317277946260</v>
      </c>
      <c r="K1868" s="1658">
        <v>56859847</v>
      </c>
    </row>
    <row r="1869" spans="1:11" x14ac:dyDescent="0.3">
      <c r="A1869" s="1657">
        <v>44412</v>
      </c>
      <c r="B1869" s="1658">
        <v>5640</v>
      </c>
      <c r="C1869" s="1658">
        <v>60</v>
      </c>
      <c r="D1869" s="1659">
        <v>1.08</v>
      </c>
      <c r="E1869" s="1658">
        <v>5580</v>
      </c>
      <c r="F1869" s="1658">
        <v>5680</v>
      </c>
      <c r="G1869" s="1658">
        <v>5520</v>
      </c>
      <c r="H1869" s="1658">
        <v>178977</v>
      </c>
      <c r="I1869" s="1658">
        <v>1001935960</v>
      </c>
      <c r="J1869" s="1658">
        <v>320689537080</v>
      </c>
      <c r="K1869" s="1658">
        <v>56859847</v>
      </c>
    </row>
    <row r="1870" spans="1:11" x14ac:dyDescent="0.3">
      <c r="A1870" s="1657">
        <v>44413</v>
      </c>
      <c r="B1870" s="1658">
        <v>5610</v>
      </c>
      <c r="C1870" s="1658">
        <v>-30</v>
      </c>
      <c r="D1870" s="1659">
        <v>-0.53</v>
      </c>
      <c r="E1870" s="1658">
        <v>5630</v>
      </c>
      <c r="F1870" s="1658">
        <v>5670</v>
      </c>
      <c r="G1870" s="1658">
        <v>5570</v>
      </c>
      <c r="H1870" s="1658">
        <v>101226</v>
      </c>
      <c r="I1870" s="1658">
        <v>567763730</v>
      </c>
      <c r="J1870" s="1658">
        <v>318983741670</v>
      </c>
      <c r="K1870" s="1658">
        <v>56859847</v>
      </c>
    </row>
    <row r="1871" spans="1:11" x14ac:dyDescent="0.3">
      <c r="A1871" s="1657">
        <v>44414</v>
      </c>
      <c r="B1871" s="1658">
        <v>5640</v>
      </c>
      <c r="C1871" s="1658">
        <v>30</v>
      </c>
      <c r="D1871" s="1659">
        <v>0.53</v>
      </c>
      <c r="E1871" s="1658">
        <v>5620</v>
      </c>
      <c r="F1871" s="1658">
        <v>5670</v>
      </c>
      <c r="G1871" s="1658">
        <v>5590</v>
      </c>
      <c r="H1871" s="1658">
        <v>68968</v>
      </c>
      <c r="I1871" s="1658">
        <v>388768310</v>
      </c>
      <c r="J1871" s="1658">
        <v>320689537080</v>
      </c>
      <c r="K1871" s="1658">
        <v>56859847</v>
      </c>
    </row>
    <row r="1872" spans="1:11" x14ac:dyDescent="0.3">
      <c r="A1872" s="1657">
        <v>44417</v>
      </c>
      <c r="B1872" s="1658">
        <v>5680</v>
      </c>
      <c r="C1872" s="1658">
        <v>40</v>
      </c>
      <c r="D1872" s="1659">
        <v>0.71</v>
      </c>
      <c r="E1872" s="1658">
        <v>5650</v>
      </c>
      <c r="F1872" s="1658">
        <v>5690</v>
      </c>
      <c r="G1872" s="1658">
        <v>5600</v>
      </c>
      <c r="H1872" s="1658">
        <v>88587</v>
      </c>
      <c r="I1872" s="1658">
        <v>499746630</v>
      </c>
      <c r="J1872" s="1658">
        <v>322963930960</v>
      </c>
      <c r="K1872" s="1658">
        <v>56859847</v>
      </c>
    </row>
    <row r="1873" spans="1:11" x14ac:dyDescent="0.3">
      <c r="A1873" s="1657">
        <v>44418</v>
      </c>
      <c r="B1873" s="1658">
        <v>5680</v>
      </c>
      <c r="C1873" s="1658">
        <v>0</v>
      </c>
      <c r="D1873" s="1659">
        <v>0</v>
      </c>
      <c r="E1873" s="1658">
        <v>5670</v>
      </c>
      <c r="F1873" s="1658">
        <v>5870</v>
      </c>
      <c r="G1873" s="1658">
        <v>5620</v>
      </c>
      <c r="H1873" s="1658">
        <v>284815</v>
      </c>
      <c r="I1873" s="1658">
        <v>1633753290</v>
      </c>
      <c r="J1873" s="1658">
        <v>322963930960</v>
      </c>
      <c r="K1873" s="1658">
        <v>56859847</v>
      </c>
    </row>
    <row r="1874" spans="1:11" x14ac:dyDescent="0.3">
      <c r="A1874" s="1657">
        <v>44419</v>
      </c>
      <c r="B1874" s="1658">
        <v>5600</v>
      </c>
      <c r="C1874" s="1658">
        <v>-80</v>
      </c>
      <c r="D1874" s="1659">
        <v>-1.41</v>
      </c>
      <c r="E1874" s="1658">
        <v>5630</v>
      </c>
      <c r="F1874" s="1658">
        <v>5710</v>
      </c>
      <c r="G1874" s="1658">
        <v>5590</v>
      </c>
      <c r="H1874" s="1658">
        <v>98382</v>
      </c>
      <c r="I1874" s="1658">
        <v>553765680</v>
      </c>
      <c r="J1874" s="1658">
        <v>318415143200</v>
      </c>
      <c r="K1874" s="1658">
        <v>56859847</v>
      </c>
    </row>
    <row r="1875" spans="1:11" x14ac:dyDescent="0.3">
      <c r="A1875" s="1657">
        <v>44420</v>
      </c>
      <c r="B1875" s="1658">
        <v>5550</v>
      </c>
      <c r="C1875" s="1658">
        <v>-50</v>
      </c>
      <c r="D1875" s="1659">
        <v>-0.89</v>
      </c>
      <c r="E1875" s="1658">
        <v>5560</v>
      </c>
      <c r="F1875" s="1658">
        <v>5620</v>
      </c>
      <c r="G1875" s="1658">
        <v>5550</v>
      </c>
      <c r="H1875" s="1658">
        <v>71436</v>
      </c>
      <c r="I1875" s="1658">
        <v>398562950</v>
      </c>
      <c r="J1875" s="1658">
        <v>315572150850</v>
      </c>
      <c r="K1875" s="1658">
        <v>56859847</v>
      </c>
    </row>
    <row r="1876" spans="1:11" x14ac:dyDescent="0.3">
      <c r="A1876" s="1657">
        <v>44421</v>
      </c>
      <c r="B1876" s="1658">
        <v>5510</v>
      </c>
      <c r="C1876" s="1658">
        <v>-40</v>
      </c>
      <c r="D1876" s="1659">
        <v>-0.72</v>
      </c>
      <c r="E1876" s="1658">
        <v>5520</v>
      </c>
      <c r="F1876" s="1658">
        <v>5580</v>
      </c>
      <c r="G1876" s="1658">
        <v>5370</v>
      </c>
      <c r="H1876" s="1658">
        <v>177586</v>
      </c>
      <c r="I1876" s="1658">
        <v>968352630</v>
      </c>
      <c r="J1876" s="1658">
        <v>313297756970</v>
      </c>
      <c r="K1876" s="1658">
        <v>56859847</v>
      </c>
    </row>
    <row r="1877" spans="1:11" x14ac:dyDescent="0.3">
      <c r="A1877" s="1657">
        <v>44425</v>
      </c>
      <c r="B1877" s="1658">
        <v>5470</v>
      </c>
      <c r="C1877" s="1658">
        <v>-40</v>
      </c>
      <c r="D1877" s="1659">
        <v>-0.73</v>
      </c>
      <c r="E1877" s="1658">
        <v>5480</v>
      </c>
      <c r="F1877" s="1658">
        <v>5700</v>
      </c>
      <c r="G1877" s="1658">
        <v>5470</v>
      </c>
      <c r="H1877" s="1658">
        <v>137542</v>
      </c>
      <c r="I1877" s="1658">
        <v>764100110</v>
      </c>
      <c r="J1877" s="1658">
        <v>311023363090</v>
      </c>
      <c r="K1877" s="1658">
        <v>56859847</v>
      </c>
    </row>
    <row r="1878" spans="1:11" x14ac:dyDescent="0.3">
      <c r="A1878" s="1657">
        <v>44426</v>
      </c>
      <c r="B1878" s="1658">
        <v>5520</v>
      </c>
      <c r="C1878" s="1658">
        <v>50</v>
      </c>
      <c r="D1878" s="1659">
        <v>0.91</v>
      </c>
      <c r="E1878" s="1658">
        <v>5470</v>
      </c>
      <c r="F1878" s="1658">
        <v>5640</v>
      </c>
      <c r="G1878" s="1658">
        <v>5410</v>
      </c>
      <c r="H1878" s="1658">
        <v>149148</v>
      </c>
      <c r="I1878" s="1658">
        <v>822894430</v>
      </c>
      <c r="J1878" s="1658">
        <v>313866355440</v>
      </c>
      <c r="K1878" s="1658">
        <v>56859847</v>
      </c>
    </row>
    <row r="1879" spans="1:11" x14ac:dyDescent="0.3">
      <c r="A1879" s="1657">
        <v>44427</v>
      </c>
      <c r="B1879" s="1658">
        <v>5340</v>
      </c>
      <c r="C1879" s="1658">
        <v>-180</v>
      </c>
      <c r="D1879" s="1659">
        <v>-3.26</v>
      </c>
      <c r="E1879" s="1658">
        <v>5580</v>
      </c>
      <c r="F1879" s="1658">
        <v>5580</v>
      </c>
      <c r="G1879" s="1658">
        <v>5330</v>
      </c>
      <c r="H1879" s="1658">
        <v>180133</v>
      </c>
      <c r="I1879" s="1658">
        <v>977180140</v>
      </c>
      <c r="J1879" s="1658">
        <v>303631582980</v>
      </c>
      <c r="K1879" s="1658">
        <v>56859847</v>
      </c>
    </row>
    <row r="1880" spans="1:11" x14ac:dyDescent="0.3">
      <c r="A1880" s="1657">
        <v>44428</v>
      </c>
      <c r="B1880" s="1658">
        <v>5140</v>
      </c>
      <c r="C1880" s="1658">
        <v>-200</v>
      </c>
      <c r="D1880" s="1659">
        <v>-3.75</v>
      </c>
      <c r="E1880" s="1658">
        <v>5340</v>
      </c>
      <c r="F1880" s="1658">
        <v>5400</v>
      </c>
      <c r="G1880" s="1658">
        <v>5090</v>
      </c>
      <c r="H1880" s="1658">
        <v>168879</v>
      </c>
      <c r="I1880" s="1658">
        <v>878454980</v>
      </c>
      <c r="J1880" s="1658">
        <v>292259613580</v>
      </c>
      <c r="K1880" s="1658">
        <v>56859847</v>
      </c>
    </row>
    <row r="1881" spans="1:11" x14ac:dyDescent="0.3">
      <c r="A1881" s="1657">
        <v>44431</v>
      </c>
      <c r="B1881" s="1658">
        <v>5200</v>
      </c>
      <c r="C1881" s="1658">
        <v>60</v>
      </c>
      <c r="D1881" s="1659">
        <v>1.17</v>
      </c>
      <c r="E1881" s="1658">
        <v>5130</v>
      </c>
      <c r="F1881" s="1658">
        <v>5240</v>
      </c>
      <c r="G1881" s="1658">
        <v>5120</v>
      </c>
      <c r="H1881" s="1658">
        <v>56378</v>
      </c>
      <c r="I1881" s="1658">
        <v>292084420</v>
      </c>
      <c r="J1881" s="1658">
        <v>295671204400</v>
      </c>
      <c r="K1881" s="1658">
        <v>56859847</v>
      </c>
    </row>
    <row r="1882" spans="1:11" x14ac:dyDescent="0.3">
      <c r="A1882" s="1657">
        <v>44432</v>
      </c>
      <c r="B1882" s="1658">
        <v>5300</v>
      </c>
      <c r="C1882" s="1658">
        <v>100</v>
      </c>
      <c r="D1882" s="1659">
        <v>1.92</v>
      </c>
      <c r="E1882" s="1658">
        <v>5230</v>
      </c>
      <c r="F1882" s="1658">
        <v>5360</v>
      </c>
      <c r="G1882" s="1658">
        <v>5230</v>
      </c>
      <c r="H1882" s="1658">
        <v>92561</v>
      </c>
      <c r="I1882" s="1658">
        <v>491125720</v>
      </c>
      <c r="J1882" s="1658">
        <v>301357189100</v>
      </c>
      <c r="K1882" s="1658">
        <v>56859847</v>
      </c>
    </row>
    <row r="1883" spans="1:11" x14ac:dyDescent="0.3">
      <c r="A1883" s="1657">
        <v>44433</v>
      </c>
      <c r="B1883" s="1658">
        <v>5230</v>
      </c>
      <c r="C1883" s="1658">
        <v>-70</v>
      </c>
      <c r="D1883" s="1659">
        <v>-1.32</v>
      </c>
      <c r="E1883" s="1658">
        <v>5260</v>
      </c>
      <c r="F1883" s="1658">
        <v>5330</v>
      </c>
      <c r="G1883" s="1658">
        <v>5200</v>
      </c>
      <c r="H1883" s="1658">
        <v>58896</v>
      </c>
      <c r="I1883" s="1658">
        <v>308486480</v>
      </c>
      <c r="J1883" s="1658">
        <v>297376999810</v>
      </c>
      <c r="K1883" s="1658">
        <v>56859847</v>
      </c>
    </row>
    <row r="1884" spans="1:11" x14ac:dyDescent="0.3">
      <c r="A1884" s="1657">
        <v>44434</v>
      </c>
      <c r="B1884" s="1658">
        <v>5150</v>
      </c>
      <c r="C1884" s="1658">
        <v>-80</v>
      </c>
      <c r="D1884" s="1659">
        <v>-1.53</v>
      </c>
      <c r="E1884" s="1658">
        <v>5260</v>
      </c>
      <c r="F1884" s="1658">
        <v>5280</v>
      </c>
      <c r="G1884" s="1658">
        <v>5090</v>
      </c>
      <c r="H1884" s="1658">
        <v>230188</v>
      </c>
      <c r="I1884" s="1658">
        <v>1186233940</v>
      </c>
      <c r="J1884" s="1658">
        <v>292828212050</v>
      </c>
      <c r="K1884" s="1658">
        <v>56859847</v>
      </c>
    </row>
    <row r="1885" spans="1:11" x14ac:dyDescent="0.3">
      <c r="A1885" s="1657">
        <v>44435</v>
      </c>
      <c r="B1885" s="1658">
        <v>5220</v>
      </c>
      <c r="C1885" s="1658">
        <v>70</v>
      </c>
      <c r="D1885" s="1659">
        <v>1.36</v>
      </c>
      <c r="E1885" s="1658">
        <v>5190</v>
      </c>
      <c r="F1885" s="1658">
        <v>5400</v>
      </c>
      <c r="G1885" s="1658">
        <v>5070</v>
      </c>
      <c r="H1885" s="1658">
        <v>237869</v>
      </c>
      <c r="I1885" s="1658">
        <v>1246713550</v>
      </c>
      <c r="J1885" s="1658">
        <v>296808401340</v>
      </c>
      <c r="K1885" s="1658">
        <v>56859847</v>
      </c>
    </row>
    <row r="1886" spans="1:11" x14ac:dyDescent="0.3">
      <c r="A1886" s="1657">
        <v>44438</v>
      </c>
      <c r="B1886" s="1658">
        <v>5150</v>
      </c>
      <c r="C1886" s="1658">
        <v>-70</v>
      </c>
      <c r="D1886" s="1659">
        <v>-1.34</v>
      </c>
      <c r="E1886" s="1658">
        <v>5290</v>
      </c>
      <c r="F1886" s="1658">
        <v>5290</v>
      </c>
      <c r="G1886" s="1658">
        <v>5140</v>
      </c>
      <c r="H1886" s="1658">
        <v>85766</v>
      </c>
      <c r="I1886" s="1658">
        <v>444914610</v>
      </c>
      <c r="J1886" s="1658">
        <v>292828212050</v>
      </c>
      <c r="K1886" s="1658">
        <v>56859847</v>
      </c>
    </row>
    <row r="1887" spans="1:11" x14ac:dyDescent="0.3">
      <c r="A1887" s="1657">
        <v>44439</v>
      </c>
      <c r="B1887" s="1658">
        <v>5160</v>
      </c>
      <c r="C1887" s="1658">
        <v>10</v>
      </c>
      <c r="D1887" s="1659">
        <v>0.19</v>
      </c>
      <c r="E1887" s="1658">
        <v>5180</v>
      </c>
      <c r="F1887" s="1658">
        <v>5210</v>
      </c>
      <c r="G1887" s="1658">
        <v>5100</v>
      </c>
      <c r="H1887" s="1658">
        <v>88167</v>
      </c>
      <c r="I1887" s="1658">
        <v>455584330</v>
      </c>
      <c r="J1887" s="1658">
        <v>293396810520</v>
      </c>
      <c r="K1887" s="1658">
        <v>56859847</v>
      </c>
    </row>
    <row r="1888" spans="1:11" x14ac:dyDescent="0.3">
      <c r="A1888" s="1657">
        <v>44440</v>
      </c>
      <c r="B1888" s="1658">
        <v>5190</v>
      </c>
      <c r="C1888" s="1658">
        <v>30</v>
      </c>
      <c r="D1888" s="1659">
        <v>0.57999999999999996</v>
      </c>
      <c r="E1888" s="1658">
        <v>5160</v>
      </c>
      <c r="F1888" s="1658">
        <v>5250</v>
      </c>
      <c r="G1888" s="1658">
        <v>5120</v>
      </c>
      <c r="H1888" s="1658">
        <v>120995</v>
      </c>
      <c r="I1888" s="1658">
        <v>625694040</v>
      </c>
      <c r="J1888" s="1658">
        <v>295102605930</v>
      </c>
      <c r="K1888" s="1658">
        <v>56859847</v>
      </c>
    </row>
    <row r="1889" spans="1:11" x14ac:dyDescent="0.3">
      <c r="A1889" s="1657">
        <v>44441</v>
      </c>
      <c r="B1889" s="1658">
        <v>5180</v>
      </c>
      <c r="C1889" s="1658">
        <v>-10</v>
      </c>
      <c r="D1889" s="1659">
        <v>-0.19</v>
      </c>
      <c r="E1889" s="1658">
        <v>5210</v>
      </c>
      <c r="F1889" s="1658">
        <v>5220</v>
      </c>
      <c r="G1889" s="1658">
        <v>5140</v>
      </c>
      <c r="H1889" s="1658">
        <v>50317</v>
      </c>
      <c r="I1889" s="1658">
        <v>260318170</v>
      </c>
      <c r="J1889" s="1658">
        <v>294534007460</v>
      </c>
      <c r="K1889" s="1658">
        <v>56859847</v>
      </c>
    </row>
    <row r="1890" spans="1:11" x14ac:dyDescent="0.3">
      <c r="A1890" s="1657">
        <v>44442</v>
      </c>
      <c r="B1890" s="1658">
        <v>5200</v>
      </c>
      <c r="C1890" s="1658">
        <v>20</v>
      </c>
      <c r="D1890" s="1659">
        <v>0.39</v>
      </c>
      <c r="E1890" s="1658">
        <v>5200</v>
      </c>
      <c r="F1890" s="1658">
        <v>5220</v>
      </c>
      <c r="G1890" s="1658">
        <v>5150</v>
      </c>
      <c r="H1890" s="1658">
        <v>56553</v>
      </c>
      <c r="I1890" s="1658">
        <v>293285510</v>
      </c>
      <c r="J1890" s="1658">
        <v>295671204400</v>
      </c>
      <c r="K1890" s="1658">
        <v>56859847</v>
      </c>
    </row>
    <row r="1891" spans="1:11" x14ac:dyDescent="0.3">
      <c r="A1891" s="1657">
        <v>44445</v>
      </c>
      <c r="B1891" s="1658">
        <v>5110</v>
      </c>
      <c r="C1891" s="1658">
        <v>-90</v>
      </c>
      <c r="D1891" s="1659">
        <v>-1.73</v>
      </c>
      <c r="E1891" s="1658">
        <v>5200</v>
      </c>
      <c r="F1891" s="1658">
        <v>5200</v>
      </c>
      <c r="G1891" s="1658">
        <v>5090</v>
      </c>
      <c r="H1891" s="1658">
        <v>155504</v>
      </c>
      <c r="I1891" s="1658">
        <v>796564500</v>
      </c>
      <c r="J1891" s="1658">
        <v>290553818170</v>
      </c>
      <c r="K1891" s="1658">
        <v>56859847</v>
      </c>
    </row>
    <row r="1892" spans="1:11" x14ac:dyDescent="0.3">
      <c r="A1892" s="1657">
        <v>44446</v>
      </c>
      <c r="B1892" s="1658">
        <v>5030</v>
      </c>
      <c r="C1892" s="1658">
        <v>-80</v>
      </c>
      <c r="D1892" s="1659">
        <v>-1.57</v>
      </c>
      <c r="E1892" s="1658">
        <v>5130</v>
      </c>
      <c r="F1892" s="1658">
        <v>5130</v>
      </c>
      <c r="G1892" s="1658">
        <v>4990</v>
      </c>
      <c r="H1892" s="1658">
        <v>187152</v>
      </c>
      <c r="I1892" s="1658">
        <v>942532700</v>
      </c>
      <c r="J1892" s="1658">
        <v>286005030410</v>
      </c>
      <c r="K1892" s="1658">
        <v>56859847</v>
      </c>
    </row>
    <row r="1893" spans="1:11" x14ac:dyDescent="0.3">
      <c r="A1893" s="1657">
        <v>44447</v>
      </c>
      <c r="B1893" s="1658">
        <v>4990</v>
      </c>
      <c r="C1893" s="1658">
        <v>-40</v>
      </c>
      <c r="D1893" s="1659">
        <v>-0.8</v>
      </c>
      <c r="E1893" s="1658">
        <v>5020</v>
      </c>
      <c r="F1893" s="1658">
        <v>5070</v>
      </c>
      <c r="G1893" s="1658">
        <v>4985</v>
      </c>
      <c r="H1893" s="1658">
        <v>111752</v>
      </c>
      <c r="I1893" s="1658">
        <v>559053970</v>
      </c>
      <c r="J1893" s="1658">
        <v>283730636530</v>
      </c>
      <c r="K1893" s="1658">
        <v>56859847</v>
      </c>
    </row>
    <row r="1894" spans="1:11" x14ac:dyDescent="0.3">
      <c r="A1894" s="1657">
        <v>44448</v>
      </c>
      <c r="B1894" s="1658">
        <v>4955</v>
      </c>
      <c r="C1894" s="1658">
        <v>-35</v>
      </c>
      <c r="D1894" s="1659">
        <v>-0.7</v>
      </c>
      <c r="E1894" s="1658">
        <v>4990</v>
      </c>
      <c r="F1894" s="1658">
        <v>5050</v>
      </c>
      <c r="G1894" s="1658">
        <v>4920</v>
      </c>
      <c r="H1894" s="1658">
        <v>112878</v>
      </c>
      <c r="I1894" s="1658">
        <v>558947525</v>
      </c>
      <c r="J1894" s="1658">
        <v>281740541885</v>
      </c>
      <c r="K1894" s="1658">
        <v>56859847</v>
      </c>
    </row>
    <row r="1895" spans="1:11" x14ac:dyDescent="0.3">
      <c r="A1895" s="1657">
        <v>44449</v>
      </c>
      <c r="B1895" s="1658">
        <v>4960</v>
      </c>
      <c r="C1895" s="1658">
        <v>5</v>
      </c>
      <c r="D1895" s="1659">
        <v>0.1</v>
      </c>
      <c r="E1895" s="1658">
        <v>4930</v>
      </c>
      <c r="F1895" s="1658">
        <v>4960</v>
      </c>
      <c r="G1895" s="1658">
        <v>4855</v>
      </c>
      <c r="H1895" s="1658">
        <v>123430</v>
      </c>
      <c r="I1895" s="1658">
        <v>605533085</v>
      </c>
      <c r="J1895" s="1658">
        <v>282024841120</v>
      </c>
      <c r="K1895" s="1658">
        <v>56859847</v>
      </c>
    </row>
    <row r="1896" spans="1:11" x14ac:dyDescent="0.3">
      <c r="A1896" s="1657">
        <v>44452</v>
      </c>
      <c r="B1896" s="1658">
        <v>4870</v>
      </c>
      <c r="C1896" s="1658">
        <v>-90</v>
      </c>
      <c r="D1896" s="1659">
        <v>-1.81</v>
      </c>
      <c r="E1896" s="1658">
        <v>4915</v>
      </c>
      <c r="F1896" s="1658">
        <v>4960</v>
      </c>
      <c r="G1896" s="1658">
        <v>4870</v>
      </c>
      <c r="H1896" s="1658">
        <v>72085</v>
      </c>
      <c r="I1896" s="1658">
        <v>353546250</v>
      </c>
      <c r="J1896" s="1658">
        <v>276907454890</v>
      </c>
      <c r="K1896" s="1658">
        <v>56859847</v>
      </c>
    </row>
    <row r="1897" spans="1:11" x14ac:dyDescent="0.3">
      <c r="A1897" s="1657">
        <v>44453</v>
      </c>
      <c r="B1897" s="1658">
        <v>5000</v>
      </c>
      <c r="C1897" s="1658">
        <v>130</v>
      </c>
      <c r="D1897" s="1659">
        <v>2.67</v>
      </c>
      <c r="E1897" s="1658">
        <v>4875</v>
      </c>
      <c r="F1897" s="1658">
        <v>5000</v>
      </c>
      <c r="G1897" s="1658">
        <v>4875</v>
      </c>
      <c r="H1897" s="1658">
        <v>43222</v>
      </c>
      <c r="I1897" s="1658">
        <v>214906390</v>
      </c>
      <c r="J1897" s="1658">
        <v>284299235000</v>
      </c>
      <c r="K1897" s="1658">
        <v>56859847</v>
      </c>
    </row>
    <row r="1898" spans="1:11" x14ac:dyDescent="0.3">
      <c r="A1898" s="1657">
        <v>44454</v>
      </c>
      <c r="B1898" s="1658">
        <v>4945</v>
      </c>
      <c r="C1898" s="1658">
        <v>-55</v>
      </c>
      <c r="D1898" s="1659">
        <v>-1.1000000000000001</v>
      </c>
      <c r="E1898" s="1658">
        <v>5000</v>
      </c>
      <c r="F1898" s="1658">
        <v>5040</v>
      </c>
      <c r="G1898" s="1658">
        <v>4940</v>
      </c>
      <c r="H1898" s="1658">
        <v>39788</v>
      </c>
      <c r="I1898" s="1658">
        <v>197789435</v>
      </c>
      <c r="J1898" s="1658">
        <v>281171943415</v>
      </c>
      <c r="K1898" s="1658">
        <v>56859847</v>
      </c>
    </row>
    <row r="1899" spans="1:11" x14ac:dyDescent="0.3">
      <c r="A1899" s="1657">
        <v>44455</v>
      </c>
      <c r="B1899" s="1658">
        <v>4885</v>
      </c>
      <c r="C1899" s="1658">
        <v>-60</v>
      </c>
      <c r="D1899" s="1659">
        <v>-1.21</v>
      </c>
      <c r="E1899" s="1658">
        <v>4980</v>
      </c>
      <c r="F1899" s="1658">
        <v>5010</v>
      </c>
      <c r="G1899" s="1658">
        <v>4880</v>
      </c>
      <c r="H1899" s="1658">
        <v>57807</v>
      </c>
      <c r="I1899" s="1658">
        <v>283453790</v>
      </c>
      <c r="J1899" s="1658">
        <v>277760352595</v>
      </c>
      <c r="K1899" s="1658">
        <v>56859847</v>
      </c>
    </row>
    <row r="1900" spans="1:11" x14ac:dyDescent="0.3">
      <c r="A1900" s="1657">
        <v>44456</v>
      </c>
      <c r="B1900" s="1658">
        <v>4935</v>
      </c>
      <c r="C1900" s="1658">
        <v>50</v>
      </c>
      <c r="D1900" s="1659">
        <v>1.02</v>
      </c>
      <c r="E1900" s="1658">
        <v>4850</v>
      </c>
      <c r="F1900" s="1658">
        <v>4940</v>
      </c>
      <c r="G1900" s="1658">
        <v>4830</v>
      </c>
      <c r="H1900" s="1658">
        <v>44657</v>
      </c>
      <c r="I1900" s="1658">
        <v>217946795</v>
      </c>
      <c r="J1900" s="1658">
        <v>280603344945</v>
      </c>
      <c r="K1900" s="1658">
        <v>56859847</v>
      </c>
    </row>
    <row r="1901" spans="1:11" x14ac:dyDescent="0.3">
      <c r="A1901" s="1657">
        <v>44462</v>
      </c>
      <c r="B1901" s="1658">
        <v>4810</v>
      </c>
      <c r="C1901" s="1658">
        <v>-125</v>
      </c>
      <c r="D1901" s="1659">
        <v>-2.5299999999999998</v>
      </c>
      <c r="E1901" s="1658">
        <v>4865</v>
      </c>
      <c r="F1901" s="1658">
        <v>4890</v>
      </c>
      <c r="G1901" s="1658">
        <v>4805</v>
      </c>
      <c r="H1901" s="1658">
        <v>75407</v>
      </c>
      <c r="I1901" s="1658">
        <v>363841085</v>
      </c>
      <c r="J1901" s="1658">
        <v>273495864070</v>
      </c>
      <c r="K1901" s="1658">
        <v>56859847</v>
      </c>
    </row>
    <row r="1902" spans="1:11" x14ac:dyDescent="0.3">
      <c r="A1902" s="1657">
        <v>44463</v>
      </c>
      <c r="B1902" s="1658">
        <v>4775</v>
      </c>
      <c r="C1902" s="1658">
        <v>-35</v>
      </c>
      <c r="D1902" s="1659">
        <v>-0.73</v>
      </c>
      <c r="E1902" s="1658">
        <v>4780</v>
      </c>
      <c r="F1902" s="1658">
        <v>4875</v>
      </c>
      <c r="G1902" s="1658">
        <v>4745</v>
      </c>
      <c r="H1902" s="1658">
        <v>76086</v>
      </c>
      <c r="I1902" s="1658">
        <v>364107780</v>
      </c>
      <c r="J1902" s="1658">
        <v>271505769425</v>
      </c>
      <c r="K1902" s="1658">
        <v>56859847</v>
      </c>
    </row>
    <row r="1903" spans="1:11" x14ac:dyDescent="0.3">
      <c r="A1903" s="1657">
        <v>44466</v>
      </c>
      <c r="B1903" s="1658">
        <v>4740</v>
      </c>
      <c r="C1903" s="1658">
        <v>-35</v>
      </c>
      <c r="D1903" s="1659">
        <v>-0.73</v>
      </c>
      <c r="E1903" s="1658">
        <v>4800</v>
      </c>
      <c r="F1903" s="1658">
        <v>4830</v>
      </c>
      <c r="G1903" s="1658">
        <v>4700</v>
      </c>
      <c r="H1903" s="1658">
        <v>25936</v>
      </c>
      <c r="I1903" s="1658">
        <v>123697690</v>
      </c>
      <c r="J1903" s="1658">
        <v>269515674780</v>
      </c>
      <c r="K1903" s="1658">
        <v>56859847</v>
      </c>
    </row>
    <row r="1904" spans="1:11" x14ac:dyDescent="0.3">
      <c r="A1904" s="1657">
        <v>44467</v>
      </c>
      <c r="B1904" s="1658">
        <v>4610</v>
      </c>
      <c r="C1904" s="1658">
        <v>-130</v>
      </c>
      <c r="D1904" s="1659">
        <v>-2.74</v>
      </c>
      <c r="E1904" s="1658">
        <v>4740</v>
      </c>
      <c r="F1904" s="1658">
        <v>4820</v>
      </c>
      <c r="G1904" s="1658">
        <v>4605</v>
      </c>
      <c r="H1904" s="1658">
        <v>88751</v>
      </c>
      <c r="I1904" s="1658">
        <v>411758840</v>
      </c>
      <c r="J1904" s="1658">
        <v>262123894670</v>
      </c>
      <c r="K1904" s="1658">
        <v>56859847</v>
      </c>
    </row>
    <row r="1905" spans="1:11" x14ac:dyDescent="0.3">
      <c r="A1905" s="1657">
        <v>44468</v>
      </c>
      <c r="B1905" s="1658">
        <v>4610</v>
      </c>
      <c r="C1905" s="1658">
        <v>0</v>
      </c>
      <c r="D1905" s="1659">
        <v>0</v>
      </c>
      <c r="E1905" s="1658">
        <v>4550</v>
      </c>
      <c r="F1905" s="1658">
        <v>4610</v>
      </c>
      <c r="G1905" s="1658">
        <v>4420</v>
      </c>
      <c r="H1905" s="1658">
        <v>87844</v>
      </c>
      <c r="I1905" s="1658">
        <v>397372210</v>
      </c>
      <c r="J1905" s="1658">
        <v>262123894670</v>
      </c>
      <c r="K1905" s="1658">
        <v>56859847</v>
      </c>
    </row>
    <row r="1906" spans="1:11" x14ac:dyDescent="0.3">
      <c r="A1906" s="1657">
        <v>44469</v>
      </c>
      <c r="B1906" s="1658">
        <v>4700</v>
      </c>
      <c r="C1906" s="1658">
        <v>90</v>
      </c>
      <c r="D1906" s="1659">
        <v>1.95</v>
      </c>
      <c r="E1906" s="1658">
        <v>4610</v>
      </c>
      <c r="F1906" s="1658">
        <v>4700</v>
      </c>
      <c r="G1906" s="1658">
        <v>4520</v>
      </c>
      <c r="H1906" s="1658">
        <v>28142</v>
      </c>
      <c r="I1906" s="1658">
        <v>130842185</v>
      </c>
      <c r="J1906" s="1658">
        <v>267241280900</v>
      </c>
      <c r="K1906" s="1658">
        <v>56859847</v>
      </c>
    </row>
    <row r="1907" spans="1:11" x14ac:dyDescent="0.3">
      <c r="A1907" s="1657">
        <v>44470</v>
      </c>
      <c r="B1907" s="1658">
        <v>4605</v>
      </c>
      <c r="C1907" s="1658">
        <v>-95</v>
      </c>
      <c r="D1907" s="1659">
        <v>-2.02</v>
      </c>
      <c r="E1907" s="1658">
        <v>4695</v>
      </c>
      <c r="F1907" s="1658">
        <v>4770</v>
      </c>
      <c r="G1907" s="1658">
        <v>4555</v>
      </c>
      <c r="H1907" s="1658">
        <v>52403</v>
      </c>
      <c r="I1907" s="1658">
        <v>242154255</v>
      </c>
      <c r="J1907" s="1658">
        <v>261839595435</v>
      </c>
      <c r="K1907" s="1658">
        <v>56859847</v>
      </c>
    </row>
    <row r="1908" spans="1:11" x14ac:dyDescent="0.3">
      <c r="A1908" s="1657">
        <v>44474</v>
      </c>
      <c r="B1908" s="1658">
        <v>4450</v>
      </c>
      <c r="C1908" s="1658">
        <v>-155</v>
      </c>
      <c r="D1908" s="1659">
        <v>-3.37</v>
      </c>
      <c r="E1908" s="1658">
        <v>4520</v>
      </c>
      <c r="F1908" s="1658">
        <v>4600</v>
      </c>
      <c r="G1908" s="1658">
        <v>4360</v>
      </c>
      <c r="H1908" s="1658">
        <v>79396</v>
      </c>
      <c r="I1908" s="1658">
        <v>351012650</v>
      </c>
      <c r="J1908" s="1658">
        <v>253026319150</v>
      </c>
      <c r="K1908" s="1658">
        <v>56859847</v>
      </c>
    </row>
    <row r="1909" spans="1:11" x14ac:dyDescent="0.3">
      <c r="A1909" s="1657">
        <v>44475</v>
      </c>
      <c r="B1909" s="1658">
        <v>4380</v>
      </c>
      <c r="C1909" s="1658">
        <v>-70</v>
      </c>
      <c r="D1909" s="1659">
        <v>-1.57</v>
      </c>
      <c r="E1909" s="1658">
        <v>4450</v>
      </c>
      <c r="F1909" s="1658">
        <v>4525</v>
      </c>
      <c r="G1909" s="1658">
        <v>4330</v>
      </c>
      <c r="H1909" s="1658">
        <v>64182</v>
      </c>
      <c r="I1909" s="1658">
        <v>282470530</v>
      </c>
      <c r="J1909" s="1658">
        <v>249046129860</v>
      </c>
      <c r="K1909" s="1658">
        <v>56859847</v>
      </c>
    </row>
    <row r="1910" spans="1:11" x14ac:dyDescent="0.3">
      <c r="A1910" s="1657">
        <v>44476</v>
      </c>
      <c r="B1910" s="1658">
        <v>4475</v>
      </c>
      <c r="C1910" s="1658">
        <v>95</v>
      </c>
      <c r="D1910" s="1659">
        <v>2.17</v>
      </c>
      <c r="E1910" s="1658">
        <v>4355</v>
      </c>
      <c r="F1910" s="1658">
        <v>4490</v>
      </c>
      <c r="G1910" s="1658">
        <v>4355</v>
      </c>
      <c r="H1910" s="1658">
        <v>40612</v>
      </c>
      <c r="I1910" s="1658">
        <v>180002345</v>
      </c>
      <c r="J1910" s="1658">
        <v>254447815325</v>
      </c>
      <c r="K1910" s="1658">
        <v>56859847</v>
      </c>
    </row>
    <row r="1911" spans="1:11" x14ac:dyDescent="0.3">
      <c r="A1911" s="1657">
        <v>44477</v>
      </c>
      <c r="B1911" s="1658">
        <v>4445</v>
      </c>
      <c r="C1911" s="1658">
        <v>-30</v>
      </c>
      <c r="D1911" s="1659">
        <v>-0.67</v>
      </c>
      <c r="E1911" s="1658">
        <v>4500</v>
      </c>
      <c r="F1911" s="1658">
        <v>4500</v>
      </c>
      <c r="G1911" s="1658">
        <v>4400</v>
      </c>
      <c r="H1911" s="1658">
        <v>45405</v>
      </c>
      <c r="I1911" s="1658">
        <v>201093970</v>
      </c>
      <c r="J1911" s="1658">
        <v>252742019915</v>
      </c>
      <c r="K1911" s="1658">
        <v>56859847</v>
      </c>
    </row>
    <row r="1912" spans="1:11" x14ac:dyDescent="0.3">
      <c r="A1912" s="1657">
        <v>44481</v>
      </c>
      <c r="B1912" s="1658">
        <v>4450</v>
      </c>
      <c r="C1912" s="1658">
        <v>5</v>
      </c>
      <c r="D1912" s="1659">
        <v>0.11</v>
      </c>
      <c r="E1912" s="1658">
        <v>4440</v>
      </c>
      <c r="F1912" s="1658">
        <v>4510</v>
      </c>
      <c r="G1912" s="1658">
        <v>4370</v>
      </c>
      <c r="H1912" s="1658">
        <v>75527</v>
      </c>
      <c r="I1912" s="1658">
        <v>334939220</v>
      </c>
      <c r="J1912" s="1658">
        <v>253026319150</v>
      </c>
      <c r="K1912" s="1658">
        <v>56859847</v>
      </c>
    </row>
    <row r="1913" spans="1:11" x14ac:dyDescent="0.3">
      <c r="A1913" s="1657">
        <v>44482</v>
      </c>
      <c r="B1913" s="1658">
        <v>4550</v>
      </c>
      <c r="C1913" s="1658">
        <v>100</v>
      </c>
      <c r="D1913" s="1659">
        <v>2.25</v>
      </c>
      <c r="E1913" s="1658">
        <v>4450</v>
      </c>
      <c r="F1913" s="1658">
        <v>4555</v>
      </c>
      <c r="G1913" s="1658">
        <v>4410</v>
      </c>
      <c r="H1913" s="1658">
        <v>50413</v>
      </c>
      <c r="I1913" s="1658">
        <v>226813560</v>
      </c>
      <c r="J1913" s="1658">
        <v>258712303850</v>
      </c>
      <c r="K1913" s="1658">
        <v>56859847</v>
      </c>
    </row>
    <row r="1914" spans="1:11" x14ac:dyDescent="0.3">
      <c r="A1914" s="1657">
        <v>44483</v>
      </c>
      <c r="B1914" s="1658">
        <v>4795</v>
      </c>
      <c r="C1914" s="1658">
        <v>245</v>
      </c>
      <c r="D1914" s="1659">
        <v>5.38</v>
      </c>
      <c r="E1914" s="1658">
        <v>4600</v>
      </c>
      <c r="F1914" s="1658">
        <v>4795</v>
      </c>
      <c r="G1914" s="1658">
        <v>4540</v>
      </c>
      <c r="H1914" s="1658">
        <v>59966</v>
      </c>
      <c r="I1914" s="1658">
        <v>281017125</v>
      </c>
      <c r="J1914" s="1658">
        <v>272642966365</v>
      </c>
      <c r="K1914" s="1658">
        <v>56859847</v>
      </c>
    </row>
    <row r="1915" spans="1:11" x14ac:dyDescent="0.3">
      <c r="A1915" s="1657">
        <v>44484</v>
      </c>
      <c r="B1915" s="1658">
        <v>4800</v>
      </c>
      <c r="C1915" s="1658">
        <v>5</v>
      </c>
      <c r="D1915" s="1659">
        <v>0.1</v>
      </c>
      <c r="E1915" s="1658">
        <v>4820</v>
      </c>
      <c r="F1915" s="1658">
        <v>4880</v>
      </c>
      <c r="G1915" s="1658">
        <v>4705</v>
      </c>
      <c r="H1915" s="1658">
        <v>39823</v>
      </c>
      <c r="I1915" s="1658">
        <v>190196155</v>
      </c>
      <c r="J1915" s="1658">
        <v>272927265600</v>
      </c>
      <c r="K1915" s="1658">
        <v>56859847</v>
      </c>
    </row>
    <row r="1916" spans="1:11" x14ac:dyDescent="0.3">
      <c r="A1916" s="1657">
        <v>44487</v>
      </c>
      <c r="B1916" s="1658">
        <v>4890</v>
      </c>
      <c r="C1916" s="1658">
        <v>90</v>
      </c>
      <c r="D1916" s="1659">
        <v>1.88</v>
      </c>
      <c r="E1916" s="1658">
        <v>4800</v>
      </c>
      <c r="F1916" s="1658">
        <v>4950</v>
      </c>
      <c r="G1916" s="1658">
        <v>4670</v>
      </c>
      <c r="H1916" s="1658">
        <v>111983</v>
      </c>
      <c r="I1916" s="1658">
        <v>544617470</v>
      </c>
      <c r="J1916" s="1658">
        <v>278044651830</v>
      </c>
      <c r="K1916" s="1658">
        <v>56859847</v>
      </c>
    </row>
    <row r="1917" spans="1:11" x14ac:dyDescent="0.3">
      <c r="A1917" s="1657">
        <v>44488</v>
      </c>
      <c r="B1917" s="1658">
        <v>4860</v>
      </c>
      <c r="C1917" s="1658">
        <v>-30</v>
      </c>
      <c r="D1917" s="1659">
        <v>-0.61</v>
      </c>
      <c r="E1917" s="1658">
        <v>4950</v>
      </c>
      <c r="F1917" s="1658">
        <v>4950</v>
      </c>
      <c r="G1917" s="1658">
        <v>4815</v>
      </c>
      <c r="H1917" s="1658">
        <v>45898</v>
      </c>
      <c r="I1917" s="1658">
        <v>223110895</v>
      </c>
      <c r="J1917" s="1658">
        <v>276338856420</v>
      </c>
      <c r="K1917" s="1658">
        <v>56859847</v>
      </c>
    </row>
    <row r="1918" spans="1:11" x14ac:dyDescent="0.3">
      <c r="A1918" s="1657">
        <v>44489</v>
      </c>
      <c r="B1918" s="1658">
        <v>5350</v>
      </c>
      <c r="C1918" s="1658">
        <v>490</v>
      </c>
      <c r="D1918" s="1659">
        <v>10.08</v>
      </c>
      <c r="E1918" s="1658">
        <v>4860</v>
      </c>
      <c r="F1918" s="1658">
        <v>5400</v>
      </c>
      <c r="G1918" s="1658">
        <v>4680</v>
      </c>
      <c r="H1918" s="1658">
        <v>1079331</v>
      </c>
      <c r="I1918" s="1658">
        <v>5635390940</v>
      </c>
      <c r="J1918" s="1658">
        <v>304200181450</v>
      </c>
      <c r="K1918" s="1658">
        <v>56859847</v>
      </c>
    </row>
    <row r="1919" spans="1:11" x14ac:dyDescent="0.3">
      <c r="A1919" s="1657">
        <v>44490</v>
      </c>
      <c r="B1919" s="1658">
        <v>5020</v>
      </c>
      <c r="C1919" s="1658">
        <v>-330</v>
      </c>
      <c r="D1919" s="1659">
        <v>-6.17</v>
      </c>
      <c r="E1919" s="1658">
        <v>5070</v>
      </c>
      <c r="F1919" s="1658">
        <v>5110</v>
      </c>
      <c r="G1919" s="1658">
        <v>4970</v>
      </c>
      <c r="H1919" s="1658">
        <v>357176</v>
      </c>
      <c r="I1919" s="1658">
        <v>1795101310</v>
      </c>
      <c r="J1919" s="1658">
        <v>285436431940</v>
      </c>
      <c r="K1919" s="1658">
        <v>56859847</v>
      </c>
    </row>
    <row r="1920" spans="1:11" x14ac:dyDescent="0.3">
      <c r="A1920" s="1657">
        <v>44491</v>
      </c>
      <c r="B1920" s="1658">
        <v>4850</v>
      </c>
      <c r="C1920" s="1658">
        <v>-170</v>
      </c>
      <c r="D1920" s="1659">
        <v>-3.39</v>
      </c>
      <c r="E1920" s="1658">
        <v>4970</v>
      </c>
      <c r="F1920" s="1658">
        <v>5020</v>
      </c>
      <c r="G1920" s="1658">
        <v>4800</v>
      </c>
      <c r="H1920" s="1658">
        <v>126545</v>
      </c>
      <c r="I1920" s="1658">
        <v>617300580</v>
      </c>
      <c r="J1920" s="1658">
        <v>275770257950</v>
      </c>
      <c r="K1920" s="1658">
        <v>56859847</v>
      </c>
    </row>
    <row r="1921" spans="1:11" x14ac:dyDescent="0.3">
      <c r="A1921" s="1657">
        <v>44494</v>
      </c>
      <c r="B1921" s="1658">
        <v>4925</v>
      </c>
      <c r="C1921" s="1658">
        <v>75</v>
      </c>
      <c r="D1921" s="1659">
        <v>1.55</v>
      </c>
      <c r="E1921" s="1658">
        <v>4810</v>
      </c>
      <c r="F1921" s="1658">
        <v>4955</v>
      </c>
      <c r="G1921" s="1658">
        <v>4810</v>
      </c>
      <c r="H1921" s="1658">
        <v>93398</v>
      </c>
      <c r="I1921" s="1658">
        <v>456504280</v>
      </c>
      <c r="J1921" s="1658">
        <v>280034746475</v>
      </c>
      <c r="K1921" s="1658">
        <v>56859847</v>
      </c>
    </row>
    <row r="1922" spans="1:11" x14ac:dyDescent="0.3">
      <c r="A1922" s="1657">
        <v>44495</v>
      </c>
      <c r="B1922" s="1658">
        <v>4895</v>
      </c>
      <c r="C1922" s="1658">
        <v>-30</v>
      </c>
      <c r="D1922" s="1659">
        <v>-0.61</v>
      </c>
      <c r="E1922" s="1658">
        <v>4900</v>
      </c>
      <c r="F1922" s="1658">
        <v>4975</v>
      </c>
      <c r="G1922" s="1658">
        <v>4860</v>
      </c>
      <c r="H1922" s="1658">
        <v>52645</v>
      </c>
      <c r="I1922" s="1658">
        <v>258391995</v>
      </c>
      <c r="J1922" s="1658">
        <v>278328951065</v>
      </c>
      <c r="K1922" s="1658">
        <v>56859847</v>
      </c>
    </row>
    <row r="1923" spans="1:11" x14ac:dyDescent="0.3">
      <c r="A1923" s="1657">
        <v>44496</v>
      </c>
      <c r="B1923" s="1658">
        <v>4915</v>
      </c>
      <c r="C1923" s="1658">
        <v>20</v>
      </c>
      <c r="D1923" s="1659">
        <v>0.41</v>
      </c>
      <c r="E1923" s="1658">
        <v>4870</v>
      </c>
      <c r="F1923" s="1658">
        <v>4945</v>
      </c>
      <c r="G1923" s="1658">
        <v>4855</v>
      </c>
      <c r="H1923" s="1658">
        <v>30696</v>
      </c>
      <c r="I1923" s="1658">
        <v>150066365</v>
      </c>
      <c r="J1923" s="1658">
        <v>279466148005</v>
      </c>
      <c r="K1923" s="1658">
        <v>56859847</v>
      </c>
    </row>
    <row r="1924" spans="1:11" x14ac:dyDescent="0.3">
      <c r="A1924" s="1657">
        <v>44497</v>
      </c>
      <c r="B1924" s="1658">
        <v>4775</v>
      </c>
      <c r="C1924" s="1658">
        <v>-140</v>
      </c>
      <c r="D1924" s="1659">
        <v>-2.85</v>
      </c>
      <c r="E1924" s="1658">
        <v>4880</v>
      </c>
      <c r="F1924" s="1658">
        <v>4945</v>
      </c>
      <c r="G1924" s="1658">
        <v>4700</v>
      </c>
      <c r="H1924" s="1658">
        <v>83976</v>
      </c>
      <c r="I1924" s="1658">
        <v>403238420</v>
      </c>
      <c r="J1924" s="1658">
        <v>271505769425</v>
      </c>
      <c r="K1924" s="1658">
        <v>56859847</v>
      </c>
    </row>
    <row r="1925" spans="1:11" x14ac:dyDescent="0.3">
      <c r="A1925" s="1657">
        <v>44498</v>
      </c>
      <c r="B1925" s="1658">
        <v>4690</v>
      </c>
      <c r="C1925" s="1658">
        <v>-85</v>
      </c>
      <c r="D1925" s="1659">
        <v>-1.78</v>
      </c>
      <c r="E1925" s="1658">
        <v>4745</v>
      </c>
      <c r="F1925" s="1658">
        <v>4800</v>
      </c>
      <c r="G1925" s="1658">
        <v>4685</v>
      </c>
      <c r="H1925" s="1658">
        <v>56011</v>
      </c>
      <c r="I1925" s="1658">
        <v>264859275</v>
      </c>
      <c r="J1925" s="1658">
        <v>266672682430</v>
      </c>
      <c r="K1925" s="1658">
        <v>56859847</v>
      </c>
    </row>
    <row r="1926" spans="1:11" x14ac:dyDescent="0.3">
      <c r="A1926" s="1657">
        <v>44501</v>
      </c>
      <c r="B1926" s="1658">
        <v>4860</v>
      </c>
      <c r="C1926" s="1658">
        <v>170</v>
      </c>
      <c r="D1926" s="1659">
        <v>3.62</v>
      </c>
      <c r="E1926" s="1658">
        <v>4655</v>
      </c>
      <c r="F1926" s="1658">
        <v>4955</v>
      </c>
      <c r="G1926" s="1658">
        <v>4655</v>
      </c>
      <c r="H1926" s="1658">
        <v>132135</v>
      </c>
      <c r="I1926" s="1658">
        <v>637935655</v>
      </c>
      <c r="J1926" s="1658">
        <v>276338856420</v>
      </c>
      <c r="K1926" s="1658">
        <v>56859847</v>
      </c>
    </row>
    <row r="1927" spans="1:11" x14ac:dyDescent="0.3">
      <c r="A1927" s="1657">
        <v>44502</v>
      </c>
      <c r="B1927" s="1658">
        <v>4890</v>
      </c>
      <c r="C1927" s="1658">
        <v>30</v>
      </c>
      <c r="D1927" s="1659">
        <v>0.62</v>
      </c>
      <c r="E1927" s="1658">
        <v>4840</v>
      </c>
      <c r="F1927" s="1658">
        <v>4970</v>
      </c>
      <c r="G1927" s="1658">
        <v>4840</v>
      </c>
      <c r="H1927" s="1658">
        <v>32745</v>
      </c>
      <c r="I1927" s="1658">
        <v>160497780</v>
      </c>
      <c r="J1927" s="1658">
        <v>278044651830</v>
      </c>
      <c r="K1927" s="1658">
        <v>56859847</v>
      </c>
    </row>
    <row r="1928" spans="1:11" x14ac:dyDescent="0.3">
      <c r="A1928" s="1657">
        <v>44503</v>
      </c>
      <c r="B1928" s="1658">
        <v>4960</v>
      </c>
      <c r="C1928" s="1658">
        <v>70</v>
      </c>
      <c r="D1928" s="1659">
        <v>1.43</v>
      </c>
      <c r="E1928" s="1658">
        <v>4890</v>
      </c>
      <c r="F1928" s="1658">
        <v>4990</v>
      </c>
      <c r="G1928" s="1658">
        <v>4850</v>
      </c>
      <c r="H1928" s="1658">
        <v>68571</v>
      </c>
      <c r="I1928" s="1658">
        <v>338922855</v>
      </c>
      <c r="J1928" s="1658">
        <v>282024841120</v>
      </c>
      <c r="K1928" s="1658">
        <v>56859847</v>
      </c>
    </row>
    <row r="1929" spans="1:11" x14ac:dyDescent="0.3">
      <c r="A1929" s="1657">
        <v>44504</v>
      </c>
      <c r="B1929" s="1658">
        <v>4880</v>
      </c>
      <c r="C1929" s="1658">
        <v>-80</v>
      </c>
      <c r="D1929" s="1659">
        <v>-1.61</v>
      </c>
      <c r="E1929" s="1658">
        <v>4985</v>
      </c>
      <c r="F1929" s="1658">
        <v>4985</v>
      </c>
      <c r="G1929" s="1658">
        <v>4825</v>
      </c>
      <c r="H1929" s="1658">
        <v>46953</v>
      </c>
      <c r="I1929" s="1658">
        <v>228893600</v>
      </c>
      <c r="J1929" s="1658">
        <v>277476053360</v>
      </c>
      <c r="K1929" s="1658">
        <v>56859847</v>
      </c>
    </row>
    <row r="1930" spans="1:11" x14ac:dyDescent="0.3">
      <c r="A1930" s="1657">
        <v>44505</v>
      </c>
      <c r="B1930" s="1658">
        <v>4820</v>
      </c>
      <c r="C1930" s="1658">
        <v>-60</v>
      </c>
      <c r="D1930" s="1659">
        <v>-1.23</v>
      </c>
      <c r="E1930" s="1658">
        <v>4880</v>
      </c>
      <c r="F1930" s="1658">
        <v>4880</v>
      </c>
      <c r="G1930" s="1658">
        <v>4720</v>
      </c>
      <c r="H1930" s="1658">
        <v>49291</v>
      </c>
      <c r="I1930" s="1658">
        <v>235968010</v>
      </c>
      <c r="J1930" s="1658">
        <v>274064462540</v>
      </c>
      <c r="K1930" s="1658">
        <v>56859847</v>
      </c>
    </row>
    <row r="1931" spans="1:11" x14ac:dyDescent="0.3">
      <c r="A1931" s="1657">
        <v>44508</v>
      </c>
      <c r="B1931" s="1658">
        <v>4780</v>
      </c>
      <c r="C1931" s="1658">
        <v>-40</v>
      </c>
      <c r="D1931" s="1659">
        <v>-0.83</v>
      </c>
      <c r="E1931" s="1658">
        <v>4750</v>
      </c>
      <c r="F1931" s="1658">
        <v>4840</v>
      </c>
      <c r="G1931" s="1658">
        <v>4695</v>
      </c>
      <c r="H1931" s="1658">
        <v>49944</v>
      </c>
      <c r="I1931" s="1658">
        <v>236075545</v>
      </c>
      <c r="J1931" s="1658">
        <v>271790068660</v>
      </c>
      <c r="K1931" s="1658">
        <v>56859847</v>
      </c>
    </row>
    <row r="1932" spans="1:11" x14ac:dyDescent="0.3">
      <c r="A1932" s="1657">
        <v>44509</v>
      </c>
      <c r="B1932" s="1658">
        <v>4960</v>
      </c>
      <c r="C1932" s="1658">
        <v>180</v>
      </c>
      <c r="D1932" s="1659">
        <v>3.77</v>
      </c>
      <c r="E1932" s="1658">
        <v>4775</v>
      </c>
      <c r="F1932" s="1658">
        <v>5070</v>
      </c>
      <c r="G1932" s="1658">
        <v>4730</v>
      </c>
      <c r="H1932" s="1658">
        <v>155294</v>
      </c>
      <c r="I1932" s="1658">
        <v>761127920</v>
      </c>
      <c r="J1932" s="1658">
        <v>282024841120</v>
      </c>
      <c r="K1932" s="1658">
        <v>56859847</v>
      </c>
    </row>
    <row r="1933" spans="1:11" x14ac:dyDescent="0.3">
      <c r="A1933" s="1657">
        <v>44510</v>
      </c>
      <c r="B1933" s="1658">
        <v>4800</v>
      </c>
      <c r="C1933" s="1658">
        <v>-160</v>
      </c>
      <c r="D1933" s="1659">
        <v>-3.23</v>
      </c>
      <c r="E1933" s="1658">
        <v>4985</v>
      </c>
      <c r="F1933" s="1658">
        <v>4990</v>
      </c>
      <c r="G1933" s="1658">
        <v>4800</v>
      </c>
      <c r="H1933" s="1658">
        <v>63686</v>
      </c>
      <c r="I1933" s="1658">
        <v>309418540</v>
      </c>
      <c r="J1933" s="1658">
        <v>272927265600</v>
      </c>
      <c r="K1933" s="1658">
        <v>56859847</v>
      </c>
    </row>
    <row r="1934" spans="1:11" x14ac:dyDescent="0.3">
      <c r="A1934" s="1657">
        <v>44511</v>
      </c>
      <c r="B1934" s="1658">
        <v>4800</v>
      </c>
      <c r="C1934" s="1658">
        <v>0</v>
      </c>
      <c r="D1934" s="1659">
        <v>0</v>
      </c>
      <c r="E1934" s="1658">
        <v>4720</v>
      </c>
      <c r="F1934" s="1658">
        <v>4850</v>
      </c>
      <c r="G1934" s="1658">
        <v>4720</v>
      </c>
      <c r="H1934" s="1658">
        <v>32548</v>
      </c>
      <c r="I1934" s="1658">
        <v>156385165</v>
      </c>
      <c r="J1934" s="1658">
        <v>272927265600</v>
      </c>
      <c r="K1934" s="1658">
        <v>56859847</v>
      </c>
    </row>
    <row r="1935" spans="1:11" x14ac:dyDescent="0.3">
      <c r="A1935" s="1657">
        <v>44512</v>
      </c>
      <c r="B1935" s="1658">
        <v>4800</v>
      </c>
      <c r="C1935" s="1658">
        <v>0</v>
      </c>
      <c r="D1935" s="1659">
        <v>0</v>
      </c>
      <c r="E1935" s="1658">
        <v>4800</v>
      </c>
      <c r="F1935" s="1658">
        <v>4890</v>
      </c>
      <c r="G1935" s="1658">
        <v>4750</v>
      </c>
      <c r="H1935" s="1658">
        <v>48182</v>
      </c>
      <c r="I1935" s="1658">
        <v>230099430</v>
      </c>
      <c r="J1935" s="1658">
        <v>272927265600</v>
      </c>
      <c r="K1935" s="1658">
        <v>56859847</v>
      </c>
    </row>
    <row r="1936" spans="1:11" x14ac:dyDescent="0.3">
      <c r="A1936" s="1657">
        <v>44515</v>
      </c>
      <c r="B1936" s="1658">
        <v>4960</v>
      </c>
      <c r="C1936" s="1658">
        <v>160</v>
      </c>
      <c r="D1936" s="1659">
        <v>3.33</v>
      </c>
      <c r="E1936" s="1658">
        <v>4800</v>
      </c>
      <c r="F1936" s="1658">
        <v>4990</v>
      </c>
      <c r="G1936" s="1658">
        <v>4710</v>
      </c>
      <c r="H1936" s="1658">
        <v>92787</v>
      </c>
      <c r="I1936" s="1658">
        <v>444121240</v>
      </c>
      <c r="J1936" s="1658">
        <v>282024841120</v>
      </c>
      <c r="K1936" s="1658">
        <v>56859847</v>
      </c>
    </row>
    <row r="1937" spans="1:11" x14ac:dyDescent="0.3">
      <c r="A1937" s="1657">
        <v>44516</v>
      </c>
      <c r="B1937" s="1658">
        <v>4840</v>
      </c>
      <c r="C1937" s="1658">
        <v>-120</v>
      </c>
      <c r="D1937" s="1659">
        <v>-2.42</v>
      </c>
      <c r="E1937" s="1658">
        <v>4960</v>
      </c>
      <c r="F1937" s="1658">
        <v>4960</v>
      </c>
      <c r="G1937" s="1658">
        <v>4800</v>
      </c>
      <c r="H1937" s="1658">
        <v>120512</v>
      </c>
      <c r="I1937" s="1658">
        <v>582281135</v>
      </c>
      <c r="J1937" s="1658">
        <v>275201659480</v>
      </c>
      <c r="K1937" s="1658">
        <v>56859847</v>
      </c>
    </row>
    <row r="1938" spans="1:11" x14ac:dyDescent="0.3">
      <c r="A1938" s="1657">
        <v>44517</v>
      </c>
      <c r="B1938" s="1658">
        <v>5030</v>
      </c>
      <c r="C1938" s="1658">
        <v>190</v>
      </c>
      <c r="D1938" s="1659">
        <v>3.93</v>
      </c>
      <c r="E1938" s="1658">
        <v>4865</v>
      </c>
      <c r="F1938" s="1658">
        <v>5120</v>
      </c>
      <c r="G1938" s="1658">
        <v>4785</v>
      </c>
      <c r="H1938" s="1658">
        <v>312257</v>
      </c>
      <c r="I1938" s="1658">
        <v>1558479765</v>
      </c>
      <c r="J1938" s="1658">
        <v>286005030410</v>
      </c>
      <c r="K1938" s="1658">
        <v>56859847</v>
      </c>
    </row>
    <row r="1939" spans="1:11" x14ac:dyDescent="0.3">
      <c r="A1939" s="1657">
        <v>44518</v>
      </c>
      <c r="B1939" s="1658">
        <v>5170</v>
      </c>
      <c r="C1939" s="1658">
        <v>140</v>
      </c>
      <c r="D1939" s="1659">
        <v>2.78</v>
      </c>
      <c r="E1939" s="1658">
        <v>5040</v>
      </c>
      <c r="F1939" s="1658">
        <v>5250</v>
      </c>
      <c r="G1939" s="1658">
        <v>4980</v>
      </c>
      <c r="H1939" s="1658">
        <v>263569</v>
      </c>
      <c r="I1939" s="1658">
        <v>1354124015</v>
      </c>
      <c r="J1939" s="1658">
        <v>293965408990</v>
      </c>
      <c r="K1939" s="1658">
        <v>56859847</v>
      </c>
    </row>
    <row r="1940" spans="1:11" x14ac:dyDescent="0.3">
      <c r="A1940" s="1657">
        <v>44519</v>
      </c>
      <c r="B1940" s="1658">
        <v>5180</v>
      </c>
      <c r="C1940" s="1658">
        <v>10</v>
      </c>
      <c r="D1940" s="1659">
        <v>0.19</v>
      </c>
      <c r="E1940" s="1658">
        <v>5130</v>
      </c>
      <c r="F1940" s="1658">
        <v>5220</v>
      </c>
      <c r="G1940" s="1658">
        <v>5030</v>
      </c>
      <c r="H1940" s="1658">
        <v>98476</v>
      </c>
      <c r="I1940" s="1658">
        <v>504983560</v>
      </c>
      <c r="J1940" s="1658">
        <v>294534007460</v>
      </c>
      <c r="K1940" s="1658">
        <v>56859847</v>
      </c>
    </row>
    <row r="1941" spans="1:11" x14ac:dyDescent="0.3">
      <c r="A1941" s="1657">
        <v>44522</v>
      </c>
      <c r="B1941" s="1658">
        <v>5250</v>
      </c>
      <c r="C1941" s="1658">
        <v>70</v>
      </c>
      <c r="D1941" s="1659">
        <v>1.35</v>
      </c>
      <c r="E1941" s="1658">
        <v>5200</v>
      </c>
      <c r="F1941" s="1658">
        <v>5370</v>
      </c>
      <c r="G1941" s="1658">
        <v>5140</v>
      </c>
      <c r="H1941" s="1658">
        <v>282371</v>
      </c>
      <c r="I1941" s="1658">
        <v>1486716100</v>
      </c>
      <c r="J1941" s="1658">
        <v>298514196750</v>
      </c>
      <c r="K1941" s="1658">
        <v>56859847</v>
      </c>
    </row>
    <row r="1942" spans="1:11" x14ac:dyDescent="0.3">
      <c r="A1942" s="1657">
        <v>44523</v>
      </c>
      <c r="B1942" s="1658">
        <v>5140</v>
      </c>
      <c r="C1942" s="1658">
        <v>-110</v>
      </c>
      <c r="D1942" s="1659">
        <v>-2.1</v>
      </c>
      <c r="E1942" s="1658">
        <v>5210</v>
      </c>
      <c r="F1942" s="1658">
        <v>5270</v>
      </c>
      <c r="G1942" s="1658">
        <v>5030</v>
      </c>
      <c r="H1942" s="1658">
        <v>72340</v>
      </c>
      <c r="I1942" s="1658">
        <v>371020170</v>
      </c>
      <c r="J1942" s="1658">
        <v>292259613580</v>
      </c>
      <c r="K1942" s="1658">
        <v>56859847</v>
      </c>
    </row>
    <row r="1943" spans="1:11" x14ac:dyDescent="0.3">
      <c r="A1943" s="1657">
        <v>44524</v>
      </c>
      <c r="B1943" s="1658">
        <v>5100</v>
      </c>
      <c r="C1943" s="1658">
        <v>-40</v>
      </c>
      <c r="D1943" s="1659">
        <v>-0.78</v>
      </c>
      <c r="E1943" s="1658">
        <v>5140</v>
      </c>
      <c r="F1943" s="1658">
        <v>5200</v>
      </c>
      <c r="G1943" s="1658">
        <v>5030</v>
      </c>
      <c r="H1943" s="1658">
        <v>67324</v>
      </c>
      <c r="I1943" s="1658">
        <v>342576380</v>
      </c>
      <c r="J1943" s="1658">
        <v>289985219700</v>
      </c>
      <c r="K1943" s="1658">
        <v>56859847</v>
      </c>
    </row>
    <row r="1944" spans="1:11" x14ac:dyDescent="0.3">
      <c r="A1944" s="1657">
        <v>44525</v>
      </c>
      <c r="B1944" s="1658">
        <v>5290</v>
      </c>
      <c r="C1944" s="1658">
        <v>190</v>
      </c>
      <c r="D1944" s="1659">
        <v>3.73</v>
      </c>
      <c r="E1944" s="1658">
        <v>5310</v>
      </c>
      <c r="F1944" s="1658">
        <v>5570</v>
      </c>
      <c r="G1944" s="1658">
        <v>5200</v>
      </c>
      <c r="H1944" s="1658">
        <v>643833</v>
      </c>
      <c r="I1944" s="1658">
        <v>3467761740</v>
      </c>
      <c r="J1944" s="1658">
        <v>300788590630</v>
      </c>
      <c r="K1944" s="1658">
        <v>56859847</v>
      </c>
    </row>
    <row r="1945" spans="1:11" x14ac:dyDescent="0.3">
      <c r="A1945" s="1657">
        <v>44526</v>
      </c>
      <c r="B1945" s="1658">
        <v>5250</v>
      </c>
      <c r="C1945" s="1658">
        <v>-40</v>
      </c>
      <c r="D1945" s="1659">
        <v>-0.76</v>
      </c>
      <c r="E1945" s="1658">
        <v>5290</v>
      </c>
      <c r="F1945" s="1658">
        <v>5390</v>
      </c>
      <c r="G1945" s="1658">
        <v>5060</v>
      </c>
      <c r="H1945" s="1658">
        <v>238477</v>
      </c>
      <c r="I1945" s="1658">
        <v>1255511830</v>
      </c>
      <c r="J1945" s="1658">
        <v>298514196750</v>
      </c>
      <c r="K1945" s="1658">
        <v>56859847</v>
      </c>
    </row>
    <row r="1946" spans="1:11" x14ac:dyDescent="0.3">
      <c r="A1946" s="1657">
        <v>44529</v>
      </c>
      <c r="B1946" s="1658">
        <v>5150</v>
      </c>
      <c r="C1946" s="1658">
        <v>-100</v>
      </c>
      <c r="D1946" s="1659">
        <v>-1.9</v>
      </c>
      <c r="E1946" s="1658">
        <v>5140</v>
      </c>
      <c r="F1946" s="1658">
        <v>5330</v>
      </c>
      <c r="G1946" s="1658">
        <v>5020</v>
      </c>
      <c r="H1946" s="1658">
        <v>179202</v>
      </c>
      <c r="I1946" s="1658">
        <v>924196700</v>
      </c>
      <c r="J1946" s="1658">
        <v>292828212050</v>
      </c>
      <c r="K1946" s="1658">
        <v>56859847</v>
      </c>
    </row>
    <row r="1947" spans="1:11" x14ac:dyDescent="0.3">
      <c r="A1947" s="1657">
        <v>44530</v>
      </c>
      <c r="B1947" s="1658">
        <v>5250</v>
      </c>
      <c r="C1947" s="1658">
        <v>100</v>
      </c>
      <c r="D1947" s="1659">
        <v>1.94</v>
      </c>
      <c r="E1947" s="1658">
        <v>5240</v>
      </c>
      <c r="F1947" s="1658">
        <v>5480</v>
      </c>
      <c r="G1947" s="1658">
        <v>4960</v>
      </c>
      <c r="H1947" s="1658">
        <v>717098</v>
      </c>
      <c r="I1947" s="1658">
        <v>3812064465</v>
      </c>
      <c r="J1947" s="1658">
        <v>298514196750</v>
      </c>
      <c r="K1947" s="1658">
        <v>56859847</v>
      </c>
    </row>
    <row r="1948" spans="1:11" x14ac:dyDescent="0.3">
      <c r="A1948" s="1657">
        <v>44531</v>
      </c>
      <c r="B1948" s="1658">
        <v>5850</v>
      </c>
      <c r="C1948" s="1658">
        <v>600</v>
      </c>
      <c r="D1948" s="1659">
        <v>11.43</v>
      </c>
      <c r="E1948" s="1658">
        <v>5320</v>
      </c>
      <c r="F1948" s="1658">
        <v>5850</v>
      </c>
      <c r="G1948" s="1658">
        <v>5150</v>
      </c>
      <c r="H1948" s="1658">
        <v>1273528</v>
      </c>
      <c r="I1948" s="1658">
        <v>7178538760</v>
      </c>
      <c r="J1948" s="1658">
        <v>332630104950</v>
      </c>
      <c r="K1948" s="1658">
        <v>56859847</v>
      </c>
    </row>
    <row r="1949" spans="1:11" x14ac:dyDescent="0.3">
      <c r="A1949" s="1657">
        <v>44532</v>
      </c>
      <c r="B1949" s="1658">
        <v>5920</v>
      </c>
      <c r="C1949" s="1658">
        <v>70</v>
      </c>
      <c r="D1949" s="1659">
        <v>1.2</v>
      </c>
      <c r="E1949" s="1658">
        <v>5790</v>
      </c>
      <c r="F1949" s="1658">
        <v>5980</v>
      </c>
      <c r="G1949" s="1658">
        <v>5660</v>
      </c>
      <c r="H1949" s="1658">
        <v>1145874</v>
      </c>
      <c r="I1949" s="1658">
        <v>6753836690</v>
      </c>
      <c r="J1949" s="1658">
        <v>336610294240</v>
      </c>
      <c r="K1949" s="1658">
        <v>56859847</v>
      </c>
    </row>
    <row r="1950" spans="1:11" x14ac:dyDescent="0.3">
      <c r="A1950" s="1657">
        <v>44533</v>
      </c>
      <c r="B1950" s="1658">
        <v>6290</v>
      </c>
      <c r="C1950" s="1658">
        <v>370</v>
      </c>
      <c r="D1950" s="1659">
        <v>6.25</v>
      </c>
      <c r="E1950" s="1658">
        <v>6240</v>
      </c>
      <c r="F1950" s="1658">
        <v>6440</v>
      </c>
      <c r="G1950" s="1658">
        <v>5950</v>
      </c>
      <c r="H1950" s="1658">
        <v>3039909</v>
      </c>
      <c r="I1950" s="1658">
        <v>18756662760</v>
      </c>
      <c r="J1950" s="1658">
        <v>357648437630</v>
      </c>
      <c r="K1950" s="1658">
        <v>56859847</v>
      </c>
    </row>
    <row r="1951" spans="1:11" x14ac:dyDescent="0.3">
      <c r="A1951" s="1657">
        <v>44536</v>
      </c>
      <c r="B1951" s="1658">
        <v>5690</v>
      </c>
      <c r="C1951" s="1658">
        <v>-600</v>
      </c>
      <c r="D1951" s="1659">
        <v>-9.5399999999999991</v>
      </c>
      <c r="E1951" s="1658">
        <v>6200</v>
      </c>
      <c r="F1951" s="1658">
        <v>6380</v>
      </c>
      <c r="G1951" s="1658">
        <v>5600</v>
      </c>
      <c r="H1951" s="1658">
        <v>1524265</v>
      </c>
      <c r="I1951" s="1658">
        <v>9220635120</v>
      </c>
      <c r="J1951" s="1658">
        <v>323532529430</v>
      </c>
      <c r="K1951" s="1658">
        <v>56859847</v>
      </c>
    </row>
    <row r="1952" spans="1:11" x14ac:dyDescent="0.3">
      <c r="A1952" s="1657">
        <v>44537</v>
      </c>
      <c r="B1952" s="1658">
        <v>5480</v>
      </c>
      <c r="C1952" s="1658">
        <v>-210</v>
      </c>
      <c r="D1952" s="1659">
        <v>-3.69</v>
      </c>
      <c r="E1952" s="1658">
        <v>5780</v>
      </c>
      <c r="F1952" s="1658">
        <v>5830</v>
      </c>
      <c r="G1952" s="1658">
        <v>5360</v>
      </c>
      <c r="H1952" s="1658">
        <v>948258</v>
      </c>
      <c r="I1952" s="1658">
        <v>5317822620</v>
      </c>
      <c r="J1952" s="1658">
        <v>311591961560</v>
      </c>
      <c r="K1952" s="1658">
        <v>56859847</v>
      </c>
    </row>
    <row r="1953" spans="1:11" x14ac:dyDescent="0.3">
      <c r="A1953" s="1657">
        <v>44538</v>
      </c>
      <c r="B1953" s="1658">
        <v>5580</v>
      </c>
      <c r="C1953" s="1658">
        <v>100</v>
      </c>
      <c r="D1953" s="1659">
        <v>1.82</v>
      </c>
      <c r="E1953" s="1658">
        <v>5560</v>
      </c>
      <c r="F1953" s="1658">
        <v>5710</v>
      </c>
      <c r="G1953" s="1658">
        <v>5430</v>
      </c>
      <c r="H1953" s="1658">
        <v>476565</v>
      </c>
      <c r="I1953" s="1658">
        <v>2658895550</v>
      </c>
      <c r="J1953" s="1658">
        <v>317277946260</v>
      </c>
      <c r="K1953" s="1658">
        <v>56859847</v>
      </c>
    </row>
    <row r="1954" spans="1:11" x14ac:dyDescent="0.3">
      <c r="A1954" s="1657">
        <v>44539</v>
      </c>
      <c r="B1954" s="1658">
        <v>5790</v>
      </c>
      <c r="C1954" s="1658">
        <v>210</v>
      </c>
      <c r="D1954" s="1659">
        <v>3.76</v>
      </c>
      <c r="E1954" s="1658">
        <v>5580</v>
      </c>
      <c r="F1954" s="1658">
        <v>5850</v>
      </c>
      <c r="G1954" s="1658">
        <v>5500</v>
      </c>
      <c r="H1954" s="1658">
        <v>402404</v>
      </c>
      <c r="I1954" s="1658">
        <v>2313980820</v>
      </c>
      <c r="J1954" s="1658">
        <v>329218514130</v>
      </c>
      <c r="K1954" s="1658">
        <v>56859847</v>
      </c>
    </row>
    <row r="1955" spans="1:11" x14ac:dyDescent="0.3">
      <c r="A1955" s="1657">
        <v>44540</v>
      </c>
      <c r="B1955" s="1658">
        <v>5890</v>
      </c>
      <c r="C1955" s="1658">
        <v>100</v>
      </c>
      <c r="D1955" s="1659">
        <v>1.73</v>
      </c>
      <c r="E1955" s="1658">
        <v>5730</v>
      </c>
      <c r="F1955" s="1658">
        <v>5970</v>
      </c>
      <c r="G1955" s="1658">
        <v>5700</v>
      </c>
      <c r="H1955" s="1658">
        <v>602700</v>
      </c>
      <c r="I1955" s="1658">
        <v>3534286120</v>
      </c>
      <c r="J1955" s="1658">
        <v>334904498830</v>
      </c>
      <c r="K1955" s="1658">
        <v>56859847</v>
      </c>
    </row>
    <row r="1956" spans="1:11" x14ac:dyDescent="0.3">
      <c r="A1956" s="1657">
        <v>44543</v>
      </c>
      <c r="B1956" s="1658">
        <v>5750</v>
      </c>
      <c r="C1956" s="1658">
        <v>-140</v>
      </c>
      <c r="D1956" s="1659">
        <v>-2.38</v>
      </c>
      <c r="E1956" s="1658">
        <v>5900</v>
      </c>
      <c r="F1956" s="1658">
        <v>6170</v>
      </c>
      <c r="G1956" s="1658">
        <v>5670</v>
      </c>
      <c r="H1956" s="1658">
        <v>704190</v>
      </c>
      <c r="I1956" s="1658">
        <v>4193328660</v>
      </c>
      <c r="J1956" s="1658">
        <v>326944120250</v>
      </c>
      <c r="K1956" s="1658">
        <v>56859847</v>
      </c>
    </row>
    <row r="1957" spans="1:11" x14ac:dyDescent="0.3">
      <c r="A1957" s="1657">
        <v>44544</v>
      </c>
      <c r="B1957" s="1658">
        <v>5650</v>
      </c>
      <c r="C1957" s="1658">
        <v>-100</v>
      </c>
      <c r="D1957" s="1659">
        <v>-1.74</v>
      </c>
      <c r="E1957" s="1658">
        <v>5750</v>
      </c>
      <c r="F1957" s="1658">
        <v>5890</v>
      </c>
      <c r="G1957" s="1658">
        <v>5610</v>
      </c>
      <c r="H1957" s="1658">
        <v>208031</v>
      </c>
      <c r="I1957" s="1658">
        <v>1184594760</v>
      </c>
      <c r="J1957" s="1658">
        <v>321258135550</v>
      </c>
      <c r="K1957" s="1658">
        <v>56859847</v>
      </c>
    </row>
    <row r="1958" spans="1:11" x14ac:dyDescent="0.3">
      <c r="A1958" s="1657">
        <v>44545</v>
      </c>
      <c r="B1958" s="1658">
        <v>5680</v>
      </c>
      <c r="C1958" s="1658">
        <v>30</v>
      </c>
      <c r="D1958" s="1659">
        <v>0.53</v>
      </c>
      <c r="E1958" s="1658">
        <v>5650</v>
      </c>
      <c r="F1958" s="1658">
        <v>5680</v>
      </c>
      <c r="G1958" s="1658">
        <v>5400</v>
      </c>
      <c r="H1958" s="1658">
        <v>300514</v>
      </c>
      <c r="I1958" s="1658">
        <v>1670445320</v>
      </c>
      <c r="J1958" s="1658">
        <v>322963930960</v>
      </c>
      <c r="K1958" s="1658">
        <v>56859847</v>
      </c>
    </row>
    <row r="1959" spans="1:11" x14ac:dyDescent="0.3">
      <c r="A1959" s="1657">
        <v>44546</v>
      </c>
      <c r="B1959" s="1658">
        <v>5550</v>
      </c>
      <c r="C1959" s="1658">
        <v>-130</v>
      </c>
      <c r="D1959" s="1659">
        <v>-2.29</v>
      </c>
      <c r="E1959" s="1658">
        <v>5800</v>
      </c>
      <c r="F1959" s="1658">
        <v>5800</v>
      </c>
      <c r="G1959" s="1658">
        <v>5520</v>
      </c>
      <c r="H1959" s="1658">
        <v>349547</v>
      </c>
      <c r="I1959" s="1658">
        <v>1963400600</v>
      </c>
      <c r="J1959" s="1658">
        <v>315572150850</v>
      </c>
      <c r="K1959" s="1658">
        <v>56859847</v>
      </c>
    </row>
    <row r="1960" spans="1:11" x14ac:dyDescent="0.3">
      <c r="A1960" s="1657">
        <v>44547</v>
      </c>
      <c r="B1960" s="1658">
        <v>5990</v>
      </c>
      <c r="C1960" s="1658">
        <v>440</v>
      </c>
      <c r="D1960" s="1659">
        <v>7.93</v>
      </c>
      <c r="E1960" s="1658">
        <v>5600</v>
      </c>
      <c r="F1960" s="1658">
        <v>6060</v>
      </c>
      <c r="G1960" s="1658">
        <v>5560</v>
      </c>
      <c r="H1960" s="1658">
        <v>2204302</v>
      </c>
      <c r="I1960" s="1658">
        <v>12944419380</v>
      </c>
      <c r="J1960" s="1658">
        <v>340590483530</v>
      </c>
      <c r="K1960" s="1658">
        <v>56859847</v>
      </c>
    </row>
    <row r="1961" spans="1:11" x14ac:dyDescent="0.3">
      <c r="A1961" s="1657">
        <v>44550</v>
      </c>
      <c r="B1961" s="1658">
        <v>5800</v>
      </c>
      <c r="C1961" s="1658">
        <v>-190</v>
      </c>
      <c r="D1961" s="1659">
        <v>-3.17</v>
      </c>
      <c r="E1961" s="1658">
        <v>6050</v>
      </c>
      <c r="F1961" s="1658">
        <v>6120</v>
      </c>
      <c r="G1961" s="1658">
        <v>5800</v>
      </c>
      <c r="H1961" s="1658">
        <v>941074</v>
      </c>
      <c r="I1961" s="1658">
        <v>5645639680</v>
      </c>
      <c r="J1961" s="1658">
        <v>329787112600</v>
      </c>
      <c r="K1961" s="1658">
        <v>56859847</v>
      </c>
    </row>
    <row r="1962" spans="1:11" x14ac:dyDescent="0.3">
      <c r="A1962" s="1657">
        <v>44551</v>
      </c>
      <c r="B1962" s="1658">
        <v>6100</v>
      </c>
      <c r="C1962" s="1658">
        <v>300</v>
      </c>
      <c r="D1962" s="1659">
        <v>5.17</v>
      </c>
      <c r="E1962" s="1658">
        <v>5790</v>
      </c>
      <c r="F1962" s="1658">
        <v>6170</v>
      </c>
      <c r="G1962" s="1658">
        <v>5640</v>
      </c>
      <c r="H1962" s="1658">
        <v>1075195</v>
      </c>
      <c r="I1962" s="1658">
        <v>6427992190</v>
      </c>
      <c r="J1962" s="1658">
        <v>346845066700</v>
      </c>
      <c r="K1962" s="1658">
        <v>56859847</v>
      </c>
    </row>
    <row r="1963" spans="1:11" x14ac:dyDescent="0.3">
      <c r="A1963" s="1657">
        <v>44552</v>
      </c>
      <c r="B1963" s="1658">
        <v>6060</v>
      </c>
      <c r="C1963" s="1658">
        <v>-40</v>
      </c>
      <c r="D1963" s="1659">
        <v>-0.66</v>
      </c>
      <c r="E1963" s="1658">
        <v>6310</v>
      </c>
      <c r="F1963" s="1658">
        <v>6320</v>
      </c>
      <c r="G1963" s="1658">
        <v>5990</v>
      </c>
      <c r="H1963" s="1658">
        <v>1035593</v>
      </c>
      <c r="I1963" s="1658">
        <v>6376708620</v>
      </c>
      <c r="J1963" s="1658">
        <v>344570672820</v>
      </c>
      <c r="K1963" s="1658">
        <v>56859847</v>
      </c>
    </row>
    <row r="1964" spans="1:11" x14ac:dyDescent="0.3">
      <c r="A1964" s="1657">
        <v>44553</v>
      </c>
      <c r="B1964" s="1658">
        <v>6140</v>
      </c>
      <c r="C1964" s="1658">
        <v>80</v>
      </c>
      <c r="D1964" s="1659">
        <v>1.32</v>
      </c>
      <c r="E1964" s="1658">
        <v>6000</v>
      </c>
      <c r="F1964" s="1658">
        <v>6220</v>
      </c>
      <c r="G1964" s="1658">
        <v>5910</v>
      </c>
      <c r="H1964" s="1658">
        <v>540153</v>
      </c>
      <c r="I1964" s="1658">
        <v>3274317170</v>
      </c>
      <c r="J1964" s="1658">
        <v>349119460580</v>
      </c>
      <c r="K1964" s="1658">
        <v>56859847</v>
      </c>
    </row>
    <row r="1965" spans="1:11" x14ac:dyDescent="0.3">
      <c r="A1965" s="1657">
        <v>44554</v>
      </c>
      <c r="B1965" s="1658">
        <v>6040</v>
      </c>
      <c r="C1965" s="1658">
        <v>-100</v>
      </c>
      <c r="D1965" s="1659">
        <v>-1.63</v>
      </c>
      <c r="E1965" s="1658">
        <v>6140</v>
      </c>
      <c r="F1965" s="1658">
        <v>6220</v>
      </c>
      <c r="G1965" s="1658">
        <v>6000</v>
      </c>
      <c r="H1965" s="1658">
        <v>534679</v>
      </c>
      <c r="I1965" s="1658">
        <v>3265732620</v>
      </c>
      <c r="J1965" s="1658">
        <v>343433475880</v>
      </c>
      <c r="K1965" s="1658">
        <v>56859847</v>
      </c>
    </row>
    <row r="1966" spans="1:11" x14ac:dyDescent="0.3">
      <c r="A1966" s="1657">
        <v>44557</v>
      </c>
      <c r="B1966" s="1658">
        <v>5690</v>
      </c>
      <c r="C1966" s="1658">
        <v>-350</v>
      </c>
      <c r="D1966" s="1659">
        <v>-5.79</v>
      </c>
      <c r="E1966" s="1658">
        <v>6040</v>
      </c>
      <c r="F1966" s="1658">
        <v>6110</v>
      </c>
      <c r="G1966" s="1658">
        <v>5680</v>
      </c>
      <c r="H1966" s="1658">
        <v>552892</v>
      </c>
      <c r="I1966" s="1658">
        <v>3203850480</v>
      </c>
      <c r="J1966" s="1658">
        <v>323532529430</v>
      </c>
      <c r="K1966" s="1658">
        <v>56859847</v>
      </c>
    </row>
    <row r="1967" spans="1:11" x14ac:dyDescent="0.3">
      <c r="A1967" s="1657">
        <v>44558</v>
      </c>
      <c r="B1967" s="1658">
        <v>5670</v>
      </c>
      <c r="C1967" s="1658">
        <v>-20</v>
      </c>
      <c r="D1967" s="1659">
        <v>-0.35</v>
      </c>
      <c r="E1967" s="1658">
        <v>5750</v>
      </c>
      <c r="F1967" s="1658">
        <v>5750</v>
      </c>
      <c r="G1967" s="1658">
        <v>5490</v>
      </c>
      <c r="H1967" s="1658">
        <v>451529</v>
      </c>
      <c r="I1967" s="1658">
        <v>2536987610</v>
      </c>
      <c r="J1967" s="1658">
        <v>322395332490</v>
      </c>
      <c r="K1967" s="1658">
        <v>56859847</v>
      </c>
    </row>
    <row r="1968" spans="1:11" x14ac:dyDescent="0.3">
      <c r="A1968" s="1657">
        <v>44559</v>
      </c>
      <c r="B1968" s="1658">
        <v>5750</v>
      </c>
      <c r="C1968" s="1658">
        <v>80</v>
      </c>
      <c r="D1968" s="1659">
        <v>1.41</v>
      </c>
      <c r="E1968" s="1658">
        <v>5670</v>
      </c>
      <c r="F1968" s="1658">
        <v>5870</v>
      </c>
      <c r="G1968" s="1658">
        <v>5590</v>
      </c>
      <c r="H1968" s="1658">
        <v>238263</v>
      </c>
      <c r="I1968" s="1658">
        <v>1366782850</v>
      </c>
      <c r="J1968" s="1658">
        <v>326944120250</v>
      </c>
      <c r="K1968" s="1658">
        <v>56859847</v>
      </c>
    </row>
    <row r="1969" spans="1:11" x14ac:dyDescent="0.3">
      <c r="A1969" s="1657">
        <v>44560</v>
      </c>
      <c r="B1969" s="1658">
        <v>5880</v>
      </c>
      <c r="C1969" s="1658">
        <v>130</v>
      </c>
      <c r="D1969" s="1659">
        <v>2.2599999999999998</v>
      </c>
      <c r="E1969" s="1658">
        <v>5760</v>
      </c>
      <c r="F1969" s="1658">
        <v>6020</v>
      </c>
      <c r="G1969" s="1658">
        <v>5700</v>
      </c>
      <c r="H1969" s="1658">
        <v>429912</v>
      </c>
      <c r="I1969" s="1658">
        <v>2533625320</v>
      </c>
      <c r="J1969" s="1658">
        <v>334335900360</v>
      </c>
      <c r="K1969" s="1658">
        <v>56859847</v>
      </c>
    </row>
    <row r="1970" spans="1:11" x14ac:dyDescent="0.3">
      <c r="A1970" s="1657">
        <v>44564</v>
      </c>
      <c r="B1970" s="1658">
        <v>6020</v>
      </c>
      <c r="C1970" s="1658">
        <v>140</v>
      </c>
      <c r="D1970" s="1659">
        <v>2.38</v>
      </c>
      <c r="E1970" s="1658">
        <v>5970</v>
      </c>
      <c r="F1970" s="1658">
        <v>6140</v>
      </c>
      <c r="G1970" s="1658">
        <v>5960</v>
      </c>
      <c r="H1970" s="1658">
        <v>423111</v>
      </c>
      <c r="I1970" s="1658">
        <v>2552663320</v>
      </c>
      <c r="J1970" s="1658">
        <v>342296278940</v>
      </c>
      <c r="K1970" s="1658">
        <v>56859847</v>
      </c>
    </row>
    <row r="1971" spans="1:11" x14ac:dyDescent="0.3">
      <c r="A1971" s="1657">
        <v>44565</v>
      </c>
      <c r="B1971" s="1658">
        <v>6120</v>
      </c>
      <c r="C1971" s="1658">
        <v>100</v>
      </c>
      <c r="D1971" s="1659">
        <v>1.66</v>
      </c>
      <c r="E1971" s="1658">
        <v>6140</v>
      </c>
      <c r="F1971" s="1658">
        <v>6140</v>
      </c>
      <c r="G1971" s="1658">
        <v>5960</v>
      </c>
      <c r="H1971" s="1658">
        <v>319104</v>
      </c>
      <c r="I1971" s="1658">
        <v>1927184840</v>
      </c>
      <c r="J1971" s="1658">
        <v>347982263640</v>
      </c>
      <c r="K1971" s="1658">
        <v>56859847</v>
      </c>
    </row>
    <row r="1972" spans="1:11" x14ac:dyDescent="0.3">
      <c r="A1972" s="1657">
        <v>44566</v>
      </c>
      <c r="B1972" s="1658">
        <v>6180</v>
      </c>
      <c r="C1972" s="1658">
        <v>60</v>
      </c>
      <c r="D1972" s="1659">
        <v>0.98</v>
      </c>
      <c r="E1972" s="1658">
        <v>6150</v>
      </c>
      <c r="F1972" s="1658">
        <v>6340</v>
      </c>
      <c r="G1972" s="1658">
        <v>6010</v>
      </c>
      <c r="H1972" s="1658">
        <v>916237</v>
      </c>
      <c r="I1972" s="1658">
        <v>5678562000</v>
      </c>
      <c r="J1972" s="1658">
        <v>351393854460</v>
      </c>
      <c r="K1972" s="1658">
        <v>56859847</v>
      </c>
    </row>
    <row r="1973" spans="1:11" x14ac:dyDescent="0.3">
      <c r="A1973" s="1657">
        <v>44567</v>
      </c>
      <c r="B1973" s="1658">
        <v>5880</v>
      </c>
      <c r="C1973" s="1658">
        <v>-300</v>
      </c>
      <c r="D1973" s="1659">
        <v>-4.8499999999999996</v>
      </c>
      <c r="E1973" s="1658">
        <v>6040</v>
      </c>
      <c r="F1973" s="1658">
        <v>6160</v>
      </c>
      <c r="G1973" s="1658">
        <v>5880</v>
      </c>
      <c r="H1973" s="1658">
        <v>446816</v>
      </c>
      <c r="I1973" s="1658">
        <v>2693785060</v>
      </c>
      <c r="J1973" s="1658">
        <v>334335900360</v>
      </c>
      <c r="K1973" s="1658">
        <v>56859847</v>
      </c>
    </row>
    <row r="1974" spans="1:11" x14ac:dyDescent="0.3">
      <c r="A1974" s="1657">
        <v>44568</v>
      </c>
      <c r="B1974" s="1658">
        <v>6030</v>
      </c>
      <c r="C1974" s="1658">
        <v>150</v>
      </c>
      <c r="D1974" s="1659">
        <v>2.5499999999999998</v>
      </c>
      <c r="E1974" s="1658">
        <v>5990</v>
      </c>
      <c r="F1974" s="1658">
        <v>6040</v>
      </c>
      <c r="G1974" s="1658">
        <v>5920</v>
      </c>
      <c r="H1974" s="1658">
        <v>154182</v>
      </c>
      <c r="I1974" s="1658">
        <v>924522800</v>
      </c>
      <c r="J1974" s="1658">
        <v>342864877410</v>
      </c>
      <c r="K1974" s="1658">
        <v>56859847</v>
      </c>
    </row>
    <row r="1975" spans="1:11" x14ac:dyDescent="0.3">
      <c r="A1975" s="1657">
        <v>44571</v>
      </c>
      <c r="B1975" s="1658">
        <v>5710</v>
      </c>
      <c r="C1975" s="1658">
        <v>-320</v>
      </c>
      <c r="D1975" s="1659">
        <v>-5.31</v>
      </c>
      <c r="E1975" s="1658">
        <v>6000</v>
      </c>
      <c r="F1975" s="1658">
        <v>6000</v>
      </c>
      <c r="G1975" s="1658">
        <v>5640</v>
      </c>
      <c r="H1975" s="1658">
        <v>347618</v>
      </c>
      <c r="I1975" s="1658">
        <v>2002717190</v>
      </c>
      <c r="J1975" s="1658">
        <v>324669726370</v>
      </c>
      <c r="K1975" s="1658">
        <v>56859847</v>
      </c>
    </row>
    <row r="1976" spans="1:11" x14ac:dyDescent="0.3">
      <c r="A1976" s="1657">
        <v>44572</v>
      </c>
      <c r="B1976" s="1658">
        <v>5680</v>
      </c>
      <c r="C1976" s="1658">
        <v>-30</v>
      </c>
      <c r="D1976" s="1659">
        <v>-0.53</v>
      </c>
      <c r="E1976" s="1658">
        <v>5650</v>
      </c>
      <c r="F1976" s="1658">
        <v>5770</v>
      </c>
      <c r="G1976" s="1658">
        <v>5550</v>
      </c>
      <c r="H1976" s="1658">
        <v>153096</v>
      </c>
      <c r="I1976" s="1658">
        <v>861156330</v>
      </c>
      <c r="J1976" s="1658">
        <v>322963930960</v>
      </c>
      <c r="K1976" s="1658">
        <v>56859847</v>
      </c>
    </row>
    <row r="1977" spans="1:11" x14ac:dyDescent="0.3">
      <c r="A1977" s="1657">
        <v>44573</v>
      </c>
      <c r="B1977" s="1658">
        <v>5720</v>
      </c>
      <c r="C1977" s="1658">
        <v>40</v>
      </c>
      <c r="D1977" s="1659">
        <v>0.7</v>
      </c>
      <c r="E1977" s="1658">
        <v>5720</v>
      </c>
      <c r="F1977" s="1658">
        <v>5770</v>
      </c>
      <c r="G1977" s="1658">
        <v>5480</v>
      </c>
      <c r="H1977" s="1658">
        <v>207772</v>
      </c>
      <c r="I1977" s="1658">
        <v>1170407460</v>
      </c>
      <c r="J1977" s="1658">
        <v>325238324840</v>
      </c>
      <c r="K1977" s="1658">
        <v>56859847</v>
      </c>
    </row>
    <row r="1978" spans="1:11" x14ac:dyDescent="0.3">
      <c r="A1978" s="1657">
        <v>44574</v>
      </c>
      <c r="B1978" s="1658">
        <v>5670</v>
      </c>
      <c r="C1978" s="1658">
        <v>-50</v>
      </c>
      <c r="D1978" s="1659">
        <v>-0.87</v>
      </c>
      <c r="E1978" s="1658">
        <v>5710</v>
      </c>
      <c r="F1978" s="1658">
        <v>5710</v>
      </c>
      <c r="G1978" s="1658">
        <v>5540</v>
      </c>
      <c r="H1978" s="1658">
        <v>150143</v>
      </c>
      <c r="I1978" s="1658">
        <v>842071410</v>
      </c>
      <c r="J1978" s="1658">
        <v>322395332490</v>
      </c>
      <c r="K1978" s="1658">
        <v>56859847</v>
      </c>
    </row>
    <row r="1979" spans="1:11" x14ac:dyDescent="0.3">
      <c r="A1979" s="1657">
        <v>44575</v>
      </c>
      <c r="B1979" s="1658">
        <v>5790</v>
      </c>
      <c r="C1979" s="1658">
        <v>120</v>
      </c>
      <c r="D1979" s="1659">
        <v>2.12</v>
      </c>
      <c r="E1979" s="1658">
        <v>5610</v>
      </c>
      <c r="F1979" s="1658">
        <v>5790</v>
      </c>
      <c r="G1979" s="1658">
        <v>5540</v>
      </c>
      <c r="H1979" s="1658">
        <v>188369</v>
      </c>
      <c r="I1979" s="1658">
        <v>1069968860</v>
      </c>
      <c r="J1979" s="1658">
        <v>329218514130</v>
      </c>
      <c r="K1979" s="1658">
        <v>56859847</v>
      </c>
    </row>
    <row r="1980" spans="1:11" x14ac:dyDescent="0.3">
      <c r="A1980" s="1657">
        <v>44578</v>
      </c>
      <c r="B1980" s="1658">
        <v>5310</v>
      </c>
      <c r="C1980" s="1658">
        <v>-480</v>
      </c>
      <c r="D1980" s="1659">
        <v>-8.2899999999999991</v>
      </c>
      <c r="E1980" s="1658">
        <v>5730</v>
      </c>
      <c r="F1980" s="1658">
        <v>5730</v>
      </c>
      <c r="G1980" s="1658">
        <v>5310</v>
      </c>
      <c r="H1980" s="1658">
        <v>292113</v>
      </c>
      <c r="I1980" s="1658">
        <v>1595639290</v>
      </c>
      <c r="J1980" s="1658">
        <v>301925787570</v>
      </c>
      <c r="K1980" s="1658">
        <v>56859847</v>
      </c>
    </row>
    <row r="1981" spans="1:11" x14ac:dyDescent="0.3">
      <c r="A1981" s="1657">
        <v>44579</v>
      </c>
      <c r="B1981" s="1658">
        <v>5200</v>
      </c>
      <c r="C1981" s="1658">
        <v>-110</v>
      </c>
      <c r="D1981" s="1659">
        <v>-2.0699999999999998</v>
      </c>
      <c r="E1981" s="1658">
        <v>5310</v>
      </c>
      <c r="F1981" s="1658">
        <v>5400</v>
      </c>
      <c r="G1981" s="1658">
        <v>5130</v>
      </c>
      <c r="H1981" s="1658">
        <v>166296</v>
      </c>
      <c r="I1981" s="1658">
        <v>874857280</v>
      </c>
      <c r="J1981" s="1658">
        <v>295671204400</v>
      </c>
      <c r="K1981" s="1658">
        <v>56859847</v>
      </c>
    </row>
    <row r="1982" spans="1:11" x14ac:dyDescent="0.3">
      <c r="A1982" s="1657">
        <v>44580</v>
      </c>
      <c r="B1982" s="1658">
        <v>5060</v>
      </c>
      <c r="C1982" s="1658">
        <v>-140</v>
      </c>
      <c r="D1982" s="1659">
        <v>-2.69</v>
      </c>
      <c r="E1982" s="1658">
        <v>5090</v>
      </c>
      <c r="F1982" s="1658">
        <v>5140</v>
      </c>
      <c r="G1982" s="1658">
        <v>4990</v>
      </c>
      <c r="H1982" s="1658">
        <v>194885</v>
      </c>
      <c r="I1982" s="1658">
        <v>982516815</v>
      </c>
      <c r="J1982" s="1658">
        <v>287710825820</v>
      </c>
      <c r="K1982" s="1658">
        <v>56859847</v>
      </c>
    </row>
    <row r="1983" spans="1:11" x14ac:dyDescent="0.3">
      <c r="A1983" s="1657">
        <v>44581</v>
      </c>
      <c r="B1983" s="1658">
        <v>5080</v>
      </c>
      <c r="C1983" s="1658">
        <v>20</v>
      </c>
      <c r="D1983" s="1659">
        <v>0.4</v>
      </c>
      <c r="E1983" s="1658">
        <v>5140</v>
      </c>
      <c r="F1983" s="1658">
        <v>5150</v>
      </c>
      <c r="G1983" s="1658">
        <v>4985</v>
      </c>
      <c r="H1983" s="1658">
        <v>102817</v>
      </c>
      <c r="I1983" s="1658">
        <v>520593500</v>
      </c>
      <c r="J1983" s="1658">
        <v>288848022760</v>
      </c>
      <c r="K1983" s="1658">
        <v>56859847</v>
      </c>
    </row>
    <row r="1984" spans="1:11" x14ac:dyDescent="0.3">
      <c r="A1984" s="1657">
        <v>44582</v>
      </c>
      <c r="B1984" s="1658">
        <v>4965</v>
      </c>
      <c r="C1984" s="1658">
        <v>-115</v>
      </c>
      <c r="D1984" s="1659">
        <v>-2.2599999999999998</v>
      </c>
      <c r="E1984" s="1658">
        <v>5000</v>
      </c>
      <c r="F1984" s="1658">
        <v>5070</v>
      </c>
      <c r="G1984" s="1658">
        <v>4875</v>
      </c>
      <c r="H1984" s="1658">
        <v>118559</v>
      </c>
      <c r="I1984" s="1658">
        <v>589141530</v>
      </c>
      <c r="J1984" s="1658">
        <v>282309140355</v>
      </c>
      <c r="K1984" s="1658">
        <v>56859847</v>
      </c>
    </row>
    <row r="1985" spans="1:11" x14ac:dyDescent="0.3">
      <c r="A1985" s="1657">
        <v>44585</v>
      </c>
      <c r="B1985" s="1658">
        <v>4750</v>
      </c>
      <c r="C1985" s="1658">
        <v>-215</v>
      </c>
      <c r="D1985" s="1659">
        <v>-4.33</v>
      </c>
      <c r="E1985" s="1658">
        <v>4905</v>
      </c>
      <c r="F1985" s="1658">
        <v>4920</v>
      </c>
      <c r="G1985" s="1658">
        <v>4610</v>
      </c>
      <c r="H1985" s="1658">
        <v>266658</v>
      </c>
      <c r="I1985" s="1658">
        <v>1261132670</v>
      </c>
      <c r="J1985" s="1658">
        <v>270084273250</v>
      </c>
      <c r="K1985" s="1658">
        <v>56859847</v>
      </c>
    </row>
    <row r="1986" spans="1:11" x14ac:dyDescent="0.3">
      <c r="A1986" s="1657">
        <v>44586</v>
      </c>
      <c r="B1986" s="1658">
        <v>4520</v>
      </c>
      <c r="C1986" s="1658">
        <v>-230</v>
      </c>
      <c r="D1986" s="1659">
        <v>-4.84</v>
      </c>
      <c r="E1986" s="1658">
        <v>4795</v>
      </c>
      <c r="F1986" s="1658">
        <v>4895</v>
      </c>
      <c r="G1986" s="1658">
        <v>4415</v>
      </c>
      <c r="H1986" s="1658">
        <v>281061</v>
      </c>
      <c r="I1986" s="1658">
        <v>1274996910</v>
      </c>
      <c r="J1986" s="1658">
        <v>257006508440</v>
      </c>
      <c r="K1986" s="1658">
        <v>56859847</v>
      </c>
    </row>
    <row r="1987" spans="1:11" x14ac:dyDescent="0.3">
      <c r="A1987" s="1657">
        <v>44587</v>
      </c>
      <c r="B1987" s="1658">
        <v>4545</v>
      </c>
      <c r="C1987" s="1658">
        <v>25</v>
      </c>
      <c r="D1987" s="1659">
        <v>0.55000000000000004</v>
      </c>
      <c r="E1987" s="1658">
        <v>4520</v>
      </c>
      <c r="F1987" s="1658">
        <v>4730</v>
      </c>
      <c r="G1987" s="1658">
        <v>4495</v>
      </c>
      <c r="H1987" s="1658">
        <v>138612</v>
      </c>
      <c r="I1987" s="1658">
        <v>633173585</v>
      </c>
      <c r="J1987" s="1658">
        <v>258428004615</v>
      </c>
      <c r="K1987" s="1658">
        <v>56859847</v>
      </c>
    </row>
    <row r="1988" spans="1:11" x14ac:dyDescent="0.3">
      <c r="A1988" s="1657">
        <v>44588</v>
      </c>
      <c r="B1988" s="1658">
        <v>4405</v>
      </c>
      <c r="C1988" s="1658">
        <v>-140</v>
      </c>
      <c r="D1988" s="1659">
        <v>-3.08</v>
      </c>
      <c r="E1988" s="1658">
        <v>4545</v>
      </c>
      <c r="F1988" s="1658">
        <v>4580</v>
      </c>
      <c r="G1988" s="1658">
        <v>4305</v>
      </c>
      <c r="H1988" s="1658">
        <v>254894</v>
      </c>
      <c r="I1988" s="1658">
        <v>1121378225</v>
      </c>
      <c r="J1988" s="1658">
        <v>250467626035</v>
      </c>
      <c r="K1988" s="1658">
        <v>56859847</v>
      </c>
    </row>
    <row r="1989" spans="1:11" x14ac:dyDescent="0.3">
      <c r="A1989" s="1657">
        <v>44589</v>
      </c>
      <c r="B1989" s="1658">
        <v>4625</v>
      </c>
      <c r="C1989" s="1658">
        <v>220</v>
      </c>
      <c r="D1989" s="1659">
        <v>4.99</v>
      </c>
      <c r="E1989" s="1658">
        <v>4405</v>
      </c>
      <c r="F1989" s="1658">
        <v>4650</v>
      </c>
      <c r="G1989" s="1658">
        <v>4305</v>
      </c>
      <c r="H1989" s="1658">
        <v>114919</v>
      </c>
      <c r="I1989" s="1658">
        <v>515427430</v>
      </c>
      <c r="J1989" s="1658">
        <v>262976792375</v>
      </c>
      <c r="K1989" s="1658">
        <v>56859847</v>
      </c>
    </row>
    <row r="1990" spans="1:11" x14ac:dyDescent="0.3">
      <c r="A1990" s="1657">
        <v>44595</v>
      </c>
      <c r="B1990" s="1658">
        <v>4690</v>
      </c>
      <c r="C1990" s="1658">
        <v>65</v>
      </c>
      <c r="D1990" s="1659">
        <v>1.41</v>
      </c>
      <c r="E1990" s="1658">
        <v>4655</v>
      </c>
      <c r="F1990" s="1658">
        <v>4745</v>
      </c>
      <c r="G1990" s="1658">
        <v>4650</v>
      </c>
      <c r="H1990" s="1658">
        <v>95633</v>
      </c>
      <c r="I1990" s="1658">
        <v>448519995</v>
      </c>
      <c r="J1990" s="1658">
        <v>266672682430</v>
      </c>
      <c r="K1990" s="1658">
        <v>56859847</v>
      </c>
    </row>
    <row r="1991" spans="1:11" x14ac:dyDescent="0.3">
      <c r="A1991" s="1657">
        <v>44596</v>
      </c>
      <c r="B1991" s="1658">
        <v>4690</v>
      </c>
      <c r="C1991" s="1658">
        <v>0</v>
      </c>
      <c r="D1991" s="1659">
        <v>0</v>
      </c>
      <c r="E1991" s="1658">
        <v>4670</v>
      </c>
      <c r="F1991" s="1658">
        <v>4745</v>
      </c>
      <c r="G1991" s="1658">
        <v>4555</v>
      </c>
      <c r="H1991" s="1658">
        <v>146941</v>
      </c>
      <c r="I1991" s="1658">
        <v>679133630</v>
      </c>
      <c r="J1991" s="1658">
        <v>266672682430</v>
      </c>
      <c r="K1991" s="1658">
        <v>56859847</v>
      </c>
    </row>
    <row r="1992" spans="1:11" x14ac:dyDescent="0.3">
      <c r="A1992" s="1657">
        <v>44599</v>
      </c>
      <c r="B1992" s="1658">
        <v>4650</v>
      </c>
      <c r="C1992" s="1658">
        <v>-40</v>
      </c>
      <c r="D1992" s="1659">
        <v>-0.85</v>
      </c>
      <c r="E1992" s="1658">
        <v>4720</v>
      </c>
      <c r="F1992" s="1658">
        <v>4720</v>
      </c>
      <c r="G1992" s="1658">
        <v>4575</v>
      </c>
      <c r="H1992" s="1658">
        <v>83608</v>
      </c>
      <c r="I1992" s="1658">
        <v>385996340</v>
      </c>
      <c r="J1992" s="1658">
        <v>264398288550</v>
      </c>
      <c r="K1992" s="1658">
        <v>56859847</v>
      </c>
    </row>
    <row r="1993" spans="1:11" x14ac:dyDescent="0.3">
      <c r="A1993" s="1657">
        <v>44600</v>
      </c>
      <c r="B1993" s="1658">
        <v>4690</v>
      </c>
      <c r="C1993" s="1658">
        <v>40</v>
      </c>
      <c r="D1993" s="1659">
        <v>0.86</v>
      </c>
      <c r="E1993" s="1658">
        <v>4690</v>
      </c>
      <c r="F1993" s="1658">
        <v>4745</v>
      </c>
      <c r="G1993" s="1658">
        <v>4560</v>
      </c>
      <c r="H1993" s="1658">
        <v>113826</v>
      </c>
      <c r="I1993" s="1658">
        <v>532509880</v>
      </c>
      <c r="J1993" s="1658">
        <v>266672682430</v>
      </c>
      <c r="K1993" s="1658">
        <v>56859847</v>
      </c>
    </row>
    <row r="1994" spans="1:11" x14ac:dyDescent="0.3">
      <c r="A1994" s="1657">
        <v>44601</v>
      </c>
      <c r="B1994" s="1658">
        <v>4780</v>
      </c>
      <c r="C1994" s="1658">
        <v>90</v>
      </c>
      <c r="D1994" s="1659">
        <v>1.92</v>
      </c>
      <c r="E1994" s="1658">
        <v>4690</v>
      </c>
      <c r="F1994" s="1658">
        <v>4830</v>
      </c>
      <c r="G1994" s="1658">
        <v>4605</v>
      </c>
      <c r="H1994" s="1658">
        <v>81061</v>
      </c>
      <c r="I1994" s="1658">
        <v>385030650</v>
      </c>
      <c r="J1994" s="1658">
        <v>271790068660</v>
      </c>
      <c r="K1994" s="1658">
        <v>56859847</v>
      </c>
    </row>
    <row r="1995" spans="1:11" x14ac:dyDescent="0.3">
      <c r="A1995" s="1657">
        <v>44602</v>
      </c>
      <c r="B1995" s="1658">
        <v>4715</v>
      </c>
      <c r="C1995" s="1658">
        <v>-65</v>
      </c>
      <c r="D1995" s="1659">
        <v>-1.36</v>
      </c>
      <c r="E1995" s="1658">
        <v>4825</v>
      </c>
      <c r="F1995" s="1658">
        <v>4825</v>
      </c>
      <c r="G1995" s="1658">
        <v>4670</v>
      </c>
      <c r="H1995" s="1658">
        <v>88105</v>
      </c>
      <c r="I1995" s="1658">
        <v>414228075</v>
      </c>
      <c r="J1995" s="1658">
        <v>268094178605</v>
      </c>
      <c r="K1995" s="1658">
        <v>56859847</v>
      </c>
    </row>
    <row r="1996" spans="1:11" x14ac:dyDescent="0.3">
      <c r="A1996" s="1657">
        <v>44603</v>
      </c>
      <c r="B1996" s="1658">
        <v>4555</v>
      </c>
      <c r="C1996" s="1658">
        <v>-160</v>
      </c>
      <c r="D1996" s="1659">
        <v>-3.39</v>
      </c>
      <c r="E1996" s="1658">
        <v>4685</v>
      </c>
      <c r="F1996" s="1658">
        <v>4715</v>
      </c>
      <c r="G1996" s="1658">
        <v>4535</v>
      </c>
      <c r="H1996" s="1658">
        <v>76042</v>
      </c>
      <c r="I1996" s="1658">
        <v>351071260</v>
      </c>
      <c r="J1996" s="1658">
        <v>258996603085</v>
      </c>
      <c r="K1996" s="1658">
        <v>56859847</v>
      </c>
    </row>
    <row r="1997" spans="1:11" x14ac:dyDescent="0.3">
      <c r="A1997" s="1657">
        <v>44606</v>
      </c>
      <c r="B1997" s="1658">
        <v>4400</v>
      </c>
      <c r="C1997" s="1658">
        <v>-155</v>
      </c>
      <c r="D1997" s="1659">
        <v>-3.4</v>
      </c>
      <c r="E1997" s="1658">
        <v>4495</v>
      </c>
      <c r="F1997" s="1658">
        <v>4530</v>
      </c>
      <c r="G1997" s="1658">
        <v>4350</v>
      </c>
      <c r="H1997" s="1658">
        <v>130200</v>
      </c>
      <c r="I1997" s="1658">
        <v>572544580</v>
      </c>
      <c r="J1997" s="1658">
        <v>250183326800</v>
      </c>
      <c r="K1997" s="1658">
        <v>56859847</v>
      </c>
    </row>
    <row r="1998" spans="1:11" x14ac:dyDescent="0.3">
      <c r="A1998" s="1657">
        <v>44607</v>
      </c>
      <c r="B1998" s="1658">
        <v>4265</v>
      </c>
      <c r="C1998" s="1658">
        <v>-135</v>
      </c>
      <c r="D1998" s="1659">
        <v>-3.07</v>
      </c>
      <c r="E1998" s="1658">
        <v>4400</v>
      </c>
      <c r="F1998" s="1658">
        <v>4600</v>
      </c>
      <c r="G1998" s="1658">
        <v>4205</v>
      </c>
      <c r="H1998" s="1658">
        <v>214609</v>
      </c>
      <c r="I1998" s="1658">
        <v>941985080</v>
      </c>
      <c r="J1998" s="1658">
        <v>242507247455</v>
      </c>
      <c r="K1998" s="1658">
        <v>56859847</v>
      </c>
    </row>
    <row r="1999" spans="1:11" x14ac:dyDescent="0.3">
      <c r="A1999" s="1657">
        <v>44608</v>
      </c>
      <c r="B1999" s="1658">
        <v>4465</v>
      </c>
      <c r="C1999" s="1658">
        <v>200</v>
      </c>
      <c r="D1999" s="1659">
        <v>4.6900000000000004</v>
      </c>
      <c r="E1999" s="1658">
        <v>4370</v>
      </c>
      <c r="F1999" s="1658">
        <v>4465</v>
      </c>
      <c r="G1999" s="1658">
        <v>4335</v>
      </c>
      <c r="H1999" s="1658">
        <v>77395</v>
      </c>
      <c r="I1999" s="1658">
        <v>342165610</v>
      </c>
      <c r="J1999" s="1658">
        <v>253879216855</v>
      </c>
      <c r="K1999" s="1658">
        <v>56859847</v>
      </c>
    </row>
    <row r="2000" spans="1:11" x14ac:dyDescent="0.3">
      <c r="A2000" s="1657">
        <v>44609</v>
      </c>
      <c r="B2000" s="1658">
        <v>4450</v>
      </c>
      <c r="C2000" s="1658">
        <v>-15</v>
      </c>
      <c r="D2000" s="1659">
        <v>-0.34</v>
      </c>
      <c r="E2000" s="1658">
        <v>4480</v>
      </c>
      <c r="F2000" s="1658">
        <v>4545</v>
      </c>
      <c r="G2000" s="1658">
        <v>4360</v>
      </c>
      <c r="H2000" s="1658">
        <v>101340</v>
      </c>
      <c r="I2000" s="1658">
        <v>453720670</v>
      </c>
      <c r="J2000" s="1658">
        <v>253026319150</v>
      </c>
      <c r="K2000" s="1658">
        <v>56859847</v>
      </c>
    </row>
    <row r="2001" spans="1:11" x14ac:dyDescent="0.3">
      <c r="A2001" s="1657">
        <v>44610</v>
      </c>
      <c r="B2001" s="1658">
        <v>4535</v>
      </c>
      <c r="C2001" s="1658">
        <v>85</v>
      </c>
      <c r="D2001" s="1659">
        <v>1.91</v>
      </c>
      <c r="E2001" s="1658">
        <v>4350</v>
      </c>
      <c r="F2001" s="1658">
        <v>4540</v>
      </c>
      <c r="G2001" s="1658">
        <v>4350</v>
      </c>
      <c r="H2001" s="1658">
        <v>46838</v>
      </c>
      <c r="I2001" s="1658">
        <v>210075650</v>
      </c>
      <c r="J2001" s="1658">
        <v>257859406145</v>
      </c>
      <c r="K2001" s="1658">
        <v>56859847</v>
      </c>
    </row>
    <row r="2002" spans="1:11" x14ac:dyDescent="0.3">
      <c r="A2002" s="1657">
        <v>44613</v>
      </c>
      <c r="B2002" s="1658">
        <v>4545</v>
      </c>
      <c r="C2002" s="1658">
        <v>10</v>
      </c>
      <c r="D2002" s="1659">
        <v>0.22</v>
      </c>
      <c r="E2002" s="1658">
        <v>4530</v>
      </c>
      <c r="F2002" s="1658">
        <v>4585</v>
      </c>
      <c r="G2002" s="1658">
        <v>4405</v>
      </c>
      <c r="H2002" s="1658">
        <v>60664</v>
      </c>
      <c r="I2002" s="1658">
        <v>274648490</v>
      </c>
      <c r="J2002" s="1658">
        <v>258428004615</v>
      </c>
      <c r="K2002" s="1658">
        <v>56859847</v>
      </c>
    </row>
    <row r="2003" spans="1:11" x14ac:dyDescent="0.3">
      <c r="A2003" s="1657">
        <v>44614</v>
      </c>
      <c r="B2003" s="1658">
        <v>4390</v>
      </c>
      <c r="C2003" s="1658">
        <v>-155</v>
      </c>
      <c r="D2003" s="1659">
        <v>-3.41</v>
      </c>
      <c r="E2003" s="1658">
        <v>4490</v>
      </c>
      <c r="F2003" s="1658">
        <v>4565</v>
      </c>
      <c r="G2003" s="1658">
        <v>4390</v>
      </c>
      <c r="H2003" s="1658">
        <v>88555</v>
      </c>
      <c r="I2003" s="1658">
        <v>392849715</v>
      </c>
      <c r="J2003" s="1658">
        <v>249614728330</v>
      </c>
      <c r="K2003" s="1658">
        <v>56859847</v>
      </c>
    </row>
    <row r="2004" spans="1:11" x14ac:dyDescent="0.3">
      <c r="A2004" s="1657">
        <v>44615</v>
      </c>
      <c r="B2004" s="1658">
        <v>4365</v>
      </c>
      <c r="C2004" s="1658">
        <v>-25</v>
      </c>
      <c r="D2004" s="1659">
        <v>-0.56999999999999995</v>
      </c>
      <c r="E2004" s="1658">
        <v>4400</v>
      </c>
      <c r="F2004" s="1658">
        <v>4475</v>
      </c>
      <c r="G2004" s="1658">
        <v>4340</v>
      </c>
      <c r="H2004" s="1658">
        <v>114310</v>
      </c>
      <c r="I2004" s="1658">
        <v>500884830</v>
      </c>
      <c r="J2004" s="1658">
        <v>248193232155</v>
      </c>
      <c r="K2004" s="1658">
        <v>56859847</v>
      </c>
    </row>
    <row r="2005" spans="1:11" x14ac:dyDescent="0.3">
      <c r="A2005" s="1657">
        <v>44616</v>
      </c>
      <c r="B2005" s="1658">
        <v>4220</v>
      </c>
      <c r="C2005" s="1658">
        <v>-145</v>
      </c>
      <c r="D2005" s="1659">
        <v>-3.32</v>
      </c>
      <c r="E2005" s="1658">
        <v>4340</v>
      </c>
      <c r="F2005" s="1658">
        <v>4365</v>
      </c>
      <c r="G2005" s="1658">
        <v>4220</v>
      </c>
      <c r="H2005" s="1658">
        <v>105398</v>
      </c>
      <c r="I2005" s="1658">
        <v>451946505</v>
      </c>
      <c r="J2005" s="1658">
        <v>239948554340</v>
      </c>
      <c r="K2005" s="1658">
        <v>56859847</v>
      </c>
    </row>
    <row r="2006" spans="1:11" x14ac:dyDescent="0.3">
      <c r="A2006" s="1657">
        <v>44617</v>
      </c>
      <c r="B2006" s="1658">
        <v>4290</v>
      </c>
      <c r="C2006" s="1658">
        <v>70</v>
      </c>
      <c r="D2006" s="1659">
        <v>1.66</v>
      </c>
      <c r="E2006" s="1658">
        <v>4255</v>
      </c>
      <c r="F2006" s="1658">
        <v>4360</v>
      </c>
      <c r="G2006" s="1658">
        <v>4205</v>
      </c>
      <c r="H2006" s="1658">
        <v>137212</v>
      </c>
      <c r="I2006" s="1658">
        <v>585520795</v>
      </c>
      <c r="J2006" s="1658">
        <v>243928743630</v>
      </c>
      <c r="K2006" s="1658">
        <v>56859847</v>
      </c>
    </row>
    <row r="2007" spans="1:11" x14ac:dyDescent="0.3">
      <c r="A2007" s="1657">
        <v>44620</v>
      </c>
      <c r="B2007" s="1658">
        <v>4300</v>
      </c>
      <c r="C2007" s="1658">
        <v>10</v>
      </c>
      <c r="D2007" s="1659">
        <v>0.23</v>
      </c>
      <c r="E2007" s="1658">
        <v>4300</v>
      </c>
      <c r="F2007" s="1658">
        <v>4360</v>
      </c>
      <c r="G2007" s="1658">
        <v>4225</v>
      </c>
      <c r="H2007" s="1658">
        <v>44164</v>
      </c>
      <c r="I2007" s="1658">
        <v>190250785</v>
      </c>
      <c r="J2007" s="1658">
        <v>244497342100</v>
      </c>
      <c r="K2007" s="1658">
        <v>56859847</v>
      </c>
    </row>
    <row r="2008" spans="1:11" x14ac:dyDescent="0.3">
      <c r="A2008" s="1657">
        <v>44622</v>
      </c>
      <c r="B2008" s="1658">
        <v>4370</v>
      </c>
      <c r="C2008" s="1658">
        <v>70</v>
      </c>
      <c r="D2008" s="1659">
        <v>1.63</v>
      </c>
      <c r="E2008" s="1658">
        <v>4340</v>
      </c>
      <c r="F2008" s="1658">
        <v>4420</v>
      </c>
      <c r="G2008" s="1658">
        <v>4250</v>
      </c>
      <c r="H2008" s="1658">
        <v>76098</v>
      </c>
      <c r="I2008" s="1658">
        <v>332226565</v>
      </c>
      <c r="J2008" s="1658">
        <v>248477531390</v>
      </c>
      <c r="K2008" s="1658">
        <v>56859847</v>
      </c>
    </row>
    <row r="2009" spans="1:11" x14ac:dyDescent="0.3">
      <c r="A2009" s="1657">
        <v>44623</v>
      </c>
      <c r="B2009" s="1658">
        <v>4425</v>
      </c>
      <c r="C2009" s="1658">
        <v>55</v>
      </c>
      <c r="D2009" s="1659">
        <v>1.26</v>
      </c>
      <c r="E2009" s="1658">
        <v>4400</v>
      </c>
      <c r="F2009" s="1658">
        <v>4470</v>
      </c>
      <c r="G2009" s="1658">
        <v>4390</v>
      </c>
      <c r="H2009" s="1658">
        <v>55101</v>
      </c>
      <c r="I2009" s="1658">
        <v>243560980</v>
      </c>
      <c r="J2009" s="1658">
        <v>251604822975</v>
      </c>
      <c r="K2009" s="1658">
        <v>56859847</v>
      </c>
    </row>
    <row r="2010" spans="1:11" x14ac:dyDescent="0.3">
      <c r="A2010" s="1657">
        <v>44624</v>
      </c>
      <c r="B2010" s="1658">
        <v>4450</v>
      </c>
      <c r="C2010" s="1658">
        <v>25</v>
      </c>
      <c r="D2010" s="1659">
        <v>0.56000000000000005</v>
      </c>
      <c r="E2010" s="1658">
        <v>4425</v>
      </c>
      <c r="F2010" s="1658">
        <v>4465</v>
      </c>
      <c r="G2010" s="1658">
        <v>4360</v>
      </c>
      <c r="H2010" s="1658">
        <v>71015</v>
      </c>
      <c r="I2010" s="1658">
        <v>312259565</v>
      </c>
      <c r="J2010" s="1658">
        <v>253026319150</v>
      </c>
      <c r="K2010" s="1658">
        <v>56859847</v>
      </c>
    </row>
    <row r="2011" spans="1:11" x14ac:dyDescent="0.3">
      <c r="A2011" s="1657">
        <v>44627</v>
      </c>
      <c r="B2011" s="1658">
        <v>4280</v>
      </c>
      <c r="C2011" s="1658">
        <v>-170</v>
      </c>
      <c r="D2011" s="1659">
        <v>-3.82</v>
      </c>
      <c r="E2011" s="1658">
        <v>4375</v>
      </c>
      <c r="F2011" s="1658">
        <v>4380</v>
      </c>
      <c r="G2011" s="1658">
        <v>4280</v>
      </c>
      <c r="H2011" s="1658">
        <v>100475</v>
      </c>
      <c r="I2011" s="1658">
        <v>433040625</v>
      </c>
      <c r="J2011" s="1658">
        <v>243360145160</v>
      </c>
      <c r="K2011" s="1658">
        <v>56859847</v>
      </c>
    </row>
    <row r="2012" spans="1:11" x14ac:dyDescent="0.3">
      <c r="A2012" s="1657">
        <v>44628</v>
      </c>
      <c r="B2012" s="1658">
        <v>4280</v>
      </c>
      <c r="C2012" s="1658">
        <v>0</v>
      </c>
      <c r="D2012" s="1659">
        <v>0</v>
      </c>
      <c r="E2012" s="1658">
        <v>4230</v>
      </c>
      <c r="F2012" s="1658">
        <v>4345</v>
      </c>
      <c r="G2012" s="1658">
        <v>4225</v>
      </c>
      <c r="H2012" s="1658">
        <v>46410</v>
      </c>
      <c r="I2012" s="1658">
        <v>198382215</v>
      </c>
      <c r="J2012" s="1658">
        <v>243360145160</v>
      </c>
      <c r="K2012" s="1658">
        <v>56859847</v>
      </c>
    </row>
    <row r="2013" spans="1:11" x14ac:dyDescent="0.3">
      <c r="A2013" s="1657">
        <v>44630</v>
      </c>
      <c r="B2013" s="1658">
        <v>4355</v>
      </c>
      <c r="C2013" s="1658">
        <v>75</v>
      </c>
      <c r="D2013" s="1659">
        <v>1.75</v>
      </c>
      <c r="E2013" s="1658">
        <v>4390</v>
      </c>
      <c r="F2013" s="1658">
        <v>4410</v>
      </c>
      <c r="G2013" s="1658">
        <v>4315</v>
      </c>
      <c r="H2013" s="1658">
        <v>35512</v>
      </c>
      <c r="I2013" s="1658">
        <v>155043455</v>
      </c>
      <c r="J2013" s="1658">
        <v>247624633685</v>
      </c>
      <c r="K2013" s="1658">
        <v>56859847</v>
      </c>
    </row>
    <row r="2014" spans="1:11" x14ac:dyDescent="0.3">
      <c r="A2014" s="1657">
        <v>44631</v>
      </c>
      <c r="B2014" s="1658">
        <v>4380</v>
      </c>
      <c r="C2014" s="1658">
        <v>25</v>
      </c>
      <c r="D2014" s="1659">
        <v>0.56999999999999995</v>
      </c>
      <c r="E2014" s="1658">
        <v>4325</v>
      </c>
      <c r="F2014" s="1658">
        <v>4460</v>
      </c>
      <c r="G2014" s="1658">
        <v>4325</v>
      </c>
      <c r="H2014" s="1658">
        <v>56366</v>
      </c>
      <c r="I2014" s="1658">
        <v>246801735</v>
      </c>
      <c r="J2014" s="1658">
        <v>249046129860</v>
      </c>
      <c r="K2014" s="1658">
        <v>56859847</v>
      </c>
    </row>
    <row r="2015" spans="1:11" x14ac:dyDescent="0.3">
      <c r="A2015" s="1657">
        <v>44634</v>
      </c>
      <c r="B2015" s="1658">
        <v>4295</v>
      </c>
      <c r="C2015" s="1658">
        <v>-85</v>
      </c>
      <c r="D2015" s="1659">
        <v>-1.94</v>
      </c>
      <c r="E2015" s="1658">
        <v>4395</v>
      </c>
      <c r="F2015" s="1658">
        <v>4405</v>
      </c>
      <c r="G2015" s="1658">
        <v>4265</v>
      </c>
      <c r="H2015" s="1658">
        <v>65612</v>
      </c>
      <c r="I2015" s="1658">
        <v>282872055</v>
      </c>
      <c r="J2015" s="1658">
        <v>244213042865</v>
      </c>
      <c r="K2015" s="1658">
        <v>56859847</v>
      </c>
    </row>
    <row r="2016" spans="1:11" x14ac:dyDescent="0.3">
      <c r="A2016" s="1657">
        <v>44635</v>
      </c>
      <c r="B2016" s="1658">
        <v>4280</v>
      </c>
      <c r="C2016" s="1658">
        <v>-15</v>
      </c>
      <c r="D2016" s="1659">
        <v>-0.35</v>
      </c>
      <c r="E2016" s="1658">
        <v>4295</v>
      </c>
      <c r="F2016" s="1658">
        <v>4355</v>
      </c>
      <c r="G2016" s="1658">
        <v>4275</v>
      </c>
      <c r="H2016" s="1658">
        <v>50340</v>
      </c>
      <c r="I2016" s="1658">
        <v>216854895</v>
      </c>
      <c r="J2016" s="1658">
        <v>243360145160</v>
      </c>
      <c r="K2016" s="1658">
        <v>56859847</v>
      </c>
    </row>
    <row r="2017" spans="1:11" x14ac:dyDescent="0.3">
      <c r="A2017" s="1657">
        <v>44636</v>
      </c>
      <c r="B2017" s="1658">
        <v>4525</v>
      </c>
      <c r="C2017" s="1658">
        <v>245</v>
      </c>
      <c r="D2017" s="1659">
        <v>5.72</v>
      </c>
      <c r="E2017" s="1658">
        <v>4335</v>
      </c>
      <c r="F2017" s="1658">
        <v>4525</v>
      </c>
      <c r="G2017" s="1658">
        <v>4315</v>
      </c>
      <c r="H2017" s="1658">
        <v>81515</v>
      </c>
      <c r="I2017" s="1658">
        <v>360652145</v>
      </c>
      <c r="J2017" s="1658">
        <v>257290807675</v>
      </c>
      <c r="K2017" s="1658">
        <v>56859847</v>
      </c>
    </row>
    <row r="2018" spans="1:11" x14ac:dyDescent="0.3">
      <c r="A2018" s="1657">
        <v>44637</v>
      </c>
      <c r="B2018" s="1658">
        <v>4520</v>
      </c>
      <c r="C2018" s="1658">
        <v>-5</v>
      </c>
      <c r="D2018" s="1659">
        <v>-0.11</v>
      </c>
      <c r="E2018" s="1658">
        <v>4485</v>
      </c>
      <c r="F2018" s="1658">
        <v>4550</v>
      </c>
      <c r="G2018" s="1658">
        <v>4485</v>
      </c>
      <c r="H2018" s="1658">
        <v>73137</v>
      </c>
      <c r="I2018" s="1658">
        <v>330059655</v>
      </c>
      <c r="J2018" s="1658">
        <v>257006508440</v>
      </c>
      <c r="K2018" s="1658">
        <v>56859847</v>
      </c>
    </row>
    <row r="2019" spans="1:11" x14ac:dyDescent="0.3">
      <c r="A2019" s="1657">
        <v>44638</v>
      </c>
      <c r="B2019" s="1658">
        <v>4650</v>
      </c>
      <c r="C2019" s="1658">
        <v>130</v>
      </c>
      <c r="D2019" s="1659">
        <v>2.88</v>
      </c>
      <c r="E2019" s="1658">
        <v>4560</v>
      </c>
      <c r="F2019" s="1658">
        <v>4740</v>
      </c>
      <c r="G2019" s="1658">
        <v>4475</v>
      </c>
      <c r="H2019" s="1658">
        <v>136888</v>
      </c>
      <c r="I2019" s="1658">
        <v>633016865</v>
      </c>
      <c r="J2019" s="1658">
        <v>264398288550</v>
      </c>
      <c r="K2019" s="1658">
        <v>56859847</v>
      </c>
    </row>
    <row r="2020" spans="1:11" x14ac:dyDescent="0.3">
      <c r="A2020" s="1657">
        <v>44641</v>
      </c>
      <c r="B2020" s="1658">
        <v>4780</v>
      </c>
      <c r="C2020" s="1658">
        <v>130</v>
      </c>
      <c r="D2020" s="1659">
        <v>2.8</v>
      </c>
      <c r="E2020" s="1658">
        <v>4730</v>
      </c>
      <c r="F2020" s="1658">
        <v>4940</v>
      </c>
      <c r="G2020" s="1658">
        <v>4670</v>
      </c>
      <c r="H2020" s="1658">
        <v>269162</v>
      </c>
      <c r="I2020" s="1658">
        <v>1291788110</v>
      </c>
      <c r="J2020" s="1658">
        <v>271790068660</v>
      </c>
      <c r="K2020" s="1658">
        <v>56859847</v>
      </c>
    </row>
    <row r="2021" spans="1:11" x14ac:dyDescent="0.3">
      <c r="A2021" s="1657">
        <v>44642</v>
      </c>
      <c r="B2021" s="1658">
        <v>4710</v>
      </c>
      <c r="C2021" s="1658">
        <v>-70</v>
      </c>
      <c r="D2021" s="1659">
        <v>-1.46</v>
      </c>
      <c r="E2021" s="1658">
        <v>4745</v>
      </c>
      <c r="F2021" s="1658">
        <v>4765</v>
      </c>
      <c r="G2021" s="1658">
        <v>4700</v>
      </c>
      <c r="H2021" s="1658">
        <v>57200</v>
      </c>
      <c r="I2021" s="1658">
        <v>270502060</v>
      </c>
      <c r="J2021" s="1658">
        <v>267809879370</v>
      </c>
      <c r="K2021" s="1658">
        <v>56859847</v>
      </c>
    </row>
    <row r="2022" spans="1:11" x14ac:dyDescent="0.3">
      <c r="A2022" s="1657">
        <v>44643</v>
      </c>
      <c r="B2022" s="1658">
        <v>4635</v>
      </c>
      <c r="C2022" s="1658">
        <v>-75</v>
      </c>
      <c r="D2022" s="1659">
        <v>-1.59</v>
      </c>
      <c r="E2022" s="1658">
        <v>4715</v>
      </c>
      <c r="F2022" s="1658">
        <v>4775</v>
      </c>
      <c r="G2022" s="1658">
        <v>4615</v>
      </c>
      <c r="H2022" s="1658">
        <v>83544</v>
      </c>
      <c r="I2022" s="1658">
        <v>390199130</v>
      </c>
      <c r="J2022" s="1658">
        <v>263545390845</v>
      </c>
      <c r="K2022" s="1658">
        <v>56859847</v>
      </c>
    </row>
    <row r="2023" spans="1:11" x14ac:dyDescent="0.3">
      <c r="A2023" s="1657">
        <v>44644</v>
      </c>
      <c r="B2023" s="1658">
        <v>4670</v>
      </c>
      <c r="C2023" s="1658">
        <v>35</v>
      </c>
      <c r="D2023" s="1659">
        <v>0.76</v>
      </c>
      <c r="E2023" s="1658">
        <v>4600</v>
      </c>
      <c r="F2023" s="1658">
        <v>4745</v>
      </c>
      <c r="G2023" s="1658">
        <v>4580</v>
      </c>
      <c r="H2023" s="1658">
        <v>61197</v>
      </c>
      <c r="I2023" s="1658">
        <v>285375345</v>
      </c>
      <c r="J2023" s="1658">
        <v>265535485490</v>
      </c>
      <c r="K2023" s="1658">
        <v>56859847</v>
      </c>
    </row>
    <row r="2024" spans="1:11" x14ac:dyDescent="0.3">
      <c r="A2024" s="1657">
        <v>44645</v>
      </c>
      <c r="B2024" s="1658">
        <v>4780</v>
      </c>
      <c r="C2024" s="1658">
        <v>110</v>
      </c>
      <c r="D2024" s="1659">
        <v>2.36</v>
      </c>
      <c r="E2024" s="1658">
        <v>4710</v>
      </c>
      <c r="F2024" s="1658">
        <v>4830</v>
      </c>
      <c r="G2024" s="1658">
        <v>4430</v>
      </c>
      <c r="H2024" s="1658">
        <v>128064</v>
      </c>
      <c r="I2024" s="1658">
        <v>607117090</v>
      </c>
      <c r="J2024" s="1658">
        <v>271790068660</v>
      </c>
      <c r="K2024" s="1658">
        <v>56859847</v>
      </c>
    </row>
    <row r="2025" spans="1:11" x14ac:dyDescent="0.3">
      <c r="A2025" s="1657">
        <v>44648</v>
      </c>
      <c r="B2025" s="1658">
        <v>4830</v>
      </c>
      <c r="C2025" s="1658">
        <v>50</v>
      </c>
      <c r="D2025" s="1659">
        <v>1.05</v>
      </c>
      <c r="E2025" s="1658">
        <v>4780</v>
      </c>
      <c r="F2025" s="1658">
        <v>4965</v>
      </c>
      <c r="G2025" s="1658">
        <v>4710</v>
      </c>
      <c r="H2025" s="1658">
        <v>126635</v>
      </c>
      <c r="I2025" s="1658">
        <v>611527920</v>
      </c>
      <c r="J2025" s="1658">
        <v>274633061010</v>
      </c>
      <c r="K2025" s="1658">
        <v>56859847</v>
      </c>
    </row>
    <row r="2026" spans="1:11" x14ac:dyDescent="0.3">
      <c r="A2026" s="1657">
        <v>44649</v>
      </c>
      <c r="B2026" s="1658">
        <v>4765</v>
      </c>
      <c r="C2026" s="1658">
        <v>-65</v>
      </c>
      <c r="D2026" s="1659">
        <v>-1.35</v>
      </c>
      <c r="E2026" s="1658">
        <v>4875</v>
      </c>
      <c r="F2026" s="1658">
        <v>4880</v>
      </c>
      <c r="G2026" s="1658">
        <v>4760</v>
      </c>
      <c r="H2026" s="1658">
        <v>68331</v>
      </c>
      <c r="I2026" s="1658">
        <v>329039705</v>
      </c>
      <c r="J2026" s="1658">
        <v>270937170955</v>
      </c>
      <c r="K2026" s="1658">
        <v>56859847</v>
      </c>
    </row>
    <row r="2027" spans="1:11" x14ac:dyDescent="0.3">
      <c r="A2027" s="1657">
        <v>44650</v>
      </c>
      <c r="B2027" s="1658">
        <v>4765</v>
      </c>
      <c r="C2027" s="1658">
        <v>0</v>
      </c>
      <c r="D2027" s="1659">
        <v>0</v>
      </c>
      <c r="E2027" s="1658">
        <v>4770</v>
      </c>
      <c r="F2027" s="1658">
        <v>4850</v>
      </c>
      <c r="G2027" s="1658">
        <v>4730</v>
      </c>
      <c r="H2027" s="1658">
        <v>35681</v>
      </c>
      <c r="I2027" s="1658">
        <v>169882330</v>
      </c>
      <c r="J2027" s="1658">
        <v>270937170955</v>
      </c>
      <c r="K2027" s="1658">
        <v>56859847</v>
      </c>
    </row>
    <row r="2028" spans="1:11" x14ac:dyDescent="0.3">
      <c r="A2028" s="1657">
        <v>44651</v>
      </c>
      <c r="B2028" s="1658">
        <v>4795</v>
      </c>
      <c r="C2028" s="1658">
        <v>30</v>
      </c>
      <c r="D2028" s="1659">
        <v>0.63</v>
      </c>
      <c r="E2028" s="1658">
        <v>4745</v>
      </c>
      <c r="F2028" s="1658">
        <v>4800</v>
      </c>
      <c r="G2028" s="1658">
        <v>4745</v>
      </c>
      <c r="H2028" s="1658">
        <v>28218</v>
      </c>
      <c r="I2028" s="1658">
        <v>135415735</v>
      </c>
      <c r="J2028" s="1658">
        <v>272642966365</v>
      </c>
      <c r="K2028" s="1658">
        <v>56859847</v>
      </c>
    </row>
    <row r="2029" spans="1:11" x14ac:dyDescent="0.3">
      <c r="A2029" s="1657">
        <v>44652</v>
      </c>
      <c r="B2029" s="1658">
        <v>4800</v>
      </c>
      <c r="C2029" s="1658">
        <v>5</v>
      </c>
      <c r="D2029" s="1659">
        <v>0.1</v>
      </c>
      <c r="E2029" s="1658">
        <v>4785</v>
      </c>
      <c r="F2029" s="1658">
        <v>4895</v>
      </c>
      <c r="G2029" s="1658">
        <v>4745</v>
      </c>
      <c r="H2029" s="1658">
        <v>60033</v>
      </c>
      <c r="I2029" s="1658">
        <v>288417945</v>
      </c>
      <c r="J2029" s="1658">
        <v>272927265600</v>
      </c>
      <c r="K2029" s="1658">
        <v>56859847</v>
      </c>
    </row>
    <row r="2030" spans="1:11" x14ac:dyDescent="0.3">
      <c r="A2030" s="1657">
        <v>44655</v>
      </c>
      <c r="B2030" s="1658">
        <v>4895</v>
      </c>
      <c r="C2030" s="1658">
        <v>95</v>
      </c>
      <c r="D2030" s="1659">
        <v>1.98</v>
      </c>
      <c r="E2030" s="1658">
        <v>4810</v>
      </c>
      <c r="F2030" s="1658">
        <v>4915</v>
      </c>
      <c r="G2030" s="1658">
        <v>4810</v>
      </c>
      <c r="H2030" s="1658">
        <v>78181</v>
      </c>
      <c r="I2030" s="1658">
        <v>381276155</v>
      </c>
      <c r="J2030" s="1658">
        <v>278328951065</v>
      </c>
      <c r="K2030" s="1658">
        <v>56859847</v>
      </c>
    </row>
    <row r="2031" spans="1:11" x14ac:dyDescent="0.3">
      <c r="A2031" s="1657">
        <v>44656</v>
      </c>
      <c r="B2031" s="1658">
        <v>5010</v>
      </c>
      <c r="C2031" s="1658">
        <v>115</v>
      </c>
      <c r="D2031" s="1659">
        <v>2.35</v>
      </c>
      <c r="E2031" s="1658">
        <v>4940</v>
      </c>
      <c r="F2031" s="1658">
        <v>5040</v>
      </c>
      <c r="G2031" s="1658">
        <v>4900</v>
      </c>
      <c r="H2031" s="1658">
        <v>162945</v>
      </c>
      <c r="I2031" s="1658">
        <v>810656185</v>
      </c>
      <c r="J2031" s="1658">
        <v>284867833470</v>
      </c>
      <c r="K2031" s="1658">
        <v>56859847</v>
      </c>
    </row>
    <row r="2032" spans="1:11" x14ac:dyDescent="0.3">
      <c r="A2032" s="1657">
        <v>44657</v>
      </c>
      <c r="B2032" s="1658">
        <v>4920</v>
      </c>
      <c r="C2032" s="1658">
        <v>-90</v>
      </c>
      <c r="D2032" s="1659">
        <v>-1.8</v>
      </c>
      <c r="E2032" s="1658">
        <v>4970</v>
      </c>
      <c r="F2032" s="1658">
        <v>4985</v>
      </c>
      <c r="G2032" s="1658">
        <v>4875</v>
      </c>
      <c r="H2032" s="1658">
        <v>55011</v>
      </c>
      <c r="I2032" s="1658">
        <v>271772125</v>
      </c>
      <c r="J2032" s="1658">
        <v>279750447240</v>
      </c>
      <c r="K2032" s="1658">
        <v>56859847</v>
      </c>
    </row>
    <row r="2033" spans="1:11" x14ac:dyDescent="0.3">
      <c r="A2033" s="1657">
        <v>44658</v>
      </c>
      <c r="B2033" s="1658">
        <v>4755</v>
      </c>
      <c r="C2033" s="1658">
        <v>-165</v>
      </c>
      <c r="D2033" s="1659">
        <v>-3.35</v>
      </c>
      <c r="E2033" s="1658">
        <v>4875</v>
      </c>
      <c r="F2033" s="1658">
        <v>4880</v>
      </c>
      <c r="G2033" s="1658">
        <v>4735</v>
      </c>
      <c r="H2033" s="1658">
        <v>78884</v>
      </c>
      <c r="I2033" s="1658">
        <v>378352005</v>
      </c>
      <c r="J2033" s="1658">
        <v>270368572485</v>
      </c>
      <c r="K2033" s="1658">
        <v>56859847</v>
      </c>
    </row>
    <row r="2034" spans="1:11" x14ac:dyDescent="0.3">
      <c r="A2034" s="1657">
        <v>44659</v>
      </c>
      <c r="B2034" s="1658">
        <v>4825</v>
      </c>
      <c r="C2034" s="1658">
        <v>70</v>
      </c>
      <c r="D2034" s="1659">
        <v>1.47</v>
      </c>
      <c r="E2034" s="1658">
        <v>4760</v>
      </c>
      <c r="F2034" s="1658">
        <v>4845</v>
      </c>
      <c r="G2034" s="1658">
        <v>4735</v>
      </c>
      <c r="H2034" s="1658">
        <v>54147</v>
      </c>
      <c r="I2034" s="1658">
        <v>259385470</v>
      </c>
      <c r="J2034" s="1658">
        <v>274348761775</v>
      </c>
      <c r="K2034" s="1658">
        <v>56859847</v>
      </c>
    </row>
    <row r="2035" spans="1:11" x14ac:dyDescent="0.3">
      <c r="A2035" s="1657">
        <v>44662</v>
      </c>
      <c r="B2035" s="1658">
        <v>4765</v>
      </c>
      <c r="C2035" s="1658">
        <v>-60</v>
      </c>
      <c r="D2035" s="1659">
        <v>-1.24</v>
      </c>
      <c r="E2035" s="1658">
        <v>4825</v>
      </c>
      <c r="F2035" s="1658">
        <v>4840</v>
      </c>
      <c r="G2035" s="1658">
        <v>4710</v>
      </c>
      <c r="H2035" s="1658">
        <v>37529</v>
      </c>
      <c r="I2035" s="1658">
        <v>178306075</v>
      </c>
      <c r="J2035" s="1658">
        <v>270937170955</v>
      </c>
      <c r="K2035" s="1658">
        <v>56859847</v>
      </c>
    </row>
    <row r="2036" spans="1:11" x14ac:dyDescent="0.3">
      <c r="A2036" s="1657">
        <v>44663</v>
      </c>
      <c r="B2036" s="1658">
        <v>4690</v>
      </c>
      <c r="C2036" s="1658">
        <v>-75</v>
      </c>
      <c r="D2036" s="1659">
        <v>-1.57</v>
      </c>
      <c r="E2036" s="1658">
        <v>4615</v>
      </c>
      <c r="F2036" s="1658">
        <v>4750</v>
      </c>
      <c r="G2036" s="1658">
        <v>4615</v>
      </c>
      <c r="H2036" s="1658">
        <v>32848</v>
      </c>
      <c r="I2036" s="1658">
        <v>153709010</v>
      </c>
      <c r="J2036" s="1658">
        <v>266672682430</v>
      </c>
      <c r="K2036" s="1658">
        <v>56859847</v>
      </c>
    </row>
    <row r="2037" spans="1:11" x14ac:dyDescent="0.3">
      <c r="A2037" s="1657">
        <v>44664</v>
      </c>
      <c r="B2037" s="1658">
        <v>4730</v>
      </c>
      <c r="C2037" s="1658">
        <v>40</v>
      </c>
      <c r="D2037" s="1659">
        <v>0.85</v>
      </c>
      <c r="E2037" s="1658">
        <v>4720</v>
      </c>
      <c r="F2037" s="1658">
        <v>4740</v>
      </c>
      <c r="G2037" s="1658">
        <v>4685</v>
      </c>
      <c r="H2037" s="1658">
        <v>14510</v>
      </c>
      <c r="I2037" s="1658">
        <v>68480050</v>
      </c>
      <c r="J2037" s="1658">
        <v>268947076310</v>
      </c>
      <c r="K2037" s="1658">
        <v>56859847</v>
      </c>
    </row>
    <row r="2038" spans="1:11" x14ac:dyDescent="0.3">
      <c r="A2038" s="1657">
        <v>44665</v>
      </c>
      <c r="B2038" s="1658">
        <v>4730</v>
      </c>
      <c r="C2038" s="1658">
        <v>0</v>
      </c>
      <c r="D2038" s="1659">
        <v>0</v>
      </c>
      <c r="E2038" s="1658">
        <v>4780</v>
      </c>
      <c r="F2038" s="1658">
        <v>4780</v>
      </c>
      <c r="G2038" s="1658">
        <v>4660</v>
      </c>
      <c r="H2038" s="1658">
        <v>19895</v>
      </c>
      <c r="I2038" s="1658">
        <v>94170495</v>
      </c>
      <c r="J2038" s="1658">
        <v>268947076310</v>
      </c>
      <c r="K2038" s="1658">
        <v>56859847</v>
      </c>
    </row>
    <row r="2039" spans="1:11" x14ac:dyDescent="0.3">
      <c r="A2039" s="1657">
        <v>44666</v>
      </c>
      <c r="B2039" s="1658">
        <v>4760</v>
      </c>
      <c r="C2039" s="1658">
        <v>30</v>
      </c>
      <c r="D2039" s="1659">
        <v>0.63</v>
      </c>
      <c r="E2039" s="1658">
        <v>4695</v>
      </c>
      <c r="F2039" s="1658">
        <v>4980</v>
      </c>
      <c r="G2039" s="1658">
        <v>4690</v>
      </c>
      <c r="H2039" s="1658">
        <v>168831</v>
      </c>
      <c r="I2039" s="1658">
        <v>817976440</v>
      </c>
      <c r="J2039" s="1658">
        <v>270652871720</v>
      </c>
      <c r="K2039" s="1658">
        <v>56859847</v>
      </c>
    </row>
    <row r="2040" spans="1:11" x14ac:dyDescent="0.3">
      <c r="A2040" s="1657">
        <v>44669</v>
      </c>
      <c r="B2040" s="1658">
        <v>4745</v>
      </c>
      <c r="C2040" s="1658">
        <v>-15</v>
      </c>
      <c r="D2040" s="1659">
        <v>-0.32</v>
      </c>
      <c r="E2040" s="1658">
        <v>4735</v>
      </c>
      <c r="F2040" s="1658">
        <v>4840</v>
      </c>
      <c r="G2040" s="1658">
        <v>4730</v>
      </c>
      <c r="H2040" s="1658">
        <v>38439</v>
      </c>
      <c r="I2040" s="1658">
        <v>183252870</v>
      </c>
      <c r="J2040" s="1658">
        <v>269799974015</v>
      </c>
      <c r="K2040" s="1658">
        <v>56859847</v>
      </c>
    </row>
    <row r="2041" spans="1:11" x14ac:dyDescent="0.3">
      <c r="A2041" s="1657">
        <v>44670</v>
      </c>
      <c r="B2041" s="1658">
        <v>4735</v>
      </c>
      <c r="C2041" s="1658">
        <v>-10</v>
      </c>
      <c r="D2041" s="1659">
        <v>-0.21</v>
      </c>
      <c r="E2041" s="1658">
        <v>4795</v>
      </c>
      <c r="F2041" s="1658">
        <v>4795</v>
      </c>
      <c r="G2041" s="1658">
        <v>4720</v>
      </c>
      <c r="H2041" s="1658">
        <v>24910</v>
      </c>
      <c r="I2041" s="1658">
        <v>118222805</v>
      </c>
      <c r="J2041" s="1658">
        <v>269231375545</v>
      </c>
      <c r="K2041" s="1658">
        <v>56859847</v>
      </c>
    </row>
    <row r="2042" spans="1:11" x14ac:dyDescent="0.3">
      <c r="A2042" s="1657">
        <v>44671</v>
      </c>
      <c r="B2042" s="1658">
        <v>4720</v>
      </c>
      <c r="C2042" s="1658">
        <v>-15</v>
      </c>
      <c r="D2042" s="1659">
        <v>-0.32</v>
      </c>
      <c r="E2042" s="1658">
        <v>4745</v>
      </c>
      <c r="F2042" s="1658">
        <v>4795</v>
      </c>
      <c r="G2042" s="1658">
        <v>4685</v>
      </c>
      <c r="H2042" s="1658">
        <v>59914</v>
      </c>
      <c r="I2042" s="1658">
        <v>283097240</v>
      </c>
      <c r="J2042" s="1658">
        <v>268378477840</v>
      </c>
      <c r="K2042" s="1658">
        <v>56859847</v>
      </c>
    </row>
    <row r="2043" spans="1:11" x14ac:dyDescent="0.3">
      <c r="A2043" s="1657">
        <v>44672</v>
      </c>
      <c r="B2043" s="1658">
        <v>4695</v>
      </c>
      <c r="C2043" s="1658">
        <v>-25</v>
      </c>
      <c r="D2043" s="1659">
        <v>-0.53</v>
      </c>
      <c r="E2043" s="1658">
        <v>4720</v>
      </c>
      <c r="F2043" s="1658">
        <v>4765</v>
      </c>
      <c r="G2043" s="1658">
        <v>4675</v>
      </c>
      <c r="H2043" s="1658">
        <v>54672</v>
      </c>
      <c r="I2043" s="1658">
        <v>257452740</v>
      </c>
      <c r="J2043" s="1658">
        <v>266956981665</v>
      </c>
      <c r="K2043" s="1658">
        <v>56859847</v>
      </c>
    </row>
    <row r="2044" spans="1:11" x14ac:dyDescent="0.3">
      <c r="A2044" s="1657">
        <v>44673</v>
      </c>
      <c r="B2044" s="1658">
        <v>4815</v>
      </c>
      <c r="C2044" s="1658">
        <v>120</v>
      </c>
      <c r="D2044" s="1659">
        <v>2.56</v>
      </c>
      <c r="E2044" s="1658">
        <v>4685</v>
      </c>
      <c r="F2044" s="1658">
        <v>4815</v>
      </c>
      <c r="G2044" s="1658">
        <v>4625</v>
      </c>
      <c r="H2044" s="1658">
        <v>67802</v>
      </c>
      <c r="I2044" s="1658">
        <v>322463315</v>
      </c>
      <c r="J2044" s="1658">
        <v>273780163305</v>
      </c>
      <c r="K2044" s="1658">
        <v>56859847</v>
      </c>
    </row>
    <row r="2045" spans="1:11" x14ac:dyDescent="0.3">
      <c r="A2045" s="1657">
        <v>44676</v>
      </c>
      <c r="B2045" s="1658">
        <v>4790</v>
      </c>
      <c r="C2045" s="1658">
        <v>-25</v>
      </c>
      <c r="D2045" s="1659">
        <v>-0.52</v>
      </c>
      <c r="E2045" s="1658">
        <v>4810</v>
      </c>
      <c r="F2045" s="1658">
        <v>4810</v>
      </c>
      <c r="G2045" s="1658">
        <v>4710</v>
      </c>
      <c r="H2045" s="1658">
        <v>52389</v>
      </c>
      <c r="I2045" s="1658">
        <v>249006220</v>
      </c>
      <c r="J2045" s="1658">
        <v>272358667130</v>
      </c>
      <c r="K2045" s="1658">
        <v>56859847</v>
      </c>
    </row>
    <row r="2046" spans="1:11" x14ac:dyDescent="0.3">
      <c r="A2046" s="1657">
        <v>44677</v>
      </c>
      <c r="B2046" s="1658">
        <v>4700</v>
      </c>
      <c r="C2046" s="1658">
        <v>-90</v>
      </c>
      <c r="D2046" s="1659">
        <v>-1.88</v>
      </c>
      <c r="E2046" s="1658">
        <v>4745</v>
      </c>
      <c r="F2046" s="1658">
        <v>4770</v>
      </c>
      <c r="G2046" s="1658">
        <v>4670</v>
      </c>
      <c r="H2046" s="1658">
        <v>47885</v>
      </c>
      <c r="I2046" s="1658">
        <v>225237000</v>
      </c>
      <c r="J2046" s="1658">
        <v>267241280900</v>
      </c>
      <c r="K2046" s="1658">
        <v>56859847</v>
      </c>
    </row>
    <row r="2047" spans="1:11" x14ac:dyDescent="0.3">
      <c r="A2047" s="1657">
        <v>44678</v>
      </c>
      <c r="B2047" s="1658">
        <v>4610</v>
      </c>
      <c r="C2047" s="1658">
        <v>-90</v>
      </c>
      <c r="D2047" s="1659">
        <v>-1.91</v>
      </c>
      <c r="E2047" s="1658">
        <v>4640</v>
      </c>
      <c r="F2047" s="1658">
        <v>4640</v>
      </c>
      <c r="G2047" s="1658">
        <v>4510</v>
      </c>
      <c r="H2047" s="1658">
        <v>78064</v>
      </c>
      <c r="I2047" s="1658">
        <v>356880740</v>
      </c>
      <c r="J2047" s="1658">
        <v>262123894670</v>
      </c>
      <c r="K2047" s="1658">
        <v>56859847</v>
      </c>
    </row>
    <row r="2048" spans="1:11" x14ac:dyDescent="0.3">
      <c r="A2048" s="1657">
        <v>44679</v>
      </c>
      <c r="B2048" s="1658">
        <v>4505</v>
      </c>
      <c r="C2048" s="1658">
        <v>-105</v>
      </c>
      <c r="D2048" s="1659">
        <v>-2.2799999999999998</v>
      </c>
      <c r="E2048" s="1658">
        <v>4580</v>
      </c>
      <c r="F2048" s="1658">
        <v>4595</v>
      </c>
      <c r="G2048" s="1658">
        <v>4495</v>
      </c>
      <c r="H2048" s="1658">
        <v>52284</v>
      </c>
      <c r="I2048" s="1658">
        <v>236441960</v>
      </c>
      <c r="J2048" s="1658">
        <v>256153610735</v>
      </c>
      <c r="K2048" s="1658">
        <v>56859847</v>
      </c>
    </row>
    <row r="2049" spans="1:11" x14ac:dyDescent="0.3">
      <c r="A2049" s="1657">
        <v>44680</v>
      </c>
      <c r="B2049" s="1658">
        <v>4500</v>
      </c>
      <c r="C2049" s="1658">
        <v>-5</v>
      </c>
      <c r="D2049" s="1659">
        <v>-0.11</v>
      </c>
      <c r="E2049" s="1658">
        <v>4550</v>
      </c>
      <c r="F2049" s="1658">
        <v>4550</v>
      </c>
      <c r="G2049" s="1658">
        <v>4485</v>
      </c>
      <c r="H2049" s="1658">
        <v>60344</v>
      </c>
      <c r="I2049" s="1658">
        <v>272009910</v>
      </c>
      <c r="J2049" s="1658">
        <v>255869311500</v>
      </c>
      <c r="K2049" s="1658">
        <v>56859847</v>
      </c>
    </row>
    <row r="2050" spans="1:11" x14ac:dyDescent="0.3">
      <c r="A2050" s="1657">
        <v>44683</v>
      </c>
      <c r="B2050" s="1658">
        <v>4430</v>
      </c>
      <c r="C2050" s="1658">
        <v>-70</v>
      </c>
      <c r="D2050" s="1659">
        <v>-1.56</v>
      </c>
      <c r="E2050" s="1658">
        <v>4480</v>
      </c>
      <c r="F2050" s="1658">
        <v>4480</v>
      </c>
      <c r="G2050" s="1658">
        <v>4400</v>
      </c>
      <c r="H2050" s="1658">
        <v>59934</v>
      </c>
      <c r="I2050" s="1658">
        <v>265034140</v>
      </c>
      <c r="J2050" s="1658">
        <v>251889122210</v>
      </c>
      <c r="K2050" s="1658">
        <v>56859847</v>
      </c>
    </row>
    <row r="2051" spans="1:11" x14ac:dyDescent="0.3">
      <c r="A2051" s="1657">
        <v>44684</v>
      </c>
      <c r="B2051" s="1658">
        <v>4535</v>
      </c>
      <c r="C2051" s="1658">
        <v>105</v>
      </c>
      <c r="D2051" s="1659">
        <v>2.37</v>
      </c>
      <c r="E2051" s="1658">
        <v>4430</v>
      </c>
      <c r="F2051" s="1658">
        <v>4545</v>
      </c>
      <c r="G2051" s="1658">
        <v>4430</v>
      </c>
      <c r="H2051" s="1658">
        <v>51950</v>
      </c>
      <c r="I2051" s="1658">
        <v>234269870</v>
      </c>
      <c r="J2051" s="1658">
        <v>257859406145</v>
      </c>
      <c r="K2051" s="1658">
        <v>56859847</v>
      </c>
    </row>
    <row r="2052" spans="1:11" x14ac:dyDescent="0.3">
      <c r="A2052" s="1657">
        <v>44685</v>
      </c>
      <c r="B2052" s="1658">
        <v>4600</v>
      </c>
      <c r="C2052" s="1658">
        <v>65</v>
      </c>
      <c r="D2052" s="1659">
        <v>1.43</v>
      </c>
      <c r="E2052" s="1658">
        <v>4670</v>
      </c>
      <c r="F2052" s="1658">
        <v>4900</v>
      </c>
      <c r="G2052" s="1658">
        <v>4520</v>
      </c>
      <c r="H2052" s="1658">
        <v>232243</v>
      </c>
      <c r="I2052" s="1658">
        <v>1094631285</v>
      </c>
      <c r="J2052" s="1658">
        <v>261555296200</v>
      </c>
      <c r="K2052" s="1658">
        <v>56859847</v>
      </c>
    </row>
    <row r="2053" spans="1:11" x14ac:dyDescent="0.3">
      <c r="A2053" s="1657">
        <v>44687</v>
      </c>
      <c r="B2053" s="1658">
        <v>4540</v>
      </c>
      <c r="C2053" s="1658">
        <v>-60</v>
      </c>
      <c r="D2053" s="1659">
        <v>-1.3</v>
      </c>
      <c r="E2053" s="1658">
        <v>4595</v>
      </c>
      <c r="F2053" s="1658">
        <v>4595</v>
      </c>
      <c r="G2053" s="1658">
        <v>4490</v>
      </c>
      <c r="H2053" s="1658">
        <v>63385</v>
      </c>
      <c r="I2053" s="1658">
        <v>286306650</v>
      </c>
      <c r="J2053" s="1658">
        <v>258143705380</v>
      </c>
      <c r="K2053" s="1658">
        <v>56859847</v>
      </c>
    </row>
    <row r="2054" spans="1:11" x14ac:dyDescent="0.3">
      <c r="A2054" s="1657">
        <v>44690</v>
      </c>
      <c r="B2054" s="1658">
        <v>4395</v>
      </c>
      <c r="C2054" s="1658">
        <v>-145</v>
      </c>
      <c r="D2054" s="1659">
        <v>-3.19</v>
      </c>
      <c r="E2054" s="1658">
        <v>4540</v>
      </c>
      <c r="F2054" s="1658">
        <v>4540</v>
      </c>
      <c r="G2054" s="1658">
        <v>4395</v>
      </c>
      <c r="H2054" s="1658">
        <v>59088</v>
      </c>
      <c r="I2054" s="1658">
        <v>262323685</v>
      </c>
      <c r="J2054" s="1658">
        <v>249899027565</v>
      </c>
      <c r="K2054" s="1658">
        <v>56859847</v>
      </c>
    </row>
    <row r="2055" spans="1:11" x14ac:dyDescent="0.3">
      <c r="A2055" s="1657">
        <v>44691</v>
      </c>
      <c r="B2055" s="1658">
        <v>4470</v>
      </c>
      <c r="C2055" s="1658">
        <v>75</v>
      </c>
      <c r="D2055" s="1659">
        <v>1.71</v>
      </c>
      <c r="E2055" s="1658">
        <v>4315</v>
      </c>
      <c r="F2055" s="1658">
        <v>4470</v>
      </c>
      <c r="G2055" s="1658">
        <v>4255</v>
      </c>
      <c r="H2055" s="1658">
        <v>52593</v>
      </c>
      <c r="I2055" s="1658">
        <v>228884030</v>
      </c>
      <c r="J2055" s="1658">
        <v>254163516090</v>
      </c>
      <c r="K2055" s="1658">
        <v>56859847</v>
      </c>
    </row>
    <row r="2056" spans="1:11" x14ac:dyDescent="0.3">
      <c r="A2056" s="1657">
        <v>44692</v>
      </c>
      <c r="B2056" s="1658">
        <v>4455</v>
      </c>
      <c r="C2056" s="1658">
        <v>-15</v>
      </c>
      <c r="D2056" s="1659">
        <v>-0.34</v>
      </c>
      <c r="E2056" s="1658">
        <v>4470</v>
      </c>
      <c r="F2056" s="1658">
        <v>4505</v>
      </c>
      <c r="G2056" s="1658">
        <v>4420</v>
      </c>
      <c r="H2056" s="1658">
        <v>24047</v>
      </c>
      <c r="I2056" s="1658">
        <v>107478595</v>
      </c>
      <c r="J2056" s="1658">
        <v>253310618385</v>
      </c>
      <c r="K2056" s="1658">
        <v>56859847</v>
      </c>
    </row>
    <row r="2057" spans="1:11" x14ac:dyDescent="0.3">
      <c r="A2057" s="1657">
        <v>44693</v>
      </c>
      <c r="B2057" s="1658">
        <v>4290</v>
      </c>
      <c r="C2057" s="1658">
        <v>-165</v>
      </c>
      <c r="D2057" s="1659">
        <v>-3.7</v>
      </c>
      <c r="E2057" s="1658">
        <v>4390</v>
      </c>
      <c r="F2057" s="1658">
        <v>4440</v>
      </c>
      <c r="G2057" s="1658">
        <v>4250</v>
      </c>
      <c r="H2057" s="1658">
        <v>53954</v>
      </c>
      <c r="I2057" s="1658">
        <v>232656665</v>
      </c>
      <c r="J2057" s="1658">
        <v>243928743630</v>
      </c>
      <c r="K2057" s="1658">
        <v>56859847</v>
      </c>
    </row>
    <row r="2058" spans="1:11" x14ac:dyDescent="0.3">
      <c r="A2058" s="1657">
        <v>44694</v>
      </c>
      <c r="B2058" s="1658">
        <v>4265</v>
      </c>
      <c r="C2058" s="1658">
        <v>-25</v>
      </c>
      <c r="D2058" s="1659">
        <v>-0.57999999999999996</v>
      </c>
      <c r="E2058" s="1658">
        <v>4290</v>
      </c>
      <c r="F2058" s="1658">
        <v>4355</v>
      </c>
      <c r="G2058" s="1658">
        <v>4230</v>
      </c>
      <c r="H2058" s="1658">
        <v>56176</v>
      </c>
      <c r="I2058" s="1658">
        <v>240394860</v>
      </c>
      <c r="J2058" s="1658">
        <v>242507247455</v>
      </c>
      <c r="K2058" s="1658">
        <v>56859847</v>
      </c>
    </row>
    <row r="2059" spans="1:11" x14ac:dyDescent="0.3">
      <c r="A2059" s="1657">
        <v>44697</v>
      </c>
      <c r="B2059" s="1658">
        <v>4240</v>
      </c>
      <c r="C2059" s="1658">
        <v>-25</v>
      </c>
      <c r="D2059" s="1659">
        <v>-0.59</v>
      </c>
      <c r="E2059" s="1658">
        <v>4330</v>
      </c>
      <c r="F2059" s="1658">
        <v>4330</v>
      </c>
      <c r="G2059" s="1658">
        <v>4240</v>
      </c>
      <c r="H2059" s="1658">
        <v>21582</v>
      </c>
      <c r="I2059" s="1658">
        <v>92163785</v>
      </c>
      <c r="J2059" s="1658">
        <v>241085751280</v>
      </c>
      <c r="K2059" s="1658">
        <v>56859847</v>
      </c>
    </row>
    <row r="2060" spans="1:11" x14ac:dyDescent="0.3">
      <c r="A2060" s="1657">
        <v>44698</v>
      </c>
      <c r="B2060" s="1658">
        <v>4245</v>
      </c>
      <c r="C2060" s="1658">
        <v>5</v>
      </c>
      <c r="D2060" s="1659">
        <v>0.12</v>
      </c>
      <c r="E2060" s="1658">
        <v>4260</v>
      </c>
      <c r="F2060" s="1658">
        <v>4325</v>
      </c>
      <c r="G2060" s="1658">
        <v>4240</v>
      </c>
      <c r="H2060" s="1658">
        <v>41698</v>
      </c>
      <c r="I2060" s="1658">
        <v>178008840</v>
      </c>
      <c r="J2060" s="1658">
        <v>241370050515</v>
      </c>
      <c r="K2060" s="1658">
        <v>56859847</v>
      </c>
    </row>
    <row r="2061" spans="1:11" x14ac:dyDescent="0.3">
      <c r="A2061" s="1657">
        <v>44699</v>
      </c>
      <c r="B2061" s="1658">
        <v>4260</v>
      </c>
      <c r="C2061" s="1658">
        <v>15</v>
      </c>
      <c r="D2061" s="1659">
        <v>0.35</v>
      </c>
      <c r="E2061" s="1658">
        <v>4260</v>
      </c>
      <c r="F2061" s="1658">
        <v>4330</v>
      </c>
      <c r="G2061" s="1658">
        <v>4260</v>
      </c>
      <c r="H2061" s="1658">
        <v>23891</v>
      </c>
      <c r="I2061" s="1658">
        <v>102550230</v>
      </c>
      <c r="J2061" s="1658">
        <v>242222948220</v>
      </c>
      <c r="K2061" s="1658">
        <v>56859847</v>
      </c>
    </row>
    <row r="2062" spans="1:11" x14ac:dyDescent="0.3">
      <c r="A2062" s="1657">
        <v>44700</v>
      </c>
      <c r="B2062" s="1658">
        <v>4220</v>
      </c>
      <c r="C2062" s="1658">
        <v>-40</v>
      </c>
      <c r="D2062" s="1659">
        <v>-0.94</v>
      </c>
      <c r="E2062" s="1658">
        <v>4180</v>
      </c>
      <c r="F2062" s="1658">
        <v>4230</v>
      </c>
      <c r="G2062" s="1658">
        <v>4155</v>
      </c>
      <c r="H2062" s="1658">
        <v>36208</v>
      </c>
      <c r="I2062" s="1658">
        <v>151666055</v>
      </c>
      <c r="J2062" s="1658">
        <v>239948554340</v>
      </c>
      <c r="K2062" s="1658">
        <v>56859847</v>
      </c>
    </row>
    <row r="2063" spans="1:11" x14ac:dyDescent="0.3">
      <c r="A2063" s="1657">
        <v>44701</v>
      </c>
      <c r="B2063" s="1658">
        <v>4235</v>
      </c>
      <c r="C2063" s="1658">
        <v>15</v>
      </c>
      <c r="D2063" s="1659">
        <v>0.36</v>
      </c>
      <c r="E2063" s="1658">
        <v>4215</v>
      </c>
      <c r="F2063" s="1658">
        <v>4280</v>
      </c>
      <c r="G2063" s="1658">
        <v>4200</v>
      </c>
      <c r="H2063" s="1658">
        <v>37610</v>
      </c>
      <c r="I2063" s="1658">
        <v>158523295</v>
      </c>
      <c r="J2063" s="1658">
        <v>240801452045</v>
      </c>
      <c r="K2063" s="1658">
        <v>56859847</v>
      </c>
    </row>
    <row r="2064" spans="1:11" x14ac:dyDescent="0.3">
      <c r="A2064" s="1657">
        <v>44704</v>
      </c>
      <c r="B2064" s="1658">
        <v>4230</v>
      </c>
      <c r="C2064" s="1658">
        <v>-5</v>
      </c>
      <c r="D2064" s="1659">
        <v>-0.12</v>
      </c>
      <c r="E2064" s="1658">
        <v>4260</v>
      </c>
      <c r="F2064" s="1658">
        <v>4285</v>
      </c>
      <c r="G2064" s="1658">
        <v>4200</v>
      </c>
      <c r="H2064" s="1658">
        <v>18941</v>
      </c>
      <c r="I2064" s="1658">
        <v>80051875</v>
      </c>
      <c r="J2064" s="1658">
        <v>240517152810</v>
      </c>
      <c r="K2064" s="1658">
        <v>56859847</v>
      </c>
    </row>
    <row r="2065" spans="1:11" x14ac:dyDescent="0.3">
      <c r="A2065" s="1657">
        <v>44705</v>
      </c>
      <c r="B2065" s="1658">
        <v>4180</v>
      </c>
      <c r="C2065" s="1658">
        <v>-50</v>
      </c>
      <c r="D2065" s="1659">
        <v>-1.18</v>
      </c>
      <c r="E2065" s="1658">
        <v>4230</v>
      </c>
      <c r="F2065" s="1658">
        <v>4280</v>
      </c>
      <c r="G2065" s="1658">
        <v>4180</v>
      </c>
      <c r="H2065" s="1658">
        <v>24795</v>
      </c>
      <c r="I2065" s="1658">
        <v>104335605</v>
      </c>
      <c r="J2065" s="1658">
        <v>237674160460</v>
      </c>
      <c r="K2065" s="1658">
        <v>56859847</v>
      </c>
    </row>
    <row r="2066" spans="1:11" x14ac:dyDescent="0.3">
      <c r="A2066" s="1657">
        <v>44706</v>
      </c>
      <c r="B2066" s="1658">
        <v>4170</v>
      </c>
      <c r="C2066" s="1658">
        <v>-10</v>
      </c>
      <c r="D2066" s="1659">
        <v>-0.24</v>
      </c>
      <c r="E2066" s="1658">
        <v>4185</v>
      </c>
      <c r="F2066" s="1658">
        <v>4260</v>
      </c>
      <c r="G2066" s="1658">
        <v>4140</v>
      </c>
      <c r="H2066" s="1658">
        <v>28359</v>
      </c>
      <c r="I2066" s="1658">
        <v>118275705</v>
      </c>
      <c r="J2066" s="1658">
        <v>237105561990</v>
      </c>
      <c r="K2066" s="1658">
        <v>56859847</v>
      </c>
    </row>
    <row r="2067" spans="1:11" x14ac:dyDescent="0.3">
      <c r="A2067" s="1657">
        <v>44707</v>
      </c>
      <c r="B2067" s="1658">
        <v>4165</v>
      </c>
      <c r="C2067" s="1658">
        <v>-5</v>
      </c>
      <c r="D2067" s="1659">
        <v>-0.12</v>
      </c>
      <c r="E2067" s="1658">
        <v>4220</v>
      </c>
      <c r="F2067" s="1658">
        <v>4260</v>
      </c>
      <c r="G2067" s="1658">
        <v>4165</v>
      </c>
      <c r="H2067" s="1658">
        <v>17946</v>
      </c>
      <c r="I2067" s="1658">
        <v>75494810</v>
      </c>
      <c r="J2067" s="1658">
        <v>236821262755</v>
      </c>
      <c r="K2067" s="1658">
        <v>56859847</v>
      </c>
    </row>
    <row r="2068" spans="1:11" x14ac:dyDescent="0.3">
      <c r="A2068" s="1657">
        <v>44708</v>
      </c>
      <c r="B2068" s="1658">
        <v>4195</v>
      </c>
      <c r="C2068" s="1658">
        <v>30</v>
      </c>
      <c r="D2068" s="1659">
        <v>0.72</v>
      </c>
      <c r="E2068" s="1658">
        <v>4225</v>
      </c>
      <c r="F2068" s="1658">
        <v>4280</v>
      </c>
      <c r="G2068" s="1658">
        <v>4150</v>
      </c>
      <c r="H2068" s="1658">
        <v>24063</v>
      </c>
      <c r="I2068" s="1658">
        <v>100492795</v>
      </c>
      <c r="J2068" s="1658">
        <v>238527058165</v>
      </c>
      <c r="K2068" s="1658">
        <v>56859847</v>
      </c>
    </row>
    <row r="2069" spans="1:11" x14ac:dyDescent="0.3">
      <c r="A2069" s="1657">
        <v>44711</v>
      </c>
      <c r="B2069" s="1658">
        <v>4215</v>
      </c>
      <c r="C2069" s="1658">
        <v>20</v>
      </c>
      <c r="D2069" s="1659">
        <v>0.48</v>
      </c>
      <c r="E2069" s="1658">
        <v>4205</v>
      </c>
      <c r="F2069" s="1658">
        <v>4285</v>
      </c>
      <c r="G2069" s="1658">
        <v>4200</v>
      </c>
      <c r="H2069" s="1658">
        <v>34158</v>
      </c>
      <c r="I2069" s="1658">
        <v>144348535</v>
      </c>
      <c r="J2069" s="1658">
        <v>239664255105</v>
      </c>
      <c r="K2069" s="1658">
        <v>56859847</v>
      </c>
    </row>
    <row r="2070" spans="1:11" x14ac:dyDescent="0.3">
      <c r="A2070" s="1657">
        <v>44712</v>
      </c>
      <c r="B2070" s="1658">
        <v>4250</v>
      </c>
      <c r="C2070" s="1658">
        <v>35</v>
      </c>
      <c r="D2070" s="1659">
        <v>0.83</v>
      </c>
      <c r="E2070" s="1658">
        <v>4225</v>
      </c>
      <c r="F2070" s="1658">
        <v>4265</v>
      </c>
      <c r="G2070" s="1658">
        <v>4170</v>
      </c>
      <c r="H2070" s="1658">
        <v>84466</v>
      </c>
      <c r="I2070" s="1658">
        <v>357690135</v>
      </c>
      <c r="J2070" s="1658">
        <v>241654349750</v>
      </c>
      <c r="K2070" s="1658">
        <v>56859847</v>
      </c>
    </row>
    <row r="2071" spans="1:11" x14ac:dyDescent="0.3">
      <c r="A2071" s="1657">
        <v>44714</v>
      </c>
      <c r="B2071" s="1658">
        <v>4210</v>
      </c>
      <c r="C2071" s="1658">
        <v>-40</v>
      </c>
      <c r="D2071" s="1659">
        <v>-0.94</v>
      </c>
      <c r="E2071" s="1658">
        <v>4250</v>
      </c>
      <c r="F2071" s="1658">
        <v>4250</v>
      </c>
      <c r="G2071" s="1658">
        <v>4185</v>
      </c>
      <c r="H2071" s="1658">
        <v>8458</v>
      </c>
      <c r="I2071" s="1658">
        <v>35594165</v>
      </c>
      <c r="J2071" s="1658">
        <v>239379955870</v>
      </c>
      <c r="K2071" s="1658">
        <v>56859847</v>
      </c>
    </row>
    <row r="2072" spans="1:11" x14ac:dyDescent="0.3">
      <c r="A2072" s="1657">
        <v>44715</v>
      </c>
      <c r="B2072" s="1658">
        <v>4255</v>
      </c>
      <c r="C2072" s="1658">
        <v>45</v>
      </c>
      <c r="D2072" s="1659">
        <v>1.07</v>
      </c>
      <c r="E2072" s="1658">
        <v>4215</v>
      </c>
      <c r="F2072" s="1658">
        <v>4255</v>
      </c>
      <c r="G2072" s="1658">
        <v>4195</v>
      </c>
      <c r="H2072" s="1658">
        <v>19114</v>
      </c>
      <c r="I2072" s="1658">
        <v>80670715</v>
      </c>
      <c r="J2072" s="1658">
        <v>241938648985</v>
      </c>
      <c r="K2072" s="1658">
        <v>56859847</v>
      </c>
    </row>
    <row r="2073" spans="1:11" x14ac:dyDescent="0.3">
      <c r="A2073" s="1657">
        <v>44719</v>
      </c>
      <c r="B2073" s="1658">
        <v>4180</v>
      </c>
      <c r="C2073" s="1658">
        <v>-75</v>
      </c>
      <c r="D2073" s="1659">
        <v>-1.76</v>
      </c>
      <c r="E2073" s="1658">
        <v>4255</v>
      </c>
      <c r="F2073" s="1658">
        <v>4255</v>
      </c>
      <c r="G2073" s="1658">
        <v>4180</v>
      </c>
      <c r="H2073" s="1658">
        <v>57202</v>
      </c>
      <c r="I2073" s="1658">
        <v>240461770</v>
      </c>
      <c r="J2073" s="1658">
        <v>237674160460</v>
      </c>
      <c r="K2073" s="1658">
        <v>56859847</v>
      </c>
    </row>
    <row r="2074" spans="1:11" x14ac:dyDescent="0.3">
      <c r="A2074" s="1657">
        <v>44720</v>
      </c>
      <c r="B2074" s="1658">
        <v>4165</v>
      </c>
      <c r="C2074" s="1658">
        <v>-15</v>
      </c>
      <c r="D2074" s="1659">
        <v>-0.36</v>
      </c>
      <c r="E2074" s="1658">
        <v>4200</v>
      </c>
      <c r="F2074" s="1658">
        <v>4215</v>
      </c>
      <c r="G2074" s="1658">
        <v>4160</v>
      </c>
      <c r="H2074" s="1658">
        <v>35622</v>
      </c>
      <c r="I2074" s="1658">
        <v>149042025</v>
      </c>
      <c r="J2074" s="1658">
        <v>236821262755</v>
      </c>
      <c r="K2074" s="1658">
        <v>56859847</v>
      </c>
    </row>
    <row r="2075" spans="1:11" x14ac:dyDescent="0.3">
      <c r="A2075" s="1657">
        <v>44721</v>
      </c>
      <c r="B2075" s="1658">
        <v>4135</v>
      </c>
      <c r="C2075" s="1658">
        <v>-30</v>
      </c>
      <c r="D2075" s="1659">
        <v>-0.72</v>
      </c>
      <c r="E2075" s="1658">
        <v>4165</v>
      </c>
      <c r="F2075" s="1658">
        <v>4195</v>
      </c>
      <c r="G2075" s="1658">
        <v>4070</v>
      </c>
      <c r="H2075" s="1658">
        <v>60181</v>
      </c>
      <c r="I2075" s="1658">
        <v>246788155</v>
      </c>
      <c r="J2075" s="1658">
        <v>235115467345</v>
      </c>
      <c r="K2075" s="1658">
        <v>56859847</v>
      </c>
    </row>
    <row r="2076" spans="1:11" x14ac:dyDescent="0.3">
      <c r="A2076" s="1657">
        <v>44722</v>
      </c>
      <c r="B2076" s="1658">
        <v>4010</v>
      </c>
      <c r="C2076" s="1658">
        <v>-125</v>
      </c>
      <c r="D2076" s="1659">
        <v>-3.02</v>
      </c>
      <c r="E2076" s="1658">
        <v>4135</v>
      </c>
      <c r="F2076" s="1658">
        <v>4145</v>
      </c>
      <c r="G2076" s="1658">
        <v>3995</v>
      </c>
      <c r="H2076" s="1658">
        <v>104646</v>
      </c>
      <c r="I2076" s="1658">
        <v>421640050</v>
      </c>
      <c r="J2076" s="1658">
        <v>228007986470</v>
      </c>
      <c r="K2076" s="1658">
        <v>56859847</v>
      </c>
    </row>
    <row r="2077" spans="1:11" x14ac:dyDescent="0.3">
      <c r="A2077" s="1657">
        <v>44725</v>
      </c>
      <c r="B2077" s="1658">
        <v>3800</v>
      </c>
      <c r="C2077" s="1658">
        <v>-210</v>
      </c>
      <c r="D2077" s="1659">
        <v>-5.24</v>
      </c>
      <c r="E2077" s="1658">
        <v>3970</v>
      </c>
      <c r="F2077" s="1658">
        <v>3975</v>
      </c>
      <c r="G2077" s="1658">
        <v>3770</v>
      </c>
      <c r="H2077" s="1658">
        <v>88637</v>
      </c>
      <c r="I2077" s="1658">
        <v>339904625</v>
      </c>
      <c r="J2077" s="1658">
        <v>216067418600</v>
      </c>
      <c r="K2077" s="1658">
        <v>56859847</v>
      </c>
    </row>
    <row r="2078" spans="1:11" x14ac:dyDescent="0.3">
      <c r="A2078" s="1657">
        <v>44726</v>
      </c>
      <c r="B2078" s="1658">
        <v>3710</v>
      </c>
      <c r="C2078" s="1658">
        <v>-90</v>
      </c>
      <c r="D2078" s="1659">
        <v>-2.37</v>
      </c>
      <c r="E2078" s="1658">
        <v>3630</v>
      </c>
      <c r="F2078" s="1658">
        <v>3800</v>
      </c>
      <c r="G2078" s="1658">
        <v>3630</v>
      </c>
      <c r="H2078" s="1658">
        <v>41820</v>
      </c>
      <c r="I2078" s="1658">
        <v>154684620</v>
      </c>
      <c r="J2078" s="1658">
        <v>210950032370</v>
      </c>
      <c r="K2078" s="1658">
        <v>56859847</v>
      </c>
    </row>
    <row r="2079" spans="1:11" x14ac:dyDescent="0.3">
      <c r="A2079" s="1657">
        <v>44727</v>
      </c>
      <c r="B2079" s="1658">
        <v>3500</v>
      </c>
      <c r="C2079" s="1658">
        <v>-210</v>
      </c>
      <c r="D2079" s="1659">
        <v>-5.66</v>
      </c>
      <c r="E2079" s="1658">
        <v>3710</v>
      </c>
      <c r="F2079" s="1658">
        <v>3745</v>
      </c>
      <c r="G2079" s="1658">
        <v>3495</v>
      </c>
      <c r="H2079" s="1658">
        <v>101344</v>
      </c>
      <c r="I2079" s="1658">
        <v>361359705</v>
      </c>
      <c r="J2079" s="1658">
        <v>199009464500</v>
      </c>
      <c r="K2079" s="1658">
        <v>56859847</v>
      </c>
    </row>
    <row r="2080" spans="1:11" x14ac:dyDescent="0.3">
      <c r="A2080" s="1657">
        <v>44728</v>
      </c>
      <c r="B2080" s="1658">
        <v>3565</v>
      </c>
      <c r="C2080" s="1658">
        <v>65</v>
      </c>
      <c r="D2080" s="1659">
        <v>1.86</v>
      </c>
      <c r="E2080" s="1658">
        <v>3430</v>
      </c>
      <c r="F2080" s="1658">
        <v>3655</v>
      </c>
      <c r="G2080" s="1658">
        <v>3430</v>
      </c>
      <c r="H2080" s="1658">
        <v>103367</v>
      </c>
      <c r="I2080" s="1658">
        <v>362809080</v>
      </c>
      <c r="J2080" s="1658">
        <v>202705354555</v>
      </c>
      <c r="K2080" s="1658">
        <v>56859847</v>
      </c>
    </row>
    <row r="2081" spans="1:11" x14ac:dyDescent="0.3">
      <c r="A2081" s="1657">
        <v>44729</v>
      </c>
      <c r="B2081" s="1658">
        <v>3600</v>
      </c>
      <c r="C2081" s="1658">
        <v>35</v>
      </c>
      <c r="D2081" s="1659">
        <v>0.98</v>
      </c>
      <c r="E2081" s="1658">
        <v>3380</v>
      </c>
      <c r="F2081" s="1658">
        <v>3615</v>
      </c>
      <c r="G2081" s="1658">
        <v>3380</v>
      </c>
      <c r="H2081" s="1658">
        <v>49411</v>
      </c>
      <c r="I2081" s="1658">
        <v>171820440</v>
      </c>
      <c r="J2081" s="1658">
        <v>204695449200</v>
      </c>
      <c r="K2081" s="1658">
        <v>56859847</v>
      </c>
    </row>
    <row r="2082" spans="1:11" x14ac:dyDescent="0.3">
      <c r="A2082" s="1657">
        <v>44732</v>
      </c>
      <c r="B2082" s="1658">
        <v>3355</v>
      </c>
      <c r="C2082" s="1658">
        <v>-245</v>
      </c>
      <c r="D2082" s="1659">
        <v>-6.81</v>
      </c>
      <c r="E2082" s="1658">
        <v>3560</v>
      </c>
      <c r="F2082" s="1658">
        <v>3600</v>
      </c>
      <c r="G2082" s="1658">
        <v>3305</v>
      </c>
      <c r="H2082" s="1658">
        <v>61127</v>
      </c>
      <c r="I2082" s="1658">
        <v>207283535</v>
      </c>
      <c r="J2082" s="1658">
        <v>190764786685</v>
      </c>
      <c r="K2082" s="1658">
        <v>56859847</v>
      </c>
    </row>
    <row r="2083" spans="1:11" x14ac:dyDescent="0.3">
      <c r="A2083" s="1657">
        <v>44733</v>
      </c>
      <c r="B2083" s="1658">
        <v>3410</v>
      </c>
      <c r="C2083" s="1658">
        <v>55</v>
      </c>
      <c r="D2083" s="1659">
        <v>1.64</v>
      </c>
      <c r="E2083" s="1658">
        <v>3390</v>
      </c>
      <c r="F2083" s="1658">
        <v>3570</v>
      </c>
      <c r="G2083" s="1658">
        <v>3300</v>
      </c>
      <c r="H2083" s="1658">
        <v>140181</v>
      </c>
      <c r="I2083" s="1658">
        <v>478645460</v>
      </c>
      <c r="J2083" s="1658">
        <v>193892078270</v>
      </c>
      <c r="K2083" s="1658">
        <v>56859847</v>
      </c>
    </row>
    <row r="2084" spans="1:11" x14ac:dyDescent="0.3">
      <c r="A2084" s="1657">
        <v>44734</v>
      </c>
      <c r="B2084" s="1658">
        <v>3240</v>
      </c>
      <c r="C2084" s="1658">
        <v>-170</v>
      </c>
      <c r="D2084" s="1659">
        <v>-4.99</v>
      </c>
      <c r="E2084" s="1658">
        <v>3415</v>
      </c>
      <c r="F2084" s="1658">
        <v>3430</v>
      </c>
      <c r="G2084" s="1658">
        <v>3230</v>
      </c>
      <c r="H2084" s="1658">
        <v>57105</v>
      </c>
      <c r="I2084" s="1658">
        <v>188631630</v>
      </c>
      <c r="J2084" s="1658">
        <v>184225904280</v>
      </c>
      <c r="K2084" s="1658">
        <v>56859847</v>
      </c>
    </row>
    <row r="2085" spans="1:11" x14ac:dyDescent="0.3">
      <c r="A2085" s="1657">
        <v>44735</v>
      </c>
      <c r="B2085" s="1658">
        <v>3040</v>
      </c>
      <c r="C2085" s="1658">
        <v>-200</v>
      </c>
      <c r="D2085" s="1659">
        <v>-6.17</v>
      </c>
      <c r="E2085" s="1658">
        <v>3290</v>
      </c>
      <c r="F2085" s="1658">
        <v>3290</v>
      </c>
      <c r="G2085" s="1658">
        <v>3035</v>
      </c>
      <c r="H2085" s="1658">
        <v>104330</v>
      </c>
      <c r="I2085" s="1658">
        <v>326440005</v>
      </c>
      <c r="J2085" s="1658">
        <v>172853934880</v>
      </c>
      <c r="K2085" s="1658">
        <v>56859847</v>
      </c>
    </row>
    <row r="2086" spans="1:11" x14ac:dyDescent="0.3">
      <c r="A2086" s="1657">
        <v>44736</v>
      </c>
      <c r="B2086" s="1658">
        <v>3160</v>
      </c>
      <c r="C2086" s="1658">
        <v>120</v>
      </c>
      <c r="D2086" s="1659">
        <v>3.95</v>
      </c>
      <c r="E2086" s="1658">
        <v>3000</v>
      </c>
      <c r="F2086" s="1658">
        <v>3200</v>
      </c>
      <c r="G2086" s="1658">
        <v>3000</v>
      </c>
      <c r="H2086" s="1658">
        <v>45080</v>
      </c>
      <c r="I2086" s="1658">
        <v>141238215</v>
      </c>
      <c r="J2086" s="1658">
        <v>179677116520</v>
      </c>
      <c r="K2086" s="1658">
        <v>56859847</v>
      </c>
    </row>
    <row r="2087" spans="1:11" x14ac:dyDescent="0.3">
      <c r="A2087" s="1657">
        <v>44739</v>
      </c>
      <c r="B2087" s="1658">
        <v>3250</v>
      </c>
      <c r="C2087" s="1658">
        <v>90</v>
      </c>
      <c r="D2087" s="1659">
        <v>2.85</v>
      </c>
      <c r="E2087" s="1658">
        <v>3160</v>
      </c>
      <c r="F2087" s="1658">
        <v>3265</v>
      </c>
      <c r="G2087" s="1658">
        <v>3100</v>
      </c>
      <c r="H2087" s="1658">
        <v>42581</v>
      </c>
      <c r="I2087" s="1658">
        <v>136705680</v>
      </c>
      <c r="J2087" s="1658">
        <v>184794502750</v>
      </c>
      <c r="K2087" s="1658">
        <v>56859847</v>
      </c>
    </row>
    <row r="2088" spans="1:11" x14ac:dyDescent="0.3">
      <c r="A2088" s="1657">
        <v>44740</v>
      </c>
      <c r="B2088" s="1658">
        <v>3225</v>
      </c>
      <c r="C2088" s="1658">
        <v>-25</v>
      </c>
      <c r="D2088" s="1659">
        <v>-0.77</v>
      </c>
      <c r="E2088" s="1658">
        <v>3255</v>
      </c>
      <c r="F2088" s="1658">
        <v>3280</v>
      </c>
      <c r="G2088" s="1658">
        <v>3170</v>
      </c>
      <c r="H2088" s="1658">
        <v>33649</v>
      </c>
      <c r="I2088" s="1658">
        <v>108315365</v>
      </c>
      <c r="J2088" s="1658">
        <v>183373006575</v>
      </c>
      <c r="K2088" s="1658">
        <v>56859847</v>
      </c>
    </row>
    <row r="2089" spans="1:11" x14ac:dyDescent="0.3">
      <c r="A2089" s="1657">
        <v>44741</v>
      </c>
      <c r="B2089" s="1658">
        <v>3205</v>
      </c>
      <c r="C2089" s="1658">
        <v>-20</v>
      </c>
      <c r="D2089" s="1659">
        <v>-0.62</v>
      </c>
      <c r="E2089" s="1658">
        <v>3225</v>
      </c>
      <c r="F2089" s="1658">
        <v>3225</v>
      </c>
      <c r="G2089" s="1658">
        <v>3130</v>
      </c>
      <c r="H2089" s="1658">
        <v>19098</v>
      </c>
      <c r="I2089" s="1658">
        <v>60696635</v>
      </c>
      <c r="J2089" s="1658">
        <v>182235809635</v>
      </c>
      <c r="K2089" s="1658">
        <v>56859847</v>
      </c>
    </row>
    <row r="2090" spans="1:11" x14ac:dyDescent="0.3">
      <c r="A2090" s="1657">
        <v>44742</v>
      </c>
      <c r="B2090" s="1658">
        <v>3205</v>
      </c>
      <c r="C2090" s="1658">
        <v>0</v>
      </c>
      <c r="D2090" s="1659">
        <v>0</v>
      </c>
      <c r="E2090" s="1658">
        <v>3165</v>
      </c>
      <c r="F2090" s="1658">
        <v>3235</v>
      </c>
      <c r="G2090" s="1658">
        <v>3135</v>
      </c>
      <c r="H2090" s="1658">
        <v>35226</v>
      </c>
      <c r="I2090" s="1658">
        <v>111587170</v>
      </c>
      <c r="J2090" s="1658">
        <v>182235809635</v>
      </c>
      <c r="K2090" s="1658">
        <v>56859847</v>
      </c>
    </row>
    <row r="2091" spans="1:11" x14ac:dyDescent="0.3">
      <c r="A2091" s="1657">
        <v>44743</v>
      </c>
      <c r="B2091" s="1658">
        <v>3160</v>
      </c>
      <c r="C2091" s="1658">
        <v>-45</v>
      </c>
      <c r="D2091" s="1659">
        <v>-1.4</v>
      </c>
      <c r="E2091" s="1658">
        <v>3240</v>
      </c>
      <c r="F2091" s="1658">
        <v>3240</v>
      </c>
      <c r="G2091" s="1658">
        <v>3100</v>
      </c>
      <c r="H2091" s="1658">
        <v>21364</v>
      </c>
      <c r="I2091" s="1658">
        <v>67249565</v>
      </c>
      <c r="J2091" s="1658">
        <v>179677116520</v>
      </c>
      <c r="K2091" s="1658">
        <v>56859847</v>
      </c>
    </row>
    <row r="2092" spans="1:11" x14ac:dyDescent="0.3">
      <c r="A2092" s="1657">
        <v>44746</v>
      </c>
      <c r="B2092" s="1658">
        <v>3085</v>
      </c>
      <c r="C2092" s="1658">
        <v>-75</v>
      </c>
      <c r="D2092" s="1659">
        <v>-2.37</v>
      </c>
      <c r="E2092" s="1658">
        <v>3140</v>
      </c>
      <c r="F2092" s="1658">
        <v>3160</v>
      </c>
      <c r="G2092" s="1658">
        <v>3045</v>
      </c>
      <c r="H2092" s="1658">
        <v>25919</v>
      </c>
      <c r="I2092" s="1658">
        <v>80164910</v>
      </c>
      <c r="J2092" s="1658">
        <v>175412627995</v>
      </c>
      <c r="K2092" s="1658">
        <v>56859847</v>
      </c>
    </row>
    <row r="2093" spans="1:11" x14ac:dyDescent="0.3">
      <c r="A2093" s="1657">
        <v>44747</v>
      </c>
      <c r="B2093" s="1658">
        <v>3180</v>
      </c>
      <c r="C2093" s="1658">
        <v>95</v>
      </c>
      <c r="D2093" s="1659">
        <v>3.08</v>
      </c>
      <c r="E2093" s="1658">
        <v>3145</v>
      </c>
      <c r="F2093" s="1658">
        <v>3210</v>
      </c>
      <c r="G2093" s="1658">
        <v>3000</v>
      </c>
      <c r="H2093" s="1658">
        <v>31718</v>
      </c>
      <c r="I2093" s="1658">
        <v>99034075</v>
      </c>
      <c r="J2093" s="1658">
        <v>180814313460</v>
      </c>
      <c r="K2093" s="1658">
        <v>56859847</v>
      </c>
    </row>
    <row r="2094" spans="1:11" x14ac:dyDescent="0.3">
      <c r="A2094" s="1657">
        <v>44748</v>
      </c>
      <c r="B2094" s="1658">
        <v>3205</v>
      </c>
      <c r="C2094" s="1658">
        <v>25</v>
      </c>
      <c r="D2094" s="1659">
        <v>0.79</v>
      </c>
      <c r="E2094" s="1658">
        <v>3130</v>
      </c>
      <c r="F2094" s="1658">
        <v>3220</v>
      </c>
      <c r="G2094" s="1658">
        <v>3130</v>
      </c>
      <c r="H2094" s="1658">
        <v>21053</v>
      </c>
      <c r="I2094" s="1658">
        <v>67046455</v>
      </c>
      <c r="J2094" s="1658">
        <v>182235809635</v>
      </c>
      <c r="K2094" s="1658">
        <v>56859847</v>
      </c>
    </row>
    <row r="2095" spans="1:11" x14ac:dyDescent="0.3">
      <c r="A2095" s="1657">
        <v>44749</v>
      </c>
      <c r="B2095" s="1658">
        <v>3250</v>
      </c>
      <c r="C2095" s="1658">
        <v>45</v>
      </c>
      <c r="D2095" s="1659">
        <v>1.4</v>
      </c>
      <c r="E2095" s="1658">
        <v>3205</v>
      </c>
      <c r="F2095" s="1658">
        <v>3255</v>
      </c>
      <c r="G2095" s="1658">
        <v>3190</v>
      </c>
      <c r="H2095" s="1658">
        <v>25333</v>
      </c>
      <c r="I2095" s="1658">
        <v>81966425</v>
      </c>
      <c r="J2095" s="1658">
        <v>184794502750</v>
      </c>
      <c r="K2095" s="1658">
        <v>56859847</v>
      </c>
    </row>
    <row r="2096" spans="1:11" x14ac:dyDescent="0.3">
      <c r="A2096" s="1657">
        <v>44750</v>
      </c>
      <c r="B2096" s="1658">
        <v>3300</v>
      </c>
      <c r="C2096" s="1658">
        <v>50</v>
      </c>
      <c r="D2096" s="1659">
        <v>1.54</v>
      </c>
      <c r="E2096" s="1658">
        <v>3295</v>
      </c>
      <c r="F2096" s="1658">
        <v>3345</v>
      </c>
      <c r="G2096" s="1658">
        <v>3255</v>
      </c>
      <c r="H2096" s="1658">
        <v>35412</v>
      </c>
      <c r="I2096" s="1658">
        <v>117482090</v>
      </c>
      <c r="J2096" s="1658">
        <v>187637495100</v>
      </c>
      <c r="K2096" s="1658">
        <v>56859847</v>
      </c>
    </row>
    <row r="2097" spans="1:11" x14ac:dyDescent="0.3">
      <c r="A2097" s="1657">
        <v>44753</v>
      </c>
      <c r="B2097" s="1658">
        <v>3295</v>
      </c>
      <c r="C2097" s="1658">
        <v>-5</v>
      </c>
      <c r="D2097" s="1659">
        <v>-0.15</v>
      </c>
      <c r="E2097" s="1658">
        <v>3300</v>
      </c>
      <c r="F2097" s="1658">
        <v>3350</v>
      </c>
      <c r="G2097" s="1658">
        <v>3260</v>
      </c>
      <c r="H2097" s="1658">
        <v>16773</v>
      </c>
      <c r="I2097" s="1658">
        <v>55600785</v>
      </c>
      <c r="J2097" s="1658">
        <v>187353195865</v>
      </c>
      <c r="K2097" s="1658">
        <v>56859847</v>
      </c>
    </row>
    <row r="2098" spans="1:11" x14ac:dyDescent="0.3">
      <c r="A2098" s="1657">
        <v>44754</v>
      </c>
      <c r="B2098" s="1658">
        <v>3195</v>
      </c>
      <c r="C2098" s="1658">
        <v>-100</v>
      </c>
      <c r="D2098" s="1659">
        <v>-3.03</v>
      </c>
      <c r="E2098" s="1658">
        <v>3290</v>
      </c>
      <c r="F2098" s="1658">
        <v>3290</v>
      </c>
      <c r="G2098" s="1658">
        <v>3165</v>
      </c>
      <c r="H2098" s="1658">
        <v>19769</v>
      </c>
      <c r="I2098" s="1658">
        <v>63371595</v>
      </c>
      <c r="J2098" s="1658">
        <v>181667211165</v>
      </c>
      <c r="K2098" s="1658">
        <v>56859847</v>
      </c>
    </row>
    <row r="2099" spans="1:11" x14ac:dyDescent="0.3">
      <c r="A2099" s="1657">
        <v>44755</v>
      </c>
      <c r="B2099" s="1658">
        <v>3215</v>
      </c>
      <c r="C2099" s="1658">
        <v>20</v>
      </c>
      <c r="D2099" s="1659">
        <v>0.63</v>
      </c>
      <c r="E2099" s="1658">
        <v>3220</v>
      </c>
      <c r="F2099" s="1658">
        <v>3295</v>
      </c>
      <c r="G2099" s="1658">
        <v>3180</v>
      </c>
      <c r="H2099" s="1658">
        <v>9188</v>
      </c>
      <c r="I2099" s="1658">
        <v>29612750</v>
      </c>
      <c r="J2099" s="1658">
        <v>182804408105</v>
      </c>
      <c r="K2099" s="1658">
        <v>56859847</v>
      </c>
    </row>
    <row r="2100" spans="1:11" x14ac:dyDescent="0.3">
      <c r="A2100" s="1657">
        <v>44756</v>
      </c>
      <c r="B2100" s="1658">
        <v>3230</v>
      </c>
      <c r="C2100" s="1658">
        <v>15</v>
      </c>
      <c r="D2100" s="1659">
        <v>0.47</v>
      </c>
      <c r="E2100" s="1658">
        <v>3190</v>
      </c>
      <c r="F2100" s="1658">
        <v>3290</v>
      </c>
      <c r="G2100" s="1658">
        <v>3175</v>
      </c>
      <c r="H2100" s="1658">
        <v>14170</v>
      </c>
      <c r="I2100" s="1658">
        <v>45591130</v>
      </c>
      <c r="J2100" s="1658">
        <v>183657305810</v>
      </c>
      <c r="K2100" s="1658">
        <v>56859847</v>
      </c>
    </row>
    <row r="2101" spans="1:11" x14ac:dyDescent="0.3">
      <c r="A2101" s="1657">
        <v>44757</v>
      </c>
      <c r="B2101" s="1658">
        <v>3205</v>
      </c>
      <c r="C2101" s="1658">
        <v>-25</v>
      </c>
      <c r="D2101" s="1659">
        <v>-0.77</v>
      </c>
      <c r="E2101" s="1658">
        <v>3285</v>
      </c>
      <c r="F2101" s="1658">
        <v>3285</v>
      </c>
      <c r="G2101" s="1658">
        <v>3195</v>
      </c>
      <c r="H2101" s="1658">
        <v>26951</v>
      </c>
      <c r="I2101" s="1658">
        <v>86757545</v>
      </c>
      <c r="J2101" s="1658">
        <v>182235809635</v>
      </c>
      <c r="K2101" s="1658">
        <v>56859847</v>
      </c>
    </row>
    <row r="2102" spans="1:11" x14ac:dyDescent="0.3">
      <c r="A2102" s="1657">
        <v>44760</v>
      </c>
      <c r="B2102" s="1658">
        <v>3240</v>
      </c>
      <c r="C2102" s="1658">
        <v>35</v>
      </c>
      <c r="D2102" s="1659">
        <v>1.0900000000000001</v>
      </c>
      <c r="E2102" s="1658">
        <v>3210</v>
      </c>
      <c r="F2102" s="1658">
        <v>3280</v>
      </c>
      <c r="G2102" s="1658">
        <v>3210</v>
      </c>
      <c r="H2102" s="1658">
        <v>24006</v>
      </c>
      <c r="I2102" s="1658">
        <v>77798760</v>
      </c>
      <c r="J2102" s="1658">
        <v>184225904280</v>
      </c>
      <c r="K2102" s="1658">
        <v>56859847</v>
      </c>
    </row>
    <row r="2103" spans="1:11" x14ac:dyDescent="0.3">
      <c r="A2103" s="1657">
        <v>44761</v>
      </c>
      <c r="B2103" s="1658">
        <v>3255</v>
      </c>
      <c r="C2103" s="1658">
        <v>15</v>
      </c>
      <c r="D2103" s="1659">
        <v>0.46</v>
      </c>
      <c r="E2103" s="1658">
        <v>3295</v>
      </c>
      <c r="F2103" s="1658">
        <v>3295</v>
      </c>
      <c r="G2103" s="1658">
        <v>3200</v>
      </c>
      <c r="H2103" s="1658">
        <v>31380</v>
      </c>
      <c r="I2103" s="1658">
        <v>100986720</v>
      </c>
      <c r="J2103" s="1658">
        <v>185078801985</v>
      </c>
      <c r="K2103" s="1658">
        <v>56859847</v>
      </c>
    </row>
    <row r="2104" spans="1:11" x14ac:dyDescent="0.3">
      <c r="A2104" s="1657">
        <v>44762</v>
      </c>
      <c r="B2104" s="1658">
        <v>3295</v>
      </c>
      <c r="C2104" s="1658">
        <v>40</v>
      </c>
      <c r="D2104" s="1659">
        <v>1.23</v>
      </c>
      <c r="E2104" s="1658">
        <v>3285</v>
      </c>
      <c r="F2104" s="1658">
        <v>3360</v>
      </c>
      <c r="G2104" s="1658">
        <v>3285</v>
      </c>
      <c r="H2104" s="1658">
        <v>21390</v>
      </c>
      <c r="I2104" s="1658">
        <v>70845195</v>
      </c>
      <c r="J2104" s="1658">
        <v>187353195865</v>
      </c>
      <c r="K2104" s="1658">
        <v>56859847</v>
      </c>
    </row>
    <row r="2105" spans="1:11" x14ac:dyDescent="0.3">
      <c r="A2105" s="1657">
        <v>44763</v>
      </c>
      <c r="B2105" s="1658">
        <v>3310</v>
      </c>
      <c r="C2105" s="1658">
        <v>15</v>
      </c>
      <c r="D2105" s="1659">
        <v>0.46</v>
      </c>
      <c r="E2105" s="1658">
        <v>3340</v>
      </c>
      <c r="F2105" s="1658">
        <v>3390</v>
      </c>
      <c r="G2105" s="1658">
        <v>3250</v>
      </c>
      <c r="H2105" s="1658">
        <v>36283</v>
      </c>
      <c r="I2105" s="1658">
        <v>119538175</v>
      </c>
      <c r="J2105" s="1658">
        <v>188206093570</v>
      </c>
      <c r="K2105" s="1658">
        <v>56859847</v>
      </c>
    </row>
    <row r="2106" spans="1:11" x14ac:dyDescent="0.3">
      <c r="A2106" s="1657">
        <v>44764</v>
      </c>
      <c r="B2106" s="1658">
        <v>3335</v>
      </c>
      <c r="C2106" s="1658">
        <v>25</v>
      </c>
      <c r="D2106" s="1659">
        <v>0.76</v>
      </c>
      <c r="E2106" s="1658">
        <v>3320</v>
      </c>
      <c r="F2106" s="1658">
        <v>3380</v>
      </c>
      <c r="G2106" s="1658">
        <v>3300</v>
      </c>
      <c r="H2106" s="1658">
        <v>12819</v>
      </c>
      <c r="I2106" s="1658">
        <v>42582320</v>
      </c>
      <c r="J2106" s="1658">
        <v>189627589745</v>
      </c>
      <c r="K2106" s="1658">
        <v>56859847</v>
      </c>
    </row>
    <row r="2107" spans="1:11" x14ac:dyDescent="0.3">
      <c r="A2107" s="1657">
        <v>44767</v>
      </c>
      <c r="B2107" s="1658">
        <v>3375</v>
      </c>
      <c r="C2107" s="1658">
        <v>40</v>
      </c>
      <c r="D2107" s="1659">
        <v>1.2</v>
      </c>
      <c r="E2107" s="1658">
        <v>3390</v>
      </c>
      <c r="F2107" s="1658">
        <v>3435</v>
      </c>
      <c r="G2107" s="1658">
        <v>3320</v>
      </c>
      <c r="H2107" s="1658">
        <v>32896</v>
      </c>
      <c r="I2107" s="1658">
        <v>110825905</v>
      </c>
      <c r="J2107" s="1658">
        <v>191901983625</v>
      </c>
      <c r="K2107" s="1658">
        <v>56859847</v>
      </c>
    </row>
    <row r="2108" spans="1:11" x14ac:dyDescent="0.3">
      <c r="A2108" s="1657">
        <v>44768</v>
      </c>
      <c r="B2108" s="1658">
        <v>3350</v>
      </c>
      <c r="C2108" s="1658">
        <v>-25</v>
      </c>
      <c r="D2108" s="1659">
        <v>-0.74</v>
      </c>
      <c r="E2108" s="1658">
        <v>3425</v>
      </c>
      <c r="F2108" s="1658">
        <v>3425</v>
      </c>
      <c r="G2108" s="1658">
        <v>3325</v>
      </c>
      <c r="H2108" s="1658">
        <v>20429</v>
      </c>
      <c r="I2108" s="1658">
        <v>68327325</v>
      </c>
      <c r="J2108" s="1658">
        <v>190480487450</v>
      </c>
      <c r="K2108" s="1658">
        <v>56859847</v>
      </c>
    </row>
    <row r="2109" spans="1:11" x14ac:dyDescent="0.3">
      <c r="A2109" s="1657">
        <v>44769</v>
      </c>
      <c r="B2109" s="1658">
        <v>3410</v>
      </c>
      <c r="C2109" s="1658">
        <v>60</v>
      </c>
      <c r="D2109" s="1659">
        <v>1.79</v>
      </c>
      <c r="E2109" s="1658">
        <v>3375</v>
      </c>
      <c r="F2109" s="1658">
        <v>3425</v>
      </c>
      <c r="G2109" s="1658">
        <v>3315</v>
      </c>
      <c r="H2109" s="1658">
        <v>19162</v>
      </c>
      <c r="I2109" s="1658">
        <v>64449490</v>
      </c>
      <c r="J2109" s="1658">
        <v>193892078270</v>
      </c>
      <c r="K2109" s="1658">
        <v>56859847</v>
      </c>
    </row>
    <row r="2110" spans="1:11" x14ac:dyDescent="0.3">
      <c r="A2110" s="1657">
        <v>44770</v>
      </c>
      <c r="B2110" s="1658">
        <v>3380</v>
      </c>
      <c r="C2110" s="1658">
        <v>-30</v>
      </c>
      <c r="D2110" s="1659">
        <v>-0.88</v>
      </c>
      <c r="E2110" s="1658">
        <v>3385</v>
      </c>
      <c r="F2110" s="1658">
        <v>3465</v>
      </c>
      <c r="G2110" s="1658">
        <v>3380</v>
      </c>
      <c r="H2110" s="1658">
        <v>17444</v>
      </c>
      <c r="I2110" s="1658">
        <v>59423840</v>
      </c>
      <c r="J2110" s="1658">
        <v>192186282860</v>
      </c>
      <c r="K2110" s="1658">
        <v>56859847</v>
      </c>
    </row>
    <row r="2111" spans="1:11" x14ac:dyDescent="0.3">
      <c r="A2111" s="1657">
        <v>44771</v>
      </c>
      <c r="B2111" s="1658">
        <v>3400</v>
      </c>
      <c r="C2111" s="1658">
        <v>20</v>
      </c>
      <c r="D2111" s="1659">
        <v>0.59</v>
      </c>
      <c r="E2111" s="1658">
        <v>3380</v>
      </c>
      <c r="F2111" s="1658">
        <v>3430</v>
      </c>
      <c r="G2111" s="1658">
        <v>3330</v>
      </c>
      <c r="H2111" s="1658">
        <v>37961</v>
      </c>
      <c r="I2111" s="1658">
        <v>127955425</v>
      </c>
      <c r="J2111" s="1658">
        <v>193323479800</v>
      </c>
      <c r="K2111" s="1658">
        <v>56859847</v>
      </c>
    </row>
    <row r="2112" spans="1:11" x14ac:dyDescent="0.3">
      <c r="A2112" s="1657">
        <v>44774</v>
      </c>
      <c r="B2112" s="1658">
        <v>3395</v>
      </c>
      <c r="C2112" s="1658">
        <v>-5</v>
      </c>
      <c r="D2112" s="1659">
        <v>-0.15</v>
      </c>
      <c r="E2112" s="1658">
        <v>3405</v>
      </c>
      <c r="F2112" s="1658">
        <v>3405</v>
      </c>
      <c r="G2112" s="1658">
        <v>3345</v>
      </c>
      <c r="H2112" s="1658">
        <v>18943</v>
      </c>
      <c r="I2112" s="1658">
        <v>64012060</v>
      </c>
      <c r="J2112" s="1658">
        <v>193039180565</v>
      </c>
      <c r="K2112" s="1658">
        <v>56859847</v>
      </c>
    </row>
    <row r="2113" spans="1:11" x14ac:dyDescent="0.3">
      <c r="A2113" s="1657">
        <v>44775</v>
      </c>
      <c r="B2113" s="1658">
        <v>3320</v>
      </c>
      <c r="C2113" s="1658">
        <v>-75</v>
      </c>
      <c r="D2113" s="1659">
        <v>-2.21</v>
      </c>
      <c r="E2113" s="1658">
        <v>3385</v>
      </c>
      <c r="F2113" s="1658">
        <v>3385</v>
      </c>
      <c r="G2113" s="1658">
        <v>3305</v>
      </c>
      <c r="H2113" s="1658">
        <v>58025</v>
      </c>
      <c r="I2113" s="1658">
        <v>192905970</v>
      </c>
      <c r="J2113" s="1658">
        <v>188774692040</v>
      </c>
      <c r="K2113" s="1658">
        <v>56859847</v>
      </c>
    </row>
    <row r="2114" spans="1:11" x14ac:dyDescent="0.3">
      <c r="A2114" s="1657">
        <v>44776</v>
      </c>
      <c r="B2114" s="1658">
        <v>3345</v>
      </c>
      <c r="C2114" s="1658">
        <v>25</v>
      </c>
      <c r="D2114" s="1659">
        <v>0.75</v>
      </c>
      <c r="E2114" s="1658">
        <v>3320</v>
      </c>
      <c r="F2114" s="1658">
        <v>3510</v>
      </c>
      <c r="G2114" s="1658">
        <v>3300</v>
      </c>
      <c r="H2114" s="1658">
        <v>24052</v>
      </c>
      <c r="I2114" s="1658">
        <v>80713555</v>
      </c>
      <c r="J2114" s="1658">
        <v>190196188215</v>
      </c>
      <c r="K2114" s="1658">
        <v>56859847</v>
      </c>
    </row>
    <row r="2115" spans="1:11" x14ac:dyDescent="0.3">
      <c r="A2115" s="1657">
        <v>44777</v>
      </c>
      <c r="B2115" s="1658">
        <v>3400</v>
      </c>
      <c r="C2115" s="1658">
        <v>55</v>
      </c>
      <c r="D2115" s="1659">
        <v>1.64</v>
      </c>
      <c r="E2115" s="1658">
        <v>3355</v>
      </c>
      <c r="F2115" s="1658">
        <v>3400</v>
      </c>
      <c r="G2115" s="1658">
        <v>3315</v>
      </c>
      <c r="H2115" s="1658">
        <v>23589</v>
      </c>
      <c r="I2115" s="1658">
        <v>79345945</v>
      </c>
      <c r="J2115" s="1658">
        <v>193323479800</v>
      </c>
      <c r="K2115" s="1658">
        <v>56859847</v>
      </c>
    </row>
    <row r="2116" spans="1:11" x14ac:dyDescent="0.3">
      <c r="A2116" s="1657">
        <v>44778</v>
      </c>
      <c r="B2116" s="1658">
        <v>3430</v>
      </c>
      <c r="C2116" s="1658">
        <v>30</v>
      </c>
      <c r="D2116" s="1659">
        <v>0.88</v>
      </c>
      <c r="E2116" s="1658">
        <v>3385</v>
      </c>
      <c r="F2116" s="1658">
        <v>3470</v>
      </c>
      <c r="G2116" s="1658">
        <v>3380</v>
      </c>
      <c r="H2116" s="1658">
        <v>34845</v>
      </c>
      <c r="I2116" s="1658">
        <v>118866530</v>
      </c>
      <c r="J2116" s="1658">
        <v>195029275210</v>
      </c>
      <c r="K2116" s="1658">
        <v>56859847</v>
      </c>
    </row>
    <row r="2117" spans="1:11" x14ac:dyDescent="0.3">
      <c r="A2117" s="1657">
        <v>44781</v>
      </c>
      <c r="B2117" s="1658">
        <v>3620</v>
      </c>
      <c r="C2117" s="1658">
        <v>190</v>
      </c>
      <c r="D2117" s="1659">
        <v>5.54</v>
      </c>
      <c r="E2117" s="1658">
        <v>3430</v>
      </c>
      <c r="F2117" s="1658">
        <v>3760</v>
      </c>
      <c r="G2117" s="1658">
        <v>3410</v>
      </c>
      <c r="H2117" s="1658">
        <v>388444</v>
      </c>
      <c r="I2117" s="1658">
        <v>1381973835</v>
      </c>
      <c r="J2117" s="1658">
        <v>205832646140</v>
      </c>
      <c r="K2117" s="1658">
        <v>56859847</v>
      </c>
    </row>
    <row r="2118" spans="1:11" x14ac:dyDescent="0.3">
      <c r="A2118" s="1657">
        <v>44782</v>
      </c>
      <c r="B2118" s="1658">
        <v>3720</v>
      </c>
      <c r="C2118" s="1658">
        <v>100</v>
      </c>
      <c r="D2118" s="1659">
        <v>2.76</v>
      </c>
      <c r="E2118" s="1658">
        <v>3630</v>
      </c>
      <c r="F2118" s="1658">
        <v>3825</v>
      </c>
      <c r="G2118" s="1658">
        <v>3620</v>
      </c>
      <c r="H2118" s="1658">
        <v>95223</v>
      </c>
      <c r="I2118" s="1658">
        <v>354778645</v>
      </c>
      <c r="J2118" s="1658">
        <v>211518630840</v>
      </c>
      <c r="K2118" s="1658">
        <v>56859847</v>
      </c>
    </row>
    <row r="2119" spans="1:11" x14ac:dyDescent="0.3">
      <c r="A2119" s="1657">
        <v>44783</v>
      </c>
      <c r="B2119" s="1658">
        <v>3720</v>
      </c>
      <c r="C2119" s="1658">
        <v>0</v>
      </c>
      <c r="D2119" s="1659">
        <v>0</v>
      </c>
      <c r="E2119" s="1658">
        <v>3730</v>
      </c>
      <c r="F2119" s="1658">
        <v>3735</v>
      </c>
      <c r="G2119" s="1658">
        <v>3635</v>
      </c>
      <c r="H2119" s="1658">
        <v>38564</v>
      </c>
      <c r="I2119" s="1658">
        <v>141524335</v>
      </c>
      <c r="J2119" s="1658">
        <v>211518630840</v>
      </c>
      <c r="K2119" s="1658">
        <v>56859847</v>
      </c>
    </row>
    <row r="2120" spans="1:11" x14ac:dyDescent="0.3">
      <c r="A2120" s="1657">
        <v>44784</v>
      </c>
      <c r="B2120" s="1658">
        <v>3720</v>
      </c>
      <c r="C2120" s="1658">
        <v>0</v>
      </c>
      <c r="D2120" s="1659">
        <v>0</v>
      </c>
      <c r="E2120" s="1658">
        <v>3690</v>
      </c>
      <c r="F2120" s="1658">
        <v>3720</v>
      </c>
      <c r="G2120" s="1658">
        <v>3655</v>
      </c>
      <c r="H2120" s="1658">
        <v>38501</v>
      </c>
      <c r="I2120" s="1658">
        <v>141953365</v>
      </c>
      <c r="J2120" s="1658">
        <v>211518630840</v>
      </c>
      <c r="K2120" s="1658">
        <v>56859847</v>
      </c>
    </row>
    <row r="2121" spans="1:11" x14ac:dyDescent="0.3">
      <c r="A2121" s="1657">
        <v>44785</v>
      </c>
      <c r="B2121" s="1658">
        <v>3740</v>
      </c>
      <c r="C2121" s="1658">
        <v>20</v>
      </c>
      <c r="D2121" s="1659">
        <v>0.54</v>
      </c>
      <c r="E2121" s="1658">
        <v>3700</v>
      </c>
      <c r="F2121" s="1658">
        <v>3740</v>
      </c>
      <c r="G2121" s="1658">
        <v>3655</v>
      </c>
      <c r="H2121" s="1658">
        <v>17949</v>
      </c>
      <c r="I2121" s="1658">
        <v>66595675</v>
      </c>
      <c r="J2121" s="1658">
        <v>212655827780</v>
      </c>
      <c r="K2121" s="1658">
        <v>56859847</v>
      </c>
    </row>
    <row r="2122" spans="1:11" x14ac:dyDescent="0.3">
      <c r="A2122" s="1657">
        <v>44789</v>
      </c>
      <c r="B2122" s="1658">
        <v>3770</v>
      </c>
      <c r="C2122" s="1658">
        <v>30</v>
      </c>
      <c r="D2122" s="1659">
        <v>0.8</v>
      </c>
      <c r="E2122" s="1658">
        <v>3775</v>
      </c>
      <c r="F2122" s="1658">
        <v>3775</v>
      </c>
      <c r="G2122" s="1658">
        <v>3710</v>
      </c>
      <c r="H2122" s="1658">
        <v>12525</v>
      </c>
      <c r="I2122" s="1658">
        <v>46838360</v>
      </c>
      <c r="J2122" s="1658">
        <v>214361623190</v>
      </c>
      <c r="K2122" s="1658">
        <v>56859847</v>
      </c>
    </row>
    <row r="2123" spans="1:11" x14ac:dyDescent="0.3">
      <c r="A2123" s="1657">
        <v>44790</v>
      </c>
      <c r="B2123" s="1658">
        <v>3750</v>
      </c>
      <c r="C2123" s="1658">
        <v>-20</v>
      </c>
      <c r="D2123" s="1659">
        <v>-0.53</v>
      </c>
      <c r="E2123" s="1658">
        <v>3755</v>
      </c>
      <c r="F2123" s="1658">
        <v>3795</v>
      </c>
      <c r="G2123" s="1658">
        <v>3705</v>
      </c>
      <c r="H2123" s="1658">
        <v>9427</v>
      </c>
      <c r="I2123" s="1658">
        <v>35323725</v>
      </c>
      <c r="J2123" s="1658">
        <v>213224426250</v>
      </c>
      <c r="K2123" s="1658">
        <v>56859847</v>
      </c>
    </row>
    <row r="2124" spans="1:11" x14ac:dyDescent="0.3">
      <c r="A2124" s="1657">
        <v>44791</v>
      </c>
      <c r="B2124" s="1658">
        <v>3695</v>
      </c>
      <c r="C2124" s="1658">
        <v>-55</v>
      </c>
      <c r="D2124" s="1659">
        <v>-1.47</v>
      </c>
      <c r="E2124" s="1658">
        <v>3750</v>
      </c>
      <c r="F2124" s="1658">
        <v>3755</v>
      </c>
      <c r="G2124" s="1658">
        <v>3680</v>
      </c>
      <c r="H2124" s="1658">
        <v>12002</v>
      </c>
      <c r="I2124" s="1658">
        <v>44501205</v>
      </c>
      <c r="J2124" s="1658">
        <v>210097134665</v>
      </c>
      <c r="K2124" s="1658">
        <v>56859847</v>
      </c>
    </row>
    <row r="2125" spans="1:11" x14ac:dyDescent="0.3">
      <c r="A2125" s="1657">
        <v>44792</v>
      </c>
      <c r="B2125" s="1658">
        <v>3640</v>
      </c>
      <c r="C2125" s="1658">
        <v>-55</v>
      </c>
      <c r="D2125" s="1659">
        <v>-1.49</v>
      </c>
      <c r="E2125" s="1658">
        <v>3750</v>
      </c>
      <c r="F2125" s="1658">
        <v>3750</v>
      </c>
      <c r="G2125" s="1658">
        <v>3620</v>
      </c>
      <c r="H2125" s="1658">
        <v>12611</v>
      </c>
      <c r="I2125" s="1658">
        <v>45883875</v>
      </c>
      <c r="J2125" s="1658">
        <v>206969843080</v>
      </c>
      <c r="K2125" s="1658">
        <v>56859847</v>
      </c>
    </row>
    <row r="2126" spans="1:11" x14ac:dyDescent="0.3">
      <c r="A2126" s="1657">
        <v>44795</v>
      </c>
      <c r="B2126" s="1658">
        <v>3490</v>
      </c>
      <c r="C2126" s="1658">
        <v>-150</v>
      </c>
      <c r="D2126" s="1659">
        <v>-4.12</v>
      </c>
      <c r="E2126" s="1658">
        <v>3640</v>
      </c>
      <c r="F2126" s="1658">
        <v>3640</v>
      </c>
      <c r="G2126" s="1658">
        <v>3490</v>
      </c>
      <c r="H2126" s="1658">
        <v>30592</v>
      </c>
      <c r="I2126" s="1658">
        <v>107774930</v>
      </c>
      <c r="J2126" s="1658">
        <v>198440866030</v>
      </c>
      <c r="K2126" s="1658">
        <v>56859847</v>
      </c>
    </row>
    <row r="2127" spans="1:11" x14ac:dyDescent="0.3">
      <c r="A2127" s="1657">
        <v>44796</v>
      </c>
      <c r="B2127" s="1658">
        <v>3330</v>
      </c>
      <c r="C2127" s="1658">
        <v>-160</v>
      </c>
      <c r="D2127" s="1659">
        <v>-4.58</v>
      </c>
      <c r="E2127" s="1658">
        <v>3460</v>
      </c>
      <c r="F2127" s="1658">
        <v>3485</v>
      </c>
      <c r="G2127" s="1658">
        <v>3300</v>
      </c>
      <c r="H2127" s="1658">
        <v>69022</v>
      </c>
      <c r="I2127" s="1658">
        <v>232467985</v>
      </c>
      <c r="J2127" s="1658">
        <v>189343290510</v>
      </c>
      <c r="K2127" s="1658">
        <v>56859847</v>
      </c>
    </row>
    <row r="2128" spans="1:11" x14ac:dyDescent="0.3">
      <c r="A2128" s="1657">
        <v>44797</v>
      </c>
      <c r="B2128" s="1658">
        <v>3375</v>
      </c>
      <c r="C2128" s="1658">
        <v>45</v>
      </c>
      <c r="D2128" s="1659">
        <v>1.35</v>
      </c>
      <c r="E2128" s="1658">
        <v>3345</v>
      </c>
      <c r="F2128" s="1658">
        <v>3600</v>
      </c>
      <c r="G2128" s="1658">
        <v>3305</v>
      </c>
      <c r="H2128" s="1658">
        <v>52424</v>
      </c>
      <c r="I2128" s="1658">
        <v>180410935</v>
      </c>
      <c r="J2128" s="1658">
        <v>191901983625</v>
      </c>
      <c r="K2128" s="1658">
        <v>56859847</v>
      </c>
    </row>
    <row r="2129" spans="1:11" x14ac:dyDescent="0.3">
      <c r="A2129" s="1657">
        <v>44798</v>
      </c>
      <c r="B2129" s="1658">
        <v>3530</v>
      </c>
      <c r="C2129" s="1658">
        <v>155</v>
      </c>
      <c r="D2129" s="1659">
        <v>4.59</v>
      </c>
      <c r="E2129" s="1658">
        <v>3380</v>
      </c>
      <c r="F2129" s="1658">
        <v>3605</v>
      </c>
      <c r="G2129" s="1658">
        <v>3370</v>
      </c>
      <c r="H2129" s="1658">
        <v>53315</v>
      </c>
      <c r="I2129" s="1658">
        <v>187302300</v>
      </c>
      <c r="J2129" s="1658">
        <v>200715259910</v>
      </c>
      <c r="K2129" s="1658">
        <v>56859847</v>
      </c>
    </row>
    <row r="2130" spans="1:11" x14ac:dyDescent="0.3">
      <c r="A2130" s="1657">
        <v>44799</v>
      </c>
      <c r="B2130" s="1658">
        <v>3480</v>
      </c>
      <c r="C2130" s="1658">
        <v>-50</v>
      </c>
      <c r="D2130" s="1659">
        <v>-1.42</v>
      </c>
      <c r="E2130" s="1658">
        <v>3570</v>
      </c>
      <c r="F2130" s="1658">
        <v>3570</v>
      </c>
      <c r="G2130" s="1658">
        <v>3465</v>
      </c>
      <c r="H2130" s="1658">
        <v>23355</v>
      </c>
      <c r="I2130" s="1658">
        <v>81570075</v>
      </c>
      <c r="J2130" s="1658">
        <v>197872267560</v>
      </c>
      <c r="K2130" s="1658">
        <v>56859847</v>
      </c>
    </row>
    <row r="2131" spans="1:11" x14ac:dyDescent="0.3">
      <c r="A2131" s="1657">
        <v>44802</v>
      </c>
      <c r="B2131" s="1658">
        <v>3285</v>
      </c>
      <c r="C2131" s="1658">
        <v>-195</v>
      </c>
      <c r="D2131" s="1659">
        <v>-5.6</v>
      </c>
      <c r="E2131" s="1658">
        <v>3350</v>
      </c>
      <c r="F2131" s="1658">
        <v>3450</v>
      </c>
      <c r="G2131" s="1658">
        <v>3095</v>
      </c>
      <c r="H2131" s="1658">
        <v>77967</v>
      </c>
      <c r="I2131" s="1658">
        <v>257442470</v>
      </c>
      <c r="J2131" s="1658">
        <v>186784597395</v>
      </c>
      <c r="K2131" s="1658">
        <v>56859847</v>
      </c>
    </row>
    <row r="2132" spans="1:11" x14ac:dyDescent="0.3">
      <c r="A2132" s="1657">
        <v>44803</v>
      </c>
      <c r="B2132" s="1658">
        <v>3320</v>
      </c>
      <c r="C2132" s="1658">
        <v>35</v>
      </c>
      <c r="D2132" s="1659">
        <v>1.07</v>
      </c>
      <c r="E2132" s="1658">
        <v>3300</v>
      </c>
      <c r="F2132" s="1658">
        <v>3325</v>
      </c>
      <c r="G2132" s="1658">
        <v>3265</v>
      </c>
      <c r="H2132" s="1658">
        <v>16091</v>
      </c>
      <c r="I2132" s="1658">
        <v>53152030</v>
      </c>
      <c r="J2132" s="1658">
        <v>188774692040</v>
      </c>
      <c r="K2132" s="1658">
        <v>56859847</v>
      </c>
    </row>
    <row r="2133" spans="1:11" x14ac:dyDescent="0.3">
      <c r="A2133" s="1657">
        <v>44804</v>
      </c>
      <c r="B2133" s="1658">
        <v>3370</v>
      </c>
      <c r="C2133" s="1658">
        <v>50</v>
      </c>
      <c r="D2133" s="1659">
        <v>1.51</v>
      </c>
      <c r="E2133" s="1658">
        <v>3295</v>
      </c>
      <c r="F2133" s="1658">
        <v>3370</v>
      </c>
      <c r="G2133" s="1658">
        <v>3295</v>
      </c>
      <c r="H2133" s="1658">
        <v>32437</v>
      </c>
      <c r="I2133" s="1658">
        <v>111175025</v>
      </c>
      <c r="J2133" s="1658">
        <v>191617684390</v>
      </c>
      <c r="K2133" s="1658">
        <v>56859847</v>
      </c>
    </row>
    <row r="2134" spans="1:11" x14ac:dyDescent="0.3">
      <c r="A2134" s="1657">
        <v>44805</v>
      </c>
      <c r="B2134" s="1658">
        <v>3270</v>
      </c>
      <c r="C2134" s="1658">
        <v>-100</v>
      </c>
      <c r="D2134" s="1659">
        <v>-2.97</v>
      </c>
      <c r="E2134" s="1658">
        <v>3580</v>
      </c>
      <c r="F2134" s="1658">
        <v>3585</v>
      </c>
      <c r="G2134" s="1658">
        <v>3270</v>
      </c>
      <c r="H2134" s="1658">
        <v>185806</v>
      </c>
      <c r="I2134" s="1658">
        <v>637236490</v>
      </c>
      <c r="J2134" s="1658">
        <v>185931699690</v>
      </c>
      <c r="K2134" s="1658">
        <v>56859847</v>
      </c>
    </row>
    <row r="2135" spans="1:11" x14ac:dyDescent="0.3">
      <c r="A2135" s="1657">
        <v>44806</v>
      </c>
      <c r="B2135" s="1658">
        <v>3245</v>
      </c>
      <c r="C2135" s="1658">
        <v>-25</v>
      </c>
      <c r="D2135" s="1659">
        <v>-0.76</v>
      </c>
      <c r="E2135" s="1658">
        <v>3270</v>
      </c>
      <c r="F2135" s="1658">
        <v>3310</v>
      </c>
      <c r="G2135" s="1658">
        <v>3210</v>
      </c>
      <c r="H2135" s="1658">
        <v>31802</v>
      </c>
      <c r="I2135" s="1658">
        <v>103676375</v>
      </c>
      <c r="J2135" s="1658">
        <v>184510203515</v>
      </c>
      <c r="K2135" s="1658">
        <v>56859847</v>
      </c>
    </row>
    <row r="2136" spans="1:11" x14ac:dyDescent="0.3">
      <c r="A2136" s="1657">
        <v>44809</v>
      </c>
      <c r="B2136" s="1658">
        <v>3210</v>
      </c>
      <c r="C2136" s="1658">
        <v>-35</v>
      </c>
      <c r="D2136" s="1659">
        <v>-1.08</v>
      </c>
      <c r="E2136" s="1658">
        <v>3200</v>
      </c>
      <c r="F2136" s="1658">
        <v>3280</v>
      </c>
      <c r="G2136" s="1658">
        <v>3160</v>
      </c>
      <c r="H2136" s="1658">
        <v>16165</v>
      </c>
      <c r="I2136" s="1658">
        <v>51724735</v>
      </c>
      <c r="J2136" s="1658">
        <v>182520108870</v>
      </c>
      <c r="K2136" s="1658">
        <v>56859847</v>
      </c>
    </row>
    <row r="2137" spans="1:11" x14ac:dyDescent="0.3">
      <c r="A2137" s="1657">
        <v>44810</v>
      </c>
      <c r="B2137" s="1658">
        <v>3210</v>
      </c>
      <c r="C2137" s="1658">
        <v>0</v>
      </c>
      <c r="D2137" s="1659">
        <v>0</v>
      </c>
      <c r="E2137" s="1658">
        <v>3240</v>
      </c>
      <c r="F2137" s="1658">
        <v>3240</v>
      </c>
      <c r="G2137" s="1658">
        <v>3165</v>
      </c>
      <c r="H2137" s="1658">
        <v>10417</v>
      </c>
      <c r="I2137" s="1658">
        <v>33243095</v>
      </c>
      <c r="J2137" s="1658">
        <v>182520108870</v>
      </c>
      <c r="K2137" s="1658">
        <v>56859847</v>
      </c>
    </row>
    <row r="2138" spans="1:11" x14ac:dyDescent="0.3">
      <c r="A2138" s="1657">
        <v>44811</v>
      </c>
      <c r="B2138" s="1658">
        <v>3145</v>
      </c>
      <c r="C2138" s="1658">
        <v>-65</v>
      </c>
      <c r="D2138" s="1659">
        <v>-2.02</v>
      </c>
      <c r="E2138" s="1658">
        <v>3210</v>
      </c>
      <c r="F2138" s="1658">
        <v>3210</v>
      </c>
      <c r="G2138" s="1658">
        <v>3105</v>
      </c>
      <c r="H2138" s="1658">
        <v>30122</v>
      </c>
      <c r="I2138" s="1658">
        <v>94566175</v>
      </c>
      <c r="J2138" s="1658">
        <v>178824218815</v>
      </c>
      <c r="K2138" s="1658">
        <v>56859847</v>
      </c>
    </row>
    <row r="2139" spans="1:11" x14ac:dyDescent="0.3">
      <c r="A2139" s="1657">
        <v>44812</v>
      </c>
      <c r="B2139" s="1658">
        <v>3200</v>
      </c>
      <c r="C2139" s="1658">
        <v>55</v>
      </c>
      <c r="D2139" s="1659">
        <v>1.75</v>
      </c>
      <c r="E2139" s="1658">
        <v>3195</v>
      </c>
      <c r="F2139" s="1658">
        <v>3200</v>
      </c>
      <c r="G2139" s="1658">
        <v>3140</v>
      </c>
      <c r="H2139" s="1658">
        <v>10293</v>
      </c>
      <c r="I2139" s="1658">
        <v>32610820</v>
      </c>
      <c r="J2139" s="1658">
        <v>181951510400</v>
      </c>
      <c r="K2139" s="1658">
        <v>56859847</v>
      </c>
    </row>
    <row r="2140" spans="1:11" x14ac:dyDescent="0.3">
      <c r="A2140" s="1657">
        <v>44817</v>
      </c>
      <c r="B2140" s="1658">
        <v>3245</v>
      </c>
      <c r="C2140" s="1658">
        <v>45</v>
      </c>
      <c r="D2140" s="1659">
        <v>1.41</v>
      </c>
      <c r="E2140" s="1658">
        <v>3205</v>
      </c>
      <c r="F2140" s="1658">
        <v>3300</v>
      </c>
      <c r="G2140" s="1658">
        <v>3205</v>
      </c>
      <c r="H2140" s="1658">
        <v>18322</v>
      </c>
      <c r="I2140" s="1658">
        <v>59717530</v>
      </c>
      <c r="J2140" s="1658">
        <v>184510203515</v>
      </c>
      <c r="K2140" s="1658">
        <v>56859847</v>
      </c>
    </row>
    <row r="2141" spans="1:11" x14ac:dyDescent="0.3">
      <c r="A2141" s="1657">
        <v>44818</v>
      </c>
      <c r="B2141" s="1658">
        <v>3150</v>
      </c>
      <c r="C2141" s="1658">
        <v>-95</v>
      </c>
      <c r="D2141" s="1659">
        <v>-2.93</v>
      </c>
      <c r="E2141" s="1658">
        <v>3235</v>
      </c>
      <c r="F2141" s="1658">
        <v>3235</v>
      </c>
      <c r="G2141" s="1658">
        <v>3145</v>
      </c>
      <c r="H2141" s="1658">
        <v>28821</v>
      </c>
      <c r="I2141" s="1658">
        <v>91207590</v>
      </c>
      <c r="J2141" s="1658">
        <v>179108518050</v>
      </c>
      <c r="K2141" s="1658">
        <v>56859847</v>
      </c>
    </row>
    <row r="2142" spans="1:11" x14ac:dyDescent="0.3">
      <c r="A2142" s="1657">
        <v>44819</v>
      </c>
      <c r="B2142" s="1658">
        <v>3190</v>
      </c>
      <c r="C2142" s="1658">
        <v>40</v>
      </c>
      <c r="D2142" s="1659">
        <v>1.27</v>
      </c>
      <c r="E2142" s="1658">
        <v>3150</v>
      </c>
      <c r="F2142" s="1658">
        <v>3210</v>
      </c>
      <c r="G2142" s="1658">
        <v>3145</v>
      </c>
      <c r="H2142" s="1658">
        <v>35916</v>
      </c>
      <c r="I2142" s="1658">
        <v>114068925</v>
      </c>
      <c r="J2142" s="1658">
        <v>181382911930</v>
      </c>
      <c r="K2142" s="1658">
        <v>56859847</v>
      </c>
    </row>
    <row r="2143" spans="1:11" x14ac:dyDescent="0.3">
      <c r="A2143" s="1657">
        <v>44820</v>
      </c>
      <c r="B2143" s="1658">
        <v>3195</v>
      </c>
      <c r="C2143" s="1658">
        <v>5</v>
      </c>
      <c r="D2143" s="1659">
        <v>0.16</v>
      </c>
      <c r="E2143" s="1658">
        <v>3185</v>
      </c>
      <c r="F2143" s="1658">
        <v>3210</v>
      </c>
      <c r="G2143" s="1658">
        <v>3150</v>
      </c>
      <c r="H2143" s="1658">
        <v>13195</v>
      </c>
      <c r="I2143" s="1658">
        <v>41843915</v>
      </c>
      <c r="J2143" s="1658">
        <v>181667211165</v>
      </c>
      <c r="K2143" s="1658">
        <v>56859847</v>
      </c>
    </row>
    <row r="2144" spans="1:11" x14ac:dyDescent="0.3">
      <c r="A2144" s="1657">
        <v>44823</v>
      </c>
      <c r="B2144" s="1658">
        <v>3100</v>
      </c>
      <c r="C2144" s="1658">
        <v>-95</v>
      </c>
      <c r="D2144" s="1659">
        <v>-2.97</v>
      </c>
      <c r="E2144" s="1658">
        <v>3190</v>
      </c>
      <c r="F2144" s="1658">
        <v>3190</v>
      </c>
      <c r="G2144" s="1658">
        <v>3100</v>
      </c>
      <c r="H2144" s="1658">
        <v>23008</v>
      </c>
      <c r="I2144" s="1658">
        <v>71917270</v>
      </c>
      <c r="J2144" s="1658">
        <v>176265525700</v>
      </c>
      <c r="K2144" s="1658">
        <v>56859847</v>
      </c>
    </row>
    <row r="2145" spans="1:11" x14ac:dyDescent="0.3">
      <c r="A2145" s="1657">
        <v>44824</v>
      </c>
      <c r="B2145" s="1658">
        <v>3115</v>
      </c>
      <c r="C2145" s="1658">
        <v>15</v>
      </c>
      <c r="D2145" s="1659">
        <v>0.48</v>
      </c>
      <c r="E2145" s="1658">
        <v>3100</v>
      </c>
      <c r="F2145" s="1658">
        <v>3195</v>
      </c>
      <c r="G2145" s="1658">
        <v>3080</v>
      </c>
      <c r="H2145" s="1658">
        <v>22923</v>
      </c>
      <c r="I2145" s="1658">
        <v>71188150</v>
      </c>
      <c r="J2145" s="1658">
        <v>177118423405</v>
      </c>
      <c r="K2145" s="1658">
        <v>56859847</v>
      </c>
    </row>
    <row r="2146" spans="1:11" x14ac:dyDescent="0.3">
      <c r="A2146" s="1657">
        <v>44825</v>
      </c>
      <c r="B2146" s="1658">
        <v>3085</v>
      </c>
      <c r="C2146" s="1658">
        <v>-30</v>
      </c>
      <c r="D2146" s="1659">
        <v>-0.96</v>
      </c>
      <c r="E2146" s="1658">
        <v>3075</v>
      </c>
      <c r="F2146" s="1658">
        <v>3130</v>
      </c>
      <c r="G2146" s="1658">
        <v>3050</v>
      </c>
      <c r="H2146" s="1658">
        <v>39073</v>
      </c>
      <c r="I2146" s="1658">
        <v>120022790</v>
      </c>
      <c r="J2146" s="1658">
        <v>175412627995</v>
      </c>
      <c r="K2146" s="1658">
        <v>56859847</v>
      </c>
    </row>
    <row r="2147" spans="1:11" x14ac:dyDescent="0.3">
      <c r="A2147" s="1657">
        <v>44826</v>
      </c>
      <c r="B2147" s="1658">
        <v>3075</v>
      </c>
      <c r="C2147" s="1658">
        <v>-10</v>
      </c>
      <c r="D2147" s="1659">
        <v>-0.32</v>
      </c>
      <c r="E2147" s="1658">
        <v>3055</v>
      </c>
      <c r="F2147" s="1658">
        <v>3085</v>
      </c>
      <c r="G2147" s="1658">
        <v>3045</v>
      </c>
      <c r="H2147" s="1658">
        <v>13591</v>
      </c>
      <c r="I2147" s="1658">
        <v>41511285</v>
      </c>
      <c r="J2147" s="1658">
        <v>174844029525</v>
      </c>
      <c r="K2147" s="1658">
        <v>56859847</v>
      </c>
    </row>
    <row r="2148" spans="1:11" x14ac:dyDescent="0.3">
      <c r="A2148" s="1657">
        <v>44827</v>
      </c>
      <c r="B2148" s="1658">
        <v>3095</v>
      </c>
      <c r="C2148" s="1658">
        <v>20</v>
      </c>
      <c r="D2148" s="1659">
        <v>0.65</v>
      </c>
      <c r="E2148" s="1658">
        <v>3075</v>
      </c>
      <c r="F2148" s="1658">
        <v>3155</v>
      </c>
      <c r="G2148" s="1658">
        <v>2990</v>
      </c>
      <c r="H2148" s="1658">
        <v>30634</v>
      </c>
      <c r="I2148" s="1658">
        <v>92493015</v>
      </c>
      <c r="J2148" s="1658">
        <v>175981226465</v>
      </c>
      <c r="K2148" s="1658">
        <v>56859847</v>
      </c>
    </row>
    <row r="2149" spans="1:11" x14ac:dyDescent="0.3">
      <c r="A2149" s="1657">
        <v>44830</v>
      </c>
      <c r="B2149" s="1658">
        <v>2760</v>
      </c>
      <c r="C2149" s="1658">
        <v>-335</v>
      </c>
      <c r="D2149" s="1659">
        <v>-10.82</v>
      </c>
      <c r="E2149" s="1658">
        <v>3090</v>
      </c>
      <c r="F2149" s="1658">
        <v>3090</v>
      </c>
      <c r="G2149" s="1658">
        <v>2710</v>
      </c>
      <c r="H2149" s="1658">
        <v>221395</v>
      </c>
      <c r="I2149" s="1658">
        <v>622164780</v>
      </c>
      <c r="J2149" s="1658">
        <v>156933177720</v>
      </c>
      <c r="K2149" s="1658">
        <v>56859847</v>
      </c>
    </row>
    <row r="2150" spans="1:11" x14ac:dyDescent="0.3">
      <c r="A2150" s="1657">
        <v>44831</v>
      </c>
      <c r="B2150" s="1658">
        <v>2800</v>
      </c>
      <c r="C2150" s="1658">
        <v>40</v>
      </c>
      <c r="D2150" s="1659">
        <v>1.45</v>
      </c>
      <c r="E2150" s="1658">
        <v>2750</v>
      </c>
      <c r="F2150" s="1658">
        <v>2820</v>
      </c>
      <c r="G2150" s="1658">
        <v>2750</v>
      </c>
      <c r="H2150" s="1658">
        <v>35376</v>
      </c>
      <c r="I2150" s="1658">
        <v>98097930</v>
      </c>
      <c r="J2150" s="1658">
        <v>159207571600</v>
      </c>
      <c r="K2150" s="1658">
        <v>56859847</v>
      </c>
    </row>
    <row r="2151" spans="1:11" x14ac:dyDescent="0.3">
      <c r="A2151" s="1657">
        <v>44832</v>
      </c>
      <c r="B2151" s="1658">
        <v>2800</v>
      </c>
      <c r="C2151" s="1658">
        <v>0</v>
      </c>
      <c r="D2151" s="1659">
        <v>0</v>
      </c>
      <c r="E2151" s="1658">
        <v>2840</v>
      </c>
      <c r="F2151" s="1658">
        <v>2845</v>
      </c>
      <c r="G2151" s="1658">
        <v>2715</v>
      </c>
      <c r="H2151" s="1658">
        <v>27049</v>
      </c>
      <c r="I2151" s="1658">
        <v>75328620</v>
      </c>
      <c r="J2151" s="1658">
        <v>159207571600</v>
      </c>
      <c r="K2151" s="1658">
        <v>56859847</v>
      </c>
    </row>
    <row r="2152" spans="1:11" x14ac:dyDescent="0.3">
      <c r="A2152" s="1657">
        <v>44833</v>
      </c>
      <c r="B2152" s="1658">
        <v>2810</v>
      </c>
      <c r="C2152" s="1658">
        <v>10</v>
      </c>
      <c r="D2152" s="1659">
        <v>0.36</v>
      </c>
      <c r="E2152" s="1658">
        <v>2840</v>
      </c>
      <c r="F2152" s="1658">
        <v>2940</v>
      </c>
      <c r="G2152" s="1658">
        <v>2790</v>
      </c>
      <c r="H2152" s="1658">
        <v>42422</v>
      </c>
      <c r="I2152" s="1658">
        <v>121884055</v>
      </c>
      <c r="J2152" s="1658">
        <v>159776170070</v>
      </c>
      <c r="K2152" s="1658">
        <v>56859847</v>
      </c>
    </row>
    <row r="2153" spans="1:11" x14ac:dyDescent="0.3">
      <c r="A2153" s="1657">
        <v>44834</v>
      </c>
      <c r="B2153" s="1658">
        <v>2760</v>
      </c>
      <c r="C2153" s="1658">
        <v>-50</v>
      </c>
      <c r="D2153" s="1659">
        <v>-1.78</v>
      </c>
      <c r="E2153" s="1658">
        <v>2810</v>
      </c>
      <c r="F2153" s="1658">
        <v>2820</v>
      </c>
      <c r="G2153" s="1658">
        <v>2755</v>
      </c>
      <c r="H2153" s="1658">
        <v>16107</v>
      </c>
      <c r="I2153" s="1658">
        <v>44674930</v>
      </c>
      <c r="J2153" s="1658">
        <v>156933177720</v>
      </c>
      <c r="K2153" s="1658">
        <v>56859847</v>
      </c>
    </row>
    <row r="2154" spans="1:11" x14ac:dyDescent="0.3">
      <c r="A2154" s="1657">
        <v>44838</v>
      </c>
      <c r="B2154" s="1658">
        <v>2800</v>
      </c>
      <c r="C2154" s="1658">
        <v>40</v>
      </c>
      <c r="D2154" s="1659">
        <v>1.45</v>
      </c>
      <c r="E2154" s="1658">
        <v>2770</v>
      </c>
      <c r="F2154" s="1658">
        <v>2885</v>
      </c>
      <c r="G2154" s="1658">
        <v>2770</v>
      </c>
      <c r="H2154" s="1658">
        <v>28916</v>
      </c>
      <c r="I2154" s="1658">
        <v>80918795</v>
      </c>
      <c r="J2154" s="1658">
        <v>159207571600</v>
      </c>
      <c r="K2154" s="1658">
        <v>56859847</v>
      </c>
    </row>
    <row r="2155" spans="1:11" x14ac:dyDescent="0.3">
      <c r="A2155" s="1657">
        <v>44839</v>
      </c>
      <c r="B2155" s="1658">
        <v>2770</v>
      </c>
      <c r="C2155" s="1658">
        <v>-30</v>
      </c>
      <c r="D2155" s="1659">
        <v>-1.07</v>
      </c>
      <c r="E2155" s="1658">
        <v>2805</v>
      </c>
      <c r="F2155" s="1658">
        <v>2870</v>
      </c>
      <c r="G2155" s="1658">
        <v>2745</v>
      </c>
      <c r="H2155" s="1658">
        <v>11170</v>
      </c>
      <c r="I2155" s="1658">
        <v>31056645</v>
      </c>
      <c r="J2155" s="1658">
        <v>157501776190</v>
      </c>
      <c r="K2155" s="1658">
        <v>56859847</v>
      </c>
    </row>
    <row r="2156" spans="1:11" x14ac:dyDescent="0.3">
      <c r="A2156" s="1657">
        <v>44840</v>
      </c>
      <c r="B2156" s="1658">
        <v>2785</v>
      </c>
      <c r="C2156" s="1658">
        <v>15</v>
      </c>
      <c r="D2156" s="1659">
        <v>0.54</v>
      </c>
      <c r="E2156" s="1658">
        <v>2770</v>
      </c>
      <c r="F2156" s="1658">
        <v>2875</v>
      </c>
      <c r="G2156" s="1658">
        <v>2770</v>
      </c>
      <c r="H2156" s="1658">
        <v>22381</v>
      </c>
      <c r="I2156" s="1658">
        <v>62607295</v>
      </c>
      <c r="J2156" s="1658">
        <v>158354673895</v>
      </c>
      <c r="K2156" s="1658">
        <v>56859847</v>
      </c>
    </row>
    <row r="2157" spans="1:11" x14ac:dyDescent="0.3">
      <c r="A2157" s="1657">
        <v>44841</v>
      </c>
      <c r="B2157" s="1658">
        <v>2770</v>
      </c>
      <c r="C2157" s="1658">
        <v>-15</v>
      </c>
      <c r="D2157" s="1659">
        <v>-0.54</v>
      </c>
      <c r="E2157" s="1658">
        <v>2795</v>
      </c>
      <c r="F2157" s="1658">
        <v>2795</v>
      </c>
      <c r="G2157" s="1658">
        <v>2750</v>
      </c>
      <c r="H2157" s="1658">
        <v>22189</v>
      </c>
      <c r="I2157" s="1658">
        <v>61332705</v>
      </c>
      <c r="J2157" s="1658">
        <v>157501776190</v>
      </c>
      <c r="K2157" s="1658">
        <v>56859847</v>
      </c>
    </row>
    <row r="2158" spans="1:11" x14ac:dyDescent="0.3">
      <c r="A2158" s="1657">
        <v>44845</v>
      </c>
      <c r="B2158" s="1658">
        <v>2680</v>
      </c>
      <c r="C2158" s="1658">
        <v>-90</v>
      </c>
      <c r="D2158" s="1659">
        <v>-3.25</v>
      </c>
      <c r="E2158" s="1658">
        <v>2760</v>
      </c>
      <c r="F2158" s="1658">
        <v>2760</v>
      </c>
      <c r="G2158" s="1658">
        <v>2650</v>
      </c>
      <c r="H2158" s="1658">
        <v>16805</v>
      </c>
      <c r="I2158" s="1658">
        <v>44894285</v>
      </c>
      <c r="J2158" s="1658">
        <v>152384389960</v>
      </c>
      <c r="K2158" s="1658">
        <v>56859847</v>
      </c>
    </row>
    <row r="2159" spans="1:11" x14ac:dyDescent="0.3">
      <c r="A2159" s="1657">
        <v>44846</v>
      </c>
      <c r="B2159" s="1658">
        <v>2740</v>
      </c>
      <c r="C2159" s="1658">
        <v>60</v>
      </c>
      <c r="D2159" s="1659">
        <v>2.2400000000000002</v>
      </c>
      <c r="E2159" s="1658">
        <v>2680</v>
      </c>
      <c r="F2159" s="1658">
        <v>2740</v>
      </c>
      <c r="G2159" s="1658">
        <v>2580</v>
      </c>
      <c r="H2159" s="1658">
        <v>11935</v>
      </c>
      <c r="I2159" s="1658">
        <v>31601390</v>
      </c>
      <c r="J2159" s="1658">
        <v>155795980780</v>
      </c>
      <c r="K2159" s="1658">
        <v>56859847</v>
      </c>
    </row>
    <row r="2160" spans="1:11" x14ac:dyDescent="0.3">
      <c r="A2160" s="1657">
        <v>44847</v>
      </c>
      <c r="B2160" s="1658">
        <v>2625</v>
      </c>
      <c r="C2160" s="1658">
        <v>-115</v>
      </c>
      <c r="D2160" s="1659">
        <v>-4.2</v>
      </c>
      <c r="E2160" s="1658">
        <v>2710</v>
      </c>
      <c r="F2160" s="1658">
        <v>2710</v>
      </c>
      <c r="G2160" s="1658">
        <v>2620</v>
      </c>
      <c r="H2160" s="1658">
        <v>9794</v>
      </c>
      <c r="I2160" s="1658">
        <v>25952020</v>
      </c>
      <c r="J2160" s="1658">
        <v>149257098375</v>
      </c>
      <c r="K2160" s="1658">
        <v>56859847</v>
      </c>
    </row>
    <row r="2161" spans="1:11" x14ac:dyDescent="0.3">
      <c r="A2161" s="1657">
        <v>44848</v>
      </c>
      <c r="B2161" s="1658">
        <v>2730</v>
      </c>
      <c r="C2161" s="1658">
        <v>105</v>
      </c>
      <c r="D2161" s="1659">
        <v>4</v>
      </c>
      <c r="E2161" s="1658">
        <v>2665</v>
      </c>
      <c r="F2161" s="1658">
        <v>2750</v>
      </c>
      <c r="G2161" s="1658">
        <v>2600</v>
      </c>
      <c r="H2161" s="1658">
        <v>43508</v>
      </c>
      <c r="I2161" s="1658">
        <v>115857930</v>
      </c>
      <c r="J2161" s="1658">
        <v>155227382310</v>
      </c>
      <c r="K2161" s="1658">
        <v>56859847</v>
      </c>
    </row>
    <row r="2162" spans="1:11" x14ac:dyDescent="0.3">
      <c r="A2162" s="1657">
        <v>44851</v>
      </c>
      <c r="B2162" s="1658">
        <v>2725</v>
      </c>
      <c r="C2162" s="1658">
        <v>-5</v>
      </c>
      <c r="D2162" s="1659">
        <v>-0.18</v>
      </c>
      <c r="E2162" s="1658">
        <v>2700</v>
      </c>
      <c r="F2162" s="1658">
        <v>2770</v>
      </c>
      <c r="G2162" s="1658">
        <v>2635</v>
      </c>
      <c r="H2162" s="1658">
        <v>34869</v>
      </c>
      <c r="I2162" s="1658">
        <v>94446030</v>
      </c>
      <c r="J2162" s="1658">
        <v>154943083075</v>
      </c>
      <c r="K2162" s="1658">
        <v>56859847</v>
      </c>
    </row>
    <row r="2163" spans="1:11" x14ac:dyDescent="0.3">
      <c r="A2163" s="1657">
        <v>44852</v>
      </c>
      <c r="B2163" s="1658">
        <v>2765</v>
      </c>
      <c r="C2163" s="1658">
        <v>40</v>
      </c>
      <c r="D2163" s="1659">
        <v>1.47</v>
      </c>
      <c r="E2163" s="1658">
        <v>2730</v>
      </c>
      <c r="F2163" s="1658">
        <v>2775</v>
      </c>
      <c r="G2163" s="1658">
        <v>2715</v>
      </c>
      <c r="H2163" s="1658">
        <v>22372</v>
      </c>
      <c r="I2163" s="1658">
        <v>61271285</v>
      </c>
      <c r="J2163" s="1658">
        <v>157217476955</v>
      </c>
      <c r="K2163" s="1658">
        <v>56859847</v>
      </c>
    </row>
    <row r="2164" spans="1:11" x14ac:dyDescent="0.3">
      <c r="A2164" s="1657">
        <v>44853</v>
      </c>
      <c r="B2164" s="1658">
        <v>2730</v>
      </c>
      <c r="C2164" s="1658">
        <v>-35</v>
      </c>
      <c r="D2164" s="1659">
        <v>-1.27</v>
      </c>
      <c r="E2164" s="1658">
        <v>2785</v>
      </c>
      <c r="F2164" s="1658">
        <v>2830</v>
      </c>
      <c r="G2164" s="1658">
        <v>2730</v>
      </c>
      <c r="H2164" s="1658">
        <v>26922</v>
      </c>
      <c r="I2164" s="1658">
        <v>74414580</v>
      </c>
      <c r="J2164" s="1658">
        <v>155227382310</v>
      </c>
      <c r="K2164" s="1658">
        <v>56859847</v>
      </c>
    </row>
    <row r="2165" spans="1:11" x14ac:dyDescent="0.3">
      <c r="A2165" s="1657">
        <v>44854</v>
      </c>
      <c r="B2165" s="1658">
        <v>2655</v>
      </c>
      <c r="C2165" s="1658">
        <v>-75</v>
      </c>
      <c r="D2165" s="1659">
        <v>-2.75</v>
      </c>
      <c r="E2165" s="1658">
        <v>2730</v>
      </c>
      <c r="F2165" s="1658">
        <v>2730</v>
      </c>
      <c r="G2165" s="1658">
        <v>2655</v>
      </c>
      <c r="H2165" s="1658">
        <v>19468</v>
      </c>
      <c r="I2165" s="1658">
        <v>51973845</v>
      </c>
      <c r="J2165" s="1658">
        <v>150962893785</v>
      </c>
      <c r="K2165" s="1658">
        <v>56859847</v>
      </c>
    </row>
    <row r="2166" spans="1:11" x14ac:dyDescent="0.3">
      <c r="A2166" s="1657">
        <v>44855</v>
      </c>
      <c r="B2166" s="1658">
        <v>2655</v>
      </c>
      <c r="C2166" s="1658">
        <v>0</v>
      </c>
      <c r="D2166" s="1659">
        <v>0</v>
      </c>
      <c r="E2166" s="1658">
        <v>2655</v>
      </c>
      <c r="F2166" s="1658">
        <v>2730</v>
      </c>
      <c r="G2166" s="1658">
        <v>2625</v>
      </c>
      <c r="H2166" s="1658">
        <v>23107</v>
      </c>
      <c r="I2166" s="1658">
        <v>61224050</v>
      </c>
      <c r="J2166" s="1658">
        <v>150962893785</v>
      </c>
      <c r="K2166" s="1658">
        <v>56859847</v>
      </c>
    </row>
    <row r="2167" spans="1:11" x14ac:dyDescent="0.3">
      <c r="A2167" s="1657">
        <v>44858</v>
      </c>
      <c r="B2167" s="1658">
        <v>2670</v>
      </c>
      <c r="C2167" s="1658">
        <v>15</v>
      </c>
      <c r="D2167" s="1659">
        <v>0.56000000000000005</v>
      </c>
      <c r="E2167" s="1658">
        <v>2885</v>
      </c>
      <c r="F2167" s="1658">
        <v>2885</v>
      </c>
      <c r="G2167" s="1658">
        <v>2670</v>
      </c>
      <c r="H2167" s="1658">
        <v>11071</v>
      </c>
      <c r="I2167" s="1658">
        <v>30415140</v>
      </c>
      <c r="J2167" s="1658">
        <v>151815791490</v>
      </c>
      <c r="K2167" s="1658">
        <v>56859847</v>
      </c>
    </row>
    <row r="2168" spans="1:11" x14ac:dyDescent="0.3">
      <c r="A2168" s="1657">
        <v>44859</v>
      </c>
      <c r="B2168" s="1658">
        <v>2670</v>
      </c>
      <c r="C2168" s="1658">
        <v>0</v>
      </c>
      <c r="D2168" s="1659">
        <v>0</v>
      </c>
      <c r="E2168" s="1658">
        <v>2745</v>
      </c>
      <c r="F2168" s="1658">
        <v>2760</v>
      </c>
      <c r="G2168" s="1658">
        <v>2640</v>
      </c>
      <c r="H2168" s="1658">
        <v>17852</v>
      </c>
      <c r="I2168" s="1658">
        <v>47941295</v>
      </c>
      <c r="J2168" s="1658">
        <v>151815791490</v>
      </c>
      <c r="K2168" s="1658">
        <v>56859847</v>
      </c>
    </row>
    <row r="2169" spans="1:11" x14ac:dyDescent="0.3">
      <c r="A2169" s="1657">
        <v>44860</v>
      </c>
      <c r="B2169" s="1658">
        <v>2625</v>
      </c>
      <c r="C2169" s="1658">
        <v>-45</v>
      </c>
      <c r="D2169" s="1659">
        <v>-1.69</v>
      </c>
      <c r="E2169" s="1658">
        <v>2640</v>
      </c>
      <c r="F2169" s="1658">
        <v>2740</v>
      </c>
      <c r="G2169" s="1658">
        <v>2615</v>
      </c>
      <c r="H2169" s="1658">
        <v>15855</v>
      </c>
      <c r="I2169" s="1658">
        <v>42052500</v>
      </c>
      <c r="J2169" s="1658">
        <v>149257098375</v>
      </c>
      <c r="K2169" s="1658">
        <v>56859847</v>
      </c>
    </row>
    <row r="2170" spans="1:11" x14ac:dyDescent="0.3">
      <c r="A2170" s="1657">
        <v>44861</v>
      </c>
      <c r="B2170" s="1658">
        <v>2650</v>
      </c>
      <c r="C2170" s="1658">
        <v>25</v>
      </c>
      <c r="D2170" s="1659">
        <v>0.95</v>
      </c>
      <c r="E2170" s="1658">
        <v>2700</v>
      </c>
      <c r="F2170" s="1658">
        <v>2700</v>
      </c>
      <c r="G2170" s="1658">
        <v>2610</v>
      </c>
      <c r="H2170" s="1658">
        <v>28349</v>
      </c>
      <c r="I2170" s="1658">
        <v>74700540</v>
      </c>
      <c r="J2170" s="1658">
        <v>150678594550</v>
      </c>
      <c r="K2170" s="1658">
        <v>56859847</v>
      </c>
    </row>
    <row r="2171" spans="1:11" x14ac:dyDescent="0.3">
      <c r="A2171" s="1657">
        <v>44862</v>
      </c>
      <c r="B2171" s="1658">
        <v>2640</v>
      </c>
      <c r="C2171" s="1658">
        <v>-10</v>
      </c>
      <c r="D2171" s="1659">
        <v>-0.38</v>
      </c>
      <c r="E2171" s="1658">
        <v>2640</v>
      </c>
      <c r="F2171" s="1658">
        <v>2655</v>
      </c>
      <c r="G2171" s="1658">
        <v>2580</v>
      </c>
      <c r="H2171" s="1658">
        <v>22922</v>
      </c>
      <c r="I2171" s="1658">
        <v>59684265</v>
      </c>
      <c r="J2171" s="1658">
        <v>150109996080</v>
      </c>
      <c r="K2171" s="1658">
        <v>56859847</v>
      </c>
    </row>
    <row r="2172" spans="1:11" x14ac:dyDescent="0.3">
      <c r="A2172" s="1660">
        <v>44865</v>
      </c>
      <c r="B2172" s="1661">
        <v>2640</v>
      </c>
      <c r="C2172" s="1661">
        <v>0</v>
      </c>
      <c r="D2172" s="1662">
        <v>0</v>
      </c>
      <c r="E2172" s="1661">
        <v>2640</v>
      </c>
      <c r="F2172" s="1661">
        <v>2660</v>
      </c>
      <c r="G2172" s="1661">
        <v>2605</v>
      </c>
      <c r="H2172" s="1661">
        <v>14432</v>
      </c>
      <c r="I2172" s="1661">
        <v>37873185</v>
      </c>
      <c r="J2172" s="1661">
        <v>150109996080</v>
      </c>
      <c r="K2172" s="1661">
        <v>56859847</v>
      </c>
    </row>
    <row r="2173" spans="1:11" x14ac:dyDescent="0.3">
      <c r="A2173" s="1657">
        <v>44866</v>
      </c>
      <c r="B2173" s="1658">
        <v>2660</v>
      </c>
      <c r="C2173" s="1658">
        <v>20</v>
      </c>
      <c r="D2173" s="1659">
        <v>0.76</v>
      </c>
      <c r="E2173" s="1658">
        <v>2690</v>
      </c>
      <c r="F2173" s="1658">
        <v>2690</v>
      </c>
      <c r="G2173" s="1658">
        <v>2605</v>
      </c>
      <c r="H2173" s="1658">
        <v>15943</v>
      </c>
      <c r="I2173" s="1658">
        <v>42384325</v>
      </c>
      <c r="J2173" s="1658">
        <v>151247193020</v>
      </c>
      <c r="K2173" s="1658">
        <v>56859847</v>
      </c>
    </row>
    <row r="2174" spans="1:11" x14ac:dyDescent="0.3">
      <c r="A2174" s="1657">
        <v>44867</v>
      </c>
      <c r="B2174" s="1658">
        <v>2665</v>
      </c>
      <c r="C2174" s="1658">
        <v>5</v>
      </c>
      <c r="D2174" s="1659">
        <v>0.19</v>
      </c>
      <c r="E2174" s="1658">
        <v>2650</v>
      </c>
      <c r="F2174" s="1658">
        <v>2680</v>
      </c>
      <c r="G2174" s="1658">
        <v>2630</v>
      </c>
      <c r="H2174" s="1658">
        <v>17647</v>
      </c>
      <c r="I2174" s="1658">
        <v>46983590</v>
      </c>
      <c r="J2174" s="1658">
        <v>151531492255</v>
      </c>
      <c r="K2174" s="1658">
        <v>56859847</v>
      </c>
    </row>
    <row r="2175" spans="1:11" x14ac:dyDescent="0.3">
      <c r="A2175" s="1657">
        <v>44868</v>
      </c>
      <c r="B2175" s="1658">
        <v>2625</v>
      </c>
      <c r="C2175" s="1658">
        <v>-40</v>
      </c>
      <c r="D2175" s="1659">
        <v>-1.5</v>
      </c>
      <c r="E2175" s="1658">
        <v>2635</v>
      </c>
      <c r="F2175" s="1658">
        <v>2655</v>
      </c>
      <c r="G2175" s="1658">
        <v>2595</v>
      </c>
      <c r="H2175" s="1658">
        <v>6921</v>
      </c>
      <c r="I2175" s="1658">
        <v>18241215</v>
      </c>
      <c r="J2175" s="1658">
        <v>149257098375</v>
      </c>
      <c r="K2175" s="1658">
        <v>56859847</v>
      </c>
    </row>
    <row r="2176" spans="1:11" x14ac:dyDescent="0.3">
      <c r="A2176" s="1657">
        <v>44869</v>
      </c>
      <c r="B2176" s="1658">
        <v>2675</v>
      </c>
      <c r="C2176" s="1658">
        <v>50</v>
      </c>
      <c r="D2176" s="1659">
        <v>1.9</v>
      </c>
      <c r="E2176" s="1658">
        <v>2625</v>
      </c>
      <c r="F2176" s="1658">
        <v>2685</v>
      </c>
      <c r="G2176" s="1658">
        <v>2595</v>
      </c>
      <c r="H2176" s="1658">
        <v>15462</v>
      </c>
      <c r="I2176" s="1658">
        <v>40698305</v>
      </c>
      <c r="J2176" s="1658">
        <v>152100090725</v>
      </c>
      <c r="K2176" s="1658">
        <v>56859847</v>
      </c>
    </row>
    <row r="2177" spans="1:11" x14ac:dyDescent="0.3">
      <c r="A2177" s="1657">
        <v>44872</v>
      </c>
      <c r="B2177" s="1658">
        <v>2670</v>
      </c>
      <c r="C2177" s="1658">
        <v>-5</v>
      </c>
      <c r="D2177" s="1659">
        <v>-0.19</v>
      </c>
      <c r="E2177" s="1658">
        <v>2665</v>
      </c>
      <c r="F2177" s="1658">
        <v>2725</v>
      </c>
      <c r="G2177" s="1658">
        <v>2645</v>
      </c>
      <c r="H2177" s="1658">
        <v>13438</v>
      </c>
      <c r="I2177" s="1658">
        <v>35816840</v>
      </c>
      <c r="J2177" s="1658">
        <v>151815791490</v>
      </c>
      <c r="K2177" s="1658">
        <v>56859847</v>
      </c>
    </row>
    <row r="2178" spans="1:11" x14ac:dyDescent="0.3">
      <c r="A2178" s="1657">
        <v>44873</v>
      </c>
      <c r="B2178" s="1658">
        <v>2705</v>
      </c>
      <c r="C2178" s="1658">
        <v>35</v>
      </c>
      <c r="D2178" s="1659">
        <v>1.31</v>
      </c>
      <c r="E2178" s="1658">
        <v>2670</v>
      </c>
      <c r="F2178" s="1658">
        <v>2740</v>
      </c>
      <c r="G2178" s="1658">
        <v>2655</v>
      </c>
      <c r="H2178" s="1658">
        <v>45016</v>
      </c>
      <c r="I2178" s="1658">
        <v>121455885</v>
      </c>
      <c r="J2178" s="1658">
        <v>153805886135</v>
      </c>
      <c r="K2178" s="1658">
        <v>56859847</v>
      </c>
    </row>
    <row r="2179" spans="1:11" x14ac:dyDescent="0.3">
      <c r="A2179" s="1657">
        <v>44874</v>
      </c>
      <c r="B2179" s="1658">
        <v>2700</v>
      </c>
      <c r="C2179" s="1658">
        <v>-5</v>
      </c>
      <c r="D2179" s="1659">
        <v>-0.18</v>
      </c>
      <c r="E2179" s="1658">
        <v>2690</v>
      </c>
      <c r="F2179" s="1658">
        <v>2730</v>
      </c>
      <c r="G2179" s="1658">
        <v>2650</v>
      </c>
      <c r="H2179" s="1658">
        <v>29164</v>
      </c>
      <c r="I2179" s="1658">
        <v>78774370</v>
      </c>
      <c r="J2179" s="1658">
        <v>153521586900</v>
      </c>
      <c r="K2179" s="1658">
        <v>56859847</v>
      </c>
    </row>
    <row r="2180" spans="1:11" x14ac:dyDescent="0.3">
      <c r="A2180" s="1657">
        <v>44875</v>
      </c>
      <c r="B2180" s="1658">
        <v>2710</v>
      </c>
      <c r="C2180" s="1658">
        <v>10</v>
      </c>
      <c r="D2180" s="1659">
        <v>0.37</v>
      </c>
      <c r="E2180" s="1658">
        <v>2665</v>
      </c>
      <c r="F2180" s="1658">
        <v>2740</v>
      </c>
      <c r="G2180" s="1658">
        <v>2665</v>
      </c>
      <c r="H2180" s="1658">
        <v>12967</v>
      </c>
      <c r="I2180" s="1658">
        <v>34951385</v>
      </c>
      <c r="J2180" s="1658">
        <v>154090185370</v>
      </c>
      <c r="K2180" s="1658">
        <v>56859847</v>
      </c>
    </row>
    <row r="2181" spans="1:11" x14ac:dyDescent="0.3">
      <c r="A2181" s="1657">
        <v>44876</v>
      </c>
      <c r="B2181" s="1658">
        <v>2755</v>
      </c>
      <c r="C2181" s="1658">
        <v>45</v>
      </c>
      <c r="D2181" s="1659">
        <v>1.66</v>
      </c>
      <c r="E2181" s="1658">
        <v>2790</v>
      </c>
      <c r="F2181" s="1658">
        <v>2790</v>
      </c>
      <c r="G2181" s="1658">
        <v>2710</v>
      </c>
      <c r="H2181" s="1658">
        <v>28921</v>
      </c>
      <c r="I2181" s="1658">
        <v>79609310</v>
      </c>
      <c r="J2181" s="1658">
        <v>156648878485</v>
      </c>
      <c r="K2181" s="1658">
        <v>56859847</v>
      </c>
    </row>
    <row r="2182" spans="1:11" x14ac:dyDescent="0.3">
      <c r="A2182" s="1657">
        <v>44879</v>
      </c>
      <c r="B2182" s="1658">
        <v>2775</v>
      </c>
      <c r="C2182" s="1658">
        <v>20</v>
      </c>
      <c r="D2182" s="1659">
        <v>0.73</v>
      </c>
      <c r="E2182" s="1658">
        <v>2760</v>
      </c>
      <c r="F2182" s="1658">
        <v>2780</v>
      </c>
      <c r="G2182" s="1658">
        <v>2745</v>
      </c>
      <c r="H2182" s="1658">
        <v>31009</v>
      </c>
      <c r="I2182" s="1658">
        <v>85736140</v>
      </c>
      <c r="J2182" s="1658">
        <v>157786075425</v>
      </c>
      <c r="K2182" s="1658">
        <v>56859847</v>
      </c>
    </row>
    <row r="2183" spans="1:11" x14ac:dyDescent="0.3">
      <c r="A2183" s="1657">
        <v>44880</v>
      </c>
      <c r="B2183" s="1658">
        <v>2805</v>
      </c>
      <c r="C2183" s="1658">
        <v>30</v>
      </c>
      <c r="D2183" s="1659">
        <v>1.08</v>
      </c>
      <c r="E2183" s="1658">
        <v>2785</v>
      </c>
      <c r="F2183" s="1658">
        <v>2805</v>
      </c>
      <c r="G2183" s="1658">
        <v>2770</v>
      </c>
      <c r="H2183" s="1658">
        <v>36925</v>
      </c>
      <c r="I2183" s="1658">
        <v>103026315</v>
      </c>
      <c r="J2183" s="1658">
        <v>159491870835</v>
      </c>
      <c r="K2183" s="1658">
        <v>56859847</v>
      </c>
    </row>
    <row r="2184" spans="1:11" x14ac:dyDescent="0.3">
      <c r="A2184" s="1657">
        <v>44881</v>
      </c>
      <c r="B2184" s="1658">
        <v>2795</v>
      </c>
      <c r="C2184" s="1658">
        <v>-10</v>
      </c>
      <c r="D2184" s="1659">
        <v>-0.36</v>
      </c>
      <c r="E2184" s="1658">
        <v>2845</v>
      </c>
      <c r="F2184" s="1658">
        <v>2850</v>
      </c>
      <c r="G2184" s="1658">
        <v>2795</v>
      </c>
      <c r="H2184" s="1658">
        <v>37704</v>
      </c>
      <c r="I2184" s="1658">
        <v>106282030</v>
      </c>
      <c r="J2184" s="1658">
        <v>158923272365</v>
      </c>
      <c r="K2184" s="1658">
        <v>56859847</v>
      </c>
    </row>
    <row r="2185" spans="1:11" x14ac:dyDescent="0.3">
      <c r="A2185" s="1657">
        <v>44882</v>
      </c>
      <c r="B2185" s="1658">
        <v>2780</v>
      </c>
      <c r="C2185" s="1658">
        <v>-15</v>
      </c>
      <c r="D2185" s="1659">
        <v>-0.54</v>
      </c>
      <c r="E2185" s="1658">
        <v>2800</v>
      </c>
      <c r="F2185" s="1658">
        <v>2835</v>
      </c>
      <c r="G2185" s="1658">
        <v>2735</v>
      </c>
      <c r="H2185" s="1658">
        <v>18384</v>
      </c>
      <c r="I2185" s="1658">
        <v>50868380</v>
      </c>
      <c r="J2185" s="1658">
        <v>158070374660</v>
      </c>
      <c r="K2185" s="1658">
        <v>56859847</v>
      </c>
    </row>
    <row r="2186" spans="1:11" x14ac:dyDescent="0.3">
      <c r="A2186" s="1657">
        <v>44883</v>
      </c>
      <c r="B2186" s="1658">
        <v>2920</v>
      </c>
      <c r="C2186" s="1658">
        <v>140</v>
      </c>
      <c r="D2186" s="1659">
        <v>5.04</v>
      </c>
      <c r="E2186" s="1658">
        <v>2800</v>
      </c>
      <c r="F2186" s="1658">
        <v>3155</v>
      </c>
      <c r="G2186" s="1658">
        <v>2800</v>
      </c>
      <c r="H2186" s="1658">
        <v>171200</v>
      </c>
      <c r="I2186" s="1658">
        <v>507597300</v>
      </c>
      <c r="J2186" s="1658">
        <v>166030753240</v>
      </c>
      <c r="K2186" s="1658">
        <v>56859847</v>
      </c>
    </row>
    <row r="2187" spans="1:11" x14ac:dyDescent="0.3">
      <c r="A2187" s="1657">
        <v>44886</v>
      </c>
      <c r="B2187" s="1658">
        <v>2835</v>
      </c>
      <c r="C2187" s="1658">
        <v>-85</v>
      </c>
      <c r="D2187" s="1659">
        <v>-2.91</v>
      </c>
      <c r="E2187" s="1658">
        <v>2975</v>
      </c>
      <c r="F2187" s="1658">
        <v>2975</v>
      </c>
      <c r="G2187" s="1658">
        <v>2775</v>
      </c>
      <c r="H2187" s="1658">
        <v>41054</v>
      </c>
      <c r="I2187" s="1658">
        <v>116286575</v>
      </c>
      <c r="J2187" s="1658">
        <v>161197666245</v>
      </c>
      <c r="K2187" s="1658">
        <v>56859847</v>
      </c>
    </row>
    <row r="2188" spans="1:11" x14ac:dyDescent="0.3">
      <c r="A2188" s="1657">
        <v>44887</v>
      </c>
      <c r="B2188" s="1658">
        <v>2785</v>
      </c>
      <c r="C2188" s="1658">
        <v>-50</v>
      </c>
      <c r="D2188" s="1659">
        <v>-1.76</v>
      </c>
      <c r="E2188" s="1658">
        <v>2835</v>
      </c>
      <c r="F2188" s="1658">
        <v>2915</v>
      </c>
      <c r="G2188" s="1658">
        <v>2770</v>
      </c>
      <c r="H2188" s="1658">
        <v>66327</v>
      </c>
      <c r="I2188" s="1658">
        <v>185531200</v>
      </c>
      <c r="J2188" s="1658">
        <v>158354673895</v>
      </c>
      <c r="K2188" s="1658">
        <v>56859847</v>
      </c>
    </row>
    <row r="2189" spans="1:11" x14ac:dyDescent="0.3">
      <c r="A2189" s="1657">
        <v>44888</v>
      </c>
      <c r="B2189" s="1658">
        <v>2795</v>
      </c>
      <c r="C2189" s="1658">
        <v>10</v>
      </c>
      <c r="D2189" s="1659">
        <v>0.36</v>
      </c>
      <c r="E2189" s="1658">
        <v>2785</v>
      </c>
      <c r="F2189" s="1658">
        <v>2825</v>
      </c>
      <c r="G2189" s="1658">
        <v>2780</v>
      </c>
      <c r="H2189" s="1658">
        <v>13642</v>
      </c>
      <c r="I2189" s="1658">
        <v>38134575</v>
      </c>
      <c r="J2189" s="1658">
        <v>158923272365</v>
      </c>
      <c r="K2189" s="1658">
        <v>56859847</v>
      </c>
    </row>
    <row r="2190" spans="1:11" x14ac:dyDescent="0.3">
      <c r="A2190" s="1657">
        <v>44889</v>
      </c>
      <c r="B2190" s="1658">
        <v>2900</v>
      </c>
      <c r="C2190" s="1658">
        <v>105</v>
      </c>
      <c r="D2190" s="1659">
        <v>3.76</v>
      </c>
      <c r="E2190" s="1658">
        <v>2840</v>
      </c>
      <c r="F2190" s="1658">
        <v>2930</v>
      </c>
      <c r="G2190" s="1658">
        <v>2820</v>
      </c>
      <c r="H2190" s="1658">
        <v>37124</v>
      </c>
      <c r="I2190" s="1658">
        <v>106776895</v>
      </c>
      <c r="J2190" s="1658">
        <v>164893556300</v>
      </c>
      <c r="K2190" s="1658">
        <v>56859847</v>
      </c>
    </row>
    <row r="2191" spans="1:11" x14ac:dyDescent="0.3">
      <c r="A2191" s="1657">
        <v>44890</v>
      </c>
      <c r="B2191" s="1658">
        <v>2905</v>
      </c>
      <c r="C2191" s="1658">
        <v>5</v>
      </c>
      <c r="D2191" s="1659">
        <v>0.17</v>
      </c>
      <c r="E2191" s="1658">
        <v>2935</v>
      </c>
      <c r="F2191" s="1658">
        <v>2935</v>
      </c>
      <c r="G2191" s="1658">
        <v>2850</v>
      </c>
      <c r="H2191" s="1658">
        <v>23747</v>
      </c>
      <c r="I2191" s="1658">
        <v>68372575</v>
      </c>
      <c r="J2191" s="1658">
        <v>165177855535</v>
      </c>
      <c r="K2191" s="1658">
        <v>56859847</v>
      </c>
    </row>
    <row r="2192" spans="1:11" x14ac:dyDescent="0.3">
      <c r="A2192" s="1657">
        <v>44893</v>
      </c>
      <c r="B2192" s="1658">
        <v>2850</v>
      </c>
      <c r="C2192" s="1658">
        <v>-55</v>
      </c>
      <c r="D2192" s="1659">
        <v>-1.89</v>
      </c>
      <c r="E2192" s="1658">
        <v>2900</v>
      </c>
      <c r="F2192" s="1658">
        <v>2900</v>
      </c>
      <c r="G2192" s="1658">
        <v>2850</v>
      </c>
      <c r="H2192" s="1658">
        <v>13320</v>
      </c>
      <c r="I2192" s="1658">
        <v>38075800</v>
      </c>
      <c r="J2192" s="1658">
        <v>162050563950</v>
      </c>
      <c r="K2192" s="1658">
        <v>56859847</v>
      </c>
    </row>
    <row r="2193" spans="1:11" x14ac:dyDescent="0.3">
      <c r="A2193" s="1657">
        <v>44894</v>
      </c>
      <c r="B2193" s="1658">
        <v>2880</v>
      </c>
      <c r="C2193" s="1658">
        <v>30</v>
      </c>
      <c r="D2193" s="1659">
        <v>1.05</v>
      </c>
      <c r="E2193" s="1658">
        <v>2850</v>
      </c>
      <c r="F2193" s="1658">
        <v>2890</v>
      </c>
      <c r="G2193" s="1658">
        <v>2815</v>
      </c>
      <c r="H2193" s="1658">
        <v>10941</v>
      </c>
      <c r="I2193" s="1658">
        <v>31449765</v>
      </c>
      <c r="J2193" s="1658">
        <v>163756359360</v>
      </c>
      <c r="K2193" s="1658">
        <v>56859847</v>
      </c>
    </row>
    <row r="2194" spans="1:11" x14ac:dyDescent="0.3">
      <c r="A2194" s="1657">
        <v>44895</v>
      </c>
      <c r="B2194" s="1658">
        <v>2905</v>
      </c>
      <c r="C2194" s="1658">
        <v>25</v>
      </c>
      <c r="D2194" s="1659">
        <v>0.87</v>
      </c>
      <c r="E2194" s="1658">
        <v>2880</v>
      </c>
      <c r="F2194" s="1658">
        <v>2925</v>
      </c>
      <c r="G2194" s="1658">
        <v>2850</v>
      </c>
      <c r="H2194" s="1658">
        <v>9479</v>
      </c>
      <c r="I2194" s="1658">
        <v>27344800</v>
      </c>
      <c r="J2194" s="1658">
        <v>165177855535</v>
      </c>
      <c r="K2194" s="1658">
        <v>56859847</v>
      </c>
    </row>
    <row r="2195" spans="1:11" x14ac:dyDescent="0.3">
      <c r="A2195" s="1657">
        <v>44896</v>
      </c>
      <c r="B2195" s="1658">
        <v>2910</v>
      </c>
      <c r="C2195" s="1658">
        <v>5</v>
      </c>
      <c r="D2195" s="1659">
        <v>0.17</v>
      </c>
      <c r="E2195" s="1658">
        <v>2925</v>
      </c>
      <c r="F2195" s="1658">
        <v>2950</v>
      </c>
      <c r="G2195" s="1658">
        <v>2900</v>
      </c>
      <c r="H2195" s="1658">
        <v>23418</v>
      </c>
      <c r="I2195" s="1658">
        <v>68209210</v>
      </c>
      <c r="J2195" s="1658">
        <v>165462154770</v>
      </c>
      <c r="K2195" s="1658">
        <v>56859847</v>
      </c>
    </row>
    <row r="2196" spans="1:11" x14ac:dyDescent="0.3">
      <c r="A2196" s="1657">
        <v>44897</v>
      </c>
      <c r="B2196" s="1658">
        <v>2870</v>
      </c>
      <c r="C2196" s="1658">
        <v>-40</v>
      </c>
      <c r="D2196" s="1659">
        <v>-1.37</v>
      </c>
      <c r="E2196" s="1658">
        <v>2935</v>
      </c>
      <c r="F2196" s="1658">
        <v>2935</v>
      </c>
      <c r="G2196" s="1658">
        <v>2840</v>
      </c>
      <c r="H2196" s="1658">
        <v>25396</v>
      </c>
      <c r="I2196" s="1658">
        <v>72967050</v>
      </c>
      <c r="J2196" s="1658">
        <v>163187760890</v>
      </c>
      <c r="K2196" s="1658">
        <v>56859847</v>
      </c>
    </row>
    <row r="2197" spans="1:11" x14ac:dyDescent="0.3">
      <c r="A2197" s="1657">
        <v>44900</v>
      </c>
      <c r="B2197" s="1658">
        <v>2870</v>
      </c>
      <c r="C2197" s="1658">
        <v>0</v>
      </c>
      <c r="D2197" s="1659">
        <v>0</v>
      </c>
      <c r="E2197" s="1658">
        <v>2870</v>
      </c>
      <c r="F2197" s="1658">
        <v>2905</v>
      </c>
      <c r="G2197" s="1658">
        <v>2815</v>
      </c>
      <c r="H2197" s="1658">
        <v>7778</v>
      </c>
      <c r="I2197" s="1658">
        <v>22275210</v>
      </c>
      <c r="J2197" s="1658">
        <v>163187760890</v>
      </c>
      <c r="K2197" s="1658">
        <v>56859847</v>
      </c>
    </row>
    <row r="2198" spans="1:11" x14ac:dyDescent="0.3">
      <c r="A2198" s="1657">
        <v>44901</v>
      </c>
      <c r="B2198" s="1658">
        <v>2830</v>
      </c>
      <c r="C2198" s="1658">
        <v>-40</v>
      </c>
      <c r="D2198" s="1659">
        <v>-1.39</v>
      </c>
      <c r="E2198" s="1658">
        <v>2810</v>
      </c>
      <c r="F2198" s="1658">
        <v>2875</v>
      </c>
      <c r="G2198" s="1658">
        <v>2810</v>
      </c>
      <c r="H2198" s="1658">
        <v>7255</v>
      </c>
      <c r="I2198" s="1658">
        <v>20547135</v>
      </c>
      <c r="J2198" s="1658">
        <v>160913367010</v>
      </c>
      <c r="K2198" s="1658">
        <v>56859847</v>
      </c>
    </row>
    <row r="2199" spans="1:11" x14ac:dyDescent="0.3">
      <c r="A2199" s="1657">
        <v>44902</v>
      </c>
      <c r="B2199" s="1658">
        <v>2850</v>
      </c>
      <c r="C2199" s="1658">
        <v>20</v>
      </c>
      <c r="D2199" s="1659">
        <v>0.71</v>
      </c>
      <c r="E2199" s="1658">
        <v>2780</v>
      </c>
      <c r="F2199" s="1658">
        <v>3250</v>
      </c>
      <c r="G2199" s="1658">
        <v>2775</v>
      </c>
      <c r="H2199" s="1658">
        <v>166747</v>
      </c>
      <c r="I2199" s="1658">
        <v>498417790</v>
      </c>
      <c r="J2199" s="1658">
        <v>162050563950</v>
      </c>
      <c r="K2199" s="1658">
        <v>56859847</v>
      </c>
    </row>
    <row r="2200" spans="1:11" x14ac:dyDescent="0.3">
      <c r="A2200" s="1657">
        <v>44903</v>
      </c>
      <c r="B2200" s="1658">
        <v>2830</v>
      </c>
      <c r="C2200" s="1658">
        <v>-20</v>
      </c>
      <c r="D2200" s="1659">
        <v>-0.7</v>
      </c>
      <c r="E2200" s="1658">
        <v>2900</v>
      </c>
      <c r="F2200" s="1658">
        <v>2925</v>
      </c>
      <c r="G2200" s="1658">
        <v>2800</v>
      </c>
      <c r="H2200" s="1658">
        <v>34868</v>
      </c>
      <c r="I2200" s="1658">
        <v>98898650</v>
      </c>
      <c r="J2200" s="1658">
        <v>160913367010</v>
      </c>
      <c r="K2200" s="1658">
        <v>56859847</v>
      </c>
    </row>
    <row r="2201" spans="1:11" x14ac:dyDescent="0.3">
      <c r="A2201" s="1657">
        <v>44904</v>
      </c>
      <c r="B2201" s="1658">
        <v>2880</v>
      </c>
      <c r="C2201" s="1658">
        <v>50</v>
      </c>
      <c r="D2201" s="1659">
        <v>1.77</v>
      </c>
      <c r="E2201" s="1658">
        <v>2855</v>
      </c>
      <c r="F2201" s="1658">
        <v>2990</v>
      </c>
      <c r="G2201" s="1658">
        <v>2820</v>
      </c>
      <c r="H2201" s="1658">
        <v>36749</v>
      </c>
      <c r="I2201" s="1658">
        <v>107239255</v>
      </c>
      <c r="J2201" s="1658">
        <v>163756359360</v>
      </c>
      <c r="K2201" s="1658">
        <v>56859847</v>
      </c>
    </row>
    <row r="2202" spans="1:11" x14ac:dyDescent="0.3">
      <c r="A2202" s="1657">
        <v>44907</v>
      </c>
      <c r="B2202" s="1658">
        <v>2945</v>
      </c>
      <c r="C2202" s="1658">
        <v>65</v>
      </c>
      <c r="D2202" s="1659">
        <v>2.2599999999999998</v>
      </c>
      <c r="E2202" s="1658">
        <v>2880</v>
      </c>
      <c r="F2202" s="1658">
        <v>2965</v>
      </c>
      <c r="G2202" s="1658">
        <v>2870</v>
      </c>
      <c r="H2202" s="1658">
        <v>22450</v>
      </c>
      <c r="I2202" s="1658">
        <v>65834585</v>
      </c>
      <c r="J2202" s="1658">
        <v>167452249415</v>
      </c>
      <c r="K2202" s="1658">
        <v>56859847</v>
      </c>
    </row>
    <row r="2203" spans="1:11" x14ac:dyDescent="0.3">
      <c r="A2203" s="1657">
        <v>44908</v>
      </c>
      <c r="B2203" s="1658">
        <v>2950</v>
      </c>
      <c r="C2203" s="1658">
        <v>5</v>
      </c>
      <c r="D2203" s="1659">
        <v>0.17</v>
      </c>
      <c r="E2203" s="1658">
        <v>2985</v>
      </c>
      <c r="F2203" s="1658">
        <v>2985</v>
      </c>
      <c r="G2203" s="1658">
        <v>2905</v>
      </c>
      <c r="H2203" s="1658">
        <v>17880</v>
      </c>
      <c r="I2203" s="1658">
        <v>52328710</v>
      </c>
      <c r="J2203" s="1658">
        <v>167736548650</v>
      </c>
      <c r="K2203" s="1658">
        <v>56859847</v>
      </c>
    </row>
    <row r="2204" spans="1:11" x14ac:dyDescent="0.3">
      <c r="A2204" s="1657">
        <v>44909</v>
      </c>
      <c r="B2204" s="1658">
        <v>2930</v>
      </c>
      <c r="C2204" s="1658">
        <v>-20</v>
      </c>
      <c r="D2204" s="1659">
        <v>-0.68</v>
      </c>
      <c r="E2204" s="1658">
        <v>2975</v>
      </c>
      <c r="F2204" s="1658">
        <v>2975</v>
      </c>
      <c r="G2204" s="1658">
        <v>2930</v>
      </c>
      <c r="H2204" s="1658">
        <v>13633</v>
      </c>
      <c r="I2204" s="1658">
        <v>40052190</v>
      </c>
      <c r="J2204" s="1658">
        <v>166599351710</v>
      </c>
      <c r="K2204" s="1658">
        <v>56859847</v>
      </c>
    </row>
    <row r="2205" spans="1:11" x14ac:dyDescent="0.3">
      <c r="A2205" s="1657">
        <v>44910</v>
      </c>
      <c r="B2205" s="1658">
        <v>2950</v>
      </c>
      <c r="C2205" s="1658">
        <v>20</v>
      </c>
      <c r="D2205" s="1659">
        <v>0.68</v>
      </c>
      <c r="E2205" s="1658">
        <v>2950</v>
      </c>
      <c r="F2205" s="1658">
        <v>2965</v>
      </c>
      <c r="G2205" s="1658">
        <v>2930</v>
      </c>
      <c r="H2205" s="1658">
        <v>15058</v>
      </c>
      <c r="I2205" s="1658">
        <v>44375375</v>
      </c>
      <c r="J2205" s="1658">
        <v>167736548650</v>
      </c>
      <c r="K2205" s="1658">
        <v>56859847</v>
      </c>
    </row>
    <row r="2206" spans="1:11" x14ac:dyDescent="0.3">
      <c r="A2206" s="1657">
        <v>44911</v>
      </c>
      <c r="B2206" s="1658">
        <v>2945</v>
      </c>
      <c r="C2206" s="1658">
        <v>-5</v>
      </c>
      <c r="D2206" s="1659">
        <v>-0.17</v>
      </c>
      <c r="E2206" s="1658">
        <v>2930</v>
      </c>
      <c r="F2206" s="1658">
        <v>2955</v>
      </c>
      <c r="G2206" s="1658">
        <v>2895</v>
      </c>
      <c r="H2206" s="1658">
        <v>13868</v>
      </c>
      <c r="I2206" s="1658">
        <v>40600845</v>
      </c>
      <c r="J2206" s="1658">
        <v>167452249415</v>
      </c>
      <c r="K2206" s="1658">
        <v>56859847</v>
      </c>
    </row>
    <row r="2207" spans="1:11" x14ac:dyDescent="0.3">
      <c r="A2207" s="1657">
        <v>44914</v>
      </c>
      <c r="B2207" s="1658">
        <v>2975</v>
      </c>
      <c r="C2207" s="1658">
        <v>30</v>
      </c>
      <c r="D2207" s="1659">
        <v>1.02</v>
      </c>
      <c r="E2207" s="1658">
        <v>2940</v>
      </c>
      <c r="F2207" s="1658">
        <v>3010</v>
      </c>
      <c r="G2207" s="1658">
        <v>2930</v>
      </c>
      <c r="H2207" s="1658">
        <v>34164</v>
      </c>
      <c r="I2207" s="1658">
        <v>101392300</v>
      </c>
      <c r="J2207" s="1658">
        <v>169158044825</v>
      </c>
      <c r="K2207" s="1658">
        <v>56859847</v>
      </c>
    </row>
    <row r="2208" spans="1:11" x14ac:dyDescent="0.3">
      <c r="A2208" s="1657">
        <v>44915</v>
      </c>
      <c r="B2208" s="1658">
        <v>2900</v>
      </c>
      <c r="C2208" s="1658">
        <v>-75</v>
      </c>
      <c r="D2208" s="1659">
        <v>-2.52</v>
      </c>
      <c r="E2208" s="1658">
        <v>2975</v>
      </c>
      <c r="F2208" s="1658">
        <v>2975</v>
      </c>
      <c r="G2208" s="1658">
        <v>2900</v>
      </c>
      <c r="H2208" s="1658">
        <v>17730</v>
      </c>
      <c r="I2208" s="1658">
        <v>52141780</v>
      </c>
      <c r="J2208" s="1658">
        <v>164893556300</v>
      </c>
      <c r="K2208" s="1658">
        <v>56859847</v>
      </c>
    </row>
    <row r="2209" spans="1:11" x14ac:dyDescent="0.3">
      <c r="A2209" s="1657">
        <v>44916</v>
      </c>
      <c r="B2209" s="1658">
        <v>2895</v>
      </c>
      <c r="C2209" s="1658">
        <v>-5</v>
      </c>
      <c r="D2209" s="1659">
        <v>-0.17</v>
      </c>
      <c r="E2209" s="1658">
        <v>2945</v>
      </c>
      <c r="F2209" s="1658">
        <v>2945</v>
      </c>
      <c r="G2209" s="1658">
        <v>2885</v>
      </c>
      <c r="H2209" s="1658">
        <v>13106</v>
      </c>
      <c r="I2209" s="1658">
        <v>38075450</v>
      </c>
      <c r="J2209" s="1658">
        <v>164609257065</v>
      </c>
      <c r="K2209" s="1658">
        <v>56859847</v>
      </c>
    </row>
    <row r="2210" spans="1:11" x14ac:dyDescent="0.3">
      <c r="A2210" s="1657">
        <v>44917</v>
      </c>
      <c r="B2210" s="1658">
        <v>2935</v>
      </c>
      <c r="C2210" s="1658">
        <v>40</v>
      </c>
      <c r="D2210" s="1659">
        <v>1.38</v>
      </c>
      <c r="E2210" s="1658">
        <v>2910</v>
      </c>
      <c r="F2210" s="1658">
        <v>2975</v>
      </c>
      <c r="G2210" s="1658">
        <v>2900</v>
      </c>
      <c r="H2210" s="1658">
        <v>30847</v>
      </c>
      <c r="I2210" s="1658">
        <v>90304645</v>
      </c>
      <c r="J2210" s="1658">
        <v>166883650945</v>
      </c>
      <c r="K2210" s="1658">
        <v>56859847</v>
      </c>
    </row>
    <row r="2211" spans="1:11" x14ac:dyDescent="0.3">
      <c r="A2211" s="1657">
        <v>44918</v>
      </c>
      <c r="B2211" s="1658">
        <v>2880</v>
      </c>
      <c r="C2211" s="1658">
        <v>-55</v>
      </c>
      <c r="D2211" s="1659">
        <v>-1.87</v>
      </c>
      <c r="E2211" s="1658">
        <v>2910</v>
      </c>
      <c r="F2211" s="1658">
        <v>2940</v>
      </c>
      <c r="G2211" s="1658">
        <v>2850</v>
      </c>
      <c r="H2211" s="1658">
        <v>18917</v>
      </c>
      <c r="I2211" s="1658">
        <v>54343305</v>
      </c>
      <c r="J2211" s="1658">
        <v>163756359360</v>
      </c>
      <c r="K2211" s="1658">
        <v>56859847</v>
      </c>
    </row>
    <row r="2212" spans="1:11" x14ac:dyDescent="0.3">
      <c r="A2212" s="1657">
        <v>44921</v>
      </c>
      <c r="B2212" s="1658">
        <v>2830</v>
      </c>
      <c r="C2212" s="1658">
        <v>-50</v>
      </c>
      <c r="D2212" s="1659">
        <v>-1.74</v>
      </c>
      <c r="E2212" s="1658">
        <v>2880</v>
      </c>
      <c r="F2212" s="1658">
        <v>2885</v>
      </c>
      <c r="G2212" s="1658">
        <v>2800</v>
      </c>
      <c r="H2212" s="1658">
        <v>17698</v>
      </c>
      <c r="I2212" s="1658">
        <v>50034525</v>
      </c>
      <c r="J2212" s="1658">
        <v>160913367010</v>
      </c>
      <c r="K2212" s="1658">
        <v>56859847</v>
      </c>
    </row>
    <row r="2213" spans="1:11" x14ac:dyDescent="0.3">
      <c r="A2213" s="1657">
        <v>44922</v>
      </c>
      <c r="B2213" s="1658">
        <v>2845</v>
      </c>
      <c r="C2213" s="1658">
        <v>15</v>
      </c>
      <c r="D2213" s="1659">
        <v>0.53</v>
      </c>
      <c r="E2213" s="1658">
        <v>2830</v>
      </c>
      <c r="F2213" s="1658">
        <v>2880</v>
      </c>
      <c r="G2213" s="1658">
        <v>2800</v>
      </c>
      <c r="H2213" s="1658">
        <v>27963</v>
      </c>
      <c r="I2213" s="1658">
        <v>78910440</v>
      </c>
      <c r="J2213" s="1658">
        <v>161766264715</v>
      </c>
      <c r="K2213" s="1658">
        <v>56859847</v>
      </c>
    </row>
    <row r="2214" spans="1:11" x14ac:dyDescent="0.3">
      <c r="A2214" s="1657">
        <v>44923</v>
      </c>
      <c r="B2214" s="1658">
        <v>2830</v>
      </c>
      <c r="C2214" s="1658">
        <v>-15</v>
      </c>
      <c r="D2214" s="1659">
        <v>-0.53</v>
      </c>
      <c r="E2214" s="1658">
        <v>2830</v>
      </c>
      <c r="F2214" s="1658">
        <v>2845</v>
      </c>
      <c r="G2214" s="1658">
        <v>2795</v>
      </c>
      <c r="H2214" s="1658">
        <v>6491</v>
      </c>
      <c r="I2214" s="1658">
        <v>18245435</v>
      </c>
      <c r="J2214" s="1658">
        <v>160913367010</v>
      </c>
      <c r="K2214" s="1658">
        <v>56859847</v>
      </c>
    </row>
    <row r="2215" spans="1:11" x14ac:dyDescent="0.3">
      <c r="A2215" s="1657">
        <v>44924</v>
      </c>
      <c r="B2215" s="1658">
        <v>2785</v>
      </c>
      <c r="C2215" s="1658">
        <v>-45</v>
      </c>
      <c r="D2215" s="1659">
        <v>-1.59</v>
      </c>
      <c r="E2215" s="1658">
        <v>2825</v>
      </c>
      <c r="F2215" s="1658">
        <v>2825</v>
      </c>
      <c r="G2215" s="1658">
        <v>2750</v>
      </c>
      <c r="H2215" s="1658">
        <v>14286</v>
      </c>
      <c r="I2215" s="1658">
        <v>39718735</v>
      </c>
      <c r="J2215" s="1658">
        <v>158354673895</v>
      </c>
      <c r="K2215" s="1658">
        <v>56859847</v>
      </c>
    </row>
    <row r="2216" spans="1:11" x14ac:dyDescent="0.3">
      <c r="A2216" s="1657">
        <v>44928</v>
      </c>
      <c r="B2216" s="1658">
        <v>2690</v>
      </c>
      <c r="C2216" s="1658">
        <v>-95</v>
      </c>
      <c r="D2216" s="1659">
        <v>-3.41</v>
      </c>
      <c r="E2216" s="1658">
        <v>2785</v>
      </c>
      <c r="F2216" s="1658">
        <v>2785</v>
      </c>
      <c r="G2216" s="1658">
        <v>2690</v>
      </c>
      <c r="H2216" s="1658">
        <v>34344</v>
      </c>
      <c r="I2216" s="1658">
        <v>93925885</v>
      </c>
      <c r="J2216" s="1658">
        <v>152952988430</v>
      </c>
      <c r="K2216" s="1658">
        <v>56859847</v>
      </c>
    </row>
    <row r="2217" spans="1:11" x14ac:dyDescent="0.3">
      <c r="A2217" s="1657">
        <v>44929</v>
      </c>
      <c r="B2217" s="1658">
        <v>2690</v>
      </c>
      <c r="C2217" s="1658">
        <v>0</v>
      </c>
      <c r="D2217" s="1659">
        <v>0</v>
      </c>
      <c r="E2217" s="1658">
        <v>2650</v>
      </c>
      <c r="F2217" s="1658">
        <v>2715</v>
      </c>
      <c r="G2217" s="1658">
        <v>2630</v>
      </c>
      <c r="H2217" s="1658">
        <v>28457</v>
      </c>
      <c r="I2217" s="1658">
        <v>75655100</v>
      </c>
      <c r="J2217" s="1658">
        <v>152952988430</v>
      </c>
      <c r="K2217" s="1658">
        <v>56859847</v>
      </c>
    </row>
    <row r="2218" spans="1:11" x14ac:dyDescent="0.3">
      <c r="A2218" s="1657">
        <v>44930</v>
      </c>
      <c r="B2218" s="1658">
        <v>2720</v>
      </c>
      <c r="C2218" s="1658">
        <v>30</v>
      </c>
      <c r="D2218" s="1659">
        <v>1.1200000000000001</v>
      </c>
      <c r="E2218" s="1658">
        <v>2620</v>
      </c>
      <c r="F2218" s="1658">
        <v>2750</v>
      </c>
      <c r="G2218" s="1658">
        <v>2620</v>
      </c>
      <c r="H2218" s="1658">
        <v>16167</v>
      </c>
      <c r="I2218" s="1658">
        <v>43272310</v>
      </c>
      <c r="J2218" s="1658">
        <v>154658783840</v>
      </c>
      <c r="K2218" s="1658">
        <v>56859847</v>
      </c>
    </row>
    <row r="2219" spans="1:11" x14ac:dyDescent="0.3">
      <c r="A2219" s="1657">
        <v>44931</v>
      </c>
      <c r="B2219" s="1658">
        <v>2735</v>
      </c>
      <c r="C2219" s="1658">
        <v>15</v>
      </c>
      <c r="D2219" s="1659">
        <v>0.55000000000000004</v>
      </c>
      <c r="E2219" s="1658">
        <v>2690</v>
      </c>
      <c r="F2219" s="1658">
        <v>2750</v>
      </c>
      <c r="G2219" s="1658">
        <v>2690</v>
      </c>
      <c r="H2219" s="1658">
        <v>12759</v>
      </c>
      <c r="I2219" s="1658">
        <v>34624405</v>
      </c>
      <c r="J2219" s="1658">
        <v>155511681545</v>
      </c>
      <c r="K2219" s="1658">
        <v>56859847</v>
      </c>
    </row>
    <row r="2220" spans="1:11" x14ac:dyDescent="0.3">
      <c r="A2220" s="1657">
        <v>44932</v>
      </c>
      <c r="B2220" s="1658">
        <v>2740</v>
      </c>
      <c r="C2220" s="1658">
        <v>5</v>
      </c>
      <c r="D2220" s="1659">
        <v>0.18</v>
      </c>
      <c r="E2220" s="1658">
        <v>2730</v>
      </c>
      <c r="F2220" s="1658">
        <v>2775</v>
      </c>
      <c r="G2220" s="1658">
        <v>2690</v>
      </c>
      <c r="H2220" s="1658">
        <v>8720</v>
      </c>
      <c r="I2220" s="1658">
        <v>23828560</v>
      </c>
      <c r="J2220" s="1658">
        <v>155795980780</v>
      </c>
      <c r="K2220" s="1658">
        <v>56859847</v>
      </c>
    </row>
    <row r="2221" spans="1:11" x14ac:dyDescent="0.3">
      <c r="A2221" s="1657">
        <v>44935</v>
      </c>
      <c r="B2221" s="1658">
        <v>2790</v>
      </c>
      <c r="C2221" s="1658">
        <v>50</v>
      </c>
      <c r="D2221" s="1659">
        <v>1.82</v>
      </c>
      <c r="E2221" s="1658">
        <v>2745</v>
      </c>
      <c r="F2221" s="1658">
        <v>2820</v>
      </c>
      <c r="G2221" s="1658">
        <v>2745</v>
      </c>
      <c r="H2221" s="1658">
        <v>27502</v>
      </c>
      <c r="I2221" s="1658">
        <v>76253675</v>
      </c>
      <c r="J2221" s="1658">
        <v>158638973130</v>
      </c>
      <c r="K2221" s="1658">
        <v>56859847</v>
      </c>
    </row>
    <row r="2222" spans="1:11" x14ac:dyDescent="0.3">
      <c r="A2222" s="1657">
        <v>44936</v>
      </c>
      <c r="B2222" s="1658">
        <v>2800</v>
      </c>
      <c r="C2222" s="1658">
        <v>10</v>
      </c>
      <c r="D2222" s="1659">
        <v>0.36</v>
      </c>
      <c r="E2222" s="1658">
        <v>2785</v>
      </c>
      <c r="F2222" s="1658">
        <v>2800</v>
      </c>
      <c r="G2222" s="1658">
        <v>2760</v>
      </c>
      <c r="H2222" s="1658">
        <v>9173</v>
      </c>
      <c r="I2222" s="1658">
        <v>25468405</v>
      </c>
      <c r="J2222" s="1658">
        <v>159207571600</v>
      </c>
      <c r="K2222" s="1658">
        <v>56859847</v>
      </c>
    </row>
    <row r="2223" spans="1:11" x14ac:dyDescent="0.3">
      <c r="A2223" s="1657">
        <v>44937</v>
      </c>
      <c r="B2223" s="1658">
        <v>2800</v>
      </c>
      <c r="C2223" s="1658">
        <v>0</v>
      </c>
      <c r="D2223" s="1659">
        <v>0</v>
      </c>
      <c r="E2223" s="1658">
        <v>2840</v>
      </c>
      <c r="F2223" s="1658">
        <v>2840</v>
      </c>
      <c r="G2223" s="1658">
        <v>2780</v>
      </c>
      <c r="H2223" s="1658">
        <v>16635</v>
      </c>
      <c r="I2223" s="1658">
        <v>46550520</v>
      </c>
      <c r="J2223" s="1658">
        <v>159207571600</v>
      </c>
      <c r="K2223" s="1658">
        <v>56859847</v>
      </c>
    </row>
    <row r="2224" spans="1:11" x14ac:dyDescent="0.3">
      <c r="A2224" s="1657">
        <v>44938</v>
      </c>
      <c r="B2224" s="1658">
        <v>2785</v>
      </c>
      <c r="C2224" s="1658">
        <v>-15</v>
      </c>
      <c r="D2224" s="1659">
        <v>-0.54</v>
      </c>
      <c r="E2224" s="1658">
        <v>2800</v>
      </c>
      <c r="F2224" s="1658">
        <v>2825</v>
      </c>
      <c r="G2224" s="1658">
        <v>2775</v>
      </c>
      <c r="H2224" s="1658">
        <v>12061</v>
      </c>
      <c r="I2224" s="1658">
        <v>33611845</v>
      </c>
      <c r="J2224" s="1658">
        <v>158354673895</v>
      </c>
      <c r="K2224" s="1658">
        <v>56859847</v>
      </c>
    </row>
    <row r="2225" spans="1:11" x14ac:dyDescent="0.3">
      <c r="A2225" s="1657">
        <v>44939</v>
      </c>
      <c r="B2225" s="1658">
        <v>2810</v>
      </c>
      <c r="C2225" s="1658">
        <v>25</v>
      </c>
      <c r="D2225" s="1659">
        <v>0.9</v>
      </c>
      <c r="E2225" s="1658">
        <v>2825</v>
      </c>
      <c r="F2225" s="1658">
        <v>2825</v>
      </c>
      <c r="G2225" s="1658">
        <v>2780</v>
      </c>
      <c r="H2225" s="1658">
        <v>13993</v>
      </c>
      <c r="I2225" s="1658">
        <v>39209040</v>
      </c>
      <c r="J2225" s="1658">
        <v>159776170070</v>
      </c>
      <c r="K2225" s="1658">
        <v>56859847</v>
      </c>
    </row>
    <row r="2226" spans="1:11" x14ac:dyDescent="0.3">
      <c r="A2226" s="1657">
        <v>44942</v>
      </c>
      <c r="B2226" s="1658">
        <v>2870</v>
      </c>
      <c r="C2226" s="1658">
        <v>60</v>
      </c>
      <c r="D2226" s="1659">
        <v>2.14</v>
      </c>
      <c r="E2226" s="1658">
        <v>2810</v>
      </c>
      <c r="F2226" s="1658">
        <v>2895</v>
      </c>
      <c r="G2226" s="1658">
        <v>2810</v>
      </c>
      <c r="H2226" s="1658">
        <v>22666</v>
      </c>
      <c r="I2226" s="1658">
        <v>64782495</v>
      </c>
      <c r="J2226" s="1658">
        <v>163187760890</v>
      </c>
      <c r="K2226" s="1658">
        <v>56859847</v>
      </c>
    </row>
    <row r="2227" spans="1:11" x14ac:dyDescent="0.3">
      <c r="A2227" s="1657">
        <v>44943</v>
      </c>
      <c r="B2227" s="1658">
        <v>2880</v>
      </c>
      <c r="C2227" s="1658">
        <v>10</v>
      </c>
      <c r="D2227" s="1659">
        <v>0.35</v>
      </c>
      <c r="E2227" s="1658">
        <v>2870</v>
      </c>
      <c r="F2227" s="1658">
        <v>2925</v>
      </c>
      <c r="G2227" s="1658">
        <v>2860</v>
      </c>
      <c r="H2227" s="1658">
        <v>20073</v>
      </c>
      <c r="I2227" s="1658">
        <v>57951000</v>
      </c>
      <c r="J2227" s="1658">
        <v>163756359360</v>
      </c>
      <c r="K2227" s="1658">
        <v>56859847</v>
      </c>
    </row>
    <row r="2228" spans="1:11" x14ac:dyDescent="0.3">
      <c r="A2228" s="1657">
        <v>44944</v>
      </c>
      <c r="B2228" s="1658">
        <v>2850</v>
      </c>
      <c r="C2228" s="1658">
        <v>-30</v>
      </c>
      <c r="D2228" s="1659">
        <v>-1.04</v>
      </c>
      <c r="E2228" s="1658">
        <v>2905</v>
      </c>
      <c r="F2228" s="1658">
        <v>2910</v>
      </c>
      <c r="G2228" s="1658">
        <v>2850</v>
      </c>
      <c r="H2228" s="1658">
        <v>16952</v>
      </c>
      <c r="I2228" s="1658">
        <v>48519340</v>
      </c>
      <c r="J2228" s="1658">
        <v>162050563950</v>
      </c>
      <c r="K2228" s="1658">
        <v>56859847</v>
      </c>
    </row>
    <row r="2229" spans="1:11" x14ac:dyDescent="0.3">
      <c r="A2229" s="1657">
        <v>44945</v>
      </c>
      <c r="B2229" s="1658">
        <v>2905</v>
      </c>
      <c r="C2229" s="1658">
        <v>55</v>
      </c>
      <c r="D2229" s="1659">
        <v>1.93</v>
      </c>
      <c r="E2229" s="1658">
        <v>2850</v>
      </c>
      <c r="F2229" s="1658">
        <v>2910</v>
      </c>
      <c r="G2229" s="1658">
        <v>2845</v>
      </c>
      <c r="H2229" s="1658">
        <v>23352</v>
      </c>
      <c r="I2229" s="1658">
        <v>67396035</v>
      </c>
      <c r="J2229" s="1658">
        <v>165177855535</v>
      </c>
      <c r="K2229" s="1658">
        <v>56859847</v>
      </c>
    </row>
    <row r="2230" spans="1:11" x14ac:dyDescent="0.3">
      <c r="A2230" s="1657">
        <v>44946</v>
      </c>
      <c r="B2230" s="1658">
        <v>3145</v>
      </c>
      <c r="C2230" s="1658">
        <v>240</v>
      </c>
      <c r="D2230" s="1659">
        <v>8.26</v>
      </c>
      <c r="E2230" s="1658">
        <v>2905</v>
      </c>
      <c r="F2230" s="1658">
        <v>3570</v>
      </c>
      <c r="G2230" s="1658">
        <v>2895</v>
      </c>
      <c r="H2230" s="1658">
        <v>1583290</v>
      </c>
      <c r="I2230" s="1658">
        <v>5201312845</v>
      </c>
      <c r="J2230" s="1658">
        <v>178824218815</v>
      </c>
      <c r="K2230" s="1658">
        <v>56859847</v>
      </c>
    </row>
    <row r="2231" spans="1:11" x14ac:dyDescent="0.3">
      <c r="A2231" s="1657">
        <v>44951</v>
      </c>
      <c r="B2231" s="1658">
        <v>3450</v>
      </c>
      <c r="C2231" s="1658">
        <v>305</v>
      </c>
      <c r="D2231" s="1659">
        <v>9.6999999999999993</v>
      </c>
      <c r="E2231" s="1658">
        <v>3190</v>
      </c>
      <c r="F2231" s="1658">
        <v>3665</v>
      </c>
      <c r="G2231" s="1658">
        <v>3120</v>
      </c>
      <c r="H2231" s="1658">
        <v>1934508</v>
      </c>
      <c r="I2231" s="1658">
        <v>6674033375</v>
      </c>
      <c r="J2231" s="1658">
        <v>196166472150</v>
      </c>
      <c r="K2231" s="1658">
        <v>56859847</v>
      </c>
    </row>
    <row r="2232" spans="1:11" x14ac:dyDescent="0.3">
      <c r="A2232" s="1657">
        <v>44952</v>
      </c>
      <c r="B2232" s="1658">
        <v>3365</v>
      </c>
      <c r="C2232" s="1658">
        <v>-85</v>
      </c>
      <c r="D2232" s="1659">
        <v>-2.46</v>
      </c>
      <c r="E2232" s="1658">
        <v>3440</v>
      </c>
      <c r="F2232" s="1658">
        <v>3445</v>
      </c>
      <c r="G2232" s="1658">
        <v>3320</v>
      </c>
      <c r="H2232" s="1658">
        <v>105655</v>
      </c>
      <c r="I2232" s="1658">
        <v>357437220</v>
      </c>
      <c r="J2232" s="1658">
        <v>191333385155</v>
      </c>
      <c r="K2232" s="1658">
        <v>56859847</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DB224-8732-4A81-9A07-90C558B0A3A7}">
  <sheetPr>
    <tabColor theme="0" tint="-0.499984740745262"/>
  </sheetPr>
  <dimension ref="A2:AP2087"/>
  <sheetViews>
    <sheetView topLeftCell="A44" workbookViewId="0"/>
  </sheetViews>
  <sheetFormatPr defaultRowHeight="12" x14ac:dyDescent="0.3"/>
  <cols>
    <col min="1" max="1" width="43.5" style="100" customWidth="1"/>
    <col min="2" max="2" width="13.375" style="100" bestFit="1" customWidth="1"/>
    <col min="3" max="3" width="13.625" style="100" bestFit="1" customWidth="1"/>
    <col min="4" max="4" width="13.5" style="100" bestFit="1" customWidth="1"/>
    <col min="5" max="5" width="13.125" style="100" bestFit="1" customWidth="1"/>
    <col min="6" max="6" width="12.375" style="100" bestFit="1" customWidth="1"/>
    <col min="7" max="7" width="12.25" style="100" bestFit="1" customWidth="1"/>
    <col min="8" max="10" width="9.125" style="100" bestFit="1" customWidth="1"/>
    <col min="11" max="14" width="9" style="100"/>
    <col min="15" max="15" width="43.5" style="100" customWidth="1"/>
    <col min="16" max="18" width="13.375" style="100" bestFit="1" customWidth="1"/>
    <col min="19" max="19" width="13" style="100" bestFit="1" customWidth="1"/>
    <col min="20" max="21" width="12.25" style="100" bestFit="1" customWidth="1"/>
    <col min="22" max="22" width="9.125" style="100" bestFit="1" customWidth="1"/>
    <col min="23" max="24" width="9.375" style="100" bestFit="1" customWidth="1"/>
    <col min="25" max="31" width="9" style="100"/>
    <col min="32" max="32" width="48" style="100" customWidth="1"/>
    <col min="33" max="33" width="12.5" style="100" bestFit="1" customWidth="1"/>
    <col min="34" max="34" width="13.375" style="100" bestFit="1" customWidth="1"/>
    <col min="35" max="35" width="12.25" style="100" bestFit="1" customWidth="1"/>
    <col min="36" max="36" width="13" style="100" bestFit="1" customWidth="1"/>
    <col min="37" max="37" width="10" style="100" bestFit="1" customWidth="1"/>
    <col min="38" max="38" width="13" style="100" bestFit="1" customWidth="1"/>
    <col min="39" max="39" width="12.25" style="100" bestFit="1" customWidth="1"/>
    <col min="40" max="40" width="9.125" style="100" bestFit="1" customWidth="1"/>
    <col min="41" max="41" width="12.25" style="100" bestFit="1" customWidth="1"/>
    <col min="42" max="42" width="9.125" style="100" bestFit="1" customWidth="1"/>
    <col min="43" max="16384" width="9" style="100"/>
  </cols>
  <sheetData>
    <row r="2" spans="1:34" x14ac:dyDescent="0.3">
      <c r="A2" s="99" t="s">
        <v>249</v>
      </c>
      <c r="O2" s="1688" t="s">
        <v>250</v>
      </c>
      <c r="P2" s="1688"/>
      <c r="AF2" s="101" t="s">
        <v>251</v>
      </c>
    </row>
    <row r="3" spans="1:34" x14ac:dyDescent="0.3">
      <c r="A3" s="1688" t="s">
        <v>252</v>
      </c>
      <c r="B3" s="1688"/>
      <c r="O3" s="1688" t="s">
        <v>253</v>
      </c>
      <c r="P3" s="1688"/>
      <c r="AF3" s="102" t="s">
        <v>254</v>
      </c>
    </row>
    <row r="4" spans="1:34" x14ac:dyDescent="0.3">
      <c r="A4" s="1688" t="s">
        <v>255</v>
      </c>
      <c r="B4" s="1688"/>
      <c r="O4" s="1688" t="s">
        <v>252</v>
      </c>
      <c r="P4" s="1688"/>
      <c r="AF4" s="102" t="s">
        <v>256</v>
      </c>
    </row>
    <row r="5" spans="1:34" x14ac:dyDescent="0.15">
      <c r="A5" s="103" t="s">
        <v>257</v>
      </c>
      <c r="B5" s="104" t="s">
        <v>258</v>
      </c>
      <c r="O5" s="103" t="s">
        <v>257</v>
      </c>
      <c r="P5" s="104" t="s">
        <v>258</v>
      </c>
      <c r="AF5" s="105" t="s">
        <v>258</v>
      </c>
    </row>
    <row r="6" spans="1:34" x14ac:dyDescent="0.3">
      <c r="A6" s="106" t="s">
        <v>259</v>
      </c>
      <c r="B6" s="107" t="s">
        <v>260</v>
      </c>
      <c r="C6" s="1685" t="s">
        <v>261</v>
      </c>
      <c r="D6" s="1686"/>
      <c r="E6" s="1685" t="s">
        <v>262</v>
      </c>
      <c r="F6" s="1687"/>
      <c r="O6" s="106" t="s">
        <v>263</v>
      </c>
      <c r="P6" s="107" t="s">
        <v>260</v>
      </c>
      <c r="Q6" s="1685" t="s">
        <v>264</v>
      </c>
      <c r="R6" s="1686"/>
      <c r="S6" s="1685" t="s">
        <v>265</v>
      </c>
      <c r="T6" s="1687"/>
      <c r="AF6" s="106"/>
      <c r="AG6" s="107" t="s">
        <v>266</v>
      </c>
      <c r="AH6" s="108" t="s">
        <v>267</v>
      </c>
    </row>
    <row r="7" spans="1:34" x14ac:dyDescent="0.3">
      <c r="A7" s="109" t="s">
        <v>268</v>
      </c>
      <c r="B7" s="110"/>
      <c r="C7" s="219"/>
      <c r="D7" s="219"/>
      <c r="E7" s="219"/>
      <c r="F7" s="220"/>
      <c r="O7" s="109" t="s">
        <v>269</v>
      </c>
      <c r="P7" s="113"/>
      <c r="Q7" s="111"/>
      <c r="R7" s="111"/>
      <c r="S7" s="111"/>
      <c r="T7" s="112"/>
      <c r="AF7" s="114" t="s">
        <v>269</v>
      </c>
      <c r="AG7" s="115"/>
      <c r="AH7" s="116"/>
    </row>
    <row r="8" spans="1:34" x14ac:dyDescent="0.3">
      <c r="A8" s="109" t="s">
        <v>270</v>
      </c>
      <c r="B8" s="110"/>
      <c r="C8" s="219"/>
      <c r="D8" s="219">
        <v>146277936324</v>
      </c>
      <c r="E8" s="219"/>
      <c r="F8" s="220">
        <v>136268490827</v>
      </c>
      <c r="O8" s="109" t="s">
        <v>271</v>
      </c>
      <c r="P8" s="113"/>
      <c r="Q8" s="111"/>
      <c r="R8" s="117">
        <v>199080198796</v>
      </c>
      <c r="S8" s="111"/>
      <c r="T8" s="118">
        <v>146277936324</v>
      </c>
      <c r="AF8" s="114" t="s">
        <v>272</v>
      </c>
      <c r="AG8" s="119">
        <v>211393851400</v>
      </c>
      <c r="AH8" s="120">
        <v>199080198796</v>
      </c>
    </row>
    <row r="9" spans="1:34" x14ac:dyDescent="0.3">
      <c r="A9" s="109" t="s">
        <v>273</v>
      </c>
      <c r="B9" s="110" t="s">
        <v>274</v>
      </c>
      <c r="C9" s="219">
        <v>97271207132</v>
      </c>
      <c r="D9" s="219"/>
      <c r="E9" s="219">
        <v>88901392676</v>
      </c>
      <c r="F9" s="220"/>
      <c r="O9" s="109" t="s">
        <v>275</v>
      </c>
      <c r="P9" s="113" t="s">
        <v>274</v>
      </c>
      <c r="Q9" s="117">
        <v>132018644520</v>
      </c>
      <c r="R9" s="111"/>
      <c r="S9" s="117">
        <v>97271207132</v>
      </c>
      <c r="T9" s="112"/>
      <c r="AF9" s="114" t="s">
        <v>276</v>
      </c>
      <c r="AG9" s="119">
        <v>139848960296</v>
      </c>
      <c r="AH9" s="120">
        <v>132018644520</v>
      </c>
    </row>
    <row r="10" spans="1:34" x14ac:dyDescent="0.3">
      <c r="A10" s="109" t="s">
        <v>277</v>
      </c>
      <c r="B10" s="110" t="s">
        <v>278</v>
      </c>
      <c r="C10" s="219">
        <v>40957768351</v>
      </c>
      <c r="D10" s="219"/>
      <c r="E10" s="219">
        <v>37314849276</v>
      </c>
      <c r="F10" s="220"/>
      <c r="O10" s="109" t="s">
        <v>279</v>
      </c>
      <c r="P10" s="113" t="s">
        <v>280</v>
      </c>
      <c r="Q10" s="117">
        <v>309072000</v>
      </c>
      <c r="R10" s="111"/>
      <c r="S10" s="111" t="s">
        <v>199</v>
      </c>
      <c r="T10" s="112"/>
      <c r="AF10" s="114" t="s">
        <v>281</v>
      </c>
      <c r="AG10" s="115"/>
      <c r="AH10" s="120">
        <v>309072000</v>
      </c>
    </row>
    <row r="11" spans="1:34" x14ac:dyDescent="0.3">
      <c r="A11" s="109" t="s">
        <v>282</v>
      </c>
      <c r="B11" s="110">
        <v>8</v>
      </c>
      <c r="C11" s="219">
        <v>4636197058</v>
      </c>
      <c r="D11" s="219"/>
      <c r="E11" s="219">
        <v>7130214686</v>
      </c>
      <c r="F11" s="220"/>
      <c r="O11" s="109" t="s">
        <v>283</v>
      </c>
      <c r="P11" s="113" t="s">
        <v>284</v>
      </c>
      <c r="Q11" s="117">
        <v>43834727379</v>
      </c>
      <c r="R11" s="111"/>
      <c r="S11" s="117">
        <v>40957768351</v>
      </c>
      <c r="T11" s="112"/>
      <c r="AF11" s="114" t="s">
        <v>285</v>
      </c>
      <c r="AG11" s="119">
        <v>50429557946</v>
      </c>
      <c r="AH11" s="120">
        <v>43834727379</v>
      </c>
    </row>
    <row r="12" spans="1:34" x14ac:dyDescent="0.3">
      <c r="A12" s="109" t="s">
        <v>286</v>
      </c>
      <c r="B12" s="110"/>
      <c r="C12" s="219">
        <v>226315893</v>
      </c>
      <c r="D12" s="219"/>
      <c r="E12" s="219">
        <v>324941593</v>
      </c>
      <c r="F12" s="220"/>
      <c r="O12" s="109" t="s">
        <v>287</v>
      </c>
      <c r="P12" s="113">
        <v>9</v>
      </c>
      <c r="Q12" s="117">
        <v>7658442824</v>
      </c>
      <c r="R12" s="111"/>
      <c r="S12" s="117">
        <v>4636197058</v>
      </c>
      <c r="T12" s="112"/>
      <c r="AF12" s="114" t="s">
        <v>288</v>
      </c>
      <c r="AG12" s="119">
        <v>13877833606</v>
      </c>
      <c r="AH12" s="120">
        <v>7658442824</v>
      </c>
    </row>
    <row r="13" spans="1:34" x14ac:dyDescent="0.3">
      <c r="A13" s="109" t="s">
        <v>289</v>
      </c>
      <c r="B13" s="110" t="s">
        <v>290</v>
      </c>
      <c r="C13" s="219">
        <v>3186447890</v>
      </c>
      <c r="D13" s="219"/>
      <c r="E13" s="219">
        <v>2597092596</v>
      </c>
      <c r="F13" s="220"/>
      <c r="O13" s="109" t="s">
        <v>291</v>
      </c>
      <c r="P13" s="113"/>
      <c r="Q13" s="111" t="s">
        <v>199</v>
      </c>
      <c r="R13" s="111"/>
      <c r="S13" s="117">
        <v>226315893</v>
      </c>
      <c r="T13" s="112"/>
      <c r="AF13" s="114" t="s">
        <v>292</v>
      </c>
      <c r="AG13" s="119">
        <v>68622916</v>
      </c>
      <c r="AH13" s="116"/>
    </row>
    <row r="14" spans="1:34" x14ac:dyDescent="0.3">
      <c r="A14" s="109" t="s">
        <v>293</v>
      </c>
      <c r="B14" s="110"/>
      <c r="C14" s="219"/>
      <c r="D14" s="219">
        <v>26165503033</v>
      </c>
      <c r="E14" s="219"/>
      <c r="F14" s="220">
        <v>35317064027</v>
      </c>
      <c r="O14" s="109" t="s">
        <v>294</v>
      </c>
      <c r="P14" s="113">
        <v>10</v>
      </c>
      <c r="Q14" s="117">
        <v>15259312073</v>
      </c>
      <c r="R14" s="111"/>
      <c r="S14" s="117">
        <v>3186447890</v>
      </c>
      <c r="T14" s="112"/>
      <c r="AF14" s="114" t="s">
        <v>295</v>
      </c>
      <c r="AG14" s="119">
        <v>7168876636</v>
      </c>
      <c r="AH14" s="120">
        <v>15259312073</v>
      </c>
    </row>
    <row r="15" spans="1:34" x14ac:dyDescent="0.3">
      <c r="A15" s="109" t="s">
        <v>277</v>
      </c>
      <c r="B15" s="110" t="s">
        <v>280</v>
      </c>
      <c r="C15" s="219">
        <v>1650396445</v>
      </c>
      <c r="D15" s="219"/>
      <c r="E15" s="219">
        <v>2143158640</v>
      </c>
      <c r="F15" s="220"/>
      <c r="O15" s="109" t="s">
        <v>296</v>
      </c>
      <c r="P15" s="113"/>
      <c r="Q15" s="111"/>
      <c r="R15" s="117">
        <v>55824370383</v>
      </c>
      <c r="S15" s="111"/>
      <c r="T15" s="118">
        <v>26165503033</v>
      </c>
      <c r="AF15" s="114" t="s">
        <v>297</v>
      </c>
      <c r="AG15" s="119">
        <v>53427860047</v>
      </c>
      <c r="AH15" s="120">
        <v>55824370383</v>
      </c>
    </row>
    <row r="16" spans="1:34" x14ac:dyDescent="0.3">
      <c r="A16" s="109" t="s">
        <v>298</v>
      </c>
      <c r="B16" s="110">
        <v>5</v>
      </c>
      <c r="C16" s="219" t="s">
        <v>199</v>
      </c>
      <c r="D16" s="219"/>
      <c r="E16" s="219">
        <v>996359683</v>
      </c>
      <c r="F16" s="220"/>
      <c r="O16" s="109" t="s">
        <v>283</v>
      </c>
      <c r="P16" s="113" t="s">
        <v>284</v>
      </c>
      <c r="Q16" s="117">
        <v>2257318882</v>
      </c>
      <c r="R16" s="111"/>
      <c r="S16" s="117">
        <v>1650396445</v>
      </c>
      <c r="T16" s="112"/>
      <c r="AF16" s="114" t="s">
        <v>285</v>
      </c>
      <c r="AG16" s="119">
        <v>1426231307</v>
      </c>
      <c r="AH16" s="120">
        <v>2257318882</v>
      </c>
    </row>
    <row r="17" spans="1:34" x14ac:dyDescent="0.3">
      <c r="A17" s="109" t="s">
        <v>299</v>
      </c>
      <c r="B17" s="110" t="s">
        <v>300</v>
      </c>
      <c r="C17" s="219">
        <v>7654582035</v>
      </c>
      <c r="D17" s="219"/>
      <c r="E17" s="219">
        <v>5328505320</v>
      </c>
      <c r="F17" s="220"/>
      <c r="O17" s="109" t="s">
        <v>301</v>
      </c>
      <c r="P17" s="113">
        <v>5</v>
      </c>
      <c r="Q17" s="117">
        <v>30772109819</v>
      </c>
      <c r="R17" s="111"/>
      <c r="S17" s="111" t="s">
        <v>199</v>
      </c>
      <c r="T17" s="112"/>
      <c r="AF17" s="114" t="s">
        <v>302</v>
      </c>
      <c r="AG17" s="119">
        <v>24244880842</v>
      </c>
      <c r="AH17" s="120">
        <v>30772109819</v>
      </c>
    </row>
    <row r="18" spans="1:34" x14ac:dyDescent="0.3">
      <c r="A18" s="109" t="s">
        <v>303</v>
      </c>
      <c r="B18" s="110" t="s">
        <v>304</v>
      </c>
      <c r="C18" s="219">
        <v>16860524553</v>
      </c>
      <c r="D18" s="219"/>
      <c r="E18" s="219">
        <v>26598624855</v>
      </c>
      <c r="F18" s="220"/>
      <c r="O18" s="109" t="s">
        <v>305</v>
      </c>
      <c r="P18" s="113">
        <v>11</v>
      </c>
      <c r="Q18" s="117">
        <v>275387141</v>
      </c>
      <c r="R18" s="111"/>
      <c r="S18" s="111" t="s">
        <v>199</v>
      </c>
      <c r="T18" s="112"/>
      <c r="AF18" s="114" t="s">
        <v>306</v>
      </c>
      <c r="AG18" s="119">
        <v>7941091721</v>
      </c>
      <c r="AH18" s="120">
        <v>275387141</v>
      </c>
    </row>
    <row r="19" spans="1:34" x14ac:dyDescent="0.3">
      <c r="A19" s="109" t="s">
        <v>307</v>
      </c>
      <c r="B19" s="110">
        <v>9</v>
      </c>
      <c r="C19" s="219"/>
      <c r="D19" s="219"/>
      <c r="E19" s="219">
        <v>250415529</v>
      </c>
      <c r="F19" s="220"/>
      <c r="O19" s="109" t="s">
        <v>308</v>
      </c>
      <c r="P19" s="113" t="s">
        <v>309</v>
      </c>
      <c r="Q19" s="117">
        <v>6752244404</v>
      </c>
      <c r="R19" s="111"/>
      <c r="S19" s="117">
        <v>7654582035</v>
      </c>
      <c r="T19" s="112"/>
      <c r="AF19" s="114" t="s">
        <v>310</v>
      </c>
      <c r="AG19" s="119">
        <v>4868566741</v>
      </c>
      <c r="AH19" s="120">
        <v>6752244404</v>
      </c>
    </row>
    <row r="20" spans="1:34" x14ac:dyDescent="0.3">
      <c r="A20" s="109" t="s">
        <v>311</v>
      </c>
      <c r="B20" s="110"/>
      <c r="C20" s="219"/>
      <c r="D20" s="219">
        <v>172443439357</v>
      </c>
      <c r="E20" s="219"/>
      <c r="F20" s="220">
        <v>171585554854</v>
      </c>
      <c r="O20" s="109" t="s">
        <v>312</v>
      </c>
      <c r="P20" s="113" t="s">
        <v>313</v>
      </c>
      <c r="Q20" s="117">
        <v>15767310137</v>
      </c>
      <c r="R20" s="111"/>
      <c r="S20" s="117">
        <v>16860524553</v>
      </c>
      <c r="T20" s="112"/>
      <c r="AF20" s="114" t="s">
        <v>314</v>
      </c>
      <c r="AG20" s="119">
        <v>14947089436</v>
      </c>
      <c r="AH20" s="120">
        <v>15767310137</v>
      </c>
    </row>
    <row r="21" spans="1:34" x14ac:dyDescent="0.3">
      <c r="A21" s="109" t="s">
        <v>315</v>
      </c>
      <c r="B21" s="110"/>
      <c r="C21" s="219"/>
      <c r="D21" s="219"/>
      <c r="E21" s="219"/>
      <c r="F21" s="220"/>
      <c r="O21" s="109" t="s">
        <v>316</v>
      </c>
      <c r="P21" s="113"/>
      <c r="Q21" s="111"/>
      <c r="R21" s="117">
        <v>254904569179</v>
      </c>
      <c r="S21" s="111"/>
      <c r="T21" s="118">
        <v>172443439357</v>
      </c>
      <c r="AF21" s="114" t="s">
        <v>317</v>
      </c>
      <c r="AG21" s="119">
        <v>264821711447</v>
      </c>
      <c r="AH21" s="120">
        <v>254904569179</v>
      </c>
    </row>
    <row r="22" spans="1:34" x14ac:dyDescent="0.3">
      <c r="A22" s="109" t="s">
        <v>318</v>
      </c>
      <c r="B22" s="110"/>
      <c r="C22" s="219" t="s">
        <v>319</v>
      </c>
      <c r="D22" s="219">
        <v>72762462534</v>
      </c>
      <c r="E22" s="219"/>
      <c r="F22" s="220">
        <v>49775319297</v>
      </c>
      <c r="O22" s="109" t="s">
        <v>320</v>
      </c>
      <c r="P22" s="113"/>
      <c r="Q22" s="111"/>
      <c r="R22" s="111"/>
      <c r="S22" s="111"/>
      <c r="T22" s="112"/>
      <c r="AF22" s="114" t="s">
        <v>320</v>
      </c>
      <c r="AG22" s="115"/>
      <c r="AH22" s="116"/>
    </row>
    <row r="23" spans="1:34" x14ac:dyDescent="0.3">
      <c r="A23" s="109" t="s">
        <v>321</v>
      </c>
      <c r="B23" s="110" t="s">
        <v>322</v>
      </c>
      <c r="C23" s="219">
        <v>60933090739</v>
      </c>
      <c r="D23" s="219"/>
      <c r="E23" s="219">
        <v>36253305936</v>
      </c>
      <c r="F23" s="220"/>
      <c r="O23" s="109" t="s">
        <v>323</v>
      </c>
      <c r="P23" s="113"/>
      <c r="Q23" s="111"/>
      <c r="R23" s="117">
        <v>172798677782</v>
      </c>
      <c r="S23" s="111"/>
      <c r="T23" s="118">
        <v>72762462534</v>
      </c>
      <c r="AF23" s="114" t="s">
        <v>324</v>
      </c>
      <c r="AG23" s="119">
        <v>136335896373</v>
      </c>
      <c r="AH23" s="120">
        <v>172798677782</v>
      </c>
    </row>
    <row r="24" spans="1:34" x14ac:dyDescent="0.3">
      <c r="A24" s="109" t="s">
        <v>325</v>
      </c>
      <c r="B24" s="110">
        <v>13</v>
      </c>
      <c r="C24" s="219">
        <v>9194493551</v>
      </c>
      <c r="D24" s="219"/>
      <c r="E24" s="219">
        <v>10909561538</v>
      </c>
      <c r="F24" s="220"/>
      <c r="O24" s="109" t="s">
        <v>326</v>
      </c>
      <c r="P24" s="113" t="s">
        <v>327</v>
      </c>
      <c r="Q24" s="117">
        <v>65863401555</v>
      </c>
      <c r="R24" s="111"/>
      <c r="S24" s="117">
        <v>60933090739</v>
      </c>
      <c r="T24" s="112"/>
      <c r="AF24" s="114" t="s">
        <v>328</v>
      </c>
      <c r="AG24" s="119">
        <v>73782340065</v>
      </c>
      <c r="AH24" s="120">
        <v>65863401555</v>
      </c>
    </row>
    <row r="25" spans="1:34" x14ac:dyDescent="0.3">
      <c r="A25" s="109" t="s">
        <v>329</v>
      </c>
      <c r="B25" s="110" t="s">
        <v>330</v>
      </c>
      <c r="C25" s="219">
        <v>2631820890</v>
      </c>
      <c r="D25" s="219"/>
      <c r="E25" s="219">
        <v>2550691866</v>
      </c>
      <c r="F25" s="220"/>
      <c r="O25" s="109" t="s">
        <v>331</v>
      </c>
      <c r="P25" s="113" t="s">
        <v>332</v>
      </c>
      <c r="Q25" s="117">
        <v>93145378702</v>
      </c>
      <c r="R25" s="111"/>
      <c r="S25" s="111" t="s">
        <v>199</v>
      </c>
      <c r="T25" s="112"/>
      <c r="AF25" s="228" t="s">
        <v>333</v>
      </c>
      <c r="AG25" s="229">
        <v>51782363760</v>
      </c>
      <c r="AH25" s="230">
        <v>93145378702</v>
      </c>
    </row>
    <row r="26" spans="1:34" x14ac:dyDescent="0.3">
      <c r="A26" s="109" t="s">
        <v>334</v>
      </c>
      <c r="B26" s="110"/>
      <c r="C26" s="219">
        <v>3057354</v>
      </c>
      <c r="D26" s="219"/>
      <c r="E26" s="219">
        <v>61759957</v>
      </c>
      <c r="F26" s="220"/>
      <c r="O26" s="109" t="s">
        <v>335</v>
      </c>
      <c r="P26" s="113">
        <v>16</v>
      </c>
      <c r="Q26" s="117">
        <v>10968811383</v>
      </c>
      <c r="R26" s="111"/>
      <c r="S26" s="117">
        <v>9194493551</v>
      </c>
      <c r="T26" s="112"/>
      <c r="AF26" s="114" t="s">
        <v>336</v>
      </c>
      <c r="AG26" s="119">
        <v>8421068928</v>
      </c>
      <c r="AH26" s="120">
        <v>10968811383</v>
      </c>
    </row>
    <row r="27" spans="1:34" x14ac:dyDescent="0.3">
      <c r="A27" s="109" t="s">
        <v>337</v>
      </c>
      <c r="B27" s="110"/>
      <c r="C27" s="219"/>
      <c r="D27" s="219">
        <v>3879577855</v>
      </c>
      <c r="E27" s="219"/>
      <c r="F27" s="220">
        <v>3893195718</v>
      </c>
      <c r="O27" s="109" t="s">
        <v>338</v>
      </c>
      <c r="P27" s="113" t="s">
        <v>339</v>
      </c>
      <c r="Q27" s="117">
        <v>2799454358</v>
      </c>
      <c r="R27" s="111"/>
      <c r="S27" s="117">
        <v>2631820890</v>
      </c>
      <c r="T27" s="112"/>
      <c r="AF27" s="228" t="s">
        <v>340</v>
      </c>
      <c r="AG27" s="229">
        <v>2326604146</v>
      </c>
      <c r="AH27" s="230">
        <v>2799454358</v>
      </c>
    </row>
    <row r="28" spans="1:34" x14ac:dyDescent="0.3">
      <c r="A28" s="109" t="s">
        <v>321</v>
      </c>
      <c r="B28" s="110" t="s">
        <v>341</v>
      </c>
      <c r="C28" s="219">
        <v>222809200</v>
      </c>
      <c r="D28" s="219"/>
      <c r="E28" s="219">
        <v>11500000</v>
      </c>
      <c r="F28" s="220"/>
      <c r="O28" s="109" t="s">
        <v>342</v>
      </c>
      <c r="P28" s="113">
        <v>27</v>
      </c>
      <c r="Q28" s="117">
        <v>21631784</v>
      </c>
      <c r="R28" s="111"/>
      <c r="S28" s="117">
        <v>3057354</v>
      </c>
      <c r="T28" s="112"/>
      <c r="AF28" s="114" t="s">
        <v>343</v>
      </c>
      <c r="AG28" s="119">
        <v>23519474</v>
      </c>
      <c r="AH28" s="120">
        <v>21631784</v>
      </c>
    </row>
    <row r="29" spans="1:34" x14ac:dyDescent="0.3">
      <c r="A29" s="109" t="s">
        <v>344</v>
      </c>
      <c r="B29" s="110">
        <v>14</v>
      </c>
      <c r="C29" s="219">
        <v>822730454</v>
      </c>
      <c r="D29" s="219"/>
      <c r="E29" s="219">
        <v>1215669271</v>
      </c>
      <c r="F29" s="220"/>
      <c r="O29" s="109" t="s">
        <v>345</v>
      </c>
      <c r="P29" s="113"/>
      <c r="Q29" s="111"/>
      <c r="R29" s="117">
        <v>2466676920</v>
      </c>
      <c r="S29" s="111"/>
      <c r="T29" s="118">
        <v>3879577855</v>
      </c>
      <c r="AF29" s="114" t="s">
        <v>346</v>
      </c>
      <c r="AG29" s="119">
        <v>2200572894</v>
      </c>
      <c r="AH29" s="120">
        <v>2466676920</v>
      </c>
    </row>
    <row r="30" spans="1:34" x14ac:dyDescent="0.3">
      <c r="A30" s="109" t="s">
        <v>347</v>
      </c>
      <c r="B30" s="110">
        <v>13</v>
      </c>
      <c r="C30" s="219">
        <v>118883200</v>
      </c>
      <c r="D30" s="219"/>
      <c r="E30" s="219">
        <v>118066714</v>
      </c>
      <c r="F30" s="220"/>
      <c r="O30" s="109" t="s">
        <v>326</v>
      </c>
      <c r="P30" s="113" t="s">
        <v>327</v>
      </c>
      <c r="Q30" s="117">
        <v>467762200</v>
      </c>
      <c r="R30" s="111"/>
      <c r="S30" s="117">
        <v>222809200</v>
      </c>
      <c r="T30" s="112"/>
      <c r="AF30" s="114" t="s">
        <v>328</v>
      </c>
      <c r="AG30" s="119">
        <v>994339200</v>
      </c>
      <c r="AH30" s="120">
        <v>467762200</v>
      </c>
    </row>
    <row r="31" spans="1:34" x14ac:dyDescent="0.3">
      <c r="A31" s="109" t="s">
        <v>348</v>
      </c>
      <c r="B31" s="110" t="s">
        <v>330</v>
      </c>
      <c r="C31" s="219">
        <v>2715155001</v>
      </c>
      <c r="D31" s="219"/>
      <c r="E31" s="219">
        <v>695426099</v>
      </c>
      <c r="F31" s="220"/>
      <c r="O31" s="109" t="s">
        <v>349</v>
      </c>
      <c r="P31" s="113">
        <v>18</v>
      </c>
      <c r="Q31" s="117">
        <v>428993226</v>
      </c>
      <c r="R31" s="111"/>
      <c r="S31" s="117">
        <v>822730454</v>
      </c>
      <c r="T31" s="112"/>
      <c r="AF31" s="114" t="s">
        <v>350</v>
      </c>
      <c r="AG31" s="119">
        <v>569767300</v>
      </c>
      <c r="AH31" s="120">
        <v>428993226</v>
      </c>
    </row>
    <row r="32" spans="1:34" x14ac:dyDescent="0.3">
      <c r="A32" s="109" t="s">
        <v>351</v>
      </c>
      <c r="B32" s="110">
        <v>22</v>
      </c>
      <c r="C32" s="219" t="s">
        <v>199</v>
      </c>
      <c r="D32" s="219"/>
      <c r="E32" s="219">
        <v>1852533634</v>
      </c>
      <c r="F32" s="220"/>
      <c r="O32" s="109" t="s">
        <v>352</v>
      </c>
      <c r="P32" s="113">
        <v>16</v>
      </c>
      <c r="Q32" s="117">
        <v>108037971</v>
      </c>
      <c r="R32" s="111"/>
      <c r="S32" s="117">
        <v>118883200</v>
      </c>
      <c r="T32" s="112"/>
      <c r="AF32" s="114" t="s">
        <v>353</v>
      </c>
      <c r="AG32" s="119">
        <v>113209782</v>
      </c>
      <c r="AH32" s="120">
        <v>108037971</v>
      </c>
    </row>
    <row r="33" spans="1:36" x14ac:dyDescent="0.3">
      <c r="A33" s="109" t="s">
        <v>354</v>
      </c>
      <c r="B33" s="110"/>
      <c r="C33" s="219"/>
      <c r="D33" s="219">
        <v>76642040389</v>
      </c>
      <c r="E33" s="219"/>
      <c r="F33" s="220">
        <v>53668515015</v>
      </c>
      <c r="O33" s="109" t="s">
        <v>355</v>
      </c>
      <c r="P33" s="113" t="s">
        <v>339</v>
      </c>
      <c r="Q33" s="117">
        <v>1461883523</v>
      </c>
      <c r="R33" s="111"/>
      <c r="S33" s="117">
        <v>2715155001</v>
      </c>
      <c r="T33" s="112"/>
      <c r="AF33" s="228" t="s">
        <v>356</v>
      </c>
      <c r="AG33" s="229">
        <v>523256612</v>
      </c>
      <c r="AH33" s="230">
        <v>1461883523</v>
      </c>
    </row>
    <row r="34" spans="1:36" x14ac:dyDescent="0.3">
      <c r="A34" s="109" t="s">
        <v>357</v>
      </c>
      <c r="B34" s="110"/>
      <c r="C34" s="219"/>
      <c r="D34" s="219"/>
      <c r="E34" s="219"/>
      <c r="F34" s="220"/>
      <c r="O34" s="109" t="s">
        <v>358</v>
      </c>
      <c r="P34" s="113"/>
      <c r="Q34" s="111"/>
      <c r="R34" s="117">
        <v>175265354702</v>
      </c>
      <c r="S34" s="111"/>
      <c r="T34" s="118">
        <v>76642040389</v>
      </c>
      <c r="AF34" s="114" t="s">
        <v>359</v>
      </c>
      <c r="AG34" s="119">
        <v>138536469267</v>
      </c>
      <c r="AH34" s="120">
        <v>175265354702</v>
      </c>
    </row>
    <row r="35" spans="1:36" x14ac:dyDescent="0.3">
      <c r="A35" s="109" t="s">
        <v>360</v>
      </c>
      <c r="B35" s="110"/>
      <c r="C35" s="219"/>
      <c r="D35" s="219">
        <v>95801398968</v>
      </c>
      <c r="E35" s="219"/>
      <c r="F35" s="220">
        <v>117917039839</v>
      </c>
      <c r="O35" s="109" t="s">
        <v>361</v>
      </c>
      <c r="P35" s="113"/>
      <c r="Q35" s="111"/>
      <c r="R35" s="111"/>
      <c r="S35" s="111"/>
      <c r="T35" s="112"/>
      <c r="AF35" s="114" t="s">
        <v>361</v>
      </c>
      <c r="AG35" s="115"/>
      <c r="AH35" s="116"/>
    </row>
    <row r="36" spans="1:36" x14ac:dyDescent="0.3">
      <c r="A36" s="109" t="s">
        <v>362</v>
      </c>
      <c r="B36" s="110" t="s">
        <v>363</v>
      </c>
      <c r="C36" s="219">
        <v>28429923500</v>
      </c>
      <c r="D36" s="219"/>
      <c r="E36" s="219">
        <v>28429923500</v>
      </c>
      <c r="F36" s="220"/>
      <c r="O36" s="109" t="s">
        <v>364</v>
      </c>
      <c r="P36" s="113"/>
      <c r="Q36" s="111"/>
      <c r="R36" s="117">
        <v>79639214477</v>
      </c>
      <c r="S36" s="111"/>
      <c r="T36" s="118">
        <v>95801398968</v>
      </c>
      <c r="AF36" s="114" t="s">
        <v>365</v>
      </c>
      <c r="AG36" s="119">
        <v>126285242180</v>
      </c>
      <c r="AH36" s="120">
        <v>79639214477</v>
      </c>
    </row>
    <row r="37" spans="1:36" x14ac:dyDescent="0.3">
      <c r="A37" s="109" t="s">
        <v>366</v>
      </c>
      <c r="B37" s="110">
        <v>15</v>
      </c>
      <c r="C37" s="219">
        <v>178559577856</v>
      </c>
      <c r="D37" s="219"/>
      <c r="E37" s="219">
        <v>178559577856</v>
      </c>
      <c r="F37" s="220"/>
      <c r="O37" s="109" t="s">
        <v>367</v>
      </c>
      <c r="P37" s="113" t="s">
        <v>368</v>
      </c>
      <c r="Q37" s="117">
        <v>28429923500</v>
      </c>
      <c r="R37" s="111"/>
      <c r="S37" s="117">
        <v>28429923500</v>
      </c>
      <c r="T37" s="112"/>
      <c r="AF37" s="114" t="s">
        <v>369</v>
      </c>
      <c r="AG37" s="119">
        <v>28429923500</v>
      </c>
      <c r="AH37" s="120">
        <v>28429923500</v>
      </c>
    </row>
    <row r="38" spans="1:36" x14ac:dyDescent="0.3">
      <c r="A38" s="109" t="s">
        <v>370</v>
      </c>
      <c r="B38" s="110" t="s">
        <v>371</v>
      </c>
      <c r="C38" s="219">
        <v>-310683954</v>
      </c>
      <c r="D38" s="219"/>
      <c r="E38" s="219">
        <v>-1301501750</v>
      </c>
      <c r="F38" s="220"/>
      <c r="O38" s="109" t="s">
        <v>372</v>
      </c>
      <c r="P38" s="113" t="s">
        <v>373</v>
      </c>
      <c r="Q38" s="117">
        <v>178743993103</v>
      </c>
      <c r="R38" s="111"/>
      <c r="S38" s="117">
        <v>178559577856</v>
      </c>
      <c r="T38" s="112"/>
      <c r="AF38" s="114" t="s">
        <v>374</v>
      </c>
      <c r="AG38" s="119">
        <v>60141828383</v>
      </c>
      <c r="AH38" s="120">
        <v>178743993103</v>
      </c>
    </row>
    <row r="39" spans="1:36" x14ac:dyDescent="0.3">
      <c r="A39" s="109" t="s">
        <v>375</v>
      </c>
      <c r="B39" s="110">
        <v>17</v>
      </c>
      <c r="C39" s="219">
        <v>-110877418434</v>
      </c>
      <c r="D39" s="219"/>
      <c r="E39" s="219">
        <v>-87770959767</v>
      </c>
      <c r="F39" s="220"/>
      <c r="O39" s="109" t="s">
        <v>376</v>
      </c>
      <c r="P39" s="113" t="s">
        <v>377</v>
      </c>
      <c r="Q39" s="117">
        <v>-315281392</v>
      </c>
      <c r="R39" s="111"/>
      <c r="S39" s="117">
        <v>-310683954</v>
      </c>
      <c r="T39" s="112"/>
      <c r="AF39" s="114" t="s">
        <v>378</v>
      </c>
      <c r="AG39" s="119">
        <v>-940175661</v>
      </c>
      <c r="AH39" s="120">
        <v>-315281392</v>
      </c>
    </row>
    <row r="40" spans="1:36" x14ac:dyDescent="0.3">
      <c r="A40" s="109" t="s">
        <v>379</v>
      </c>
      <c r="B40" s="110"/>
      <c r="C40" s="219"/>
      <c r="D40" s="219" t="s">
        <v>199</v>
      </c>
      <c r="E40" s="219"/>
      <c r="F40" s="220" t="s">
        <v>199</v>
      </c>
      <c r="O40" s="109" t="s">
        <v>380</v>
      </c>
      <c r="P40" s="113">
        <v>21</v>
      </c>
      <c r="Q40" s="117">
        <v>-127219420734</v>
      </c>
      <c r="R40" s="111"/>
      <c r="S40" s="117">
        <v>-110877418434</v>
      </c>
      <c r="T40" s="112"/>
      <c r="AF40" s="114" t="s">
        <v>381</v>
      </c>
      <c r="AG40" s="119">
        <v>38653665958</v>
      </c>
      <c r="AH40" s="120">
        <v>-127219420734</v>
      </c>
    </row>
    <row r="41" spans="1:36" x14ac:dyDescent="0.3">
      <c r="A41" s="109" t="s">
        <v>382</v>
      </c>
      <c r="B41" s="110"/>
      <c r="C41" s="219"/>
      <c r="D41" s="219">
        <v>95801398968</v>
      </c>
      <c r="E41" s="219"/>
      <c r="F41" s="220">
        <v>117917039839</v>
      </c>
      <c r="O41" s="109" t="s">
        <v>383</v>
      </c>
      <c r="P41" s="113"/>
      <c r="Q41" s="111"/>
      <c r="R41" s="111" t="s">
        <v>199</v>
      </c>
      <c r="S41" s="111"/>
      <c r="T41" s="112" t="s">
        <v>199</v>
      </c>
      <c r="AF41" s="228" t="s">
        <v>384</v>
      </c>
      <c r="AG41" s="229">
        <v>126285242180</v>
      </c>
      <c r="AH41" s="230">
        <v>79639214477</v>
      </c>
    </row>
    <row r="42" spans="1:36" x14ac:dyDescent="0.3">
      <c r="A42" s="121" t="s">
        <v>385</v>
      </c>
      <c r="B42" s="122"/>
      <c r="C42" s="221"/>
      <c r="D42" s="221">
        <v>172443439357</v>
      </c>
      <c r="E42" s="221"/>
      <c r="F42" s="222">
        <v>171585554854</v>
      </c>
      <c r="O42" s="109" t="s">
        <v>386</v>
      </c>
      <c r="P42" s="113"/>
      <c r="Q42" s="111"/>
      <c r="R42" s="117">
        <v>79639214477</v>
      </c>
      <c r="S42" s="111"/>
      <c r="T42" s="118">
        <v>95801398968</v>
      </c>
      <c r="AF42" s="125" t="s">
        <v>387</v>
      </c>
      <c r="AG42" s="126">
        <v>264821711447</v>
      </c>
      <c r="AH42" s="127">
        <v>254904569179</v>
      </c>
    </row>
    <row r="43" spans="1:36" x14ac:dyDescent="0.3">
      <c r="A43" s="128"/>
      <c r="O43" s="121" t="s">
        <v>388</v>
      </c>
      <c r="P43" s="129"/>
      <c r="Q43" s="123"/>
      <c r="R43" s="130">
        <v>254904569179</v>
      </c>
      <c r="S43" s="123"/>
      <c r="T43" s="131">
        <v>172443439357</v>
      </c>
      <c r="AF43" s="128"/>
      <c r="AG43" s="257">
        <f>AG25+AG27+AG33</f>
        <v>54632224518</v>
      </c>
      <c r="AH43" s="257">
        <f>AH25+AH27+AH33</f>
        <v>97406716583</v>
      </c>
    </row>
    <row r="44" spans="1:36" x14ac:dyDescent="0.3">
      <c r="A44" s="102" t="s">
        <v>389</v>
      </c>
      <c r="O44" s="128"/>
      <c r="AF44" s="101" t="s">
        <v>390</v>
      </c>
      <c r="AG44" s="256"/>
      <c r="AH44" s="256"/>
    </row>
    <row r="45" spans="1:36" x14ac:dyDescent="0.3">
      <c r="O45" s="102" t="s">
        <v>389</v>
      </c>
      <c r="AF45" s="102" t="s">
        <v>391</v>
      </c>
      <c r="AG45" s="100">
        <f>AG43/AG41</f>
        <v>0.43260972996456903</v>
      </c>
      <c r="AH45" s="100">
        <f>AH43/AH41</f>
        <v>1.2230999165760392</v>
      </c>
    </row>
    <row r="46" spans="1:36" ht="22.5" x14ac:dyDescent="0.3">
      <c r="A46" s="132" t="s">
        <v>392</v>
      </c>
      <c r="O46" s="128"/>
      <c r="AF46" s="102" t="s">
        <v>393</v>
      </c>
    </row>
    <row r="47" spans="1:36" x14ac:dyDescent="0.3">
      <c r="A47" s="133"/>
      <c r="O47" s="1688" t="s">
        <v>394</v>
      </c>
      <c r="P47" s="1688"/>
      <c r="AF47" s="105" t="s">
        <v>258</v>
      </c>
    </row>
    <row r="48" spans="1:36" x14ac:dyDescent="0.3">
      <c r="A48" s="1688" t="s">
        <v>395</v>
      </c>
      <c r="B48" s="1688"/>
      <c r="O48" s="1688" t="s">
        <v>396</v>
      </c>
      <c r="P48" s="1688"/>
      <c r="AF48" s="1689"/>
      <c r="AG48" s="1685" t="s">
        <v>397</v>
      </c>
      <c r="AH48" s="1686"/>
      <c r="AI48" s="1685" t="s">
        <v>398</v>
      </c>
      <c r="AJ48" s="1687"/>
    </row>
    <row r="49" spans="1:36" x14ac:dyDescent="0.3">
      <c r="A49" s="1688" t="s">
        <v>399</v>
      </c>
      <c r="B49" s="1688"/>
      <c r="O49" s="1688" t="s">
        <v>395</v>
      </c>
      <c r="P49" s="1688"/>
      <c r="AF49" s="1690"/>
      <c r="AG49" s="134" t="s">
        <v>400</v>
      </c>
      <c r="AH49" s="134" t="s">
        <v>401</v>
      </c>
      <c r="AI49" s="134" t="s">
        <v>400</v>
      </c>
      <c r="AJ49" s="135" t="s">
        <v>401</v>
      </c>
    </row>
    <row r="50" spans="1:36" x14ac:dyDescent="0.15">
      <c r="A50" s="103" t="s">
        <v>257</v>
      </c>
      <c r="B50" s="104" t="s">
        <v>258</v>
      </c>
      <c r="O50" s="103" t="s">
        <v>257</v>
      </c>
      <c r="P50" s="104" t="s">
        <v>258</v>
      </c>
      <c r="AF50" s="114" t="s">
        <v>402</v>
      </c>
      <c r="AG50" s="119">
        <v>73931010689</v>
      </c>
      <c r="AH50" s="119">
        <v>200034732176</v>
      </c>
      <c r="AI50" s="119">
        <v>59993024019</v>
      </c>
      <c r="AJ50" s="120">
        <v>177966232980</v>
      </c>
    </row>
    <row r="51" spans="1:36" x14ac:dyDescent="0.3">
      <c r="A51" s="106" t="s">
        <v>259</v>
      </c>
      <c r="B51" s="107" t="s">
        <v>260</v>
      </c>
      <c r="C51" s="1685" t="s">
        <v>261</v>
      </c>
      <c r="D51" s="1686"/>
      <c r="E51" s="1685" t="s">
        <v>262</v>
      </c>
      <c r="F51" s="1687"/>
      <c r="O51" s="106" t="s">
        <v>263</v>
      </c>
      <c r="P51" s="107" t="s">
        <v>260</v>
      </c>
      <c r="Q51" s="1685" t="s">
        <v>264</v>
      </c>
      <c r="R51" s="1686"/>
      <c r="S51" s="1685" t="s">
        <v>265</v>
      </c>
      <c r="T51" s="1687"/>
      <c r="AF51" s="114" t="s">
        <v>403</v>
      </c>
      <c r="AG51" s="119">
        <v>57887318583</v>
      </c>
      <c r="AH51" s="119">
        <v>155383003482</v>
      </c>
      <c r="AI51" s="119">
        <v>45363502194</v>
      </c>
      <c r="AJ51" s="120">
        <v>136737922106</v>
      </c>
    </row>
    <row r="52" spans="1:36" x14ac:dyDescent="0.3">
      <c r="A52" s="109" t="s">
        <v>404</v>
      </c>
      <c r="B52" s="110" t="s">
        <v>405</v>
      </c>
      <c r="C52" s="111"/>
      <c r="D52" s="117">
        <v>226329072223</v>
      </c>
      <c r="E52" s="111"/>
      <c r="F52" s="118">
        <v>196961162684</v>
      </c>
      <c r="O52" s="109" t="s">
        <v>406</v>
      </c>
      <c r="P52" s="113" t="s">
        <v>407</v>
      </c>
      <c r="Q52" s="111"/>
      <c r="R52" s="117">
        <v>244189264502</v>
      </c>
      <c r="S52" s="111"/>
      <c r="T52" s="118">
        <v>226329072223</v>
      </c>
      <c r="AF52" s="114" t="s">
        <v>408</v>
      </c>
      <c r="AG52" s="119">
        <v>16043692106</v>
      </c>
      <c r="AH52" s="119">
        <v>44651728694</v>
      </c>
      <c r="AI52" s="119">
        <v>14629521825</v>
      </c>
      <c r="AJ52" s="120">
        <v>41228310874</v>
      </c>
    </row>
    <row r="53" spans="1:36" x14ac:dyDescent="0.3">
      <c r="A53" s="109" t="s">
        <v>409</v>
      </c>
      <c r="B53" s="110" t="s">
        <v>410</v>
      </c>
      <c r="C53" s="111"/>
      <c r="D53" s="117">
        <v>181205387327</v>
      </c>
      <c r="E53" s="111"/>
      <c r="F53" s="118">
        <v>166303131717</v>
      </c>
      <c r="O53" s="109" t="s">
        <v>411</v>
      </c>
      <c r="P53" s="113" t="s">
        <v>412</v>
      </c>
      <c r="Q53" s="111"/>
      <c r="R53" s="117">
        <v>184688310354</v>
      </c>
      <c r="S53" s="111"/>
      <c r="T53" s="118">
        <v>181205387327</v>
      </c>
      <c r="AF53" s="114" t="s">
        <v>413</v>
      </c>
      <c r="AG53" s="119">
        <v>16861855695</v>
      </c>
      <c r="AH53" s="119">
        <v>46496137626</v>
      </c>
      <c r="AI53" s="119">
        <v>12684032878</v>
      </c>
      <c r="AJ53" s="120">
        <v>36514424351</v>
      </c>
    </row>
    <row r="54" spans="1:36" x14ac:dyDescent="0.3">
      <c r="A54" s="109" t="s">
        <v>414</v>
      </c>
      <c r="B54" s="110"/>
      <c r="C54" s="111"/>
      <c r="D54" s="117">
        <v>45123684896</v>
      </c>
      <c r="E54" s="111"/>
      <c r="F54" s="118">
        <v>30658030967</v>
      </c>
      <c r="O54" s="109" t="s">
        <v>415</v>
      </c>
      <c r="P54" s="113"/>
      <c r="Q54" s="111"/>
      <c r="R54" s="117">
        <v>59500954148</v>
      </c>
      <c r="S54" s="111"/>
      <c r="T54" s="118">
        <v>45123684896</v>
      </c>
      <c r="AF54" s="114" t="s">
        <v>416</v>
      </c>
      <c r="AG54" s="119">
        <v>-818163589</v>
      </c>
      <c r="AH54" s="119">
        <v>-1844408932</v>
      </c>
      <c r="AI54" s="119">
        <v>1945488947</v>
      </c>
      <c r="AJ54" s="120">
        <v>4713886523</v>
      </c>
    </row>
    <row r="55" spans="1:36" x14ac:dyDescent="0.3">
      <c r="A55" s="109" t="s">
        <v>417</v>
      </c>
      <c r="B55" s="110" t="s">
        <v>418</v>
      </c>
      <c r="C55" s="117">
        <v>57012606885</v>
      </c>
      <c r="D55" s="111"/>
      <c r="E55" s="117">
        <v>57401502102</v>
      </c>
      <c r="F55" s="112"/>
      <c r="O55" s="109" t="s">
        <v>419</v>
      </c>
      <c r="P55" s="113" t="s">
        <v>420</v>
      </c>
      <c r="Q55" s="117">
        <v>54652445309</v>
      </c>
      <c r="R55" s="111"/>
      <c r="S55" s="117">
        <v>57012606885</v>
      </c>
      <c r="T55" s="112"/>
      <c r="AF55" s="114" t="s">
        <v>421</v>
      </c>
      <c r="AG55" s="119">
        <v>10308042006</v>
      </c>
      <c r="AH55" s="119">
        <v>49221089943</v>
      </c>
      <c r="AI55" s="119">
        <v>1981799089</v>
      </c>
      <c r="AJ55" s="120">
        <v>3469721018</v>
      </c>
    </row>
    <row r="56" spans="1:36" x14ac:dyDescent="0.3">
      <c r="A56" s="109" t="s">
        <v>422</v>
      </c>
      <c r="B56" s="110"/>
      <c r="C56" s="111"/>
      <c r="D56" s="117">
        <v>-11888921989</v>
      </c>
      <c r="E56" s="111"/>
      <c r="F56" s="118">
        <v>-26743471135</v>
      </c>
      <c r="O56" s="109" t="s">
        <v>423</v>
      </c>
      <c r="P56" s="113"/>
      <c r="Q56" s="111"/>
      <c r="R56" s="117">
        <v>4848508839</v>
      </c>
      <c r="S56" s="111"/>
      <c r="T56" s="118">
        <v>-11888921989</v>
      </c>
      <c r="AF56" s="114" t="s">
        <v>424</v>
      </c>
      <c r="AG56" s="119">
        <v>-192802437</v>
      </c>
      <c r="AH56" s="119">
        <v>2816627018</v>
      </c>
      <c r="AI56" s="119">
        <v>-10583058785</v>
      </c>
      <c r="AJ56" s="120">
        <v>8364900992</v>
      </c>
    </row>
    <row r="57" spans="1:36" x14ac:dyDescent="0.3">
      <c r="A57" s="109" t="s">
        <v>425</v>
      </c>
      <c r="B57" s="110" t="s">
        <v>426</v>
      </c>
      <c r="C57" s="117">
        <v>1036386899</v>
      </c>
      <c r="D57" s="111"/>
      <c r="E57" s="117">
        <v>2405455321</v>
      </c>
      <c r="F57" s="112"/>
      <c r="O57" s="109" t="s">
        <v>427</v>
      </c>
      <c r="P57" s="113" t="s">
        <v>428</v>
      </c>
      <c r="Q57" s="117">
        <v>4675492818</v>
      </c>
      <c r="R57" s="111"/>
      <c r="S57" s="117">
        <v>1036386899</v>
      </c>
      <c r="T57" s="112"/>
      <c r="AF57" s="114" t="s">
        <v>429</v>
      </c>
      <c r="AG57" s="119">
        <v>810443151</v>
      </c>
      <c r="AH57" s="119">
        <v>1167385232</v>
      </c>
      <c r="AI57" s="119">
        <v>22549495</v>
      </c>
      <c r="AJ57" s="120">
        <v>54977696</v>
      </c>
    </row>
    <row r="58" spans="1:36" x14ac:dyDescent="0.3">
      <c r="A58" s="109" t="s">
        <v>430</v>
      </c>
      <c r="B58" s="110" t="s">
        <v>426</v>
      </c>
      <c r="C58" s="117">
        <v>3900339065</v>
      </c>
      <c r="D58" s="111"/>
      <c r="E58" s="117">
        <v>1138181134</v>
      </c>
      <c r="F58" s="112"/>
      <c r="O58" s="109" t="s">
        <v>431</v>
      </c>
      <c r="P58" s="113" t="s">
        <v>432</v>
      </c>
      <c r="Q58" s="117">
        <v>23668309521</v>
      </c>
      <c r="R58" s="111"/>
      <c r="S58" s="117">
        <v>3900339065</v>
      </c>
      <c r="T58" s="112"/>
      <c r="AF58" s="114" t="s">
        <v>433</v>
      </c>
      <c r="AG58" s="119">
        <v>306031909</v>
      </c>
      <c r="AH58" s="119">
        <v>330662243</v>
      </c>
      <c r="AI58" s="119">
        <v>530541172</v>
      </c>
      <c r="AJ58" s="120">
        <v>531823675</v>
      </c>
    </row>
    <row r="59" spans="1:36" x14ac:dyDescent="0.3">
      <c r="A59" s="109" t="s">
        <v>434</v>
      </c>
      <c r="B59" s="110" t="s">
        <v>435</v>
      </c>
      <c r="C59" s="117">
        <v>199414285</v>
      </c>
      <c r="D59" s="111"/>
      <c r="E59" s="117">
        <v>371361570</v>
      </c>
      <c r="F59" s="112"/>
      <c r="O59" s="109" t="s">
        <v>436</v>
      </c>
      <c r="P59" s="113" t="s">
        <v>437</v>
      </c>
      <c r="Q59" s="117">
        <v>67577330</v>
      </c>
      <c r="R59" s="111"/>
      <c r="S59" s="117">
        <v>199414285</v>
      </c>
      <c r="T59" s="112"/>
      <c r="AF59" s="114" t="s">
        <v>438</v>
      </c>
      <c r="AG59" s="119">
        <v>-348209179</v>
      </c>
      <c r="AH59" s="119">
        <v>647140333</v>
      </c>
      <c r="AI59" s="115"/>
      <c r="AJ59" s="116"/>
    </row>
    <row r="60" spans="1:36" x14ac:dyDescent="0.3">
      <c r="A60" s="109" t="s">
        <v>439</v>
      </c>
      <c r="B60" s="110" t="s">
        <v>435</v>
      </c>
      <c r="C60" s="117">
        <v>10494735626</v>
      </c>
      <c r="D60" s="111"/>
      <c r="E60" s="117">
        <v>22031806775</v>
      </c>
      <c r="F60" s="112"/>
      <c r="O60" s="109" t="s">
        <v>440</v>
      </c>
      <c r="P60" s="113" t="s">
        <v>441</v>
      </c>
      <c r="Q60" s="117">
        <v>1792303289</v>
      </c>
      <c r="R60" s="111"/>
      <c r="S60" s="117">
        <v>10494735626</v>
      </c>
      <c r="T60" s="112"/>
      <c r="AF60" s="114" t="s">
        <v>442</v>
      </c>
      <c r="AG60" s="119">
        <v>9838882917</v>
      </c>
      <c r="AH60" s="119">
        <v>46043917315</v>
      </c>
      <c r="AI60" s="119">
        <v>14002355144</v>
      </c>
      <c r="AJ60" s="120">
        <v>-658139430</v>
      </c>
    </row>
    <row r="61" spans="1:36" x14ac:dyDescent="0.3">
      <c r="A61" s="109" t="s">
        <v>443</v>
      </c>
      <c r="B61" s="110">
        <v>4</v>
      </c>
      <c r="C61" s="111"/>
      <c r="D61" s="111"/>
      <c r="E61" s="117">
        <v>-798641919</v>
      </c>
      <c r="F61" s="112"/>
      <c r="O61" s="109" t="s">
        <v>444</v>
      </c>
      <c r="P61" s="113" t="s">
        <v>445</v>
      </c>
      <c r="Q61" s="117">
        <v>24157280</v>
      </c>
      <c r="R61" s="111"/>
      <c r="S61" s="111" t="s">
        <v>199</v>
      </c>
      <c r="T61" s="112"/>
      <c r="AF61" s="114" t="s">
        <v>446</v>
      </c>
      <c r="AG61" s="119">
        <v>9037085</v>
      </c>
      <c r="AH61" s="119">
        <v>315254908</v>
      </c>
      <c r="AI61" s="119">
        <v>223554275</v>
      </c>
      <c r="AJ61" s="120">
        <v>464597147</v>
      </c>
    </row>
    <row r="62" spans="1:36" x14ac:dyDescent="0.3">
      <c r="A62" s="109" t="s">
        <v>447</v>
      </c>
      <c r="B62" s="110"/>
      <c r="C62" s="111"/>
      <c r="D62" s="117">
        <v>-25048195496</v>
      </c>
      <c r="E62" s="111"/>
      <c r="F62" s="118">
        <v>-47935284072</v>
      </c>
      <c r="O62" s="109" t="s">
        <v>448</v>
      </c>
      <c r="P62" s="113"/>
      <c r="Q62" s="111"/>
      <c r="R62" s="117">
        <v>-15844876543</v>
      </c>
      <c r="S62" s="111"/>
      <c r="T62" s="118">
        <v>-25048195496</v>
      </c>
      <c r="AF62" s="114" t="s">
        <v>449</v>
      </c>
      <c r="AG62" s="119">
        <v>9829845832</v>
      </c>
      <c r="AH62" s="119">
        <v>45728662407</v>
      </c>
      <c r="AI62" s="119">
        <v>13778800869</v>
      </c>
      <c r="AJ62" s="120">
        <v>-1122736577</v>
      </c>
    </row>
    <row r="63" spans="1:36" x14ac:dyDescent="0.3">
      <c r="A63" s="109" t="s">
        <v>450</v>
      </c>
      <c r="B63" s="110">
        <v>22</v>
      </c>
      <c r="C63" s="111"/>
      <c r="D63" s="117">
        <v>-1980322895</v>
      </c>
      <c r="E63" s="111"/>
      <c r="F63" s="118">
        <v>70238074</v>
      </c>
      <c r="O63" s="109" t="s">
        <v>451</v>
      </c>
      <c r="P63" s="113">
        <v>27</v>
      </c>
      <c r="Q63" s="111"/>
      <c r="R63" s="117">
        <v>258216482</v>
      </c>
      <c r="S63" s="111"/>
      <c r="T63" s="118">
        <v>-1980322895</v>
      </c>
      <c r="AF63" s="114" t="s">
        <v>452</v>
      </c>
      <c r="AG63" s="119">
        <v>9829845832</v>
      </c>
      <c r="AH63" s="119">
        <v>45728662407</v>
      </c>
      <c r="AI63" s="119">
        <v>13778800869</v>
      </c>
      <c r="AJ63" s="120">
        <v>-1122736577</v>
      </c>
    </row>
    <row r="64" spans="1:36" x14ac:dyDescent="0.3">
      <c r="A64" s="109" t="s">
        <v>453</v>
      </c>
      <c r="B64" s="110"/>
      <c r="C64" s="111"/>
      <c r="D64" s="117">
        <v>-23067872601</v>
      </c>
      <c r="E64" s="111"/>
      <c r="F64" s="118">
        <v>-48005522146</v>
      </c>
      <c r="O64" s="109" t="s">
        <v>454</v>
      </c>
      <c r="P64" s="113"/>
      <c r="Q64" s="111"/>
      <c r="R64" s="117">
        <v>-16103093025</v>
      </c>
      <c r="S64" s="111"/>
      <c r="T64" s="118">
        <v>-23067872601</v>
      </c>
      <c r="AF64" s="114" t="s">
        <v>455</v>
      </c>
      <c r="AG64" s="119">
        <v>193759718</v>
      </c>
      <c r="AH64" s="119">
        <v>971030019</v>
      </c>
      <c r="AI64" s="119">
        <v>185966863</v>
      </c>
      <c r="AJ64" s="120">
        <v>221135226</v>
      </c>
    </row>
    <row r="65" spans="1:41" x14ac:dyDescent="0.3">
      <c r="A65" s="109" t="s">
        <v>456</v>
      </c>
      <c r="B65" s="110"/>
      <c r="C65" s="111"/>
      <c r="D65" s="117">
        <v>-23067872601</v>
      </c>
      <c r="E65" s="111"/>
      <c r="F65" s="118">
        <v>-48005522146</v>
      </c>
      <c r="O65" s="109" t="s">
        <v>457</v>
      </c>
      <c r="P65" s="113"/>
      <c r="Q65" s="111"/>
      <c r="R65" s="117">
        <v>-16103093025</v>
      </c>
      <c r="S65" s="111"/>
      <c r="T65" s="118">
        <v>-23067872601</v>
      </c>
      <c r="AF65" s="114" t="s">
        <v>458</v>
      </c>
      <c r="AG65" s="115"/>
      <c r="AH65" s="119">
        <v>1212634443</v>
      </c>
      <c r="AI65" s="115"/>
      <c r="AJ65" s="120">
        <v>247210962</v>
      </c>
    </row>
    <row r="66" spans="1:41" x14ac:dyDescent="0.3">
      <c r="A66" s="109" t="s">
        <v>459</v>
      </c>
      <c r="B66" s="110"/>
      <c r="C66" s="111"/>
      <c r="D66" s="111" t="s">
        <v>199</v>
      </c>
      <c r="E66" s="111"/>
      <c r="F66" s="112" t="s">
        <v>199</v>
      </c>
      <c r="O66" s="109" t="s">
        <v>383</v>
      </c>
      <c r="P66" s="113"/>
      <c r="Q66" s="111"/>
      <c r="R66" s="111" t="s">
        <v>199</v>
      </c>
      <c r="S66" s="111"/>
      <c r="T66" s="112" t="s">
        <v>199</v>
      </c>
      <c r="AF66" s="114" t="s">
        <v>460</v>
      </c>
      <c r="AG66" s="115"/>
      <c r="AH66" s="119">
        <v>1212634443</v>
      </c>
      <c r="AI66" s="115"/>
      <c r="AJ66" s="120">
        <v>247210962</v>
      </c>
    </row>
    <row r="67" spans="1:41" x14ac:dyDescent="0.3">
      <c r="A67" s="109" t="s">
        <v>461</v>
      </c>
      <c r="B67" s="110"/>
      <c r="C67" s="111"/>
      <c r="D67" s="117">
        <v>327971543</v>
      </c>
      <c r="E67" s="111"/>
      <c r="F67" s="118">
        <v>34100739</v>
      </c>
      <c r="O67" s="109" t="s">
        <v>462</v>
      </c>
      <c r="P67" s="113"/>
      <c r="Q67" s="111"/>
      <c r="R67" s="117">
        <v>-388814390</v>
      </c>
      <c r="S67" s="111"/>
      <c r="T67" s="118">
        <v>327971543</v>
      </c>
      <c r="AF67" s="114" t="s">
        <v>463</v>
      </c>
      <c r="AG67" s="119">
        <v>193759718</v>
      </c>
      <c r="AH67" s="119">
        <v>-241604424</v>
      </c>
      <c r="AI67" s="119">
        <v>185966863</v>
      </c>
      <c r="AJ67" s="120">
        <v>-26075736</v>
      </c>
    </row>
    <row r="68" spans="1:41" x14ac:dyDescent="0.3">
      <c r="A68" s="109" t="s">
        <v>464</v>
      </c>
      <c r="B68" s="110"/>
      <c r="C68" s="111"/>
      <c r="D68" s="111"/>
      <c r="E68" s="111"/>
      <c r="F68" s="112"/>
      <c r="O68" s="1712" t="s">
        <v>465</v>
      </c>
      <c r="P68" s="1713"/>
      <c r="Q68" s="1713"/>
      <c r="R68" s="1713"/>
      <c r="S68" s="1713"/>
      <c r="T68" s="1714"/>
      <c r="AF68" s="114" t="s">
        <v>466</v>
      </c>
      <c r="AG68" s="119">
        <v>189270892</v>
      </c>
      <c r="AH68" s="119">
        <v>-248613671</v>
      </c>
      <c r="AI68" s="119">
        <v>185966863</v>
      </c>
      <c r="AJ68" s="120">
        <v>-26075736</v>
      </c>
    </row>
    <row r="69" spans="1:41" x14ac:dyDescent="0.3">
      <c r="A69" s="109" t="s">
        <v>467</v>
      </c>
      <c r="B69" s="110">
        <v>14</v>
      </c>
      <c r="C69" s="117">
        <v>-38586066</v>
      </c>
      <c r="D69" s="111"/>
      <c r="E69" s="117">
        <v>-766511518</v>
      </c>
      <c r="F69" s="112"/>
      <c r="O69" s="109" t="s">
        <v>468</v>
      </c>
      <c r="P69" s="113">
        <v>18</v>
      </c>
      <c r="Q69" s="117">
        <v>-238909275</v>
      </c>
      <c r="R69" s="111"/>
      <c r="S69" s="117">
        <v>-38586066</v>
      </c>
      <c r="T69" s="112"/>
      <c r="AF69" s="114" t="s">
        <v>469</v>
      </c>
      <c r="AG69" s="119">
        <v>4488826</v>
      </c>
      <c r="AH69" s="119">
        <v>7009247</v>
      </c>
      <c r="AI69" s="115"/>
      <c r="AJ69" s="116"/>
    </row>
    <row r="70" spans="1:41" x14ac:dyDescent="0.3">
      <c r="A70" s="109" t="s">
        <v>470</v>
      </c>
      <c r="B70" s="110"/>
      <c r="C70" s="111"/>
      <c r="D70" s="111"/>
      <c r="E70" s="111"/>
      <c r="F70" s="112"/>
      <c r="O70" s="1712" t="s">
        <v>471</v>
      </c>
      <c r="P70" s="1713"/>
      <c r="Q70" s="1713"/>
      <c r="R70" s="1713"/>
      <c r="S70" s="1713"/>
      <c r="T70" s="1714"/>
      <c r="AF70" s="114" t="s">
        <v>472</v>
      </c>
      <c r="AG70" s="119">
        <v>10023605550</v>
      </c>
      <c r="AH70" s="119">
        <v>46699692426</v>
      </c>
      <c r="AI70" s="119">
        <v>13964767732</v>
      </c>
      <c r="AJ70" s="120">
        <v>-901601351</v>
      </c>
    </row>
    <row r="71" spans="1:41" x14ac:dyDescent="0.3">
      <c r="A71" s="109" t="s">
        <v>473</v>
      </c>
      <c r="B71" s="110">
        <v>16</v>
      </c>
      <c r="C71" s="117">
        <v>366557609</v>
      </c>
      <c r="D71" s="111"/>
      <c r="E71" s="117">
        <v>800612257</v>
      </c>
      <c r="F71" s="112"/>
      <c r="O71" s="109" t="s">
        <v>474</v>
      </c>
      <c r="P71" s="113">
        <v>20</v>
      </c>
      <c r="Q71" s="117">
        <v>-149905115</v>
      </c>
      <c r="R71" s="111"/>
      <c r="S71" s="117">
        <v>366557609</v>
      </c>
      <c r="T71" s="112"/>
      <c r="AF71" s="114" t="s">
        <v>452</v>
      </c>
      <c r="AG71" s="119">
        <v>10023605550</v>
      </c>
      <c r="AH71" s="119">
        <v>46699692426</v>
      </c>
      <c r="AI71" s="119">
        <v>13964767732</v>
      </c>
      <c r="AJ71" s="120">
        <v>-901601351</v>
      </c>
    </row>
    <row r="72" spans="1:41" x14ac:dyDescent="0.3">
      <c r="A72" s="109" t="s">
        <v>475</v>
      </c>
      <c r="B72" s="110"/>
      <c r="C72" s="111"/>
      <c r="D72" s="117">
        <v>-22739901058</v>
      </c>
      <c r="E72" s="111"/>
      <c r="F72" s="118">
        <v>-47971421407</v>
      </c>
      <c r="O72" s="109" t="s">
        <v>476</v>
      </c>
      <c r="P72" s="113"/>
      <c r="Q72" s="111"/>
      <c r="R72" s="117">
        <v>-16491907415</v>
      </c>
      <c r="S72" s="111"/>
      <c r="T72" s="118">
        <v>-22739901058</v>
      </c>
      <c r="AF72" s="114" t="s">
        <v>477</v>
      </c>
      <c r="AG72" s="115"/>
      <c r="AH72" s="115"/>
      <c r="AI72" s="115"/>
      <c r="AJ72" s="116"/>
    </row>
    <row r="73" spans="1:41" x14ac:dyDescent="0.3">
      <c r="A73" s="109" t="s">
        <v>478</v>
      </c>
      <c r="B73" s="110"/>
      <c r="C73" s="111"/>
      <c r="D73" s="117">
        <v>-22739901058</v>
      </c>
      <c r="E73" s="111"/>
      <c r="F73" s="118">
        <v>-47971421407</v>
      </c>
      <c r="O73" s="109" t="s">
        <v>457</v>
      </c>
      <c r="P73" s="113"/>
      <c r="Q73" s="111"/>
      <c r="R73" s="117">
        <v>-16491907415</v>
      </c>
      <c r="S73" s="111"/>
      <c r="T73" s="118">
        <v>-22739901058</v>
      </c>
      <c r="AF73" s="114" t="s">
        <v>479</v>
      </c>
      <c r="AG73" s="115">
        <v>173</v>
      </c>
      <c r="AH73" s="115">
        <v>804</v>
      </c>
      <c r="AI73" s="115">
        <v>242</v>
      </c>
      <c r="AJ73" s="116">
        <v>-20</v>
      </c>
    </row>
    <row r="74" spans="1:41" x14ac:dyDescent="0.3">
      <c r="A74" s="109" t="s">
        <v>480</v>
      </c>
      <c r="B74" s="110"/>
      <c r="C74" s="111"/>
      <c r="D74" s="111" t="s">
        <v>199</v>
      </c>
      <c r="E74" s="111"/>
      <c r="F74" s="112" t="s">
        <v>199</v>
      </c>
      <c r="O74" s="109" t="s">
        <v>383</v>
      </c>
      <c r="P74" s="113"/>
      <c r="Q74" s="111"/>
      <c r="R74" s="111" t="s">
        <v>199</v>
      </c>
      <c r="S74" s="111"/>
      <c r="T74" s="112" t="s">
        <v>199</v>
      </c>
      <c r="AF74" s="125" t="s">
        <v>481</v>
      </c>
      <c r="AG74" s="136">
        <v>20</v>
      </c>
      <c r="AH74" s="136">
        <v>58</v>
      </c>
      <c r="AI74" s="136">
        <v>242</v>
      </c>
      <c r="AJ74" s="137">
        <v>-20</v>
      </c>
    </row>
    <row r="75" spans="1:41" x14ac:dyDescent="0.3">
      <c r="A75" s="109" t="s">
        <v>482</v>
      </c>
      <c r="B75" s="110"/>
      <c r="C75" s="111"/>
      <c r="D75" s="111"/>
      <c r="E75" s="111"/>
      <c r="F75" s="112"/>
      <c r="O75" s="109" t="s">
        <v>483</v>
      </c>
      <c r="P75" s="113"/>
      <c r="Q75" s="111"/>
      <c r="R75" s="111"/>
      <c r="S75" s="111"/>
      <c r="T75" s="112"/>
      <c r="AF75" s="128"/>
    </row>
    <row r="76" spans="1:41" x14ac:dyDescent="0.3">
      <c r="A76" s="109" t="s">
        <v>484</v>
      </c>
      <c r="B76" s="110">
        <v>23</v>
      </c>
      <c r="C76" s="111"/>
      <c r="D76" s="111">
        <v>406</v>
      </c>
      <c r="E76" s="111"/>
      <c r="F76" s="112">
        <v>856</v>
      </c>
      <c r="O76" s="109" t="s">
        <v>485</v>
      </c>
      <c r="P76" s="113">
        <v>28</v>
      </c>
      <c r="Q76" s="111"/>
      <c r="R76" s="111">
        <v>-283</v>
      </c>
      <c r="S76" s="111"/>
      <c r="T76" s="112">
        <v>-406</v>
      </c>
      <c r="AF76" s="101" t="s">
        <v>486</v>
      </c>
    </row>
    <row r="77" spans="1:41" x14ac:dyDescent="0.3">
      <c r="A77" s="121" t="s">
        <v>487</v>
      </c>
      <c r="B77" s="122">
        <v>23</v>
      </c>
      <c r="C77" s="123"/>
      <c r="D77" s="123">
        <v>406</v>
      </c>
      <c r="E77" s="123"/>
      <c r="F77" s="124">
        <v>856</v>
      </c>
      <c r="O77" s="121" t="s">
        <v>488</v>
      </c>
      <c r="P77" s="129">
        <v>28</v>
      </c>
      <c r="Q77" s="123"/>
      <c r="R77" s="123">
        <v>-283</v>
      </c>
      <c r="S77" s="123"/>
      <c r="T77" s="124">
        <v>-406</v>
      </c>
      <c r="AF77" s="102" t="s">
        <v>391</v>
      </c>
    </row>
    <row r="78" spans="1:41" x14ac:dyDescent="0.3">
      <c r="A78" s="128"/>
      <c r="O78" s="128"/>
      <c r="AF78" s="102" t="s">
        <v>393</v>
      </c>
    </row>
    <row r="79" spans="1:41" x14ac:dyDescent="0.3">
      <c r="A79" s="102" t="s">
        <v>389</v>
      </c>
      <c r="O79" s="102" t="s">
        <v>389</v>
      </c>
      <c r="AF79" s="105" t="s">
        <v>258</v>
      </c>
    </row>
    <row r="80" spans="1:41" x14ac:dyDescent="0.3">
      <c r="O80" s="128"/>
      <c r="AF80" s="1761"/>
      <c r="AG80" s="1762"/>
      <c r="AH80" s="1763"/>
      <c r="AI80" s="1685" t="s">
        <v>361</v>
      </c>
      <c r="AJ80" s="1769"/>
      <c r="AK80" s="1769"/>
      <c r="AL80" s="1769"/>
      <c r="AM80" s="1769"/>
      <c r="AN80" s="1769"/>
      <c r="AO80" s="1687"/>
    </row>
    <row r="81" spans="1:41" x14ac:dyDescent="0.3">
      <c r="A81" s="132" t="s">
        <v>489</v>
      </c>
      <c r="O81" s="1688" t="s">
        <v>490</v>
      </c>
      <c r="P81" s="1688"/>
      <c r="AF81" s="1764"/>
      <c r="AG81" s="1765"/>
      <c r="AH81" s="1766"/>
      <c r="AI81" s="1699" t="s">
        <v>491</v>
      </c>
      <c r="AJ81" s="1700"/>
      <c r="AK81" s="1700"/>
      <c r="AL81" s="1700"/>
      <c r="AM81" s="1701"/>
      <c r="AN81" s="1716" t="s">
        <v>379</v>
      </c>
      <c r="AO81" s="1718" t="s">
        <v>492</v>
      </c>
    </row>
    <row r="82" spans="1:41" x14ac:dyDescent="0.3">
      <c r="A82" s="133"/>
      <c r="O82" s="1688" t="s">
        <v>396</v>
      </c>
      <c r="P82" s="1688"/>
      <c r="AF82" s="1767"/>
      <c r="AG82" s="1768"/>
      <c r="AH82" s="1738"/>
      <c r="AI82" s="134" t="s">
        <v>493</v>
      </c>
      <c r="AJ82" s="134" t="s">
        <v>494</v>
      </c>
      <c r="AK82" s="134" t="s">
        <v>495</v>
      </c>
      <c r="AL82" s="134" t="s">
        <v>496</v>
      </c>
      <c r="AM82" s="134" t="s">
        <v>497</v>
      </c>
      <c r="AN82" s="1692"/>
      <c r="AO82" s="1694"/>
    </row>
    <row r="83" spans="1:41" x14ac:dyDescent="0.3">
      <c r="A83" s="1688" t="s">
        <v>498</v>
      </c>
      <c r="B83" s="1688"/>
      <c r="O83" s="1688" t="s">
        <v>395</v>
      </c>
      <c r="P83" s="1688"/>
      <c r="AF83" s="1703" t="s">
        <v>499</v>
      </c>
      <c r="AG83" s="1704"/>
      <c r="AH83" s="1705"/>
      <c r="AI83" s="119">
        <v>28429923500</v>
      </c>
      <c r="AJ83" s="119">
        <v>178559577856</v>
      </c>
      <c r="AK83" s="119">
        <v>-310683954</v>
      </c>
      <c r="AL83" s="119">
        <v>-110877418434</v>
      </c>
      <c r="AM83" s="119">
        <v>95801398968</v>
      </c>
      <c r="AN83" s="115"/>
      <c r="AO83" s="120">
        <v>95801398968</v>
      </c>
    </row>
    <row r="84" spans="1:41" x14ac:dyDescent="0.15">
      <c r="A84" s="1688" t="s">
        <v>500</v>
      </c>
      <c r="B84" s="1688"/>
      <c r="O84" s="103" t="s">
        <v>257</v>
      </c>
      <c r="P84" s="104" t="s">
        <v>258</v>
      </c>
      <c r="AF84" s="1720" t="s">
        <v>501</v>
      </c>
      <c r="AG84" s="1725" t="s">
        <v>472</v>
      </c>
      <c r="AH84" s="110" t="s">
        <v>449</v>
      </c>
      <c r="AI84" s="115"/>
      <c r="AJ84" s="115"/>
      <c r="AK84" s="115"/>
      <c r="AL84" s="119">
        <v>-1122736577</v>
      </c>
      <c r="AM84" s="119">
        <v>-1122736577</v>
      </c>
      <c r="AN84" s="115"/>
      <c r="AO84" s="120">
        <v>-1122736577</v>
      </c>
    </row>
    <row r="85" spans="1:41" x14ac:dyDescent="0.15">
      <c r="A85" s="103" t="s">
        <v>257</v>
      </c>
      <c r="B85" s="104" t="s">
        <v>258</v>
      </c>
      <c r="O85" s="1689" t="s">
        <v>502</v>
      </c>
      <c r="P85" s="1691" t="s">
        <v>493</v>
      </c>
      <c r="Q85" s="138" t="s">
        <v>503</v>
      </c>
      <c r="R85" s="138" t="s">
        <v>503</v>
      </c>
      <c r="S85" s="138" t="s">
        <v>504</v>
      </c>
      <c r="T85" s="138" t="s">
        <v>505</v>
      </c>
      <c r="U85" s="1693" t="s">
        <v>506</v>
      </c>
      <c r="AF85" s="1721"/>
      <c r="AG85" s="1756"/>
      <c r="AH85" s="110" t="s">
        <v>507</v>
      </c>
      <c r="AI85" s="115"/>
      <c r="AJ85" s="115"/>
      <c r="AK85" s="115"/>
      <c r="AL85" s="119">
        <v>247210962</v>
      </c>
      <c r="AM85" s="119">
        <v>247210962</v>
      </c>
      <c r="AN85" s="115"/>
      <c r="AO85" s="120">
        <v>247210962</v>
      </c>
    </row>
    <row r="86" spans="1:41" x14ac:dyDescent="0.3">
      <c r="A86" s="1689" t="s">
        <v>508</v>
      </c>
      <c r="B86" s="1691" t="s">
        <v>493</v>
      </c>
      <c r="C86" s="138" t="s">
        <v>503</v>
      </c>
      <c r="D86" s="138" t="s">
        <v>503</v>
      </c>
      <c r="E86" s="138" t="s">
        <v>503</v>
      </c>
      <c r="F86" s="138" t="s">
        <v>505</v>
      </c>
      <c r="G86" s="1693" t="s">
        <v>509</v>
      </c>
      <c r="O86" s="1690"/>
      <c r="P86" s="1692"/>
      <c r="Q86" s="139" t="s">
        <v>494</v>
      </c>
      <c r="R86" s="139" t="s">
        <v>495</v>
      </c>
      <c r="S86" s="139" t="s">
        <v>510</v>
      </c>
      <c r="T86" s="139" t="s">
        <v>511</v>
      </c>
      <c r="U86" s="1694"/>
      <c r="AF86" s="1721"/>
      <c r="AG86" s="1756"/>
      <c r="AH86" s="110" t="s">
        <v>512</v>
      </c>
      <c r="AI86" s="115"/>
      <c r="AJ86" s="115"/>
      <c r="AK86" s="119">
        <v>-26075736</v>
      </c>
      <c r="AL86" s="115"/>
      <c r="AM86" s="119">
        <v>-26075736</v>
      </c>
      <c r="AN86" s="115"/>
      <c r="AO86" s="120">
        <v>-26075736</v>
      </c>
    </row>
    <row r="87" spans="1:41" x14ac:dyDescent="0.3">
      <c r="A87" s="1690"/>
      <c r="B87" s="1692"/>
      <c r="C87" s="139" t="s">
        <v>494</v>
      </c>
      <c r="D87" s="139" t="s">
        <v>513</v>
      </c>
      <c r="E87" s="139" t="s">
        <v>514</v>
      </c>
      <c r="F87" s="139" t="s">
        <v>511</v>
      </c>
      <c r="G87" s="1694"/>
      <c r="O87" s="114" t="s">
        <v>515</v>
      </c>
      <c r="P87" s="119">
        <v>28429923500</v>
      </c>
      <c r="Q87" s="119">
        <v>178559577856</v>
      </c>
      <c r="R87" s="119">
        <v>-1301501750</v>
      </c>
      <c r="S87" s="119">
        <v>-87770959767</v>
      </c>
      <c r="T87" s="115"/>
      <c r="U87" s="120">
        <v>117917039839</v>
      </c>
      <c r="AF87" s="1721"/>
      <c r="AG87" s="1726"/>
      <c r="AH87" s="110" t="s">
        <v>516</v>
      </c>
      <c r="AI87" s="115"/>
      <c r="AJ87" s="115"/>
      <c r="AK87" s="115"/>
      <c r="AL87" s="115"/>
      <c r="AM87" s="115"/>
      <c r="AN87" s="115"/>
      <c r="AO87" s="116"/>
    </row>
    <row r="88" spans="1:41" x14ac:dyDescent="0.3">
      <c r="A88" s="114" t="s">
        <v>517</v>
      </c>
      <c r="B88" s="115" t="s">
        <v>518</v>
      </c>
      <c r="C88" s="115" t="s">
        <v>519</v>
      </c>
      <c r="D88" s="119">
        <v>-2776797396</v>
      </c>
      <c r="E88" s="119">
        <v>-38998926103</v>
      </c>
      <c r="F88" s="115"/>
      <c r="G88" s="116" t="s">
        <v>520</v>
      </c>
      <c r="O88" s="114" t="s">
        <v>521</v>
      </c>
      <c r="P88" s="115"/>
      <c r="Q88" s="115"/>
      <c r="R88" s="119">
        <v>366557609</v>
      </c>
      <c r="S88" s="119">
        <v>-23106458667</v>
      </c>
      <c r="T88" s="115"/>
      <c r="U88" s="120">
        <v>-22739901058</v>
      </c>
      <c r="AF88" s="1721"/>
      <c r="AG88" s="1725" t="s">
        <v>522</v>
      </c>
      <c r="AH88" s="110" t="s">
        <v>523</v>
      </c>
      <c r="AI88" s="115"/>
      <c r="AJ88" s="115"/>
      <c r="AK88" s="115"/>
      <c r="AL88" s="115"/>
      <c r="AM88" s="115"/>
      <c r="AN88" s="115"/>
      <c r="AO88" s="116"/>
    </row>
    <row r="89" spans="1:41" x14ac:dyDescent="0.3">
      <c r="A89" s="114" t="s">
        <v>524</v>
      </c>
      <c r="B89" s="115"/>
      <c r="C89" s="115"/>
      <c r="D89" s="115" t="s">
        <v>525</v>
      </c>
      <c r="E89" s="119">
        <v>-48772033664</v>
      </c>
      <c r="F89" s="115"/>
      <c r="G89" s="120">
        <v>-47971421407</v>
      </c>
      <c r="O89" s="114" t="s">
        <v>526</v>
      </c>
      <c r="P89" s="115"/>
      <c r="Q89" s="115"/>
      <c r="R89" s="115"/>
      <c r="S89" s="119">
        <v>-23067872601</v>
      </c>
      <c r="T89" s="115"/>
      <c r="U89" s="120">
        <v>-23067872601</v>
      </c>
      <c r="AF89" s="1721"/>
      <c r="AG89" s="1756"/>
      <c r="AH89" s="110" t="s">
        <v>527</v>
      </c>
      <c r="AI89" s="115"/>
      <c r="AJ89" s="119">
        <v>118553929</v>
      </c>
      <c r="AK89" s="119">
        <v>149662035</v>
      </c>
      <c r="AL89" s="115"/>
      <c r="AM89" s="119">
        <v>268215964</v>
      </c>
      <c r="AN89" s="115"/>
      <c r="AO89" s="120">
        <v>268215964</v>
      </c>
    </row>
    <row r="90" spans="1:41" x14ac:dyDescent="0.3">
      <c r="A90" s="114" t="s">
        <v>528</v>
      </c>
      <c r="B90" s="115"/>
      <c r="C90" s="115"/>
      <c r="D90" s="115"/>
      <c r="E90" s="119">
        <v>-48005522146</v>
      </c>
      <c r="F90" s="115"/>
      <c r="G90" s="120">
        <v>-48005522146</v>
      </c>
      <c r="O90" s="114" t="s">
        <v>468</v>
      </c>
      <c r="P90" s="115"/>
      <c r="Q90" s="115"/>
      <c r="R90" s="115"/>
      <c r="S90" s="119">
        <v>-38586066</v>
      </c>
      <c r="T90" s="115"/>
      <c r="U90" s="120">
        <v>-38586066</v>
      </c>
      <c r="AF90" s="1734"/>
      <c r="AG90" s="1726"/>
      <c r="AH90" s="110" t="s">
        <v>529</v>
      </c>
      <c r="AI90" s="115"/>
      <c r="AJ90" s="115"/>
      <c r="AK90" s="115"/>
      <c r="AL90" s="115"/>
      <c r="AM90" s="115"/>
      <c r="AN90" s="115"/>
      <c r="AO90" s="116"/>
    </row>
    <row r="91" spans="1:41" x14ac:dyDescent="0.3">
      <c r="A91" s="114" t="s">
        <v>530</v>
      </c>
      <c r="B91" s="115"/>
      <c r="C91" s="115"/>
      <c r="D91" s="115"/>
      <c r="E91" s="119">
        <v>-766511518</v>
      </c>
      <c r="F91" s="115"/>
      <c r="G91" s="120">
        <v>-766511518</v>
      </c>
      <c r="O91" s="114" t="s">
        <v>474</v>
      </c>
      <c r="P91" s="115"/>
      <c r="Q91" s="115"/>
      <c r="R91" s="119">
        <v>366557609</v>
      </c>
      <c r="S91" s="115"/>
      <c r="T91" s="115"/>
      <c r="U91" s="120">
        <v>366557609</v>
      </c>
      <c r="AF91" s="1703" t="s">
        <v>531</v>
      </c>
      <c r="AG91" s="1704"/>
      <c r="AH91" s="1705"/>
      <c r="AI91" s="119">
        <v>28429923500</v>
      </c>
      <c r="AJ91" s="119">
        <v>178678131785</v>
      </c>
      <c r="AK91" s="119">
        <v>-187097655</v>
      </c>
      <c r="AL91" s="119">
        <v>-111752944049</v>
      </c>
      <c r="AM91" s="119">
        <v>95168013581</v>
      </c>
      <c r="AN91" s="115"/>
      <c r="AO91" s="120">
        <v>95168013581</v>
      </c>
    </row>
    <row r="92" spans="1:41" x14ac:dyDescent="0.3">
      <c r="A92" s="114" t="s">
        <v>532</v>
      </c>
      <c r="B92" s="115"/>
      <c r="C92" s="115"/>
      <c r="D92" s="115" t="s">
        <v>525</v>
      </c>
      <c r="E92" s="115"/>
      <c r="F92" s="115"/>
      <c r="G92" s="116" t="s">
        <v>525</v>
      </c>
      <c r="O92" s="114" t="s">
        <v>533</v>
      </c>
      <c r="P92" s="115"/>
      <c r="Q92" s="115"/>
      <c r="R92" s="119">
        <v>624260187</v>
      </c>
      <c r="S92" s="115"/>
      <c r="T92" s="115"/>
      <c r="U92" s="120">
        <v>624260187</v>
      </c>
      <c r="AF92" s="1703" t="s">
        <v>534</v>
      </c>
      <c r="AG92" s="1704"/>
      <c r="AH92" s="1705"/>
      <c r="AI92" s="119">
        <v>28429923500</v>
      </c>
      <c r="AJ92" s="119">
        <v>178743993103</v>
      </c>
      <c r="AK92" s="119">
        <v>-315281392</v>
      </c>
      <c r="AL92" s="119">
        <v>-127219420734</v>
      </c>
      <c r="AM92" s="119">
        <v>79639214477</v>
      </c>
      <c r="AN92" s="115"/>
      <c r="AO92" s="120">
        <v>79639214477</v>
      </c>
    </row>
    <row r="93" spans="1:41" x14ac:dyDescent="0.3">
      <c r="A93" s="114" t="s">
        <v>535</v>
      </c>
      <c r="B93" s="115" t="s">
        <v>536</v>
      </c>
      <c r="C93" s="115" t="s">
        <v>537</v>
      </c>
      <c r="D93" s="115" t="s">
        <v>538</v>
      </c>
      <c r="E93" s="115"/>
      <c r="F93" s="115"/>
      <c r="G93" s="116" t="s">
        <v>539</v>
      </c>
      <c r="O93" s="114" t="s">
        <v>540</v>
      </c>
      <c r="P93" s="115"/>
      <c r="Q93" s="115"/>
      <c r="R93" s="119">
        <v>624260187</v>
      </c>
      <c r="S93" s="115"/>
      <c r="T93" s="115"/>
      <c r="U93" s="120">
        <v>624260187</v>
      </c>
      <c r="AF93" s="1720" t="s">
        <v>501</v>
      </c>
      <c r="AG93" s="1725" t="s">
        <v>472</v>
      </c>
      <c r="AH93" s="110" t="s">
        <v>449</v>
      </c>
      <c r="AI93" s="115"/>
      <c r="AJ93" s="115"/>
      <c r="AK93" s="115"/>
      <c r="AL93" s="119">
        <v>45728662407</v>
      </c>
      <c r="AM93" s="119">
        <v>45728662407</v>
      </c>
      <c r="AN93" s="115"/>
      <c r="AO93" s="120">
        <v>45728662407</v>
      </c>
    </row>
    <row r="94" spans="1:41" x14ac:dyDescent="0.3">
      <c r="A94" s="114" t="s">
        <v>541</v>
      </c>
      <c r="B94" s="115" t="s">
        <v>536</v>
      </c>
      <c r="C94" s="115" t="s">
        <v>537</v>
      </c>
      <c r="D94" s="115"/>
      <c r="E94" s="115"/>
      <c r="F94" s="115"/>
      <c r="G94" s="116" t="s">
        <v>542</v>
      </c>
      <c r="O94" s="114" t="s">
        <v>543</v>
      </c>
      <c r="P94" s="119">
        <v>28429923500</v>
      </c>
      <c r="Q94" s="119">
        <v>178559577856</v>
      </c>
      <c r="R94" s="119">
        <v>-310683954</v>
      </c>
      <c r="S94" s="119">
        <v>-110877418434</v>
      </c>
      <c r="T94" s="115"/>
      <c r="U94" s="120">
        <v>95801398968</v>
      </c>
      <c r="AF94" s="1721"/>
      <c r="AG94" s="1756"/>
      <c r="AH94" s="110" t="s">
        <v>507</v>
      </c>
      <c r="AI94" s="115"/>
      <c r="AJ94" s="115"/>
      <c r="AK94" s="115"/>
      <c r="AL94" s="119">
        <v>1212634443</v>
      </c>
      <c r="AM94" s="119">
        <v>1212634443</v>
      </c>
      <c r="AN94" s="115"/>
      <c r="AO94" s="120">
        <v>1212634443</v>
      </c>
    </row>
    <row r="95" spans="1:41" x14ac:dyDescent="0.3">
      <c r="A95" s="114" t="s">
        <v>544</v>
      </c>
      <c r="B95" s="115"/>
      <c r="C95" s="115"/>
      <c r="D95" s="115" t="s">
        <v>538</v>
      </c>
      <c r="E95" s="115"/>
      <c r="F95" s="115"/>
      <c r="G95" s="116" t="s">
        <v>538</v>
      </c>
      <c r="O95" s="114" t="s">
        <v>545</v>
      </c>
      <c r="P95" s="119">
        <v>28429923500</v>
      </c>
      <c r="Q95" s="119">
        <v>178559577856</v>
      </c>
      <c r="R95" s="119">
        <v>-310683954</v>
      </c>
      <c r="S95" s="119">
        <v>-110877418434</v>
      </c>
      <c r="T95" s="115"/>
      <c r="U95" s="120">
        <v>95801398968</v>
      </c>
      <c r="AF95" s="1721"/>
      <c r="AG95" s="1756"/>
      <c r="AH95" s="110" t="s">
        <v>512</v>
      </c>
      <c r="AI95" s="115"/>
      <c r="AJ95" s="115"/>
      <c r="AK95" s="119">
        <v>-248613671</v>
      </c>
      <c r="AL95" s="115"/>
      <c r="AM95" s="119">
        <v>-248613671</v>
      </c>
      <c r="AN95" s="115"/>
      <c r="AO95" s="120">
        <v>-248613671</v>
      </c>
    </row>
    <row r="96" spans="1:41" x14ac:dyDescent="0.3">
      <c r="A96" s="114" t="s">
        <v>546</v>
      </c>
      <c r="B96" s="115" t="s">
        <v>547</v>
      </c>
      <c r="C96" s="115" t="s">
        <v>548</v>
      </c>
      <c r="D96" s="119">
        <v>-1301501750</v>
      </c>
      <c r="E96" s="119">
        <v>-87770959767</v>
      </c>
      <c r="F96" s="115"/>
      <c r="G96" s="116" t="s">
        <v>549</v>
      </c>
      <c r="O96" s="114" t="s">
        <v>521</v>
      </c>
      <c r="P96" s="115"/>
      <c r="Q96" s="115"/>
      <c r="R96" s="119">
        <v>-149905115</v>
      </c>
      <c r="S96" s="119">
        <v>-16342002300</v>
      </c>
      <c r="T96" s="115"/>
      <c r="U96" s="120">
        <v>-16491907415</v>
      </c>
      <c r="AF96" s="1721"/>
      <c r="AG96" s="1726"/>
      <c r="AH96" s="110" t="s">
        <v>516</v>
      </c>
      <c r="AI96" s="115"/>
      <c r="AJ96" s="115"/>
      <c r="AK96" s="119">
        <v>7009247</v>
      </c>
      <c r="AL96" s="115"/>
      <c r="AM96" s="119">
        <v>7009247</v>
      </c>
      <c r="AN96" s="115"/>
      <c r="AO96" s="120">
        <v>7009247</v>
      </c>
    </row>
    <row r="97" spans="1:41" x14ac:dyDescent="0.3">
      <c r="A97" s="114" t="s">
        <v>550</v>
      </c>
      <c r="B97" s="115" t="s">
        <v>547</v>
      </c>
      <c r="C97" s="115" t="s">
        <v>548</v>
      </c>
      <c r="D97" s="119">
        <v>-1301501750</v>
      </c>
      <c r="E97" s="119">
        <v>-87770959767</v>
      </c>
      <c r="F97" s="115"/>
      <c r="G97" s="116" t="s">
        <v>549</v>
      </c>
      <c r="O97" s="114" t="s">
        <v>526</v>
      </c>
      <c r="P97" s="115"/>
      <c r="Q97" s="115"/>
      <c r="R97" s="115"/>
      <c r="S97" s="119">
        <v>-16103093025</v>
      </c>
      <c r="T97" s="115"/>
      <c r="U97" s="120">
        <v>-16103093025</v>
      </c>
      <c r="AF97" s="1721"/>
      <c r="AG97" s="1725" t="s">
        <v>522</v>
      </c>
      <c r="AH97" s="110" t="s">
        <v>523</v>
      </c>
      <c r="AI97" s="115"/>
      <c r="AJ97" s="119">
        <v>-118931789842</v>
      </c>
      <c r="AK97" s="115"/>
      <c r="AL97" s="119">
        <v>118931789842</v>
      </c>
      <c r="AM97" s="115"/>
      <c r="AN97" s="115"/>
      <c r="AO97" s="116"/>
    </row>
    <row r="98" spans="1:41" x14ac:dyDescent="0.3">
      <c r="A98" s="114" t="s">
        <v>524</v>
      </c>
      <c r="B98" s="115"/>
      <c r="C98" s="115"/>
      <c r="D98" s="115" t="s">
        <v>551</v>
      </c>
      <c r="E98" s="119">
        <v>-23106458667</v>
      </c>
      <c r="F98" s="115"/>
      <c r="G98" s="120">
        <v>-22739901058</v>
      </c>
      <c r="O98" s="114" t="s">
        <v>468</v>
      </c>
      <c r="P98" s="115"/>
      <c r="Q98" s="115"/>
      <c r="R98" s="115"/>
      <c r="S98" s="119">
        <v>-238909275</v>
      </c>
      <c r="T98" s="115"/>
      <c r="U98" s="120">
        <v>-238909275</v>
      </c>
      <c r="AF98" s="1721"/>
      <c r="AG98" s="1756"/>
      <c r="AH98" s="110" t="s">
        <v>527</v>
      </c>
      <c r="AI98" s="115"/>
      <c r="AJ98" s="119">
        <v>329625122</v>
      </c>
      <c r="AK98" s="119">
        <v>-385758822</v>
      </c>
      <c r="AL98" s="115"/>
      <c r="AM98" s="119">
        <v>-56133700</v>
      </c>
      <c r="AN98" s="115"/>
      <c r="AO98" s="120">
        <v>-56133700</v>
      </c>
    </row>
    <row r="99" spans="1:41" x14ac:dyDescent="0.3">
      <c r="A99" s="114" t="s">
        <v>528</v>
      </c>
      <c r="B99" s="115"/>
      <c r="C99" s="115"/>
      <c r="D99" s="115"/>
      <c r="E99" s="119">
        <v>-23067872601</v>
      </c>
      <c r="F99" s="115"/>
      <c r="G99" s="120">
        <v>-23067872601</v>
      </c>
      <c r="O99" s="114" t="s">
        <v>474</v>
      </c>
      <c r="P99" s="115"/>
      <c r="Q99" s="115"/>
      <c r="R99" s="119">
        <v>-149905115</v>
      </c>
      <c r="S99" s="115"/>
      <c r="T99" s="115"/>
      <c r="U99" s="120">
        <v>-149905115</v>
      </c>
      <c r="AF99" s="1734"/>
      <c r="AG99" s="1726"/>
      <c r="AH99" s="110" t="s">
        <v>529</v>
      </c>
      <c r="AI99" s="115"/>
      <c r="AJ99" s="115"/>
      <c r="AK99" s="119">
        <v>2468977</v>
      </c>
      <c r="AL99" s="115"/>
      <c r="AM99" s="119">
        <v>2468977</v>
      </c>
      <c r="AN99" s="115"/>
      <c r="AO99" s="120">
        <v>2468977</v>
      </c>
    </row>
    <row r="100" spans="1:41" x14ac:dyDescent="0.3">
      <c r="A100" s="114" t="s">
        <v>530</v>
      </c>
      <c r="B100" s="115"/>
      <c r="C100" s="115"/>
      <c r="D100" s="115"/>
      <c r="E100" s="119">
        <v>-38586066</v>
      </c>
      <c r="F100" s="115"/>
      <c r="G100" s="120">
        <v>-38586066</v>
      </c>
      <c r="O100" s="114" t="s">
        <v>533</v>
      </c>
      <c r="P100" s="115"/>
      <c r="Q100" s="119">
        <v>184415247</v>
      </c>
      <c r="R100" s="119">
        <v>145307677</v>
      </c>
      <c r="S100" s="115"/>
      <c r="T100" s="115"/>
      <c r="U100" s="120">
        <v>329722924</v>
      </c>
      <c r="AF100" s="1709" t="s">
        <v>552</v>
      </c>
      <c r="AG100" s="1710"/>
      <c r="AH100" s="1711"/>
      <c r="AI100" s="126">
        <v>28429923500</v>
      </c>
      <c r="AJ100" s="126">
        <v>60141828383</v>
      </c>
      <c r="AK100" s="126">
        <v>-940175661</v>
      </c>
      <c r="AL100" s="126">
        <v>38653665958</v>
      </c>
      <c r="AM100" s="126">
        <v>126285242180</v>
      </c>
      <c r="AN100" s="136"/>
      <c r="AO100" s="127">
        <v>126285242180</v>
      </c>
    </row>
    <row r="101" spans="1:41" x14ac:dyDescent="0.3">
      <c r="A101" s="114" t="s">
        <v>532</v>
      </c>
      <c r="B101" s="115"/>
      <c r="C101" s="115"/>
      <c r="D101" s="115" t="s">
        <v>551</v>
      </c>
      <c r="E101" s="115"/>
      <c r="F101" s="115"/>
      <c r="G101" s="116" t="s">
        <v>551</v>
      </c>
      <c r="O101" s="114" t="s">
        <v>540</v>
      </c>
      <c r="P101" s="115"/>
      <c r="Q101" s="119">
        <v>184415247</v>
      </c>
      <c r="R101" s="119">
        <v>145307677</v>
      </c>
      <c r="S101" s="115"/>
      <c r="T101" s="115"/>
      <c r="U101" s="120">
        <v>329722924</v>
      </c>
      <c r="AF101" s="128"/>
    </row>
    <row r="102" spans="1:41" x14ac:dyDescent="0.3">
      <c r="A102" s="114" t="s">
        <v>535</v>
      </c>
      <c r="B102" s="115"/>
      <c r="C102" s="115"/>
      <c r="D102" s="115" t="s">
        <v>553</v>
      </c>
      <c r="E102" s="115"/>
      <c r="F102" s="115"/>
      <c r="G102" s="116" t="s">
        <v>553</v>
      </c>
      <c r="O102" s="125" t="s">
        <v>554</v>
      </c>
      <c r="P102" s="126">
        <v>28429923500</v>
      </c>
      <c r="Q102" s="126">
        <v>178743993103</v>
      </c>
      <c r="R102" s="126">
        <v>-315281392</v>
      </c>
      <c r="S102" s="126">
        <v>-127219420734</v>
      </c>
      <c r="T102" s="136"/>
      <c r="U102" s="127">
        <v>79639214477</v>
      </c>
      <c r="AF102" s="101" t="s">
        <v>555</v>
      </c>
    </row>
    <row r="103" spans="1:41" x14ac:dyDescent="0.3">
      <c r="A103" s="114" t="s">
        <v>556</v>
      </c>
      <c r="B103" s="115"/>
      <c r="C103" s="115"/>
      <c r="D103" s="115" t="s">
        <v>553</v>
      </c>
      <c r="E103" s="115"/>
      <c r="F103" s="115"/>
      <c r="G103" s="116" t="s">
        <v>553</v>
      </c>
      <c r="O103" s="128"/>
      <c r="AF103" s="102" t="s">
        <v>391</v>
      </c>
    </row>
    <row r="104" spans="1:41" x14ac:dyDescent="0.3">
      <c r="A104" s="125" t="s">
        <v>557</v>
      </c>
      <c r="B104" s="136" t="s">
        <v>547</v>
      </c>
      <c r="C104" s="136" t="s">
        <v>548</v>
      </c>
      <c r="D104" s="126">
        <v>-310683954</v>
      </c>
      <c r="E104" s="126">
        <v>-110877418434</v>
      </c>
      <c r="F104" s="136" t="s">
        <v>199</v>
      </c>
      <c r="G104" s="137" t="s">
        <v>558</v>
      </c>
      <c r="O104" s="102" t="s">
        <v>389</v>
      </c>
      <c r="AF104" s="102" t="s">
        <v>393</v>
      </c>
    </row>
    <row r="105" spans="1:41" x14ac:dyDescent="0.3">
      <c r="A105" s="128"/>
      <c r="O105" s="128"/>
      <c r="AF105" s="105" t="s">
        <v>258</v>
      </c>
    </row>
    <row r="106" spans="1:41" x14ac:dyDescent="0.3">
      <c r="A106" s="102" t="s">
        <v>389</v>
      </c>
      <c r="O106" s="1688" t="s">
        <v>559</v>
      </c>
      <c r="P106" s="1688"/>
      <c r="AF106" s="106"/>
      <c r="AG106" s="107" t="s">
        <v>397</v>
      </c>
      <c r="AH106" s="108" t="s">
        <v>398</v>
      </c>
    </row>
    <row r="107" spans="1:41" x14ac:dyDescent="0.3">
      <c r="O107" s="1688" t="s">
        <v>560</v>
      </c>
      <c r="P107" s="1688"/>
      <c r="AF107" s="114" t="s">
        <v>561</v>
      </c>
      <c r="AG107" s="119">
        <v>10895330657</v>
      </c>
      <c r="AH107" s="120">
        <v>-115998252</v>
      </c>
    </row>
    <row r="108" spans="1:41" ht="22.5" x14ac:dyDescent="0.3">
      <c r="A108" s="132" t="s">
        <v>562</v>
      </c>
      <c r="O108" s="1688" t="s">
        <v>563</v>
      </c>
      <c r="P108" s="1688"/>
      <c r="AF108" s="114" t="s">
        <v>564</v>
      </c>
      <c r="AG108" s="119">
        <v>45728662407</v>
      </c>
      <c r="AH108" s="120">
        <v>-1122736577</v>
      </c>
    </row>
    <row r="109" spans="1:41" x14ac:dyDescent="0.15">
      <c r="A109" s="133"/>
      <c r="O109" s="103" t="s">
        <v>257</v>
      </c>
      <c r="P109" s="104" t="s">
        <v>258</v>
      </c>
      <c r="AF109" s="114" t="s">
        <v>565</v>
      </c>
      <c r="AG109" s="119">
        <v>-38569652940</v>
      </c>
      <c r="AH109" s="120">
        <v>13217775801</v>
      </c>
    </row>
    <row r="110" spans="1:41" x14ac:dyDescent="0.3">
      <c r="A110" s="1688" t="s">
        <v>498</v>
      </c>
      <c r="B110" s="1688"/>
      <c r="O110" s="106" t="s">
        <v>263</v>
      </c>
      <c r="P110" s="107" t="s">
        <v>260</v>
      </c>
      <c r="Q110" s="1685" t="s">
        <v>264</v>
      </c>
      <c r="R110" s="1686"/>
      <c r="S110" s="1685" t="s">
        <v>265</v>
      </c>
      <c r="T110" s="1687"/>
      <c r="AF110" s="114" t="s">
        <v>566</v>
      </c>
      <c r="AG110" s="119">
        <v>315254908</v>
      </c>
      <c r="AH110" s="120">
        <v>464597147</v>
      </c>
    </row>
    <row r="111" spans="1:41" x14ac:dyDescent="0.3">
      <c r="A111" s="1688" t="s">
        <v>500</v>
      </c>
      <c r="B111" s="1688"/>
      <c r="O111" s="109" t="s">
        <v>567</v>
      </c>
      <c r="P111" s="113"/>
      <c r="Q111" s="219"/>
      <c r="R111" s="219">
        <v>2393118644</v>
      </c>
      <c r="S111" s="219"/>
      <c r="T111" s="220">
        <v>15223219402</v>
      </c>
      <c r="AF111" s="114" t="s">
        <v>568</v>
      </c>
      <c r="AG111" s="119">
        <v>1438114849</v>
      </c>
      <c r="AH111" s="120">
        <v>1327209602</v>
      </c>
    </row>
    <row r="112" spans="1:41" x14ac:dyDescent="0.15">
      <c r="A112" s="103" t="s">
        <v>257</v>
      </c>
      <c r="B112" s="104" t="s">
        <v>258</v>
      </c>
      <c r="O112" s="109" t="s">
        <v>569</v>
      </c>
      <c r="P112" s="113"/>
      <c r="Q112" s="219">
        <v>2218295859</v>
      </c>
      <c r="R112" s="219"/>
      <c r="S112" s="219">
        <v>14701684571</v>
      </c>
      <c r="T112" s="220"/>
      <c r="AF112" s="114" t="s">
        <v>570</v>
      </c>
      <c r="AG112" s="119">
        <v>-56133700</v>
      </c>
      <c r="AH112" s="120">
        <v>268215964</v>
      </c>
    </row>
    <row r="113" spans="1:34" x14ac:dyDescent="0.3">
      <c r="A113" s="106" t="s">
        <v>259</v>
      </c>
      <c r="B113" s="1685" t="s">
        <v>261</v>
      </c>
      <c r="C113" s="1686"/>
      <c r="D113" s="1685" t="s">
        <v>262</v>
      </c>
      <c r="E113" s="1687"/>
      <c r="O113" s="109" t="s">
        <v>571</v>
      </c>
      <c r="P113" s="113"/>
      <c r="Q113" s="219">
        <v>-16103093025</v>
      </c>
      <c r="R113" s="219"/>
      <c r="S113" s="219">
        <v>-23067872601</v>
      </c>
      <c r="T113" s="220"/>
      <c r="AF113" s="114" t="s">
        <v>572</v>
      </c>
      <c r="AG113" s="119">
        <v>11147782</v>
      </c>
      <c r="AH113" s="120">
        <v>-222716469</v>
      </c>
    </row>
    <row r="114" spans="1:34" x14ac:dyDescent="0.3">
      <c r="A114" s="109" t="s">
        <v>573</v>
      </c>
      <c r="B114" s="219"/>
      <c r="C114" s="219">
        <v>15223219402</v>
      </c>
      <c r="D114" s="219"/>
      <c r="E114" s="220">
        <v>-1387694872</v>
      </c>
      <c r="O114" s="109" t="s">
        <v>574</v>
      </c>
      <c r="P114" s="113"/>
      <c r="Q114" s="219">
        <v>30446241780</v>
      </c>
      <c r="R114" s="219"/>
      <c r="S114" s="219">
        <v>21446164110</v>
      </c>
      <c r="T114" s="220"/>
      <c r="AF114" s="114" t="s">
        <v>575</v>
      </c>
      <c r="AG114" s="119">
        <v>-816498671</v>
      </c>
      <c r="AH114" s="120">
        <v>523004174</v>
      </c>
    </row>
    <row r="115" spans="1:34" x14ac:dyDescent="0.3">
      <c r="A115" s="109" t="s">
        <v>576</v>
      </c>
      <c r="B115" s="219">
        <v>14701684571</v>
      </c>
      <c r="C115" s="219"/>
      <c r="D115" s="219">
        <v>-1920423146</v>
      </c>
      <c r="E115" s="220"/>
      <c r="O115" s="109" t="s">
        <v>577</v>
      </c>
      <c r="P115" s="113"/>
      <c r="Q115" s="219">
        <v>258216482</v>
      </c>
      <c r="R115" s="219"/>
      <c r="S115" s="219">
        <v>-1980322895</v>
      </c>
      <c r="T115" s="220"/>
      <c r="AF115" s="228" t="s">
        <v>578</v>
      </c>
      <c r="AG115" s="229">
        <v>3181367765</v>
      </c>
      <c r="AH115" s="230">
        <v>2730694635</v>
      </c>
    </row>
    <row r="116" spans="1:34" x14ac:dyDescent="0.3">
      <c r="A116" s="109" t="s">
        <v>579</v>
      </c>
      <c r="B116" s="219">
        <v>-23067872601</v>
      </c>
      <c r="C116" s="219"/>
      <c r="D116" s="219">
        <v>-48005522146</v>
      </c>
      <c r="E116" s="220"/>
      <c r="O116" s="109" t="s">
        <v>580</v>
      </c>
      <c r="P116" s="113"/>
      <c r="Q116" s="219">
        <v>1793869353</v>
      </c>
      <c r="R116" s="219"/>
      <c r="S116" s="219">
        <v>1681402629</v>
      </c>
      <c r="T116" s="220"/>
      <c r="AF116" s="228" t="s">
        <v>581</v>
      </c>
      <c r="AG116" s="229">
        <v>2714238500</v>
      </c>
      <c r="AH116" s="230">
        <v>2889770633</v>
      </c>
    </row>
    <row r="117" spans="1:34" x14ac:dyDescent="0.3">
      <c r="A117" s="109" t="s">
        <v>582</v>
      </c>
      <c r="B117" s="219">
        <v>21446164110</v>
      </c>
      <c r="C117" s="219"/>
      <c r="D117" s="219">
        <v>46922482424</v>
      </c>
      <c r="E117" s="220"/>
      <c r="O117" s="223" t="s">
        <v>583</v>
      </c>
      <c r="P117" s="227"/>
      <c r="Q117" s="224">
        <v>3981628346</v>
      </c>
      <c r="R117" s="224"/>
      <c r="S117" s="224">
        <v>3307331285</v>
      </c>
      <c r="T117" s="225"/>
      <c r="AF117" s="114" t="s">
        <v>584</v>
      </c>
      <c r="AG117" s="119">
        <v>70302627</v>
      </c>
      <c r="AH117" s="120">
        <v>-39836013</v>
      </c>
    </row>
    <row r="118" spans="1:34" x14ac:dyDescent="0.3">
      <c r="A118" s="109" t="s">
        <v>585</v>
      </c>
      <c r="B118" s="219">
        <v>-1980322895</v>
      </c>
      <c r="C118" s="219"/>
      <c r="D118" s="219">
        <v>70238074</v>
      </c>
      <c r="E118" s="220"/>
      <c r="O118" s="223" t="s">
        <v>586</v>
      </c>
      <c r="P118" s="227"/>
      <c r="Q118" s="224">
        <v>3872968423</v>
      </c>
      <c r="R118" s="224"/>
      <c r="S118" s="224">
        <v>6564079983</v>
      </c>
      <c r="T118" s="225"/>
      <c r="AF118" s="114" t="s">
        <v>587</v>
      </c>
      <c r="AG118" s="119">
        <v>7476589</v>
      </c>
      <c r="AH118" s="120">
        <v>6700540</v>
      </c>
    </row>
    <row r="119" spans="1:34" x14ac:dyDescent="0.3">
      <c r="A119" s="109" t="s">
        <v>580</v>
      </c>
      <c r="B119" s="219">
        <v>1681402629</v>
      </c>
      <c r="C119" s="219"/>
      <c r="D119" s="219">
        <v>1094304358</v>
      </c>
      <c r="E119" s="220"/>
      <c r="O119" s="109" t="s">
        <v>588</v>
      </c>
      <c r="P119" s="113"/>
      <c r="Q119" s="219">
        <v>329722924</v>
      </c>
      <c r="R119" s="219"/>
      <c r="S119" s="219">
        <v>624260187</v>
      </c>
      <c r="T119" s="220"/>
      <c r="AF119" s="114" t="s">
        <v>589</v>
      </c>
      <c r="AG119" s="119">
        <v>-24366597</v>
      </c>
      <c r="AH119" s="120">
        <v>-3210841402</v>
      </c>
    </row>
    <row r="120" spans="1:34" x14ac:dyDescent="0.3">
      <c r="A120" s="223" t="s">
        <v>583</v>
      </c>
      <c r="B120" s="224">
        <v>3307331285</v>
      </c>
      <c r="C120" s="224"/>
      <c r="D120" s="224">
        <v>3630891654</v>
      </c>
      <c r="E120" s="225"/>
      <c r="O120" s="109" t="s">
        <v>590</v>
      </c>
      <c r="P120" s="113"/>
      <c r="Q120" s="219">
        <v>-410162407</v>
      </c>
      <c r="R120" s="219"/>
      <c r="S120" s="219">
        <v>-28983221</v>
      </c>
      <c r="T120" s="220"/>
      <c r="AF120" s="114" t="s">
        <v>591</v>
      </c>
      <c r="AG120" s="119">
        <v>418674455</v>
      </c>
      <c r="AH120" s="120">
        <v>2774531952</v>
      </c>
    </row>
    <row r="121" spans="1:34" x14ac:dyDescent="0.3">
      <c r="A121" s="223" t="s">
        <v>586</v>
      </c>
      <c r="B121" s="224">
        <v>6564079983</v>
      </c>
      <c r="C121" s="224"/>
      <c r="D121" s="224">
        <v>7923879010</v>
      </c>
      <c r="E121" s="225"/>
      <c r="O121" s="109" t="s">
        <v>592</v>
      </c>
      <c r="P121" s="113"/>
      <c r="Q121" s="219">
        <v>1160000222</v>
      </c>
      <c r="R121" s="219"/>
      <c r="S121" s="219">
        <v>4200000000</v>
      </c>
      <c r="T121" s="220"/>
      <c r="AF121" s="114" t="s">
        <v>593</v>
      </c>
      <c r="AG121" s="119">
        <v>-1666986895</v>
      </c>
      <c r="AH121" s="120">
        <v>-371299845</v>
      </c>
    </row>
    <row r="122" spans="1:34" x14ac:dyDescent="0.3">
      <c r="A122" s="109" t="s">
        <v>588</v>
      </c>
      <c r="B122" s="219">
        <v>624260187</v>
      </c>
      <c r="C122" s="219"/>
      <c r="D122" s="219">
        <v>674683389</v>
      </c>
      <c r="E122" s="220"/>
      <c r="O122" s="109" t="s">
        <v>594</v>
      </c>
      <c r="P122" s="113"/>
      <c r="Q122" s="219">
        <v>1759198</v>
      </c>
      <c r="R122" s="219"/>
      <c r="S122" s="219">
        <v>-41664330</v>
      </c>
      <c r="T122" s="220"/>
      <c r="AF122" s="114" t="s">
        <v>595</v>
      </c>
      <c r="AG122" s="119">
        <v>195958275</v>
      </c>
      <c r="AH122" s="120">
        <v>230445961</v>
      </c>
    </row>
    <row r="123" spans="1:34" x14ac:dyDescent="0.3">
      <c r="A123" s="109" t="s">
        <v>596</v>
      </c>
      <c r="B123" s="219">
        <v>-28983221</v>
      </c>
      <c r="C123" s="219"/>
      <c r="D123" s="219">
        <v>370148656</v>
      </c>
      <c r="E123" s="220"/>
      <c r="O123" s="109" t="s">
        <v>597</v>
      </c>
      <c r="P123" s="113"/>
      <c r="Q123" s="219">
        <v>9882603</v>
      </c>
      <c r="R123" s="219"/>
      <c r="S123" s="219">
        <v>15816486</v>
      </c>
      <c r="T123" s="220"/>
      <c r="AF123" s="114" t="s">
        <v>598</v>
      </c>
      <c r="AG123" s="119">
        <v>-1557307639</v>
      </c>
      <c r="AH123" s="120">
        <v>-2134418611</v>
      </c>
    </row>
    <row r="124" spans="1:34" x14ac:dyDescent="0.3">
      <c r="A124" s="109" t="s">
        <v>599</v>
      </c>
      <c r="B124" s="219">
        <v>4200000000</v>
      </c>
      <c r="C124" s="219"/>
      <c r="D124" s="219" t="s">
        <v>199</v>
      </c>
      <c r="E124" s="220"/>
      <c r="O124" s="109" t="s">
        <v>600</v>
      </c>
      <c r="P124" s="113"/>
      <c r="Q124" s="219">
        <v>-4608270224</v>
      </c>
      <c r="R124" s="219"/>
      <c r="S124" s="219">
        <v>-2123496016</v>
      </c>
      <c r="T124" s="220"/>
      <c r="AF124" s="114" t="s">
        <v>601</v>
      </c>
      <c r="AG124" s="119">
        <v>103356804</v>
      </c>
      <c r="AH124" s="120">
        <v>5163970</v>
      </c>
    </row>
    <row r="125" spans="1:34" x14ac:dyDescent="0.3">
      <c r="A125" s="109" t="s">
        <v>602</v>
      </c>
      <c r="B125" s="219">
        <v>-41664330</v>
      </c>
      <c r="C125" s="219"/>
      <c r="D125" s="219">
        <v>-126485643</v>
      </c>
      <c r="E125" s="220"/>
      <c r="O125" s="109" t="s">
        <v>603</v>
      </c>
      <c r="P125" s="113"/>
      <c r="Q125" s="219">
        <v>2804774839</v>
      </c>
      <c r="R125" s="219"/>
      <c r="S125" s="219">
        <v>1012691176</v>
      </c>
      <c r="T125" s="220"/>
      <c r="AF125" s="114" t="s">
        <v>604</v>
      </c>
      <c r="AG125" s="119">
        <v>-63636363</v>
      </c>
      <c r="AH125" s="120">
        <v>-5241227</v>
      </c>
    </row>
    <row r="126" spans="1:34" x14ac:dyDescent="0.3">
      <c r="A126" s="109" t="s">
        <v>597</v>
      </c>
      <c r="B126" s="219">
        <v>15816486</v>
      </c>
      <c r="C126" s="219"/>
      <c r="D126" s="219">
        <v>3259565</v>
      </c>
      <c r="E126" s="220"/>
      <c r="O126" s="109" t="s">
        <v>605</v>
      </c>
      <c r="P126" s="113"/>
      <c r="Q126" s="219">
        <v>300912198</v>
      </c>
      <c r="R126" s="219"/>
      <c r="S126" s="219">
        <v>172075657</v>
      </c>
      <c r="T126" s="220"/>
      <c r="AF126" s="114" t="s">
        <v>606</v>
      </c>
      <c r="AG126" s="119">
        <v>62881122</v>
      </c>
      <c r="AH126" s="116"/>
    </row>
    <row r="127" spans="1:34" x14ac:dyDescent="0.3">
      <c r="A127" s="109" t="s">
        <v>607</v>
      </c>
      <c r="B127" s="219">
        <v>-2123496016</v>
      </c>
      <c r="C127" s="219"/>
      <c r="D127" s="219">
        <v>11063844077</v>
      </c>
      <c r="E127" s="220"/>
      <c r="O127" s="109" t="s">
        <v>608</v>
      </c>
      <c r="P127" s="113"/>
      <c r="Q127" s="219">
        <v>59793028</v>
      </c>
      <c r="R127" s="219"/>
      <c r="S127" s="219">
        <v>2170624184</v>
      </c>
      <c r="T127" s="220"/>
      <c r="AF127" s="114" t="s">
        <v>609</v>
      </c>
      <c r="AG127" s="119">
        <v>216671</v>
      </c>
      <c r="AH127" s="120">
        <v>6081752</v>
      </c>
    </row>
    <row r="128" spans="1:34" x14ac:dyDescent="0.3">
      <c r="A128" s="109" t="s">
        <v>603</v>
      </c>
      <c r="B128" s="219">
        <v>1012691176</v>
      </c>
      <c r="C128" s="219"/>
      <c r="D128" s="219" t="s">
        <v>199</v>
      </c>
      <c r="E128" s="220"/>
      <c r="O128" s="109" t="s">
        <v>610</v>
      </c>
      <c r="P128" s="113"/>
      <c r="Q128" s="219">
        <v>585423259</v>
      </c>
      <c r="R128" s="219"/>
      <c r="S128" s="219">
        <v>5548640215</v>
      </c>
      <c r="T128" s="220"/>
      <c r="AF128" s="114" t="s">
        <v>611</v>
      </c>
      <c r="AG128" s="119">
        <v>242686686</v>
      </c>
      <c r="AH128" s="116"/>
    </row>
    <row r="129" spans="1:34" x14ac:dyDescent="0.3">
      <c r="A129" s="109" t="s">
        <v>605</v>
      </c>
      <c r="B129" s="219">
        <v>172075657</v>
      </c>
      <c r="C129" s="219"/>
      <c r="D129" s="219">
        <v>533101318</v>
      </c>
      <c r="E129" s="220"/>
      <c r="O129" s="109" t="s">
        <v>612</v>
      </c>
      <c r="P129" s="113"/>
      <c r="Q129" s="219">
        <v>8217770</v>
      </c>
      <c r="R129" s="219"/>
      <c r="S129" s="219">
        <v>599158</v>
      </c>
      <c r="T129" s="220"/>
      <c r="AF129" s="114" t="s">
        <v>613</v>
      </c>
      <c r="AG129" s="119">
        <v>-41363014942</v>
      </c>
      <c r="AH129" s="116"/>
    </row>
    <row r="130" spans="1:34" x14ac:dyDescent="0.3">
      <c r="A130" s="109" t="s">
        <v>608</v>
      </c>
      <c r="B130" s="219">
        <v>2170624184</v>
      </c>
      <c r="C130" s="219"/>
      <c r="D130" s="219">
        <v>409104361</v>
      </c>
      <c r="E130" s="220"/>
      <c r="O130" s="109" t="s">
        <v>614</v>
      </c>
      <c r="P130" s="113"/>
      <c r="Q130" s="219">
        <v>773433</v>
      </c>
      <c r="R130" s="219"/>
      <c r="S130" s="219" t="s">
        <v>199</v>
      </c>
      <c r="T130" s="220"/>
      <c r="AF130" s="114" t="s">
        <v>615</v>
      </c>
      <c r="AG130" s="115"/>
      <c r="AH130" s="120">
        <v>7995295060</v>
      </c>
    </row>
    <row r="131" spans="1:34" x14ac:dyDescent="0.3">
      <c r="A131" s="109" t="s">
        <v>616</v>
      </c>
      <c r="B131" s="219" t="s">
        <v>199</v>
      </c>
      <c r="C131" s="219"/>
      <c r="D131" s="219">
        <v>127467924</v>
      </c>
      <c r="E131" s="220"/>
      <c r="O131" s="109" t="s">
        <v>617</v>
      </c>
      <c r="P131" s="113"/>
      <c r="Q131" s="219">
        <v>-709964407</v>
      </c>
      <c r="R131" s="219"/>
      <c r="S131" s="219">
        <v>-595479755</v>
      </c>
      <c r="T131" s="220"/>
      <c r="AF131" s="114" t="s">
        <v>618</v>
      </c>
      <c r="AG131" s="119">
        <v>-3510625687</v>
      </c>
      <c r="AH131" s="116"/>
    </row>
    <row r="132" spans="1:34" x14ac:dyDescent="0.3">
      <c r="A132" s="109" t="s">
        <v>610</v>
      </c>
      <c r="B132" s="219">
        <v>5548640215</v>
      </c>
      <c r="C132" s="219"/>
      <c r="D132" s="219">
        <v>21824681843</v>
      </c>
      <c r="E132" s="220"/>
      <c r="O132" s="109" t="s">
        <v>619</v>
      </c>
      <c r="P132" s="113"/>
      <c r="Q132" s="219">
        <v>-1318864233</v>
      </c>
      <c r="R132" s="219"/>
      <c r="S132" s="219">
        <v>-48978076</v>
      </c>
      <c r="T132" s="220"/>
      <c r="AF132" s="114" t="s">
        <v>620</v>
      </c>
      <c r="AG132" s="119">
        <v>2394018200</v>
      </c>
      <c r="AH132" s="116"/>
    </row>
    <row r="133" spans="1:34" x14ac:dyDescent="0.3">
      <c r="A133" s="109" t="s">
        <v>612</v>
      </c>
      <c r="B133" s="219">
        <v>599158</v>
      </c>
      <c r="C133" s="219"/>
      <c r="D133" s="219">
        <v>41409755</v>
      </c>
      <c r="E133" s="220"/>
      <c r="O133" s="109" t="s">
        <v>621</v>
      </c>
      <c r="P133" s="113"/>
      <c r="Q133" s="219">
        <v>23145377285</v>
      </c>
      <c r="R133" s="219"/>
      <c r="S133" s="219" t="s">
        <v>199</v>
      </c>
      <c r="T133" s="220"/>
      <c r="AF133" s="114" t="s">
        <v>622</v>
      </c>
      <c r="AG133" s="115"/>
      <c r="AH133" s="120">
        <v>-20355455</v>
      </c>
    </row>
    <row r="134" spans="1:34" x14ac:dyDescent="0.3">
      <c r="A134" s="109" t="s">
        <v>617</v>
      </c>
      <c r="B134" s="219">
        <v>-595479755</v>
      </c>
      <c r="C134" s="219"/>
      <c r="D134" s="219">
        <v>-1373387026</v>
      </c>
      <c r="E134" s="220"/>
      <c r="O134" s="109" t="s">
        <v>623</v>
      </c>
      <c r="P134" s="113"/>
      <c r="Q134" s="219">
        <v>-770071633</v>
      </c>
      <c r="R134" s="219"/>
      <c r="S134" s="219" t="s">
        <v>199</v>
      </c>
      <c r="T134" s="220"/>
      <c r="AF134" s="114" t="s">
        <v>624</v>
      </c>
      <c r="AG134" s="115"/>
      <c r="AH134" s="120">
        <v>773433</v>
      </c>
    </row>
    <row r="135" spans="1:34" x14ac:dyDescent="0.3">
      <c r="A135" s="109" t="s">
        <v>619</v>
      </c>
      <c r="B135" s="219">
        <v>-48978076</v>
      </c>
      <c r="C135" s="219"/>
      <c r="D135" s="219">
        <v>-102383090</v>
      </c>
      <c r="E135" s="220"/>
      <c r="O135" s="109" t="s">
        <v>625</v>
      </c>
      <c r="P135" s="113"/>
      <c r="Q135" s="219" t="s">
        <v>199</v>
      </c>
      <c r="R135" s="219"/>
      <c r="S135" s="219">
        <v>996359683</v>
      </c>
      <c r="T135" s="220"/>
      <c r="AF135" s="114" t="s">
        <v>626</v>
      </c>
      <c r="AG135" s="119">
        <v>-61773000</v>
      </c>
      <c r="AH135" s="116"/>
    </row>
    <row r="136" spans="1:34" x14ac:dyDescent="0.3">
      <c r="A136" s="109" t="s">
        <v>627</v>
      </c>
      <c r="B136" s="219" t="s">
        <v>199</v>
      </c>
      <c r="C136" s="219"/>
      <c r="D136" s="219">
        <v>-30066519</v>
      </c>
      <c r="E136" s="220"/>
      <c r="O136" s="109" t="s">
        <v>628</v>
      </c>
      <c r="P136" s="113"/>
      <c r="Q136" s="219">
        <v>-5241227</v>
      </c>
      <c r="R136" s="219"/>
      <c r="S136" s="219">
        <v>-2240200</v>
      </c>
      <c r="T136" s="220"/>
      <c r="AF136" s="114" t="s">
        <v>629</v>
      </c>
      <c r="AG136" s="119">
        <v>766553853</v>
      </c>
      <c r="AH136" s="116"/>
    </row>
    <row r="137" spans="1:34" x14ac:dyDescent="0.3">
      <c r="A137" s="109" t="s">
        <v>630</v>
      </c>
      <c r="B137" s="219" t="s">
        <v>199</v>
      </c>
      <c r="C137" s="219"/>
      <c r="D137" s="219">
        <v>-10629611</v>
      </c>
      <c r="E137" s="220"/>
      <c r="O137" s="109" t="s">
        <v>631</v>
      </c>
      <c r="P137" s="113"/>
      <c r="Q137" s="219">
        <v>-20346172</v>
      </c>
      <c r="R137" s="219"/>
      <c r="S137" s="219">
        <v>-26552040</v>
      </c>
      <c r="T137" s="220"/>
      <c r="AF137" s="114" t="s">
        <v>632</v>
      </c>
      <c r="AG137" s="119">
        <v>-1413694186</v>
      </c>
      <c r="AH137" s="116"/>
    </row>
    <row r="138" spans="1:34" x14ac:dyDescent="0.3">
      <c r="A138" s="109" t="s">
        <v>633</v>
      </c>
      <c r="B138" s="219">
        <v>996359683</v>
      </c>
      <c r="C138" s="219"/>
      <c r="D138" s="219" t="s">
        <v>199</v>
      </c>
      <c r="E138" s="220"/>
      <c r="O138" s="109" t="s">
        <v>634</v>
      </c>
      <c r="P138" s="113"/>
      <c r="Q138" s="219">
        <v>-24157280</v>
      </c>
      <c r="R138" s="219"/>
      <c r="S138" s="219" t="s">
        <v>199</v>
      </c>
      <c r="T138" s="220"/>
      <c r="AF138" s="114" t="s">
        <v>635</v>
      </c>
      <c r="AG138" s="119">
        <v>42135654</v>
      </c>
      <c r="AH138" s="116"/>
    </row>
    <row r="139" spans="1:34" x14ac:dyDescent="0.3">
      <c r="A139" s="109" t="s">
        <v>628</v>
      </c>
      <c r="B139" s="219">
        <v>-2240200</v>
      </c>
      <c r="C139" s="219"/>
      <c r="D139" s="219">
        <v>-221590</v>
      </c>
      <c r="E139" s="220"/>
      <c r="O139" s="109" t="s">
        <v>636</v>
      </c>
      <c r="P139" s="113"/>
      <c r="Q139" s="219">
        <v>-12124852896</v>
      </c>
      <c r="R139" s="219"/>
      <c r="S139" s="219">
        <v>16323393062</v>
      </c>
      <c r="T139" s="220"/>
      <c r="AF139" s="114" t="s">
        <v>637</v>
      </c>
      <c r="AG139" s="119">
        <v>2801745965</v>
      </c>
      <c r="AH139" s="120">
        <v>-12294897303</v>
      </c>
    </row>
    <row r="140" spans="1:34" x14ac:dyDescent="0.3">
      <c r="A140" s="109" t="s">
        <v>638</v>
      </c>
      <c r="B140" s="219" t="s">
        <v>199</v>
      </c>
      <c r="C140" s="219"/>
      <c r="D140" s="219">
        <v>798641919</v>
      </c>
      <c r="E140" s="220"/>
      <c r="O140" s="109" t="s">
        <v>639</v>
      </c>
      <c r="P140" s="113"/>
      <c r="Q140" s="219">
        <v>3887328375</v>
      </c>
      <c r="R140" s="219"/>
      <c r="S140" s="219">
        <v>4621956912</v>
      </c>
      <c r="T140" s="220"/>
      <c r="AF140" s="114" t="s">
        <v>640</v>
      </c>
      <c r="AG140" s="119">
        <v>-5540502779</v>
      </c>
      <c r="AH140" s="120">
        <v>3690791273</v>
      </c>
    </row>
    <row r="141" spans="1:34" x14ac:dyDescent="0.3">
      <c r="A141" s="109" t="s">
        <v>641</v>
      </c>
      <c r="B141" s="219">
        <v>-26552040</v>
      </c>
      <c r="C141" s="219"/>
      <c r="D141" s="219" t="s">
        <v>199</v>
      </c>
      <c r="E141" s="220"/>
      <c r="O141" s="109" t="s">
        <v>642</v>
      </c>
      <c r="P141" s="113"/>
      <c r="Q141" s="219">
        <v>-7080723379</v>
      </c>
      <c r="R141" s="219"/>
      <c r="S141" s="219">
        <v>-12441359886</v>
      </c>
      <c r="T141" s="220"/>
      <c r="AF141" s="114" t="s">
        <v>643</v>
      </c>
      <c r="AG141" s="119">
        <v>1082082760</v>
      </c>
      <c r="AH141" s="120">
        <v>-6431232790</v>
      </c>
    </row>
    <row r="142" spans="1:34" x14ac:dyDescent="0.3">
      <c r="A142" s="109" t="s">
        <v>644</v>
      </c>
      <c r="B142" s="219">
        <v>16323393062</v>
      </c>
      <c r="C142" s="219"/>
      <c r="D142" s="219">
        <v>-837383424</v>
      </c>
      <c r="E142" s="220"/>
      <c r="O142" s="109" t="s">
        <v>645</v>
      </c>
      <c r="P142" s="113"/>
      <c r="Q142" s="219">
        <v>-12069841856</v>
      </c>
      <c r="R142" s="219"/>
      <c r="S142" s="219">
        <v>-567874466</v>
      </c>
      <c r="T142" s="220"/>
      <c r="AF142" s="114" t="s">
        <v>646</v>
      </c>
      <c r="AG142" s="119">
        <v>8450939605</v>
      </c>
      <c r="AH142" s="120">
        <v>-11089593096</v>
      </c>
    </row>
    <row r="143" spans="1:34" x14ac:dyDescent="0.3">
      <c r="A143" s="109" t="s">
        <v>647</v>
      </c>
      <c r="B143" s="219">
        <v>4621956912</v>
      </c>
      <c r="C143" s="219"/>
      <c r="D143" s="219">
        <v>-7539631953</v>
      </c>
      <c r="E143" s="220"/>
      <c r="O143" s="109" t="s">
        <v>648</v>
      </c>
      <c r="P143" s="113"/>
      <c r="Q143" s="219">
        <v>-1220561921</v>
      </c>
      <c r="R143" s="219"/>
      <c r="S143" s="219">
        <v>3609608055</v>
      </c>
      <c r="T143" s="220"/>
      <c r="AF143" s="114" t="s">
        <v>649</v>
      </c>
      <c r="AG143" s="119">
        <v>-6615281683</v>
      </c>
      <c r="AH143" s="120">
        <v>-2603455458</v>
      </c>
    </row>
    <row r="144" spans="1:34" x14ac:dyDescent="0.3">
      <c r="A144" s="109" t="s">
        <v>642</v>
      </c>
      <c r="B144" s="219">
        <v>-12441359886</v>
      </c>
      <c r="C144" s="219"/>
      <c r="D144" s="219">
        <v>-5385279428</v>
      </c>
      <c r="E144" s="220"/>
      <c r="O144" s="109" t="s">
        <v>650</v>
      </c>
      <c r="P144" s="113"/>
      <c r="Q144" s="219">
        <v>2254405636</v>
      </c>
      <c r="R144" s="219"/>
      <c r="S144" s="219">
        <v>5338055248</v>
      </c>
      <c r="T144" s="220"/>
      <c r="AF144" s="114" t="s">
        <v>651</v>
      </c>
      <c r="AG144" s="119">
        <v>5423227637</v>
      </c>
      <c r="AH144" s="120">
        <v>3450364267</v>
      </c>
    </row>
    <row r="145" spans="1:34" x14ac:dyDescent="0.3">
      <c r="A145" s="109" t="s">
        <v>645</v>
      </c>
      <c r="B145" s="219">
        <v>-567874466</v>
      </c>
      <c r="C145" s="219"/>
      <c r="D145" s="219">
        <v>1812955479</v>
      </c>
      <c r="E145" s="220"/>
      <c r="O145" s="109" t="s">
        <v>652</v>
      </c>
      <c r="P145" s="113"/>
      <c r="Q145" s="219">
        <v>2792943706</v>
      </c>
      <c r="R145" s="219"/>
      <c r="S145" s="219">
        <v>19556864340</v>
      </c>
      <c r="T145" s="220"/>
      <c r="AF145" s="114" t="s">
        <v>653</v>
      </c>
      <c r="AG145" s="119">
        <v>3012366820</v>
      </c>
      <c r="AH145" s="120">
        <v>2214460529</v>
      </c>
    </row>
    <row r="146" spans="1:34" x14ac:dyDescent="0.3">
      <c r="A146" s="109" t="s">
        <v>654</v>
      </c>
      <c r="B146" s="219">
        <v>3609608055</v>
      </c>
      <c r="C146" s="219"/>
      <c r="D146" s="219">
        <v>-2405454959</v>
      </c>
      <c r="E146" s="220"/>
      <c r="O146" s="109" t="s">
        <v>655</v>
      </c>
      <c r="P146" s="113"/>
      <c r="Q146" s="219">
        <v>1697929968</v>
      </c>
      <c r="R146" s="219"/>
      <c r="S146" s="219">
        <v>-1666867878</v>
      </c>
      <c r="T146" s="220"/>
      <c r="AF146" s="114" t="s">
        <v>656</v>
      </c>
      <c r="AG146" s="119">
        <v>-2928992690</v>
      </c>
      <c r="AH146" s="120">
        <v>-1314839512</v>
      </c>
    </row>
    <row r="147" spans="1:34" x14ac:dyDescent="0.3">
      <c r="A147" s="109" t="s">
        <v>657</v>
      </c>
      <c r="B147" s="219" t="s">
        <v>199</v>
      </c>
      <c r="C147" s="219"/>
      <c r="D147" s="219">
        <v>-300136621</v>
      </c>
      <c r="E147" s="220"/>
      <c r="O147" s="109" t="s">
        <v>658</v>
      </c>
      <c r="P147" s="113"/>
      <c r="Q147" s="219">
        <v>38740390</v>
      </c>
      <c r="R147" s="219"/>
      <c r="S147" s="219">
        <v>-15000000</v>
      </c>
      <c r="T147" s="220"/>
      <c r="AF147" s="114" t="s">
        <v>659</v>
      </c>
      <c r="AG147" s="119">
        <v>-82093705</v>
      </c>
      <c r="AH147" s="120">
        <v>-211392516</v>
      </c>
    </row>
    <row r="148" spans="1:34" x14ac:dyDescent="0.3">
      <c r="A148" s="109" t="s">
        <v>660</v>
      </c>
      <c r="B148" s="219" t="s">
        <v>199</v>
      </c>
      <c r="C148" s="219"/>
      <c r="D148" s="219">
        <v>-129134010</v>
      </c>
      <c r="E148" s="220"/>
      <c r="O148" s="109" t="s">
        <v>661</v>
      </c>
      <c r="P148" s="113"/>
      <c r="Q148" s="219">
        <v>-2425073815</v>
      </c>
      <c r="R148" s="219"/>
      <c r="S148" s="219">
        <v>-2111989263</v>
      </c>
      <c r="T148" s="220"/>
      <c r="AF148" s="114" t="s">
        <v>662</v>
      </c>
      <c r="AG148" s="119">
        <v>1485778734</v>
      </c>
      <c r="AH148" s="120">
        <v>298904319</v>
      </c>
    </row>
    <row r="149" spans="1:34" x14ac:dyDescent="0.3">
      <c r="A149" s="109" t="s">
        <v>663</v>
      </c>
      <c r="B149" s="219">
        <v>5338055248</v>
      </c>
      <c r="C149" s="219"/>
      <c r="D149" s="219">
        <v>14516220107</v>
      </c>
      <c r="E149" s="220"/>
      <c r="O149" s="109" t="s">
        <v>664</v>
      </c>
      <c r="P149" s="113"/>
      <c r="Q149" s="219">
        <v>492727406</v>
      </c>
      <c r="R149" s="219"/>
      <c r="S149" s="219">
        <v>603439853</v>
      </c>
      <c r="T149" s="220"/>
      <c r="AF149" s="114" t="s">
        <v>665</v>
      </c>
      <c r="AG149" s="119">
        <v>-169215977</v>
      </c>
      <c r="AH149" s="120">
        <v>-230445961</v>
      </c>
    </row>
    <row r="150" spans="1:34" x14ac:dyDescent="0.3">
      <c r="A150" s="109" t="s">
        <v>666</v>
      </c>
      <c r="B150" s="219">
        <v>19556864340</v>
      </c>
      <c r="C150" s="219"/>
      <c r="D150" s="219">
        <v>2404203858</v>
      </c>
      <c r="E150" s="220"/>
      <c r="O150" s="109" t="s">
        <v>667</v>
      </c>
      <c r="P150" s="113"/>
      <c r="Q150" s="219">
        <v>-300912198</v>
      </c>
      <c r="R150" s="219"/>
      <c r="S150" s="219">
        <v>-172075657</v>
      </c>
      <c r="T150" s="220"/>
      <c r="AF150" s="114" t="s">
        <v>668</v>
      </c>
      <c r="AG150" s="119">
        <v>-381987532</v>
      </c>
      <c r="AH150" s="120">
        <v>15401469</v>
      </c>
    </row>
    <row r="151" spans="1:34" x14ac:dyDescent="0.3">
      <c r="A151" s="109" t="s">
        <v>655</v>
      </c>
      <c r="B151" s="219">
        <v>-1666867878</v>
      </c>
      <c r="C151" s="219"/>
      <c r="D151" s="219">
        <v>-2594881411</v>
      </c>
      <c r="E151" s="220"/>
      <c r="O151" s="109" t="s">
        <v>669</v>
      </c>
      <c r="P151" s="113"/>
      <c r="Q151" s="219">
        <v>-16992423</v>
      </c>
      <c r="R151" s="219"/>
      <c r="S151" s="219">
        <v>90170635</v>
      </c>
      <c r="T151" s="220"/>
      <c r="AF151" s="114" t="s">
        <v>670</v>
      </c>
      <c r="AG151" s="119">
        <v>-2319473700</v>
      </c>
      <c r="AH151" s="120">
        <v>-24805833690</v>
      </c>
    </row>
    <row r="152" spans="1:34" x14ac:dyDescent="0.3">
      <c r="A152" s="109" t="s">
        <v>658</v>
      </c>
      <c r="B152" s="219">
        <v>-15000000</v>
      </c>
      <c r="C152" s="219"/>
      <c r="D152" s="219" t="s">
        <v>199</v>
      </c>
      <c r="E152" s="220"/>
      <c r="O152" s="109" t="s">
        <v>671</v>
      </c>
      <c r="P152" s="113"/>
      <c r="Q152" s="219"/>
      <c r="R152" s="219">
        <v>-36852424663</v>
      </c>
      <c r="S152" s="219"/>
      <c r="T152" s="220">
        <v>-2470877528</v>
      </c>
      <c r="AF152" s="114" t="s">
        <v>672</v>
      </c>
      <c r="AG152" s="119">
        <v>24505922363</v>
      </c>
      <c r="AH152" s="120">
        <v>7250000</v>
      </c>
    </row>
    <row r="153" spans="1:34" x14ac:dyDescent="0.3">
      <c r="A153" s="109" t="s">
        <v>673</v>
      </c>
      <c r="B153" s="219">
        <v>-2111989263</v>
      </c>
      <c r="C153" s="219"/>
      <c r="D153" s="219">
        <v>-1216244486</v>
      </c>
      <c r="E153" s="220"/>
      <c r="O153" s="109" t="s">
        <v>674</v>
      </c>
      <c r="P153" s="113"/>
      <c r="Q153" s="219">
        <v>27250000</v>
      </c>
      <c r="R153" s="219"/>
      <c r="S153" s="219">
        <v>2032106200</v>
      </c>
      <c r="T153" s="220"/>
      <c r="AF153" s="114" t="s">
        <v>675</v>
      </c>
      <c r="AG153" s="119">
        <v>200000000</v>
      </c>
      <c r="AH153" s="116"/>
    </row>
    <row r="154" spans="1:34" x14ac:dyDescent="0.3">
      <c r="A154" s="109" t="s">
        <v>676</v>
      </c>
      <c r="B154" s="219">
        <v>603439853</v>
      </c>
      <c r="C154" s="219"/>
      <c r="D154" s="219">
        <v>1450087305</v>
      </c>
      <c r="E154" s="220"/>
      <c r="O154" s="109" t="s">
        <v>677</v>
      </c>
      <c r="P154" s="113"/>
      <c r="Q154" s="219" t="s">
        <v>199</v>
      </c>
      <c r="R154" s="219"/>
      <c r="S154" s="219">
        <v>347340000</v>
      </c>
      <c r="T154" s="220"/>
      <c r="AF154" s="114" t="s">
        <v>678</v>
      </c>
      <c r="AG154" s="119">
        <v>297306000</v>
      </c>
      <c r="AH154" s="116"/>
    </row>
    <row r="155" spans="1:34" x14ac:dyDescent="0.3">
      <c r="A155" s="109" t="s">
        <v>679</v>
      </c>
      <c r="B155" s="219">
        <v>-172075657</v>
      </c>
      <c r="C155" s="219"/>
      <c r="D155" s="219">
        <v>-46867293</v>
      </c>
      <c r="E155" s="220"/>
      <c r="O155" s="109" t="s">
        <v>680</v>
      </c>
      <c r="P155" s="113"/>
      <c r="Q155" s="219">
        <v>20000000</v>
      </c>
      <c r="R155" s="219"/>
      <c r="S155" s="219">
        <v>1677388000</v>
      </c>
      <c r="T155" s="220"/>
      <c r="AF155" s="114" t="s">
        <v>681</v>
      </c>
      <c r="AG155" s="119">
        <v>23944980000</v>
      </c>
      <c r="AH155" s="116"/>
    </row>
    <row r="156" spans="1:34" x14ac:dyDescent="0.3">
      <c r="A156" s="109" t="s">
        <v>682</v>
      </c>
      <c r="B156" s="219">
        <v>90170635</v>
      </c>
      <c r="C156" s="219"/>
      <c r="D156" s="219">
        <v>-870491738</v>
      </c>
      <c r="E156" s="220"/>
      <c r="O156" s="109" t="s">
        <v>683</v>
      </c>
      <c r="P156" s="113"/>
      <c r="Q156" s="219" t="s">
        <v>199</v>
      </c>
      <c r="R156" s="219"/>
      <c r="S156" s="219">
        <v>5000000</v>
      </c>
      <c r="T156" s="220"/>
      <c r="AF156" s="114" t="s">
        <v>684</v>
      </c>
      <c r="AG156" s="119">
        <v>63636363</v>
      </c>
      <c r="AH156" s="120">
        <v>7250000</v>
      </c>
    </row>
    <row r="157" spans="1:34" x14ac:dyDescent="0.3">
      <c r="A157" s="109" t="s">
        <v>685</v>
      </c>
      <c r="B157" s="219"/>
      <c r="C157" s="219">
        <v>-2470877528</v>
      </c>
      <c r="D157" s="219"/>
      <c r="E157" s="220">
        <v>-2595990545</v>
      </c>
      <c r="O157" s="109" t="s">
        <v>686</v>
      </c>
      <c r="P157" s="113"/>
      <c r="Q157" s="219">
        <v>7250000</v>
      </c>
      <c r="R157" s="219"/>
      <c r="S157" s="219">
        <v>2378200</v>
      </c>
      <c r="T157" s="220"/>
      <c r="AF157" s="114" t="s">
        <v>687</v>
      </c>
      <c r="AG157" s="119">
        <v>-26825396063</v>
      </c>
      <c r="AH157" s="120">
        <v>-24813083690</v>
      </c>
    </row>
    <row r="158" spans="1:34" x14ac:dyDescent="0.3">
      <c r="A158" s="109" t="s">
        <v>688</v>
      </c>
      <c r="B158" s="219">
        <v>2032106200</v>
      </c>
      <c r="C158" s="219"/>
      <c r="D158" s="219">
        <v>5567041599</v>
      </c>
      <c r="E158" s="220"/>
      <c r="O158" s="109" t="s">
        <v>689</v>
      </c>
      <c r="P158" s="113"/>
      <c r="Q158" s="219">
        <v>-36879674663</v>
      </c>
      <c r="R158" s="219"/>
      <c r="S158" s="219">
        <v>-4502983728</v>
      </c>
      <c r="T158" s="220"/>
      <c r="AF158" s="114" t="s">
        <v>690</v>
      </c>
      <c r="AG158" s="119">
        <v>609216486</v>
      </c>
      <c r="AH158" s="120">
        <v>786563544</v>
      </c>
    </row>
    <row r="159" spans="1:34" x14ac:dyDescent="0.3">
      <c r="A159" s="109" t="s">
        <v>691</v>
      </c>
      <c r="B159" s="219">
        <v>347340000</v>
      </c>
      <c r="C159" s="219"/>
      <c r="D159" s="219" t="s">
        <v>199</v>
      </c>
      <c r="E159" s="220"/>
      <c r="O159" s="109" t="s">
        <v>692</v>
      </c>
      <c r="P159" s="113"/>
      <c r="Q159" s="219">
        <v>802942063</v>
      </c>
      <c r="R159" s="219"/>
      <c r="S159" s="219">
        <v>1499086000</v>
      </c>
      <c r="T159" s="220"/>
      <c r="AF159" s="114" t="s">
        <v>693</v>
      </c>
      <c r="AG159" s="119">
        <v>500000</v>
      </c>
      <c r="AH159" s="116"/>
    </row>
    <row r="160" spans="1:34" x14ac:dyDescent="0.3">
      <c r="A160" s="109" t="s">
        <v>694</v>
      </c>
      <c r="B160" s="219">
        <v>1677388000</v>
      </c>
      <c r="C160" s="219"/>
      <c r="D160" s="219">
        <v>171745000</v>
      </c>
      <c r="E160" s="220"/>
      <c r="O160" s="109" t="s">
        <v>695</v>
      </c>
      <c r="P160" s="113"/>
      <c r="Q160" s="219">
        <v>80000000</v>
      </c>
      <c r="R160" s="219"/>
      <c r="S160" s="219" t="s">
        <v>199</v>
      </c>
      <c r="T160" s="220"/>
      <c r="AF160" s="114" t="s">
        <v>696</v>
      </c>
      <c r="AG160" s="119">
        <v>20301223536</v>
      </c>
      <c r="AH160" s="120">
        <v>20001800000</v>
      </c>
    </row>
    <row r="161" spans="1:34" x14ac:dyDescent="0.3">
      <c r="A161" s="109" t="s">
        <v>697</v>
      </c>
      <c r="B161" s="219">
        <v>5000000</v>
      </c>
      <c r="C161" s="219"/>
      <c r="D161" s="219">
        <v>726000</v>
      </c>
      <c r="E161" s="220"/>
      <c r="O161" s="109" t="s">
        <v>698</v>
      </c>
      <c r="P161" s="113"/>
      <c r="Q161" s="219">
        <v>312435000</v>
      </c>
      <c r="R161" s="219"/>
      <c r="S161" s="219" t="s">
        <v>199</v>
      </c>
      <c r="T161" s="220"/>
      <c r="AF161" s="114" t="s">
        <v>699</v>
      </c>
      <c r="AG161" s="119">
        <v>3011475000</v>
      </c>
      <c r="AH161" s="120">
        <v>251229861</v>
      </c>
    </row>
    <row r="162" spans="1:34" x14ac:dyDescent="0.3">
      <c r="A162" s="109" t="s">
        <v>700</v>
      </c>
      <c r="B162" s="219" t="s">
        <v>199</v>
      </c>
      <c r="C162" s="219"/>
      <c r="D162" s="219">
        <v>5388699833</v>
      </c>
      <c r="E162" s="220"/>
      <c r="O162" s="109" t="s">
        <v>701</v>
      </c>
      <c r="P162" s="113"/>
      <c r="Q162" s="219">
        <v>30002038186</v>
      </c>
      <c r="R162" s="219"/>
      <c r="S162" s="219" t="s">
        <v>199</v>
      </c>
      <c r="T162" s="220"/>
      <c r="AF162" s="114" t="s">
        <v>702</v>
      </c>
      <c r="AG162" s="115"/>
      <c r="AH162" s="120">
        <v>1479793071</v>
      </c>
    </row>
    <row r="163" spans="1:34" x14ac:dyDescent="0.3">
      <c r="A163" s="109" t="s">
        <v>703</v>
      </c>
      <c r="B163" s="219">
        <v>2378200</v>
      </c>
      <c r="C163" s="219"/>
      <c r="D163" s="219">
        <v>5870766</v>
      </c>
      <c r="E163" s="220"/>
      <c r="O163" s="109" t="s">
        <v>704</v>
      </c>
      <c r="P163" s="113"/>
      <c r="Q163" s="219">
        <v>251229861</v>
      </c>
      <c r="R163" s="219"/>
      <c r="S163" s="219" t="s">
        <v>199</v>
      </c>
      <c r="T163" s="220"/>
      <c r="AF163" s="228" t="s">
        <v>705</v>
      </c>
      <c r="AG163" s="229">
        <v>645296381</v>
      </c>
      <c r="AH163" s="230">
        <v>1056056242</v>
      </c>
    </row>
    <row r="164" spans="1:34" x14ac:dyDescent="0.3">
      <c r="A164" s="109" t="s">
        <v>706</v>
      </c>
      <c r="B164" s="219">
        <v>-4502983728</v>
      </c>
      <c r="C164" s="219"/>
      <c r="D164" s="219">
        <v>-8163032144</v>
      </c>
      <c r="E164" s="220"/>
      <c r="O164" s="109" t="s">
        <v>707</v>
      </c>
      <c r="P164" s="113"/>
      <c r="Q164" s="219">
        <v>1479793071</v>
      </c>
      <c r="R164" s="219"/>
      <c r="S164" s="219" t="s">
        <v>199</v>
      </c>
      <c r="T164" s="220"/>
      <c r="AF164" s="228" t="s">
        <v>708</v>
      </c>
      <c r="AG164" s="229">
        <v>2257684660</v>
      </c>
      <c r="AH164" s="230">
        <v>1237640972</v>
      </c>
    </row>
    <row r="165" spans="1:34" x14ac:dyDescent="0.3">
      <c r="A165" s="109" t="s">
        <v>709</v>
      </c>
      <c r="B165" s="219">
        <v>1499086000</v>
      </c>
      <c r="C165" s="219"/>
      <c r="D165" s="219">
        <v>317188000</v>
      </c>
      <c r="E165" s="220"/>
      <c r="O165" s="223" t="s">
        <v>710</v>
      </c>
      <c r="P165" s="227"/>
      <c r="Q165" s="224">
        <v>2139025545</v>
      </c>
      <c r="R165" s="224"/>
      <c r="S165" s="224">
        <v>1030872652</v>
      </c>
      <c r="T165" s="225"/>
      <c r="AF165" s="114" t="s">
        <v>711</v>
      </c>
      <c r="AG165" s="119">
        <v>-2079841945</v>
      </c>
      <c r="AH165" s="120">
        <v>68574419310</v>
      </c>
    </row>
    <row r="166" spans="1:34" x14ac:dyDescent="0.3">
      <c r="A166" s="109" t="s">
        <v>712</v>
      </c>
      <c r="B166" s="219" t="s">
        <v>199</v>
      </c>
      <c r="C166" s="219"/>
      <c r="D166" s="219">
        <v>105000000</v>
      </c>
      <c r="E166" s="220"/>
      <c r="O166" s="223" t="s">
        <v>713</v>
      </c>
      <c r="P166" s="227"/>
      <c r="Q166" s="224">
        <v>1812210937</v>
      </c>
      <c r="R166" s="224"/>
      <c r="S166" s="224">
        <v>1973025076</v>
      </c>
      <c r="T166" s="225"/>
      <c r="AF166" s="114" t="s">
        <v>714</v>
      </c>
      <c r="AG166" s="119">
        <v>2468977</v>
      </c>
      <c r="AH166" s="120">
        <v>70000001417</v>
      </c>
    </row>
    <row r="167" spans="1:34" x14ac:dyDescent="0.3">
      <c r="A167" s="109" t="s">
        <v>715</v>
      </c>
      <c r="B167" s="219" t="s">
        <v>199</v>
      </c>
      <c r="C167" s="219"/>
      <c r="D167" s="219">
        <v>352599000</v>
      </c>
      <c r="E167" s="220"/>
      <c r="O167" s="109" t="s">
        <v>716</v>
      </c>
      <c r="P167" s="113"/>
      <c r="Q167" s="219"/>
      <c r="R167" s="219">
        <v>68109892699</v>
      </c>
      <c r="S167" s="219"/>
      <c r="T167" s="220">
        <v>-2329330151</v>
      </c>
      <c r="AF167" s="114" t="s">
        <v>717</v>
      </c>
      <c r="AG167" s="115"/>
      <c r="AH167" s="120">
        <v>70000001417</v>
      </c>
    </row>
    <row r="168" spans="1:34" x14ac:dyDescent="0.3">
      <c r="A168" s="109" t="s">
        <v>718</v>
      </c>
      <c r="B168" s="219" t="s">
        <v>199</v>
      </c>
      <c r="C168" s="219"/>
      <c r="D168" s="219">
        <v>926598559</v>
      </c>
      <c r="E168" s="220"/>
      <c r="O168" s="109" t="s">
        <v>719</v>
      </c>
      <c r="P168" s="113"/>
      <c r="Q168" s="219">
        <v>70000001417</v>
      </c>
      <c r="R168" s="219"/>
      <c r="S168" s="219" t="s">
        <v>199</v>
      </c>
      <c r="T168" s="220"/>
      <c r="AF168" s="114" t="s">
        <v>720</v>
      </c>
      <c r="AG168" s="119">
        <v>2468977</v>
      </c>
      <c r="AH168" s="116"/>
    </row>
    <row r="169" spans="1:34" x14ac:dyDescent="0.3">
      <c r="A169" s="223" t="s">
        <v>721</v>
      </c>
      <c r="B169" s="224">
        <v>1030872652</v>
      </c>
      <c r="C169" s="224"/>
      <c r="D169" s="224">
        <v>957015654</v>
      </c>
      <c r="E169" s="225"/>
      <c r="O169" s="109" t="s">
        <v>722</v>
      </c>
      <c r="P169" s="113"/>
      <c r="Q169" s="219">
        <v>70000001417</v>
      </c>
      <c r="R169" s="219"/>
      <c r="S169" s="219" t="s">
        <v>199</v>
      </c>
      <c r="T169" s="220"/>
      <c r="AF169" s="114" t="s">
        <v>723</v>
      </c>
      <c r="AG169" s="119">
        <v>-2082310922</v>
      </c>
      <c r="AH169" s="120">
        <v>-1425582107</v>
      </c>
    </row>
    <row r="170" spans="1:34" x14ac:dyDescent="0.3">
      <c r="A170" s="223" t="s">
        <v>724</v>
      </c>
      <c r="B170" s="224">
        <v>1973025076</v>
      </c>
      <c r="C170" s="224"/>
      <c r="D170" s="224">
        <v>4704630931</v>
      </c>
      <c r="E170" s="225"/>
      <c r="O170" s="109" t="s">
        <v>725</v>
      </c>
      <c r="P170" s="113"/>
      <c r="Q170" s="219">
        <v>-1890108718</v>
      </c>
      <c r="R170" s="219"/>
      <c r="S170" s="219">
        <v>-2329330151</v>
      </c>
      <c r="T170" s="220"/>
      <c r="AF170" s="114" t="s">
        <v>726</v>
      </c>
      <c r="AG170" s="119">
        <v>2082310922</v>
      </c>
      <c r="AH170" s="120">
        <v>1425582107</v>
      </c>
    </row>
    <row r="171" spans="1:34" x14ac:dyDescent="0.3">
      <c r="A171" s="109" t="s">
        <v>727</v>
      </c>
      <c r="B171" s="219" t="s">
        <v>199</v>
      </c>
      <c r="C171" s="219"/>
      <c r="D171" s="219">
        <v>800000000</v>
      </c>
      <c r="E171" s="220"/>
      <c r="O171" s="109" t="s">
        <v>728</v>
      </c>
      <c r="P171" s="113"/>
      <c r="Q171" s="219">
        <v>1890108718</v>
      </c>
      <c r="R171" s="219"/>
      <c r="S171" s="219">
        <v>2329330151</v>
      </c>
      <c r="T171" s="220"/>
      <c r="AF171" s="114" t="s">
        <v>729</v>
      </c>
      <c r="AG171" s="119">
        <v>6496015012</v>
      </c>
      <c r="AH171" s="120">
        <v>43652587368</v>
      </c>
    </row>
    <row r="172" spans="1:34" x14ac:dyDescent="0.3">
      <c r="A172" s="109" t="s">
        <v>730</v>
      </c>
      <c r="B172" s="219"/>
      <c r="C172" s="219">
        <v>-2329330151</v>
      </c>
      <c r="D172" s="219"/>
      <c r="E172" s="220">
        <v>-2965409032</v>
      </c>
      <c r="O172" s="109" t="s">
        <v>731</v>
      </c>
      <c r="P172" s="113">
        <v>31</v>
      </c>
      <c r="Q172" s="219"/>
      <c r="R172" s="219">
        <v>33650586680</v>
      </c>
      <c r="S172" s="219"/>
      <c r="T172" s="220">
        <v>10423011723</v>
      </c>
      <c r="AF172" s="114" t="s">
        <v>732</v>
      </c>
      <c r="AG172" s="119">
        <v>132018644520</v>
      </c>
      <c r="AH172" s="120">
        <v>97271207132</v>
      </c>
    </row>
    <row r="173" spans="1:34" x14ac:dyDescent="0.3">
      <c r="A173" s="109" t="s">
        <v>733</v>
      </c>
      <c r="B173" s="219"/>
      <c r="C173" s="219" t="s">
        <v>199</v>
      </c>
      <c r="D173" s="219"/>
      <c r="E173" s="220" t="s">
        <v>199</v>
      </c>
      <c r="O173" s="109" t="s">
        <v>734</v>
      </c>
      <c r="P173" s="113"/>
      <c r="Q173" s="219"/>
      <c r="R173" s="219">
        <v>97271207132</v>
      </c>
      <c r="S173" s="219"/>
      <c r="T173" s="220">
        <v>88901392676</v>
      </c>
      <c r="AF173" s="114" t="s">
        <v>735</v>
      </c>
      <c r="AG173" s="119">
        <v>1334300764</v>
      </c>
      <c r="AH173" s="120">
        <v>1995338151</v>
      </c>
    </row>
    <row r="174" spans="1:34" x14ac:dyDescent="0.3">
      <c r="A174" s="109" t="s">
        <v>736</v>
      </c>
      <c r="B174" s="219">
        <v>-2329330151</v>
      </c>
      <c r="C174" s="219"/>
      <c r="D174" s="219">
        <v>-2965409032</v>
      </c>
      <c r="E174" s="220"/>
      <c r="O174" s="109" t="s">
        <v>737</v>
      </c>
      <c r="P174" s="113"/>
      <c r="Q174" s="219"/>
      <c r="R174" s="219">
        <v>1096850708</v>
      </c>
      <c r="S174" s="219"/>
      <c r="T174" s="220">
        <v>-2053197267</v>
      </c>
      <c r="AF174" s="125" t="s">
        <v>738</v>
      </c>
      <c r="AG174" s="126">
        <v>139848960296</v>
      </c>
      <c r="AH174" s="127">
        <v>142919132651</v>
      </c>
    </row>
    <row r="175" spans="1:34" x14ac:dyDescent="0.3">
      <c r="A175" s="109" t="s">
        <v>739</v>
      </c>
      <c r="B175" s="219" t="s">
        <v>199</v>
      </c>
      <c r="C175" s="219"/>
      <c r="D175" s="219">
        <v>465735790</v>
      </c>
      <c r="E175" s="220"/>
      <c r="O175" s="121" t="s">
        <v>740</v>
      </c>
      <c r="P175" s="129"/>
      <c r="Q175" s="221"/>
      <c r="R175" s="221">
        <v>132018644520</v>
      </c>
      <c r="S175" s="221"/>
      <c r="T175" s="222">
        <v>97271207132</v>
      </c>
    </row>
    <row r="176" spans="1:34" x14ac:dyDescent="0.3">
      <c r="A176" s="109" t="s">
        <v>741</v>
      </c>
      <c r="B176" s="219">
        <v>2329330151</v>
      </c>
      <c r="C176" s="219"/>
      <c r="D176" s="219">
        <v>2491608053</v>
      </c>
      <c r="E176" s="220"/>
      <c r="O176" s="128"/>
      <c r="Q176" s="226"/>
      <c r="R176" s="226"/>
      <c r="S176" s="226"/>
      <c r="T176" s="226"/>
    </row>
    <row r="177" spans="1:32" x14ac:dyDescent="0.3">
      <c r="A177" s="109" t="s">
        <v>742</v>
      </c>
      <c r="B177" s="219" t="s">
        <v>199</v>
      </c>
      <c r="C177" s="219"/>
      <c r="D177" s="219">
        <v>8065189</v>
      </c>
      <c r="E177" s="220"/>
      <c r="O177" s="102" t="s">
        <v>389</v>
      </c>
    </row>
    <row r="178" spans="1:32" x14ac:dyDescent="0.3">
      <c r="A178" s="109" t="s">
        <v>743</v>
      </c>
      <c r="B178" s="219"/>
      <c r="C178" s="219">
        <v>10423011723</v>
      </c>
      <c r="D178" s="219"/>
      <c r="E178" s="220">
        <v>-6949094449</v>
      </c>
      <c r="AF178" s="98" t="s">
        <v>744</v>
      </c>
    </row>
    <row r="179" spans="1:32" x14ac:dyDescent="0.3">
      <c r="A179" s="109" t="s">
        <v>745</v>
      </c>
      <c r="B179" s="219"/>
      <c r="C179" s="219">
        <v>88901392676</v>
      </c>
      <c r="D179" s="219"/>
      <c r="E179" s="220">
        <v>95653360723</v>
      </c>
      <c r="O179" s="98" t="s">
        <v>260</v>
      </c>
      <c r="AF179" s="128"/>
    </row>
    <row r="180" spans="1:32" x14ac:dyDescent="0.3">
      <c r="A180" s="109" t="s">
        <v>746</v>
      </c>
      <c r="B180" s="219"/>
      <c r="C180" s="219">
        <v>-2053197267</v>
      </c>
      <c r="D180" s="219"/>
      <c r="E180" s="220">
        <v>197126402</v>
      </c>
      <c r="O180" s="140" t="s">
        <v>747</v>
      </c>
      <c r="AF180" s="140" t="s">
        <v>748</v>
      </c>
    </row>
    <row r="181" spans="1:32" x14ac:dyDescent="0.3">
      <c r="A181" s="121" t="s">
        <v>749</v>
      </c>
      <c r="B181" s="221"/>
      <c r="C181" s="221">
        <v>97271207132</v>
      </c>
      <c r="D181" s="221"/>
      <c r="E181" s="222">
        <v>88901392676</v>
      </c>
      <c r="O181" s="140" t="s">
        <v>750</v>
      </c>
      <c r="AF181" s="140" t="s">
        <v>751</v>
      </c>
    </row>
    <row r="182" spans="1:32" x14ac:dyDescent="0.3">
      <c r="A182" s="128"/>
      <c r="O182" s="141" t="s">
        <v>752</v>
      </c>
      <c r="AF182" s="141" t="s">
        <v>752</v>
      </c>
    </row>
    <row r="183" spans="1:32" x14ac:dyDescent="0.3">
      <c r="A183" s="102" t="s">
        <v>389</v>
      </c>
    </row>
    <row r="184" spans="1:32" x14ac:dyDescent="0.3">
      <c r="AF184" s="142" t="s">
        <v>753</v>
      </c>
    </row>
    <row r="185" spans="1:32" x14ac:dyDescent="0.3">
      <c r="A185" s="98" t="s">
        <v>260</v>
      </c>
      <c r="O185" s="142" t="s">
        <v>754</v>
      </c>
      <c r="AF185" s="143"/>
    </row>
    <row r="186" spans="1:32" x14ac:dyDescent="0.3">
      <c r="A186" s="140" t="s">
        <v>750</v>
      </c>
      <c r="AF186" s="142" t="s">
        <v>755</v>
      </c>
    </row>
    <row r="187" spans="1:32" x14ac:dyDescent="0.3">
      <c r="A187" s="140" t="s">
        <v>756</v>
      </c>
      <c r="AF187" s="143"/>
    </row>
    <row r="188" spans="1:32" ht="67.5" x14ac:dyDescent="0.3">
      <c r="A188" s="141" t="s">
        <v>257</v>
      </c>
      <c r="O188" s="143"/>
      <c r="AF188" s="142" t="s">
        <v>757</v>
      </c>
    </row>
    <row r="189" spans="1:32" x14ac:dyDescent="0.3">
      <c r="O189" s="142" t="s">
        <v>755</v>
      </c>
    </row>
    <row r="190" spans="1:32" ht="45" x14ac:dyDescent="0.3">
      <c r="O190" s="143"/>
      <c r="AF190" s="142" t="s">
        <v>758</v>
      </c>
    </row>
    <row r="191" spans="1:32" ht="78.75" x14ac:dyDescent="0.3">
      <c r="A191" s="142" t="s">
        <v>754</v>
      </c>
      <c r="O191" s="142" t="s">
        <v>759</v>
      </c>
    </row>
    <row r="192" spans="1:32" x14ac:dyDescent="0.3">
      <c r="O192" s="143"/>
      <c r="AF192" s="142" t="s">
        <v>760</v>
      </c>
    </row>
    <row r="193" spans="1:38" ht="45" x14ac:dyDescent="0.3">
      <c r="O193" s="142" t="s">
        <v>761</v>
      </c>
      <c r="AF193" s="105" t="s">
        <v>762</v>
      </c>
    </row>
    <row r="194" spans="1:38" x14ac:dyDescent="0.3">
      <c r="A194" s="143"/>
      <c r="AF194" s="1689" t="s">
        <v>763</v>
      </c>
      <c r="AG194" s="1685" t="s">
        <v>764</v>
      </c>
      <c r="AH194" s="1686"/>
      <c r="AI194" s="1685" t="s">
        <v>765</v>
      </c>
      <c r="AJ194" s="1687"/>
    </row>
    <row r="195" spans="1:38" x14ac:dyDescent="0.3">
      <c r="A195" s="142" t="s">
        <v>755</v>
      </c>
      <c r="AF195" s="1690"/>
      <c r="AG195" s="134" t="s">
        <v>766</v>
      </c>
      <c r="AH195" s="134" t="s">
        <v>767</v>
      </c>
      <c r="AI195" s="134" t="s">
        <v>766</v>
      </c>
      <c r="AJ195" s="135" t="s">
        <v>767</v>
      </c>
    </row>
    <row r="196" spans="1:38" x14ac:dyDescent="0.3">
      <c r="A196" s="143"/>
      <c r="O196" s="142" t="s">
        <v>768</v>
      </c>
      <c r="AF196" s="109" t="s">
        <v>769</v>
      </c>
      <c r="AG196" s="119">
        <v>29256387</v>
      </c>
      <c r="AH196" s="144">
        <v>0.51449999999999996</v>
      </c>
      <c r="AI196" s="115" t="s">
        <v>199</v>
      </c>
      <c r="AJ196" s="145">
        <v>0</v>
      </c>
    </row>
    <row r="197" spans="1:38" ht="78.75" x14ac:dyDescent="0.3">
      <c r="A197" s="142" t="s">
        <v>770</v>
      </c>
      <c r="O197" s="128"/>
      <c r="AF197" s="109" t="s">
        <v>771</v>
      </c>
      <c r="AG197" s="119">
        <v>10101795</v>
      </c>
      <c r="AH197" s="144">
        <v>0.1777</v>
      </c>
      <c r="AI197" s="115" t="s">
        <v>199</v>
      </c>
      <c r="AJ197" s="145">
        <v>0</v>
      </c>
    </row>
    <row r="198" spans="1:38" x14ac:dyDescent="0.3">
      <c r="A198" s="143"/>
      <c r="O198" s="128"/>
      <c r="AF198" s="109" t="s">
        <v>772</v>
      </c>
      <c r="AG198" s="115" t="s">
        <v>199</v>
      </c>
      <c r="AH198" s="144">
        <v>0</v>
      </c>
      <c r="AI198" s="119">
        <v>13135673</v>
      </c>
      <c r="AJ198" s="145">
        <v>1</v>
      </c>
    </row>
    <row r="199" spans="1:38" ht="45" x14ac:dyDescent="0.3">
      <c r="A199" s="142" t="s">
        <v>761</v>
      </c>
      <c r="O199" s="105" t="s">
        <v>773</v>
      </c>
      <c r="AF199" s="109" t="s">
        <v>71</v>
      </c>
      <c r="AG199" s="119">
        <v>17501665</v>
      </c>
      <c r="AH199" s="144">
        <v>0.30780000000000002</v>
      </c>
      <c r="AI199" s="115" t="s">
        <v>199</v>
      </c>
      <c r="AJ199" s="145">
        <v>0</v>
      </c>
    </row>
    <row r="200" spans="1:38" x14ac:dyDescent="0.3">
      <c r="O200" s="1689" t="s">
        <v>763</v>
      </c>
      <c r="P200" s="1685" t="s">
        <v>764</v>
      </c>
      <c r="Q200" s="1686"/>
      <c r="R200" s="1685" t="s">
        <v>765</v>
      </c>
      <c r="S200" s="1687"/>
      <c r="AF200" s="146" t="s">
        <v>774</v>
      </c>
      <c r="AG200" s="126">
        <v>56859847</v>
      </c>
      <c r="AH200" s="147">
        <v>1</v>
      </c>
      <c r="AI200" s="126">
        <v>13135673</v>
      </c>
      <c r="AJ200" s="148">
        <v>1</v>
      </c>
    </row>
    <row r="201" spans="1:38" x14ac:dyDescent="0.3">
      <c r="O201" s="1690"/>
      <c r="P201" s="134" t="s">
        <v>766</v>
      </c>
      <c r="Q201" s="134" t="s">
        <v>767</v>
      </c>
      <c r="R201" s="134" t="s">
        <v>766</v>
      </c>
      <c r="S201" s="135" t="s">
        <v>767</v>
      </c>
      <c r="AF201" s="142" t="s">
        <v>775</v>
      </c>
    </row>
    <row r="202" spans="1:38" x14ac:dyDescent="0.3">
      <c r="A202" s="142" t="s">
        <v>768</v>
      </c>
      <c r="O202" s="109" t="s">
        <v>776</v>
      </c>
      <c r="P202" s="119">
        <v>29286687</v>
      </c>
      <c r="Q202" s="144">
        <v>0.51500000000000001</v>
      </c>
      <c r="R202" s="115" t="s">
        <v>199</v>
      </c>
      <c r="S202" s="116" t="s">
        <v>199</v>
      </c>
      <c r="AF202" s="143"/>
    </row>
    <row r="203" spans="1:38" x14ac:dyDescent="0.3">
      <c r="A203" s="128"/>
      <c r="O203" s="109" t="s">
        <v>771</v>
      </c>
      <c r="P203" s="119">
        <v>10101795</v>
      </c>
      <c r="Q203" s="144">
        <v>0.1777</v>
      </c>
      <c r="R203" s="115" t="s">
        <v>199</v>
      </c>
      <c r="S203" s="116" t="s">
        <v>199</v>
      </c>
      <c r="AF203" s="142" t="s">
        <v>777</v>
      </c>
    </row>
    <row r="204" spans="1:38" x14ac:dyDescent="0.3">
      <c r="A204" s="128"/>
      <c r="O204" s="109" t="s">
        <v>778</v>
      </c>
      <c r="P204" s="115" t="s">
        <v>199</v>
      </c>
      <c r="Q204" s="115" t="s">
        <v>199</v>
      </c>
      <c r="R204" s="119">
        <v>13135673</v>
      </c>
      <c r="S204" s="116" t="s">
        <v>779</v>
      </c>
      <c r="AF204" s="1689" t="s">
        <v>780</v>
      </c>
      <c r="AG204" s="1691" t="s">
        <v>781</v>
      </c>
      <c r="AH204" s="1691" t="s">
        <v>782</v>
      </c>
      <c r="AI204" s="1691" t="s">
        <v>783</v>
      </c>
      <c r="AJ204" s="1691" t="s">
        <v>784</v>
      </c>
      <c r="AK204" s="1685" t="s">
        <v>785</v>
      </c>
      <c r="AL204" s="1687"/>
    </row>
    <row r="205" spans="1:38" x14ac:dyDescent="0.15">
      <c r="A205" s="105" t="s">
        <v>773</v>
      </c>
      <c r="O205" s="109" t="s">
        <v>71</v>
      </c>
      <c r="P205" s="119">
        <v>17470565</v>
      </c>
      <c r="Q205" s="144">
        <v>0.30730000000000002</v>
      </c>
      <c r="R205" s="115" t="s">
        <v>199</v>
      </c>
      <c r="S205" s="116" t="s">
        <v>199</v>
      </c>
      <c r="AF205" s="1690"/>
      <c r="AG205" s="1692"/>
      <c r="AH205" s="1692"/>
      <c r="AI205" s="1692"/>
      <c r="AJ205" s="1692"/>
      <c r="AK205" s="134" t="s">
        <v>786</v>
      </c>
      <c r="AL205" s="149" t="s">
        <v>787</v>
      </c>
    </row>
    <row r="206" spans="1:38" x14ac:dyDescent="0.15">
      <c r="A206" s="1689" t="s">
        <v>788</v>
      </c>
      <c r="B206" s="1685" t="s">
        <v>789</v>
      </c>
      <c r="C206" s="1687"/>
      <c r="O206" s="109" t="s">
        <v>790</v>
      </c>
      <c r="P206" s="115">
        <v>800</v>
      </c>
      <c r="Q206" s="144">
        <v>0</v>
      </c>
      <c r="R206" s="115" t="s">
        <v>199</v>
      </c>
      <c r="S206" s="116" t="s">
        <v>199</v>
      </c>
      <c r="AF206" s="1706" t="s">
        <v>791</v>
      </c>
      <c r="AG206" s="113" t="s">
        <v>792</v>
      </c>
      <c r="AH206" s="150" t="s">
        <v>793</v>
      </c>
      <c r="AI206" s="113" t="s">
        <v>794</v>
      </c>
      <c r="AJ206" s="150" t="s">
        <v>795</v>
      </c>
      <c r="AK206" s="151">
        <v>1</v>
      </c>
      <c r="AL206" s="152">
        <v>1</v>
      </c>
    </row>
    <row r="207" spans="1:38" x14ac:dyDescent="0.15">
      <c r="A207" s="1690"/>
      <c r="B207" s="134" t="s">
        <v>766</v>
      </c>
      <c r="C207" s="135" t="s">
        <v>796</v>
      </c>
      <c r="O207" s="146" t="s">
        <v>774</v>
      </c>
      <c r="P207" s="126">
        <v>56859847</v>
      </c>
      <c r="Q207" s="147">
        <v>1</v>
      </c>
      <c r="R207" s="126">
        <v>13135673</v>
      </c>
      <c r="S207" s="148">
        <v>1</v>
      </c>
      <c r="AF207" s="1744"/>
      <c r="AG207" s="113" t="s">
        <v>797</v>
      </c>
      <c r="AH207" s="150" t="s">
        <v>798</v>
      </c>
      <c r="AI207" s="113" t="s">
        <v>799</v>
      </c>
      <c r="AJ207" s="150" t="s">
        <v>795</v>
      </c>
      <c r="AK207" s="151">
        <v>1</v>
      </c>
      <c r="AL207" s="152">
        <v>1</v>
      </c>
    </row>
    <row r="208" spans="1:38" ht="33.75" x14ac:dyDescent="0.15">
      <c r="A208" s="109" t="s">
        <v>800</v>
      </c>
      <c r="B208" s="115" t="s">
        <v>801</v>
      </c>
      <c r="C208" s="145">
        <v>0.51439999999999997</v>
      </c>
      <c r="O208" s="142" t="s">
        <v>802</v>
      </c>
      <c r="AF208" s="1707"/>
      <c r="AG208" s="113" t="s">
        <v>803</v>
      </c>
      <c r="AH208" s="150" t="s">
        <v>804</v>
      </c>
      <c r="AI208" s="113" t="s">
        <v>805</v>
      </c>
      <c r="AJ208" s="150" t="s">
        <v>795</v>
      </c>
      <c r="AK208" s="151">
        <v>1</v>
      </c>
      <c r="AL208" s="152">
        <v>1</v>
      </c>
    </row>
    <row r="209" spans="1:38" x14ac:dyDescent="0.15">
      <c r="A209" s="109" t="s">
        <v>806</v>
      </c>
      <c r="B209" s="115" t="s">
        <v>807</v>
      </c>
      <c r="C209" s="145">
        <v>0.17760000000000001</v>
      </c>
      <c r="AF209" s="1706" t="s">
        <v>792</v>
      </c>
      <c r="AG209" s="113" t="s">
        <v>808</v>
      </c>
      <c r="AH209" s="150" t="s">
        <v>809</v>
      </c>
      <c r="AI209" s="113" t="s">
        <v>810</v>
      </c>
      <c r="AJ209" s="150" t="s">
        <v>795</v>
      </c>
      <c r="AK209" s="151">
        <v>1</v>
      </c>
      <c r="AL209" s="152">
        <v>1</v>
      </c>
    </row>
    <row r="210" spans="1:38" x14ac:dyDescent="0.15">
      <c r="A210" s="109" t="s">
        <v>71</v>
      </c>
      <c r="B210" s="115" t="s">
        <v>811</v>
      </c>
      <c r="C210" s="145">
        <v>0.308</v>
      </c>
      <c r="O210" s="142" t="s">
        <v>812</v>
      </c>
      <c r="AF210" s="1708"/>
      <c r="AG210" s="129" t="s">
        <v>813</v>
      </c>
      <c r="AH210" s="153" t="s">
        <v>809</v>
      </c>
      <c r="AI210" s="129" t="s">
        <v>814</v>
      </c>
      <c r="AJ210" s="153" t="s">
        <v>795</v>
      </c>
      <c r="AK210" s="154">
        <v>1</v>
      </c>
      <c r="AL210" s="155">
        <v>1</v>
      </c>
    </row>
    <row r="211" spans="1:38" x14ac:dyDescent="0.3">
      <c r="A211" s="109" t="s">
        <v>790</v>
      </c>
      <c r="B211" s="115" t="s">
        <v>815</v>
      </c>
      <c r="C211" s="145">
        <v>0</v>
      </c>
      <c r="O211" s="128"/>
      <c r="AF211" s="143"/>
    </row>
    <row r="212" spans="1:38" x14ac:dyDescent="0.3">
      <c r="A212" s="146" t="s">
        <v>774</v>
      </c>
      <c r="B212" s="136" t="s">
        <v>816</v>
      </c>
      <c r="C212" s="148">
        <v>1</v>
      </c>
      <c r="O212" s="1745" t="s">
        <v>780</v>
      </c>
      <c r="P212" s="1747" t="s">
        <v>817</v>
      </c>
      <c r="Q212" s="1747" t="s">
        <v>782</v>
      </c>
      <c r="R212" s="1747" t="s">
        <v>818</v>
      </c>
      <c r="S212" s="1747" t="s">
        <v>784</v>
      </c>
      <c r="T212" s="1749" t="s">
        <v>785</v>
      </c>
      <c r="U212" s="1750"/>
      <c r="AF212" s="142" t="s">
        <v>819</v>
      </c>
    </row>
    <row r="213" spans="1:38" x14ac:dyDescent="0.3">
      <c r="O213" s="1746"/>
      <c r="P213" s="1748"/>
      <c r="Q213" s="1748"/>
      <c r="R213" s="1748"/>
      <c r="S213" s="1748"/>
      <c r="T213" s="156" t="s">
        <v>820</v>
      </c>
      <c r="U213" s="157" t="s">
        <v>787</v>
      </c>
      <c r="AF213" s="143"/>
    </row>
    <row r="214" spans="1:38" x14ac:dyDescent="0.3">
      <c r="A214" s="142" t="s">
        <v>821</v>
      </c>
      <c r="O214" s="1720" t="s">
        <v>822</v>
      </c>
      <c r="P214" s="110" t="s">
        <v>823</v>
      </c>
      <c r="Q214" s="158" t="s">
        <v>793</v>
      </c>
      <c r="R214" s="110" t="s">
        <v>794</v>
      </c>
      <c r="S214" s="158" t="s">
        <v>795</v>
      </c>
      <c r="T214" s="144">
        <v>1</v>
      </c>
      <c r="U214" s="145">
        <v>1</v>
      </c>
      <c r="AF214" s="142" t="s">
        <v>824</v>
      </c>
    </row>
    <row r="215" spans="1:38" x14ac:dyDescent="0.3">
      <c r="A215" s="143"/>
      <c r="O215" s="1721"/>
      <c r="P215" s="110" t="s">
        <v>825</v>
      </c>
      <c r="Q215" s="158" t="s">
        <v>798</v>
      </c>
      <c r="R215" s="110" t="s">
        <v>799</v>
      </c>
      <c r="S215" s="158" t="s">
        <v>795</v>
      </c>
      <c r="T215" s="144">
        <v>1</v>
      </c>
      <c r="U215" s="145">
        <v>1</v>
      </c>
      <c r="AF215" s="1695" t="s">
        <v>826</v>
      </c>
      <c r="AG215" s="1696"/>
      <c r="AH215" s="1696"/>
      <c r="AI215" s="1696"/>
      <c r="AJ215" s="1696"/>
      <c r="AK215" s="1696"/>
      <c r="AL215" s="1697"/>
    </row>
    <row r="216" spans="1:38" ht="22.5" x14ac:dyDescent="0.3">
      <c r="A216" s="142" t="s">
        <v>827</v>
      </c>
      <c r="O216" s="1734"/>
      <c r="P216" s="110" t="s">
        <v>828</v>
      </c>
      <c r="Q216" s="158" t="s">
        <v>804</v>
      </c>
      <c r="R216" s="110" t="s">
        <v>805</v>
      </c>
      <c r="S216" s="158" t="s">
        <v>795</v>
      </c>
      <c r="T216" s="144">
        <v>1</v>
      </c>
      <c r="U216" s="116" t="s">
        <v>199</v>
      </c>
      <c r="AF216" s="1698" t="s">
        <v>781</v>
      </c>
      <c r="AG216" s="1699" t="s">
        <v>786</v>
      </c>
      <c r="AH216" s="1700"/>
      <c r="AI216" s="1701"/>
      <c r="AJ216" s="1699" t="s">
        <v>829</v>
      </c>
      <c r="AK216" s="1700"/>
      <c r="AL216" s="1702"/>
    </row>
    <row r="217" spans="1:38" x14ac:dyDescent="0.3">
      <c r="O217" s="1720" t="s">
        <v>830</v>
      </c>
      <c r="P217" s="110" t="s">
        <v>831</v>
      </c>
      <c r="Q217" s="158" t="s">
        <v>809</v>
      </c>
      <c r="R217" s="110" t="s">
        <v>810</v>
      </c>
      <c r="S217" s="158" t="s">
        <v>795</v>
      </c>
      <c r="T217" s="144">
        <v>1</v>
      </c>
      <c r="U217" s="145">
        <v>1</v>
      </c>
      <c r="AF217" s="1690"/>
      <c r="AG217" s="134" t="s">
        <v>269</v>
      </c>
      <c r="AH217" s="134" t="s">
        <v>320</v>
      </c>
      <c r="AI217" s="134" t="s">
        <v>361</v>
      </c>
      <c r="AJ217" s="134" t="s">
        <v>832</v>
      </c>
      <c r="AK217" s="134" t="s">
        <v>833</v>
      </c>
      <c r="AL217" s="135" t="s">
        <v>472</v>
      </c>
    </row>
    <row r="218" spans="1:38" x14ac:dyDescent="0.3">
      <c r="A218" s="1689" t="s">
        <v>780</v>
      </c>
      <c r="B218" s="1691" t="s">
        <v>781</v>
      </c>
      <c r="C218" s="1691" t="s">
        <v>782</v>
      </c>
      <c r="D218" s="1691" t="s">
        <v>783</v>
      </c>
      <c r="E218" s="1691" t="s">
        <v>784</v>
      </c>
      <c r="F218" s="1685" t="s">
        <v>785</v>
      </c>
      <c r="G218" s="1687"/>
      <c r="O218" s="1722"/>
      <c r="P218" s="122" t="s">
        <v>834</v>
      </c>
      <c r="Q218" s="159" t="s">
        <v>809</v>
      </c>
      <c r="R218" s="122" t="s">
        <v>814</v>
      </c>
      <c r="S218" s="159" t="s">
        <v>795</v>
      </c>
      <c r="T218" s="147">
        <v>1</v>
      </c>
      <c r="U218" s="148">
        <v>1</v>
      </c>
      <c r="AF218" s="109" t="s">
        <v>835</v>
      </c>
      <c r="AG218" s="117">
        <v>335643</v>
      </c>
      <c r="AH218" s="117">
        <v>786892</v>
      </c>
      <c r="AI218" s="117">
        <v>-451249</v>
      </c>
      <c r="AJ218" s="117">
        <v>446940</v>
      </c>
      <c r="AK218" s="117">
        <v>228021</v>
      </c>
      <c r="AL218" s="118">
        <v>145301</v>
      </c>
    </row>
    <row r="219" spans="1:38" ht="22.5" x14ac:dyDescent="0.15">
      <c r="A219" s="1690"/>
      <c r="B219" s="1692"/>
      <c r="C219" s="1692"/>
      <c r="D219" s="1692"/>
      <c r="E219" s="1692"/>
      <c r="F219" s="134" t="s">
        <v>820</v>
      </c>
      <c r="G219" s="149" t="s">
        <v>787</v>
      </c>
      <c r="O219" s="142" t="s">
        <v>836</v>
      </c>
      <c r="AF219" s="109" t="s">
        <v>797</v>
      </c>
      <c r="AG219" s="117">
        <v>8433494</v>
      </c>
      <c r="AH219" s="117">
        <v>4393151</v>
      </c>
      <c r="AI219" s="117">
        <v>4040343</v>
      </c>
      <c r="AJ219" s="117">
        <v>12854430</v>
      </c>
      <c r="AK219" s="117">
        <v>1382182</v>
      </c>
      <c r="AL219" s="118">
        <v>1286414</v>
      </c>
    </row>
    <row r="220" spans="1:38" x14ac:dyDescent="0.15">
      <c r="A220" s="1706" t="s">
        <v>791</v>
      </c>
      <c r="B220" s="113" t="s">
        <v>792</v>
      </c>
      <c r="C220" s="150" t="s">
        <v>793</v>
      </c>
      <c r="D220" s="113" t="s">
        <v>794</v>
      </c>
      <c r="E220" s="150" t="s">
        <v>795</v>
      </c>
      <c r="F220" s="151">
        <v>1</v>
      </c>
      <c r="G220" s="152">
        <v>1</v>
      </c>
      <c r="O220" s="143"/>
      <c r="AF220" s="121" t="s">
        <v>803</v>
      </c>
      <c r="AG220" s="130">
        <v>1400357</v>
      </c>
      <c r="AH220" s="130">
        <v>332829</v>
      </c>
      <c r="AI220" s="130">
        <v>1067528</v>
      </c>
      <c r="AJ220" s="130">
        <v>1754320</v>
      </c>
      <c r="AK220" s="130">
        <v>68412</v>
      </c>
      <c r="AL220" s="131">
        <v>68412</v>
      </c>
    </row>
    <row r="221" spans="1:38" ht="33.75" x14ac:dyDescent="0.15">
      <c r="A221" s="1707"/>
      <c r="B221" s="113" t="s">
        <v>797</v>
      </c>
      <c r="C221" s="150" t="s">
        <v>798</v>
      </c>
      <c r="D221" s="113" t="s">
        <v>799</v>
      </c>
      <c r="E221" s="150" t="s">
        <v>795</v>
      </c>
      <c r="F221" s="151">
        <v>1</v>
      </c>
      <c r="G221" s="152">
        <v>1</v>
      </c>
      <c r="O221" s="142" t="s">
        <v>837</v>
      </c>
      <c r="AF221" s="142" t="s">
        <v>838</v>
      </c>
    </row>
    <row r="222" spans="1:38" x14ac:dyDescent="0.15">
      <c r="A222" s="1706" t="s">
        <v>792</v>
      </c>
      <c r="B222" s="113" t="s">
        <v>808</v>
      </c>
      <c r="C222" s="150" t="s">
        <v>809</v>
      </c>
      <c r="D222" s="113" t="s">
        <v>839</v>
      </c>
      <c r="E222" s="150" t="s">
        <v>795</v>
      </c>
      <c r="F222" s="151">
        <v>1</v>
      </c>
      <c r="G222" s="152">
        <v>1</v>
      </c>
      <c r="O222" s="143"/>
    </row>
    <row r="223" spans="1:38" x14ac:dyDescent="0.15">
      <c r="A223" s="1708"/>
      <c r="B223" s="129" t="s">
        <v>813</v>
      </c>
      <c r="C223" s="153" t="s">
        <v>809</v>
      </c>
      <c r="D223" s="129" t="s">
        <v>814</v>
      </c>
      <c r="E223" s="153" t="s">
        <v>795</v>
      </c>
      <c r="F223" s="154">
        <v>1</v>
      </c>
      <c r="G223" s="155">
        <v>1</v>
      </c>
      <c r="O223" s="142" t="s">
        <v>840</v>
      </c>
      <c r="AF223" s="142" t="s">
        <v>841</v>
      </c>
    </row>
    <row r="224" spans="1:38" x14ac:dyDescent="0.3">
      <c r="O224" s="1695" t="s">
        <v>826</v>
      </c>
      <c r="P224" s="1696"/>
      <c r="Q224" s="1696"/>
      <c r="R224" s="1696"/>
      <c r="S224" s="1696"/>
      <c r="T224" s="1696"/>
      <c r="U224" s="1697"/>
      <c r="AF224" s="1695" t="s">
        <v>826</v>
      </c>
      <c r="AG224" s="1696"/>
      <c r="AH224" s="1696"/>
      <c r="AI224" s="1696"/>
      <c r="AJ224" s="1696"/>
      <c r="AK224" s="1696"/>
      <c r="AL224" s="1697"/>
    </row>
    <row r="225" spans="1:38" x14ac:dyDescent="0.3">
      <c r="A225" s="142" t="s">
        <v>842</v>
      </c>
      <c r="O225" s="1698" t="s">
        <v>781</v>
      </c>
      <c r="P225" s="1699" t="s">
        <v>820</v>
      </c>
      <c r="Q225" s="1700"/>
      <c r="R225" s="1701"/>
      <c r="S225" s="1699" t="s">
        <v>789</v>
      </c>
      <c r="T225" s="1700"/>
      <c r="U225" s="1702"/>
      <c r="AF225" s="1698" t="s">
        <v>781</v>
      </c>
      <c r="AG225" s="1699" t="s">
        <v>787</v>
      </c>
      <c r="AH225" s="1700"/>
      <c r="AI225" s="1701"/>
      <c r="AJ225" s="1699" t="s">
        <v>843</v>
      </c>
      <c r="AK225" s="1700"/>
      <c r="AL225" s="1702"/>
    </row>
    <row r="226" spans="1:38" x14ac:dyDescent="0.3">
      <c r="A226" s="143"/>
      <c r="O226" s="1690"/>
      <c r="P226" s="134" t="s">
        <v>269</v>
      </c>
      <c r="Q226" s="134" t="s">
        <v>320</v>
      </c>
      <c r="R226" s="134" t="s">
        <v>361</v>
      </c>
      <c r="S226" s="134" t="s">
        <v>832</v>
      </c>
      <c r="T226" s="134" t="s">
        <v>833</v>
      </c>
      <c r="U226" s="135" t="s">
        <v>472</v>
      </c>
      <c r="AF226" s="1690"/>
      <c r="AG226" s="134" t="s">
        <v>269</v>
      </c>
      <c r="AH226" s="134" t="s">
        <v>320</v>
      </c>
      <c r="AI226" s="134" t="s">
        <v>361</v>
      </c>
      <c r="AJ226" s="134" t="s">
        <v>832</v>
      </c>
      <c r="AK226" s="134" t="s">
        <v>833</v>
      </c>
      <c r="AL226" s="135" t="s">
        <v>472</v>
      </c>
    </row>
    <row r="227" spans="1:38" ht="22.5" x14ac:dyDescent="0.3">
      <c r="A227" s="142" t="s">
        <v>844</v>
      </c>
      <c r="O227" s="109" t="s">
        <v>845</v>
      </c>
      <c r="P227" s="117">
        <v>93128</v>
      </c>
      <c r="Q227" s="117">
        <v>689680</v>
      </c>
      <c r="R227" s="117">
        <v>-596552</v>
      </c>
      <c r="S227" s="117">
        <v>255756</v>
      </c>
      <c r="T227" s="117">
        <v>-317723</v>
      </c>
      <c r="U227" s="118">
        <v>-350904</v>
      </c>
      <c r="AF227" s="109" t="s">
        <v>835</v>
      </c>
      <c r="AG227" s="117">
        <v>93128</v>
      </c>
      <c r="AH227" s="117">
        <v>689680</v>
      </c>
      <c r="AI227" s="117">
        <v>-596552</v>
      </c>
      <c r="AJ227" s="117">
        <v>255756</v>
      </c>
      <c r="AK227" s="117">
        <v>-317723</v>
      </c>
      <c r="AL227" s="118">
        <v>-350904</v>
      </c>
    </row>
    <row r="228" spans="1:38" x14ac:dyDescent="0.3">
      <c r="O228" s="109" t="s">
        <v>846</v>
      </c>
      <c r="P228" s="117">
        <v>5030660</v>
      </c>
      <c r="Q228" s="117">
        <v>2276731</v>
      </c>
      <c r="R228" s="117">
        <v>2753929</v>
      </c>
      <c r="S228" s="117">
        <v>4216535</v>
      </c>
      <c r="T228" s="117">
        <v>-566548</v>
      </c>
      <c r="U228" s="118">
        <v>-637734</v>
      </c>
      <c r="AF228" s="109" t="s">
        <v>797</v>
      </c>
      <c r="AG228" s="117">
        <v>5030660</v>
      </c>
      <c r="AH228" s="117">
        <v>2276731</v>
      </c>
      <c r="AI228" s="117">
        <v>2753929</v>
      </c>
      <c r="AJ228" s="117">
        <v>4216535</v>
      </c>
      <c r="AK228" s="117">
        <v>-566548</v>
      </c>
      <c r="AL228" s="118">
        <v>-637734</v>
      </c>
    </row>
    <row r="229" spans="1:38" x14ac:dyDescent="0.3">
      <c r="A229" s="143"/>
      <c r="O229" s="121" t="s">
        <v>847</v>
      </c>
      <c r="P229" s="130">
        <v>1286195</v>
      </c>
      <c r="Q229" s="130">
        <v>2287028</v>
      </c>
      <c r="R229" s="130">
        <v>-1000833</v>
      </c>
      <c r="S229" s="130">
        <v>858425</v>
      </c>
      <c r="T229" s="130">
        <v>-1036303</v>
      </c>
      <c r="U229" s="131">
        <v>-1036303</v>
      </c>
      <c r="AF229" s="121" t="s">
        <v>848</v>
      </c>
      <c r="AG229" s="130">
        <v>1286195</v>
      </c>
      <c r="AH229" s="130">
        <v>2287028</v>
      </c>
      <c r="AI229" s="130">
        <v>-1000833</v>
      </c>
      <c r="AJ229" s="130">
        <v>858425</v>
      </c>
      <c r="AK229" s="130">
        <v>-1036303</v>
      </c>
      <c r="AL229" s="131">
        <v>-1036303</v>
      </c>
    </row>
    <row r="230" spans="1:38" ht="45" x14ac:dyDescent="0.3">
      <c r="A230" s="142" t="s">
        <v>840</v>
      </c>
      <c r="O230" s="142" t="s">
        <v>849</v>
      </c>
      <c r="AF230" s="142" t="s">
        <v>838</v>
      </c>
    </row>
    <row r="231" spans="1:38" x14ac:dyDescent="0.3">
      <c r="A231" s="128"/>
      <c r="O231" s="142" t="s">
        <v>850</v>
      </c>
    </row>
    <row r="232" spans="1:38" x14ac:dyDescent="0.3">
      <c r="A232" s="1695" t="s">
        <v>826</v>
      </c>
      <c r="B232" s="1696"/>
      <c r="C232" s="1696"/>
      <c r="D232" s="1696"/>
      <c r="E232" s="1696"/>
      <c r="F232" s="1696"/>
      <c r="G232" s="1697"/>
      <c r="AF232" s="143"/>
    </row>
    <row r="233" spans="1:38" x14ac:dyDescent="0.3">
      <c r="A233" s="1698" t="s">
        <v>781</v>
      </c>
      <c r="B233" s="1699" t="s">
        <v>820</v>
      </c>
      <c r="C233" s="1700"/>
      <c r="D233" s="1701"/>
      <c r="E233" s="1699" t="s">
        <v>789</v>
      </c>
      <c r="F233" s="1700"/>
      <c r="G233" s="1702"/>
      <c r="O233" s="142" t="s">
        <v>841</v>
      </c>
      <c r="AF233" s="142" t="s">
        <v>851</v>
      </c>
    </row>
    <row r="234" spans="1:38" x14ac:dyDescent="0.3">
      <c r="A234" s="1690"/>
      <c r="B234" s="134" t="s">
        <v>269</v>
      </c>
      <c r="C234" s="134" t="s">
        <v>320</v>
      </c>
      <c r="D234" s="134" t="s">
        <v>361</v>
      </c>
      <c r="E234" s="134" t="s">
        <v>832</v>
      </c>
      <c r="F234" s="134" t="s">
        <v>833</v>
      </c>
      <c r="G234" s="135" t="s">
        <v>472</v>
      </c>
      <c r="O234" s="128"/>
    </row>
    <row r="235" spans="1:38" x14ac:dyDescent="0.3">
      <c r="A235" s="109" t="s">
        <v>835</v>
      </c>
      <c r="B235" s="111" t="s">
        <v>852</v>
      </c>
      <c r="C235" s="111" t="s">
        <v>853</v>
      </c>
      <c r="D235" s="117">
        <v>-245647</v>
      </c>
      <c r="E235" s="111" t="s">
        <v>854</v>
      </c>
      <c r="F235" s="117">
        <v>-1991552</v>
      </c>
      <c r="G235" s="118">
        <v>-1747971</v>
      </c>
      <c r="O235" s="1695" t="s">
        <v>826</v>
      </c>
      <c r="P235" s="1696"/>
      <c r="Q235" s="1696"/>
      <c r="R235" s="1696"/>
      <c r="S235" s="1696"/>
      <c r="T235" s="1696"/>
      <c r="U235" s="1697"/>
      <c r="AF235" s="142" t="s">
        <v>855</v>
      </c>
    </row>
    <row r="236" spans="1:38" x14ac:dyDescent="0.3">
      <c r="A236" s="121" t="s">
        <v>797</v>
      </c>
      <c r="B236" s="123" t="s">
        <v>856</v>
      </c>
      <c r="C236" s="123" t="s">
        <v>857</v>
      </c>
      <c r="D236" s="123" t="s">
        <v>858</v>
      </c>
      <c r="E236" s="123" t="s">
        <v>859</v>
      </c>
      <c r="F236" s="130">
        <v>-937554</v>
      </c>
      <c r="G236" s="131">
        <v>-931889</v>
      </c>
      <c r="O236" s="1698" t="s">
        <v>781</v>
      </c>
      <c r="P236" s="1699" t="s">
        <v>787</v>
      </c>
      <c r="Q236" s="1700"/>
      <c r="R236" s="1701"/>
      <c r="S236" s="1699" t="s">
        <v>843</v>
      </c>
      <c r="T236" s="1700"/>
      <c r="U236" s="1702"/>
      <c r="AF236" s="143"/>
    </row>
    <row r="237" spans="1:38" ht="78.75" x14ac:dyDescent="0.3">
      <c r="A237" s="142" t="s">
        <v>838</v>
      </c>
      <c r="O237" s="1690"/>
      <c r="P237" s="134" t="s">
        <v>269</v>
      </c>
      <c r="Q237" s="134" t="s">
        <v>320</v>
      </c>
      <c r="R237" s="134" t="s">
        <v>361</v>
      </c>
      <c r="S237" s="134" t="s">
        <v>832</v>
      </c>
      <c r="T237" s="134" t="s">
        <v>833</v>
      </c>
      <c r="U237" s="135" t="s">
        <v>472</v>
      </c>
      <c r="AF237" s="142" t="s">
        <v>860</v>
      </c>
    </row>
    <row r="238" spans="1:38" x14ac:dyDescent="0.3">
      <c r="O238" s="109" t="s">
        <v>835</v>
      </c>
      <c r="P238" s="117">
        <v>449416</v>
      </c>
      <c r="Q238" s="117">
        <v>695063</v>
      </c>
      <c r="R238" s="117">
        <v>-245647</v>
      </c>
      <c r="S238" s="117">
        <v>176085</v>
      </c>
      <c r="T238" s="117">
        <v>-1991552</v>
      </c>
      <c r="U238" s="118">
        <v>-1747971</v>
      </c>
      <c r="AF238" s="143"/>
    </row>
    <row r="239" spans="1:38" x14ac:dyDescent="0.3">
      <c r="A239" s="142" t="s">
        <v>841</v>
      </c>
      <c r="O239" s="121" t="s">
        <v>846</v>
      </c>
      <c r="P239" s="130">
        <v>5096777</v>
      </c>
      <c r="Q239" s="130">
        <v>1705114</v>
      </c>
      <c r="R239" s="130">
        <v>3391663</v>
      </c>
      <c r="S239" s="130">
        <v>4661590</v>
      </c>
      <c r="T239" s="130">
        <v>-937554</v>
      </c>
      <c r="U239" s="131">
        <v>-931889</v>
      </c>
      <c r="AF239" s="142" t="s">
        <v>861</v>
      </c>
    </row>
    <row r="240" spans="1:38" ht="33.75" x14ac:dyDescent="0.3">
      <c r="A240" s="128"/>
      <c r="O240" s="142" t="s">
        <v>838</v>
      </c>
      <c r="AF240" s="143"/>
    </row>
    <row r="241" spans="1:32" x14ac:dyDescent="0.3">
      <c r="A241" s="1695" t="s">
        <v>826</v>
      </c>
      <c r="B241" s="1696"/>
      <c r="C241" s="1696"/>
      <c r="D241" s="1696"/>
      <c r="E241" s="1696"/>
      <c r="F241" s="1696"/>
      <c r="G241" s="1697"/>
      <c r="O241" s="143"/>
      <c r="AF241" s="142" t="s">
        <v>862</v>
      </c>
    </row>
    <row r="242" spans="1:32" x14ac:dyDescent="0.3">
      <c r="A242" s="1698" t="s">
        <v>781</v>
      </c>
      <c r="B242" s="1699" t="s">
        <v>787</v>
      </c>
      <c r="C242" s="1700"/>
      <c r="D242" s="1701"/>
      <c r="E242" s="1699" t="s">
        <v>843</v>
      </c>
      <c r="F242" s="1700"/>
      <c r="G242" s="1702"/>
      <c r="O242" s="142" t="s">
        <v>863</v>
      </c>
      <c r="AF242" s="143"/>
    </row>
    <row r="243" spans="1:32" ht="67.5" x14ac:dyDescent="0.3">
      <c r="A243" s="1690"/>
      <c r="B243" s="134" t="s">
        <v>864</v>
      </c>
      <c r="C243" s="134" t="s">
        <v>865</v>
      </c>
      <c r="D243" s="134" t="s">
        <v>866</v>
      </c>
      <c r="E243" s="134" t="s">
        <v>832</v>
      </c>
      <c r="F243" s="134" t="s">
        <v>867</v>
      </c>
      <c r="G243" s="135" t="s">
        <v>868</v>
      </c>
      <c r="O243" s="143"/>
      <c r="AF243" s="142" t="s">
        <v>869</v>
      </c>
    </row>
    <row r="244" spans="1:32" x14ac:dyDescent="0.3">
      <c r="A244" s="109" t="s">
        <v>845</v>
      </c>
      <c r="B244" s="117">
        <v>2042248</v>
      </c>
      <c r="C244" s="117">
        <v>539924</v>
      </c>
      <c r="D244" s="117">
        <v>1502324</v>
      </c>
      <c r="E244" s="117">
        <v>299578</v>
      </c>
      <c r="F244" s="117">
        <v>-255705</v>
      </c>
      <c r="G244" s="118">
        <v>-877994</v>
      </c>
      <c r="O244" s="142" t="s">
        <v>870</v>
      </c>
      <c r="AF244" s="143"/>
    </row>
    <row r="245" spans="1:32" ht="33.75" x14ac:dyDescent="0.3">
      <c r="A245" s="109" t="s">
        <v>871</v>
      </c>
      <c r="B245" s="111" t="s">
        <v>199</v>
      </c>
      <c r="C245" s="111" t="s">
        <v>199</v>
      </c>
      <c r="D245" s="111" t="s">
        <v>199</v>
      </c>
      <c r="E245" s="117">
        <v>1831075</v>
      </c>
      <c r="F245" s="117">
        <v>3467980</v>
      </c>
      <c r="G245" s="118">
        <v>3537524</v>
      </c>
      <c r="O245" s="128"/>
      <c r="AF245" s="142" t="s">
        <v>872</v>
      </c>
    </row>
    <row r="246" spans="1:32" x14ac:dyDescent="0.3">
      <c r="A246" s="109" t="s">
        <v>873</v>
      </c>
      <c r="B246" s="111" t="s">
        <v>199</v>
      </c>
      <c r="C246" s="111" t="s">
        <v>199</v>
      </c>
      <c r="D246" s="111" t="s">
        <v>199</v>
      </c>
      <c r="E246" s="117">
        <v>73532</v>
      </c>
      <c r="F246" s="117">
        <v>-1424965</v>
      </c>
      <c r="G246" s="118">
        <v>-1565278</v>
      </c>
      <c r="O246" s="106" t="s">
        <v>874</v>
      </c>
      <c r="P246" s="107" t="s">
        <v>875</v>
      </c>
      <c r="Q246" s="108" t="s">
        <v>876</v>
      </c>
    </row>
    <row r="247" spans="1:32" x14ac:dyDescent="0.3">
      <c r="A247" s="109" t="s">
        <v>877</v>
      </c>
      <c r="B247" s="117">
        <v>7342110</v>
      </c>
      <c r="C247" s="117">
        <v>3018557</v>
      </c>
      <c r="D247" s="117">
        <v>4323553</v>
      </c>
      <c r="E247" s="117">
        <v>17018292</v>
      </c>
      <c r="F247" s="117">
        <v>516070</v>
      </c>
      <c r="G247" s="118">
        <v>730025</v>
      </c>
      <c r="O247" s="121" t="s">
        <v>848</v>
      </c>
      <c r="P247" s="159" t="s">
        <v>878</v>
      </c>
      <c r="Q247" s="160" t="s">
        <v>879</v>
      </c>
      <c r="AF247" s="142" t="s">
        <v>880</v>
      </c>
    </row>
    <row r="248" spans="1:32" x14ac:dyDescent="0.3">
      <c r="A248" s="121" t="s">
        <v>881</v>
      </c>
      <c r="B248" s="123" t="s">
        <v>199</v>
      </c>
      <c r="C248" s="123" t="s">
        <v>199</v>
      </c>
      <c r="D248" s="123" t="s">
        <v>199</v>
      </c>
      <c r="E248" s="130">
        <v>5139761</v>
      </c>
      <c r="F248" s="130">
        <v>-4508614</v>
      </c>
      <c r="G248" s="131">
        <v>-4508614</v>
      </c>
      <c r="AF248" s="143"/>
    </row>
    <row r="249" spans="1:32" ht="45" x14ac:dyDescent="0.3">
      <c r="A249" s="142" t="s">
        <v>882</v>
      </c>
      <c r="AF249" s="142" t="s">
        <v>883</v>
      </c>
    </row>
    <row r="250" spans="1:32" ht="22.5" x14ac:dyDescent="0.3">
      <c r="A250" s="142" t="s">
        <v>884</v>
      </c>
      <c r="O250" s="142" t="s">
        <v>885</v>
      </c>
      <c r="AF250" s="143"/>
    </row>
    <row r="251" spans="1:32" ht="33.75" x14ac:dyDescent="0.3">
      <c r="A251" s="142" t="s">
        <v>886</v>
      </c>
      <c r="AF251" s="142" t="s">
        <v>887</v>
      </c>
    </row>
    <row r="252" spans="1:32" x14ac:dyDescent="0.3">
      <c r="A252" s="142" t="s">
        <v>888</v>
      </c>
      <c r="AF252" s="143"/>
    </row>
    <row r="253" spans="1:32" ht="67.5" x14ac:dyDescent="0.3">
      <c r="O253" s="143"/>
      <c r="AF253" s="142" t="s">
        <v>889</v>
      </c>
    </row>
    <row r="254" spans="1:32" ht="45" x14ac:dyDescent="0.3">
      <c r="A254" s="142" t="s">
        <v>885</v>
      </c>
      <c r="O254" s="142" t="s">
        <v>890</v>
      </c>
    </row>
    <row r="255" spans="1:32" x14ac:dyDescent="0.3">
      <c r="O255" s="143"/>
      <c r="AF255" s="143"/>
    </row>
    <row r="256" spans="1:32" ht="45" x14ac:dyDescent="0.3">
      <c r="A256" s="143"/>
      <c r="O256" s="142" t="s">
        <v>891</v>
      </c>
      <c r="AF256" s="142" t="s">
        <v>892</v>
      </c>
    </row>
    <row r="257" spans="1:32" ht="45" x14ac:dyDescent="0.3">
      <c r="A257" s="142" t="s">
        <v>893</v>
      </c>
      <c r="AF257" s="143"/>
    </row>
    <row r="258" spans="1:32" ht="22.5" x14ac:dyDescent="0.3">
      <c r="A258" s="143"/>
      <c r="AF258" s="142" t="s">
        <v>894</v>
      </c>
    </row>
    <row r="259" spans="1:32" ht="22.5" x14ac:dyDescent="0.3">
      <c r="A259" s="142" t="s">
        <v>895</v>
      </c>
      <c r="O259" s="142" t="s">
        <v>896</v>
      </c>
      <c r="AF259" s="142" t="s">
        <v>897</v>
      </c>
    </row>
    <row r="260" spans="1:32" x14ac:dyDescent="0.3">
      <c r="A260" s="142" t="s">
        <v>898</v>
      </c>
      <c r="O260" s="143"/>
      <c r="AF260" s="142" t="s">
        <v>899</v>
      </c>
    </row>
    <row r="261" spans="1:32" ht="33.75" x14ac:dyDescent="0.3">
      <c r="O261" s="142" t="s">
        <v>900</v>
      </c>
      <c r="AF261" s="143"/>
    </row>
    <row r="262" spans="1:32" ht="67.5" x14ac:dyDescent="0.3">
      <c r="A262" s="142" t="s">
        <v>896</v>
      </c>
      <c r="O262" s="143"/>
      <c r="AF262" s="142" t="s">
        <v>901</v>
      </c>
    </row>
    <row r="263" spans="1:32" ht="22.5" x14ac:dyDescent="0.3">
      <c r="A263" s="143"/>
      <c r="O263" s="142" t="s">
        <v>902</v>
      </c>
      <c r="AF263" s="143"/>
    </row>
    <row r="264" spans="1:32" ht="33.75" x14ac:dyDescent="0.3">
      <c r="A264" s="142" t="s">
        <v>900</v>
      </c>
      <c r="O264" s="142" t="s">
        <v>903</v>
      </c>
      <c r="AF264" s="142" t="s">
        <v>904</v>
      </c>
    </row>
    <row r="265" spans="1:32" x14ac:dyDescent="0.3">
      <c r="A265" s="143"/>
      <c r="O265" s="143"/>
    </row>
    <row r="266" spans="1:32" ht="22.5" x14ac:dyDescent="0.3">
      <c r="A266" s="142" t="s">
        <v>902</v>
      </c>
      <c r="O266" s="142" t="s">
        <v>905</v>
      </c>
    </row>
    <row r="267" spans="1:32" x14ac:dyDescent="0.3">
      <c r="A267" s="142" t="s">
        <v>903</v>
      </c>
      <c r="O267" s="143"/>
      <c r="AF267" s="142" t="s">
        <v>906</v>
      </c>
    </row>
    <row r="268" spans="1:32" ht="45" x14ac:dyDescent="0.3">
      <c r="A268" s="143"/>
      <c r="O268" s="142" t="s">
        <v>907</v>
      </c>
      <c r="AF268" s="143"/>
    </row>
    <row r="269" spans="1:32" ht="33.75" x14ac:dyDescent="0.3">
      <c r="A269" s="142" t="s">
        <v>905</v>
      </c>
      <c r="O269" s="143"/>
      <c r="AF269" s="142" t="s">
        <v>908</v>
      </c>
    </row>
    <row r="270" spans="1:32" x14ac:dyDescent="0.3">
      <c r="A270" s="143"/>
      <c r="O270" s="142" t="s">
        <v>909</v>
      </c>
    </row>
    <row r="271" spans="1:32" ht="45" x14ac:dyDescent="0.3">
      <c r="A271" s="142" t="s">
        <v>907</v>
      </c>
      <c r="O271" s="143"/>
      <c r="AF271" s="142" t="s">
        <v>910</v>
      </c>
    </row>
    <row r="272" spans="1:32" ht="78.75" x14ac:dyDescent="0.3">
      <c r="A272" s="143"/>
      <c r="O272" s="142" t="s">
        <v>911</v>
      </c>
      <c r="AF272" s="143"/>
    </row>
    <row r="273" spans="1:32" ht="33.75" x14ac:dyDescent="0.3">
      <c r="A273" s="142" t="s">
        <v>909</v>
      </c>
      <c r="AF273" s="142" t="s">
        <v>912</v>
      </c>
    </row>
    <row r="274" spans="1:32" ht="33.75" x14ac:dyDescent="0.3">
      <c r="A274" s="143"/>
      <c r="O274" s="142" t="s">
        <v>913</v>
      </c>
      <c r="AF274" s="143"/>
    </row>
    <row r="275" spans="1:32" ht="78.75" x14ac:dyDescent="0.3">
      <c r="A275" s="142" t="s">
        <v>911</v>
      </c>
      <c r="O275" s="143"/>
      <c r="AF275" s="142" t="s">
        <v>914</v>
      </c>
    </row>
    <row r="276" spans="1:32" x14ac:dyDescent="0.3">
      <c r="O276" s="142" t="s">
        <v>915</v>
      </c>
      <c r="AF276" s="143"/>
    </row>
    <row r="277" spans="1:32" ht="33.75" x14ac:dyDescent="0.3">
      <c r="A277" s="142" t="s">
        <v>913</v>
      </c>
      <c r="O277" s="143"/>
      <c r="AF277" s="142" t="s">
        <v>916</v>
      </c>
    </row>
    <row r="278" spans="1:32" ht="33.75" x14ac:dyDescent="0.3">
      <c r="A278" s="143"/>
      <c r="O278" s="142" t="s">
        <v>917</v>
      </c>
    </row>
    <row r="279" spans="1:32" ht="22.5" x14ac:dyDescent="0.3">
      <c r="A279" s="142" t="s">
        <v>915</v>
      </c>
      <c r="O279" s="143"/>
      <c r="AF279" s="142" t="s">
        <v>918</v>
      </c>
    </row>
    <row r="280" spans="1:32" x14ac:dyDescent="0.3">
      <c r="A280" s="143"/>
      <c r="O280" s="142" t="s">
        <v>919</v>
      </c>
    </row>
    <row r="281" spans="1:32" ht="33.75" x14ac:dyDescent="0.3">
      <c r="A281" s="142" t="s">
        <v>917</v>
      </c>
      <c r="O281" s="143"/>
      <c r="AF281" s="142" t="s">
        <v>920</v>
      </c>
    </row>
    <row r="282" spans="1:32" ht="67.5" x14ac:dyDescent="0.3">
      <c r="A282" s="143"/>
      <c r="O282" s="142" t="s">
        <v>921</v>
      </c>
    </row>
    <row r="283" spans="1:32" ht="90" x14ac:dyDescent="0.3">
      <c r="A283" s="142" t="s">
        <v>919</v>
      </c>
      <c r="O283" s="142"/>
      <c r="AF283" s="142" t="s">
        <v>922</v>
      </c>
    </row>
    <row r="284" spans="1:32" x14ac:dyDescent="0.3">
      <c r="A284" s="143"/>
      <c r="O284" s="142" t="s">
        <v>923</v>
      </c>
    </row>
    <row r="285" spans="1:32" ht="67.5" x14ac:dyDescent="0.3">
      <c r="A285" s="142" t="s">
        <v>924</v>
      </c>
      <c r="O285" s="143"/>
      <c r="AF285" s="142" t="s">
        <v>925</v>
      </c>
    </row>
    <row r="286" spans="1:32" ht="67.5" x14ac:dyDescent="0.3">
      <c r="A286" s="142"/>
      <c r="O286" s="142" t="s">
        <v>926</v>
      </c>
    </row>
    <row r="287" spans="1:32" ht="78.75" x14ac:dyDescent="0.3">
      <c r="A287" s="142" t="s">
        <v>923</v>
      </c>
      <c r="O287" s="143"/>
      <c r="AF287" s="142" t="s">
        <v>927</v>
      </c>
    </row>
    <row r="288" spans="1:32" ht="78.75" x14ac:dyDescent="0.3">
      <c r="A288" s="143"/>
      <c r="O288" s="142" t="s">
        <v>928</v>
      </c>
      <c r="AF288" s="143"/>
    </row>
    <row r="289" spans="1:32" ht="67.5" x14ac:dyDescent="0.3">
      <c r="A289" s="142" t="s">
        <v>926</v>
      </c>
      <c r="AF289" s="142" t="s">
        <v>929</v>
      </c>
    </row>
    <row r="290" spans="1:32" ht="45" x14ac:dyDescent="0.3">
      <c r="A290" s="143"/>
      <c r="O290" s="142" t="s">
        <v>930</v>
      </c>
    </row>
    <row r="291" spans="1:32" ht="78.75" x14ac:dyDescent="0.3">
      <c r="A291" s="142" t="s">
        <v>928</v>
      </c>
      <c r="O291" s="143"/>
      <c r="AF291" s="142" t="s">
        <v>931</v>
      </c>
    </row>
    <row r="292" spans="1:32" ht="22.5" x14ac:dyDescent="0.3">
      <c r="O292" s="142" t="s">
        <v>894</v>
      </c>
      <c r="AF292" s="143"/>
    </row>
    <row r="293" spans="1:32" ht="45" x14ac:dyDescent="0.3">
      <c r="A293" s="142" t="s">
        <v>930</v>
      </c>
      <c r="O293" s="142" t="s">
        <v>932</v>
      </c>
      <c r="AF293" s="142" t="s">
        <v>933</v>
      </c>
    </row>
    <row r="294" spans="1:32" ht="22.5" x14ac:dyDescent="0.3">
      <c r="A294" s="143"/>
      <c r="O294" s="142" t="s">
        <v>934</v>
      </c>
      <c r="AF294" s="143"/>
    </row>
    <row r="295" spans="1:32" ht="90" x14ac:dyDescent="0.3">
      <c r="A295" s="142" t="s">
        <v>894</v>
      </c>
      <c r="AF295" s="142" t="s">
        <v>935</v>
      </c>
    </row>
    <row r="296" spans="1:32" ht="22.5" x14ac:dyDescent="0.3">
      <c r="A296" s="142" t="s">
        <v>932</v>
      </c>
      <c r="O296" s="143"/>
    </row>
    <row r="297" spans="1:32" ht="67.5" x14ac:dyDescent="0.3">
      <c r="A297" s="142" t="s">
        <v>934</v>
      </c>
      <c r="O297" s="142" t="s">
        <v>936</v>
      </c>
      <c r="AF297" s="142" t="s">
        <v>937</v>
      </c>
    </row>
    <row r="298" spans="1:32" x14ac:dyDescent="0.3">
      <c r="O298" s="143"/>
      <c r="AF298" s="142"/>
    </row>
    <row r="299" spans="1:32" ht="101.25" x14ac:dyDescent="0.3">
      <c r="A299" s="143"/>
      <c r="O299" s="142" t="s">
        <v>938</v>
      </c>
      <c r="AF299" s="142" t="s">
        <v>939</v>
      </c>
    </row>
    <row r="300" spans="1:32" ht="67.5" x14ac:dyDescent="0.3">
      <c r="A300" s="142" t="s">
        <v>936</v>
      </c>
      <c r="O300" s="142" t="s">
        <v>940</v>
      </c>
    </row>
    <row r="301" spans="1:32" x14ac:dyDescent="0.3">
      <c r="A301" s="143"/>
      <c r="AF301" s="142" t="s">
        <v>941</v>
      </c>
    </row>
    <row r="302" spans="1:32" ht="22.5" x14ac:dyDescent="0.3">
      <c r="A302" s="142" t="s">
        <v>938</v>
      </c>
      <c r="AF302" s="143"/>
    </row>
    <row r="303" spans="1:32" ht="33.75" x14ac:dyDescent="0.3">
      <c r="A303" s="142" t="s">
        <v>942</v>
      </c>
      <c r="O303" s="142" t="s">
        <v>943</v>
      </c>
      <c r="AF303" s="142" t="s">
        <v>944</v>
      </c>
    </row>
    <row r="304" spans="1:32" x14ac:dyDescent="0.3">
      <c r="O304" s="143"/>
    </row>
    <row r="305" spans="1:32" ht="22.5" x14ac:dyDescent="0.3">
      <c r="O305" s="142" t="s">
        <v>945</v>
      </c>
      <c r="AF305" s="142" t="s">
        <v>946</v>
      </c>
    </row>
    <row r="306" spans="1:32" x14ac:dyDescent="0.3">
      <c r="A306" s="142" t="s">
        <v>943</v>
      </c>
      <c r="O306" s="143"/>
    </row>
    <row r="307" spans="1:32" ht="135" x14ac:dyDescent="0.3">
      <c r="A307" s="143"/>
      <c r="O307" s="142" t="s">
        <v>947</v>
      </c>
      <c r="AF307" s="142" t="s">
        <v>948</v>
      </c>
    </row>
    <row r="308" spans="1:32" x14ac:dyDescent="0.3">
      <c r="A308" s="142" t="s">
        <v>945</v>
      </c>
      <c r="AF308" s="142"/>
    </row>
    <row r="309" spans="1:32" x14ac:dyDescent="0.3">
      <c r="A309" s="143"/>
      <c r="AF309" s="142" t="s">
        <v>949</v>
      </c>
    </row>
    <row r="310" spans="1:32" ht="22.5" x14ac:dyDescent="0.3">
      <c r="A310" s="142" t="s">
        <v>950</v>
      </c>
      <c r="AF310" s="143"/>
    </row>
    <row r="311" spans="1:32" ht="67.5" x14ac:dyDescent="0.3">
      <c r="O311" s="142" t="s">
        <v>951</v>
      </c>
      <c r="AF311" s="142" t="s">
        <v>952</v>
      </c>
    </row>
    <row r="312" spans="1:32" x14ac:dyDescent="0.3">
      <c r="O312" s="142"/>
      <c r="AF312" s="143"/>
    </row>
    <row r="313" spans="1:32" ht="78.75" x14ac:dyDescent="0.3">
      <c r="A313" s="142" t="s">
        <v>953</v>
      </c>
      <c r="O313" s="142" t="s">
        <v>954</v>
      </c>
      <c r="AF313" s="142" t="s">
        <v>955</v>
      </c>
    </row>
    <row r="314" spans="1:32" x14ac:dyDescent="0.3">
      <c r="O314" s="143"/>
      <c r="AF314" s="143"/>
    </row>
    <row r="315" spans="1:32" ht="101.25" x14ac:dyDescent="0.3">
      <c r="O315" s="142" t="s">
        <v>956</v>
      </c>
      <c r="AF315" s="142" t="s">
        <v>957</v>
      </c>
    </row>
    <row r="316" spans="1:32" ht="123.75" x14ac:dyDescent="0.3">
      <c r="A316" s="142" t="s">
        <v>958</v>
      </c>
      <c r="AF316" s="143"/>
    </row>
    <row r="317" spans="1:32" ht="33.75" x14ac:dyDescent="0.3">
      <c r="O317" s="142" t="s">
        <v>959</v>
      </c>
      <c r="AF317" s="142" t="s">
        <v>960</v>
      </c>
    </row>
    <row r="318" spans="1:32" x14ac:dyDescent="0.3">
      <c r="O318" s="143"/>
      <c r="AF318" s="143"/>
    </row>
    <row r="319" spans="1:32" ht="56.25" x14ac:dyDescent="0.3">
      <c r="A319" s="142" t="s">
        <v>961</v>
      </c>
      <c r="O319" s="142" t="s">
        <v>962</v>
      </c>
      <c r="AF319" s="142" t="s">
        <v>963</v>
      </c>
    </row>
    <row r="320" spans="1:32" x14ac:dyDescent="0.3">
      <c r="O320" s="143"/>
      <c r="AF320" s="142"/>
    </row>
    <row r="321" spans="1:37" ht="112.5" x14ac:dyDescent="0.3">
      <c r="O321" s="142" t="s">
        <v>964</v>
      </c>
      <c r="AF321" s="142" t="s">
        <v>965</v>
      </c>
    </row>
    <row r="322" spans="1:37" ht="78.75" x14ac:dyDescent="0.3">
      <c r="A322" s="142" t="s">
        <v>966</v>
      </c>
      <c r="O322" s="142" t="s">
        <v>967</v>
      </c>
    </row>
    <row r="323" spans="1:37" ht="22.5" x14ac:dyDescent="0.3">
      <c r="O323" s="142" t="s">
        <v>968</v>
      </c>
    </row>
    <row r="324" spans="1:37" x14ac:dyDescent="0.3">
      <c r="O324" s="143"/>
      <c r="AF324" s="142" t="s">
        <v>969</v>
      </c>
    </row>
    <row r="325" spans="1:37" ht="22.5" x14ac:dyDescent="0.3">
      <c r="A325" s="143"/>
      <c r="O325" s="142" t="s">
        <v>956</v>
      </c>
      <c r="AF325" s="142" t="s">
        <v>970</v>
      </c>
    </row>
    <row r="326" spans="1:37" ht="33.75" x14ac:dyDescent="0.3">
      <c r="A326" s="142" t="s">
        <v>971</v>
      </c>
      <c r="AF326" s="143"/>
    </row>
    <row r="327" spans="1:37" ht="22.5" x14ac:dyDescent="0.3">
      <c r="AF327" s="142" t="s">
        <v>972</v>
      </c>
    </row>
    <row r="328" spans="1:37" x14ac:dyDescent="0.3">
      <c r="O328" s="142" t="s">
        <v>973</v>
      </c>
    </row>
    <row r="329" spans="1:37" x14ac:dyDescent="0.3">
      <c r="A329" s="142"/>
      <c r="O329" s="143"/>
    </row>
    <row r="330" spans="1:37" ht="112.5" x14ac:dyDescent="0.3">
      <c r="A330" s="142" t="s">
        <v>974</v>
      </c>
      <c r="O330" s="142" t="s">
        <v>975</v>
      </c>
      <c r="AF330" s="142" t="s">
        <v>824</v>
      </c>
    </row>
    <row r="331" spans="1:37" x14ac:dyDescent="0.3">
      <c r="AF331" s="1695" t="s">
        <v>976</v>
      </c>
      <c r="AG331" s="1696"/>
      <c r="AH331" s="1696"/>
      <c r="AI331" s="1696"/>
      <c r="AJ331" s="1696"/>
      <c r="AK331" s="1697"/>
    </row>
    <row r="332" spans="1:37" x14ac:dyDescent="0.3">
      <c r="A332" s="142" t="s">
        <v>973</v>
      </c>
      <c r="AF332" s="161" t="s">
        <v>977</v>
      </c>
      <c r="AG332" s="134" t="s">
        <v>978</v>
      </c>
      <c r="AH332" s="134" t="s">
        <v>979</v>
      </c>
      <c r="AI332" s="134" t="s">
        <v>980</v>
      </c>
      <c r="AJ332" s="134" t="s">
        <v>981</v>
      </c>
      <c r="AK332" s="135" t="s">
        <v>774</v>
      </c>
    </row>
    <row r="333" spans="1:37" x14ac:dyDescent="0.3">
      <c r="A333" s="143"/>
      <c r="O333" s="143"/>
      <c r="AF333" s="114" t="s">
        <v>982</v>
      </c>
      <c r="AG333" s="119">
        <v>170795674</v>
      </c>
      <c r="AH333" s="119">
        <v>29259445</v>
      </c>
      <c r="AI333" s="119">
        <v>200055119</v>
      </c>
      <c r="AJ333" s="119">
        <v>-20387</v>
      </c>
      <c r="AK333" s="120">
        <v>200034732</v>
      </c>
    </row>
    <row r="334" spans="1:37" ht="45" x14ac:dyDescent="0.3">
      <c r="A334" s="142" t="s">
        <v>975</v>
      </c>
      <c r="O334" s="142" t="s">
        <v>983</v>
      </c>
      <c r="AF334" s="114" t="s">
        <v>984</v>
      </c>
      <c r="AG334" s="115" t="s">
        <v>199</v>
      </c>
      <c r="AH334" s="119">
        <v>20387</v>
      </c>
      <c r="AI334" s="119">
        <v>20387</v>
      </c>
      <c r="AJ334" s="119">
        <v>-20387</v>
      </c>
      <c r="AK334" s="116" t="s">
        <v>199</v>
      </c>
    </row>
    <row r="335" spans="1:37" x14ac:dyDescent="0.3">
      <c r="O335" s="143"/>
      <c r="AF335" s="114" t="s">
        <v>985</v>
      </c>
      <c r="AG335" s="119">
        <v>170795674</v>
      </c>
      <c r="AH335" s="119">
        <v>29239058</v>
      </c>
      <c r="AI335" s="119">
        <v>200034732</v>
      </c>
      <c r="AJ335" s="115" t="s">
        <v>199</v>
      </c>
      <c r="AK335" s="120">
        <v>200034732</v>
      </c>
    </row>
    <row r="336" spans="1:37" ht="78.75" x14ac:dyDescent="0.3">
      <c r="A336" s="143"/>
      <c r="O336" s="142" t="s">
        <v>986</v>
      </c>
      <c r="AF336" s="114" t="s">
        <v>987</v>
      </c>
      <c r="AG336" s="119">
        <v>181620</v>
      </c>
      <c r="AH336" s="119">
        <v>-2026029</v>
      </c>
      <c r="AI336" s="119">
        <v>-1844409</v>
      </c>
      <c r="AJ336" s="115" t="s">
        <v>199</v>
      </c>
      <c r="AK336" s="120">
        <v>-1844409</v>
      </c>
    </row>
    <row r="337" spans="1:37" x14ac:dyDescent="0.3">
      <c r="A337" s="142" t="s">
        <v>983</v>
      </c>
      <c r="AF337" s="1703" t="s">
        <v>988</v>
      </c>
      <c r="AG337" s="1704"/>
      <c r="AH337" s="1704"/>
      <c r="AI337" s="1704"/>
      <c r="AJ337" s="1705"/>
      <c r="AK337" s="120">
        <v>46404463</v>
      </c>
    </row>
    <row r="338" spans="1:37" x14ac:dyDescent="0.3">
      <c r="A338" s="143"/>
      <c r="AF338" s="1703" t="s">
        <v>989</v>
      </c>
      <c r="AG338" s="1704"/>
      <c r="AH338" s="1704"/>
      <c r="AI338" s="1704"/>
      <c r="AJ338" s="1705"/>
      <c r="AK338" s="120">
        <v>836723</v>
      </c>
    </row>
    <row r="339" spans="1:37" ht="78.75" x14ac:dyDescent="0.3">
      <c r="A339" s="142" t="s">
        <v>986</v>
      </c>
      <c r="O339" s="143"/>
      <c r="AF339" s="1703" t="s">
        <v>438</v>
      </c>
      <c r="AG339" s="1704"/>
      <c r="AH339" s="1704"/>
      <c r="AI339" s="1704"/>
      <c r="AJ339" s="1705"/>
      <c r="AK339" s="120">
        <v>647140</v>
      </c>
    </row>
    <row r="340" spans="1:37" x14ac:dyDescent="0.3">
      <c r="O340" s="142" t="s">
        <v>990</v>
      </c>
      <c r="AF340" s="1709" t="s">
        <v>991</v>
      </c>
      <c r="AG340" s="1710"/>
      <c r="AH340" s="1710"/>
      <c r="AI340" s="1710"/>
      <c r="AJ340" s="1711"/>
      <c r="AK340" s="127">
        <v>46043917</v>
      </c>
    </row>
    <row r="341" spans="1:37" x14ac:dyDescent="0.3">
      <c r="A341" s="143"/>
    </row>
    <row r="342" spans="1:37" x14ac:dyDescent="0.3">
      <c r="A342" s="142" t="s">
        <v>990</v>
      </c>
      <c r="AF342" s="142" t="s">
        <v>992</v>
      </c>
    </row>
    <row r="343" spans="1:37" x14ac:dyDescent="0.3">
      <c r="O343" s="142" t="s">
        <v>993</v>
      </c>
      <c r="AF343" s="1695" t="s">
        <v>976</v>
      </c>
      <c r="AG343" s="1696"/>
      <c r="AH343" s="1696"/>
      <c r="AI343" s="1696"/>
      <c r="AJ343" s="1696"/>
      <c r="AK343" s="1697"/>
    </row>
    <row r="344" spans="1:37" x14ac:dyDescent="0.3">
      <c r="A344" s="142" t="s">
        <v>993</v>
      </c>
      <c r="O344" s="143"/>
      <c r="AF344" s="161" t="s">
        <v>977</v>
      </c>
      <c r="AG344" s="134" t="s">
        <v>978</v>
      </c>
      <c r="AH344" s="134" t="s">
        <v>979</v>
      </c>
      <c r="AI344" s="134" t="s">
        <v>980</v>
      </c>
      <c r="AJ344" s="134" t="s">
        <v>981</v>
      </c>
      <c r="AK344" s="135" t="s">
        <v>774</v>
      </c>
    </row>
    <row r="345" spans="1:37" ht="78.75" x14ac:dyDescent="0.3">
      <c r="A345" s="143"/>
      <c r="O345" s="142" t="s">
        <v>994</v>
      </c>
      <c r="AF345" s="114" t="s">
        <v>982</v>
      </c>
      <c r="AG345" s="119">
        <v>145943858</v>
      </c>
      <c r="AH345" s="119">
        <v>32046127</v>
      </c>
      <c r="AI345" s="119">
        <v>177989985</v>
      </c>
      <c r="AJ345" s="119">
        <v>-23752</v>
      </c>
      <c r="AK345" s="120">
        <v>177966233</v>
      </c>
    </row>
    <row r="346" spans="1:37" ht="78.75" x14ac:dyDescent="0.3">
      <c r="A346" s="142" t="s">
        <v>994</v>
      </c>
      <c r="AF346" s="114" t="s">
        <v>984</v>
      </c>
      <c r="AG346" s="115" t="s">
        <v>199</v>
      </c>
      <c r="AH346" s="119">
        <v>23752</v>
      </c>
      <c r="AI346" s="119">
        <v>23752</v>
      </c>
      <c r="AJ346" s="119">
        <v>-23752</v>
      </c>
      <c r="AK346" s="116" t="s">
        <v>199</v>
      </c>
    </row>
    <row r="347" spans="1:37" x14ac:dyDescent="0.3">
      <c r="AF347" s="114" t="s">
        <v>985</v>
      </c>
      <c r="AG347" s="119">
        <v>145943858</v>
      </c>
      <c r="AH347" s="119">
        <v>32022375</v>
      </c>
      <c r="AI347" s="119">
        <v>177966233</v>
      </c>
      <c r="AJ347" s="115" t="s">
        <v>199</v>
      </c>
      <c r="AK347" s="120">
        <v>177966233</v>
      </c>
    </row>
    <row r="348" spans="1:37" x14ac:dyDescent="0.3">
      <c r="A348" s="143"/>
      <c r="O348" s="143"/>
      <c r="AF348" s="114" t="s">
        <v>987</v>
      </c>
      <c r="AG348" s="119">
        <v>4517928</v>
      </c>
      <c r="AH348" s="119">
        <v>195959</v>
      </c>
      <c r="AI348" s="119">
        <v>4713887</v>
      </c>
      <c r="AJ348" s="115" t="s">
        <v>199</v>
      </c>
      <c r="AK348" s="120">
        <v>4713887</v>
      </c>
    </row>
    <row r="349" spans="1:37" x14ac:dyDescent="0.3">
      <c r="A349" s="142" t="s">
        <v>995</v>
      </c>
      <c r="O349" s="142" t="s">
        <v>995</v>
      </c>
      <c r="AF349" s="1703" t="s">
        <v>988</v>
      </c>
      <c r="AG349" s="1704"/>
      <c r="AH349" s="1704"/>
      <c r="AI349" s="1704"/>
      <c r="AJ349" s="1705"/>
      <c r="AK349" s="120">
        <v>-4895180</v>
      </c>
    </row>
    <row r="350" spans="1:37" x14ac:dyDescent="0.3">
      <c r="A350" s="143"/>
      <c r="O350" s="143"/>
      <c r="AF350" s="1703" t="s">
        <v>989</v>
      </c>
      <c r="AG350" s="1704"/>
      <c r="AH350" s="1704"/>
      <c r="AI350" s="1704"/>
      <c r="AJ350" s="1705"/>
      <c r="AK350" s="120">
        <v>-476846</v>
      </c>
    </row>
    <row r="351" spans="1:37" ht="56.25" x14ac:dyDescent="0.3">
      <c r="A351" s="142" t="s">
        <v>996</v>
      </c>
      <c r="O351" s="142" t="s">
        <v>996</v>
      </c>
      <c r="AF351" s="1709" t="s">
        <v>991</v>
      </c>
      <c r="AG351" s="1710"/>
      <c r="AH351" s="1710"/>
      <c r="AI351" s="1710"/>
      <c r="AJ351" s="1711"/>
      <c r="AK351" s="127">
        <v>-658139</v>
      </c>
    </row>
    <row r="352" spans="1:37" x14ac:dyDescent="0.3">
      <c r="AF352" s="143"/>
    </row>
    <row r="353" spans="1:36" ht="22.5" x14ac:dyDescent="0.3">
      <c r="A353" s="143"/>
      <c r="AF353" s="142" t="s">
        <v>997</v>
      </c>
    </row>
    <row r="354" spans="1:36" x14ac:dyDescent="0.3">
      <c r="A354" s="142" t="s">
        <v>998</v>
      </c>
      <c r="O354" s="143"/>
      <c r="AF354" s="143"/>
    </row>
    <row r="355" spans="1:36" x14ac:dyDescent="0.3">
      <c r="A355" s="143"/>
      <c r="O355" s="142" t="s">
        <v>998</v>
      </c>
      <c r="AF355" s="142" t="s">
        <v>999</v>
      </c>
    </row>
    <row r="356" spans="1:36" ht="22.5" x14ac:dyDescent="0.3">
      <c r="A356" s="142" t="s">
        <v>1000</v>
      </c>
      <c r="O356" s="143"/>
      <c r="AF356" s="1695" t="s">
        <v>976</v>
      </c>
      <c r="AG356" s="1696"/>
      <c r="AH356" s="1696"/>
      <c r="AI356" s="1696"/>
      <c r="AJ356" s="1697"/>
    </row>
    <row r="357" spans="1:36" ht="22.5" x14ac:dyDescent="0.3">
      <c r="A357" s="143"/>
      <c r="O357" s="142" t="s">
        <v>1000</v>
      </c>
      <c r="AF357" s="1698" t="s">
        <v>977</v>
      </c>
      <c r="AG357" s="1699" t="s">
        <v>829</v>
      </c>
      <c r="AH357" s="1701"/>
      <c r="AI357" s="1699" t="s">
        <v>1001</v>
      </c>
      <c r="AJ357" s="1702"/>
    </row>
    <row r="358" spans="1:36" ht="22.5" x14ac:dyDescent="0.3">
      <c r="A358" s="142" t="s">
        <v>1002</v>
      </c>
      <c r="O358" s="143"/>
      <c r="AF358" s="1690"/>
      <c r="AG358" s="134" t="s">
        <v>400</v>
      </c>
      <c r="AH358" s="134" t="s">
        <v>401</v>
      </c>
      <c r="AI358" s="134" t="s">
        <v>400</v>
      </c>
      <c r="AJ358" s="135" t="s">
        <v>401</v>
      </c>
    </row>
    <row r="359" spans="1:36" ht="22.5" x14ac:dyDescent="0.3">
      <c r="O359" s="142" t="s">
        <v>1002</v>
      </c>
      <c r="AF359" s="1712" t="s">
        <v>1003</v>
      </c>
      <c r="AG359" s="1713"/>
      <c r="AH359" s="1713"/>
      <c r="AI359" s="1713"/>
      <c r="AJ359" s="1714"/>
    </row>
    <row r="360" spans="1:36" x14ac:dyDescent="0.3">
      <c r="A360" s="143"/>
      <c r="AF360" s="109" t="s">
        <v>1004</v>
      </c>
      <c r="AG360" s="119">
        <v>61480113</v>
      </c>
      <c r="AH360" s="119">
        <v>172802838</v>
      </c>
      <c r="AI360" s="119">
        <v>55175922</v>
      </c>
      <c r="AJ360" s="120">
        <v>162968404</v>
      </c>
    </row>
    <row r="361" spans="1:36" x14ac:dyDescent="0.3">
      <c r="A361" s="142" t="s">
        <v>1005</v>
      </c>
      <c r="AF361" s="109" t="s">
        <v>1006</v>
      </c>
      <c r="AG361" s="119">
        <v>1331794</v>
      </c>
      <c r="AH361" s="119">
        <v>4195610</v>
      </c>
      <c r="AI361" s="119">
        <v>983155</v>
      </c>
      <c r="AJ361" s="120">
        <v>3229881</v>
      </c>
    </row>
    <row r="362" spans="1:36" ht="33.75" x14ac:dyDescent="0.3">
      <c r="A362" s="142" t="s">
        <v>1007</v>
      </c>
      <c r="O362" s="143"/>
      <c r="AF362" s="109" t="s">
        <v>1008</v>
      </c>
      <c r="AG362" s="119">
        <v>8422037</v>
      </c>
      <c r="AH362" s="119">
        <v>14958366</v>
      </c>
      <c r="AI362" s="119">
        <v>1398309</v>
      </c>
      <c r="AJ362" s="120">
        <v>5479035</v>
      </c>
    </row>
    <row r="363" spans="1:36" x14ac:dyDescent="0.3">
      <c r="O363" s="142" t="s">
        <v>1005</v>
      </c>
      <c r="AF363" s="109" t="s">
        <v>1009</v>
      </c>
      <c r="AG363" s="119">
        <v>754996</v>
      </c>
      <c r="AH363" s="119">
        <v>2362121</v>
      </c>
      <c r="AI363" s="119">
        <v>693277</v>
      </c>
      <c r="AJ363" s="120">
        <v>2324742</v>
      </c>
    </row>
    <row r="364" spans="1:36" ht="33.75" x14ac:dyDescent="0.3">
      <c r="A364" s="143"/>
      <c r="O364" s="142" t="s">
        <v>1007</v>
      </c>
      <c r="AF364" s="109" t="s">
        <v>1010</v>
      </c>
      <c r="AG364" s="119">
        <v>840546</v>
      </c>
      <c r="AH364" s="119">
        <v>1864621</v>
      </c>
      <c r="AI364" s="119">
        <v>529270</v>
      </c>
      <c r="AJ364" s="120">
        <v>1116457</v>
      </c>
    </row>
    <row r="365" spans="1:36" ht="67.5" x14ac:dyDescent="0.3">
      <c r="A365" s="142" t="s">
        <v>1011</v>
      </c>
      <c r="AF365" s="109" t="s">
        <v>1012</v>
      </c>
      <c r="AG365" s="119">
        <v>728569</v>
      </c>
      <c r="AH365" s="119">
        <v>2401424</v>
      </c>
      <c r="AI365" s="119">
        <v>787105</v>
      </c>
      <c r="AJ365" s="120">
        <v>1670224</v>
      </c>
    </row>
    <row r="366" spans="1:36" x14ac:dyDescent="0.3">
      <c r="A366" s="143"/>
      <c r="AF366" s="109" t="s">
        <v>1013</v>
      </c>
      <c r="AG366" s="119">
        <v>372956</v>
      </c>
      <c r="AH366" s="119">
        <v>1449752</v>
      </c>
      <c r="AI366" s="119">
        <v>425986</v>
      </c>
      <c r="AJ366" s="120">
        <v>1177490</v>
      </c>
    </row>
    <row r="367" spans="1:36" x14ac:dyDescent="0.3">
      <c r="A367" s="142" t="s">
        <v>1014</v>
      </c>
      <c r="O367" s="143"/>
      <c r="AF367" s="162" t="s">
        <v>774</v>
      </c>
      <c r="AG367" s="119">
        <v>73931011</v>
      </c>
      <c r="AH367" s="119">
        <v>200034732</v>
      </c>
      <c r="AI367" s="119">
        <v>59993024</v>
      </c>
      <c r="AJ367" s="120">
        <v>177966233</v>
      </c>
    </row>
    <row r="368" spans="1:36" ht="67.5" x14ac:dyDescent="0.3">
      <c r="A368" s="143"/>
      <c r="O368" s="142" t="s">
        <v>1011</v>
      </c>
      <c r="AF368" s="1703" t="s">
        <v>1015</v>
      </c>
      <c r="AG368" s="1704"/>
      <c r="AH368" s="1704"/>
      <c r="AI368" s="1704"/>
      <c r="AJ368" s="1727"/>
    </row>
    <row r="369" spans="1:36" ht="56.25" x14ac:dyDescent="0.3">
      <c r="A369" s="142" t="s">
        <v>1016</v>
      </c>
      <c r="O369" s="143"/>
      <c r="AF369" s="109" t="s">
        <v>1017</v>
      </c>
      <c r="AG369" s="119">
        <v>47850843</v>
      </c>
      <c r="AH369" s="119">
        <v>138757142</v>
      </c>
      <c r="AI369" s="119">
        <v>46784443</v>
      </c>
      <c r="AJ369" s="120">
        <v>137947978</v>
      </c>
    </row>
    <row r="370" spans="1:36" x14ac:dyDescent="0.3">
      <c r="A370" s="143"/>
      <c r="O370" s="142" t="s">
        <v>1014</v>
      </c>
      <c r="AF370" s="109" t="s">
        <v>1018</v>
      </c>
      <c r="AG370" s="119">
        <v>20131504</v>
      </c>
      <c r="AH370" s="119">
        <v>44184530</v>
      </c>
      <c r="AI370" s="119">
        <v>7513580</v>
      </c>
      <c r="AJ370" s="120">
        <v>24282902</v>
      </c>
    </row>
    <row r="371" spans="1:36" x14ac:dyDescent="0.3">
      <c r="A371" s="142" t="s">
        <v>1019</v>
      </c>
      <c r="O371" s="143"/>
      <c r="AF371" s="109" t="s">
        <v>1020</v>
      </c>
      <c r="AG371" s="119">
        <v>4840078</v>
      </c>
      <c r="AH371" s="119">
        <v>14330525</v>
      </c>
      <c r="AI371" s="119">
        <v>4262218</v>
      </c>
      <c r="AJ371" s="120">
        <v>12242985</v>
      </c>
    </row>
    <row r="372" spans="1:36" ht="56.25" x14ac:dyDescent="0.3">
      <c r="A372" s="143"/>
      <c r="O372" s="142" t="s">
        <v>1016</v>
      </c>
      <c r="AF372" s="109" t="s">
        <v>1021</v>
      </c>
      <c r="AG372" s="119">
        <v>1108586</v>
      </c>
      <c r="AH372" s="119">
        <v>2762535</v>
      </c>
      <c r="AI372" s="119">
        <v>1432783</v>
      </c>
      <c r="AJ372" s="120">
        <v>3492368</v>
      </c>
    </row>
    <row r="373" spans="1:36" ht="45" x14ac:dyDescent="0.3">
      <c r="A373" s="142" t="s">
        <v>1022</v>
      </c>
      <c r="O373" s="143"/>
      <c r="AF373" s="162" t="s">
        <v>774</v>
      </c>
      <c r="AG373" s="119">
        <v>73931011</v>
      </c>
      <c r="AH373" s="119">
        <v>200034732</v>
      </c>
      <c r="AI373" s="119">
        <v>59993024</v>
      </c>
      <c r="AJ373" s="120">
        <v>177966233</v>
      </c>
    </row>
    <row r="374" spans="1:36" x14ac:dyDescent="0.3">
      <c r="O374" s="142" t="s">
        <v>1019</v>
      </c>
      <c r="AF374" s="1703" t="s">
        <v>1023</v>
      </c>
      <c r="AG374" s="1704"/>
      <c r="AH374" s="1704"/>
      <c r="AI374" s="1704"/>
      <c r="AJ374" s="1727"/>
    </row>
    <row r="375" spans="1:36" x14ac:dyDescent="0.3">
      <c r="A375" s="142" t="s">
        <v>1024</v>
      </c>
      <c r="O375" s="143"/>
      <c r="AF375" s="109" t="s">
        <v>1025</v>
      </c>
      <c r="AG375" s="119">
        <v>45197952</v>
      </c>
      <c r="AH375" s="119">
        <v>111255899</v>
      </c>
      <c r="AI375" s="119">
        <v>27427756</v>
      </c>
      <c r="AJ375" s="120">
        <v>85505851</v>
      </c>
    </row>
    <row r="376" spans="1:36" ht="45" x14ac:dyDescent="0.3">
      <c r="A376" s="143"/>
      <c r="O376" s="142" t="s">
        <v>1022</v>
      </c>
      <c r="AF376" s="109" t="s">
        <v>1026</v>
      </c>
      <c r="AG376" s="119">
        <v>28733059</v>
      </c>
      <c r="AH376" s="119">
        <v>88778833</v>
      </c>
      <c r="AI376" s="119">
        <v>32565268</v>
      </c>
      <c r="AJ376" s="120">
        <v>92460382</v>
      </c>
    </row>
    <row r="377" spans="1:36" ht="45" x14ac:dyDescent="0.3">
      <c r="A377" s="142" t="s">
        <v>1027</v>
      </c>
      <c r="AF377" s="146" t="s">
        <v>774</v>
      </c>
      <c r="AG377" s="126">
        <v>73931011</v>
      </c>
      <c r="AH377" s="126">
        <v>200034732</v>
      </c>
      <c r="AI377" s="126">
        <v>59993024</v>
      </c>
      <c r="AJ377" s="127">
        <v>177966233</v>
      </c>
    </row>
    <row r="378" spans="1:36" x14ac:dyDescent="0.3">
      <c r="A378" s="143"/>
      <c r="O378" s="142" t="s">
        <v>1024</v>
      </c>
      <c r="AF378" s="142" t="s">
        <v>1028</v>
      </c>
    </row>
    <row r="379" spans="1:36" x14ac:dyDescent="0.3">
      <c r="A379" s="142" t="s">
        <v>1029</v>
      </c>
      <c r="O379" s="143"/>
      <c r="AF379" s="143"/>
    </row>
    <row r="380" spans="1:36" ht="45" x14ac:dyDescent="0.3">
      <c r="A380" s="143"/>
      <c r="O380" s="142" t="s">
        <v>1027</v>
      </c>
      <c r="AF380" s="142" t="s">
        <v>1030</v>
      </c>
    </row>
    <row r="381" spans="1:36" ht="78.75" x14ac:dyDescent="0.3">
      <c r="A381" s="142" t="s">
        <v>1031</v>
      </c>
      <c r="O381" s="143"/>
      <c r="AF381" s="143"/>
    </row>
    <row r="382" spans="1:36" ht="22.5" x14ac:dyDescent="0.3">
      <c r="A382" s="143"/>
      <c r="O382" s="142" t="s">
        <v>1029</v>
      </c>
      <c r="AF382" s="142" t="s">
        <v>1032</v>
      </c>
    </row>
    <row r="383" spans="1:36" ht="67.5" x14ac:dyDescent="0.3">
      <c r="A383" s="142" t="s">
        <v>1033</v>
      </c>
      <c r="O383" s="143"/>
      <c r="AF383" s="1695" t="s">
        <v>976</v>
      </c>
      <c r="AG383" s="1696"/>
      <c r="AH383" s="1697"/>
    </row>
    <row r="384" spans="1:36" ht="78.75" x14ac:dyDescent="0.3">
      <c r="A384" s="143"/>
      <c r="O384" s="142" t="s">
        <v>1031</v>
      </c>
      <c r="AF384" s="161" t="s">
        <v>977</v>
      </c>
      <c r="AG384" s="134" t="s">
        <v>786</v>
      </c>
      <c r="AH384" s="135" t="s">
        <v>787</v>
      </c>
    </row>
    <row r="385" spans="1:36" x14ac:dyDescent="0.3">
      <c r="A385" s="142" t="s">
        <v>1034</v>
      </c>
      <c r="O385" s="143"/>
      <c r="AF385" s="109" t="s">
        <v>1035</v>
      </c>
      <c r="AG385" s="115" t="s">
        <v>199</v>
      </c>
      <c r="AH385" s="120">
        <v>2750</v>
      </c>
    </row>
    <row r="386" spans="1:36" ht="67.5" x14ac:dyDescent="0.3">
      <c r="A386" s="143"/>
      <c r="O386" s="142" t="s">
        <v>1033</v>
      </c>
      <c r="AF386" s="109" t="s">
        <v>1036</v>
      </c>
      <c r="AG386" s="119">
        <v>6447472</v>
      </c>
      <c r="AH386" s="120">
        <v>6994862</v>
      </c>
    </row>
    <row r="387" spans="1:36" x14ac:dyDescent="0.3">
      <c r="A387" s="142" t="s">
        <v>1037</v>
      </c>
      <c r="O387" s="143"/>
      <c r="AF387" s="146" t="s">
        <v>774</v>
      </c>
      <c r="AG387" s="126">
        <v>6447472</v>
      </c>
      <c r="AH387" s="127">
        <v>6997612</v>
      </c>
    </row>
    <row r="388" spans="1:36" x14ac:dyDescent="0.3">
      <c r="A388" s="143"/>
      <c r="O388" s="142" t="s">
        <v>1034</v>
      </c>
      <c r="AF388" s="143"/>
    </row>
    <row r="389" spans="1:36" ht="33.75" x14ac:dyDescent="0.3">
      <c r="A389" s="142" t="s">
        <v>1038</v>
      </c>
      <c r="O389" s="143"/>
      <c r="AF389" s="142" t="s">
        <v>1039</v>
      </c>
    </row>
    <row r="390" spans="1:36" x14ac:dyDescent="0.3">
      <c r="A390" s="143"/>
      <c r="O390" s="142" t="s">
        <v>1037</v>
      </c>
      <c r="AF390" s="1695" t="s">
        <v>976</v>
      </c>
      <c r="AG390" s="1696"/>
      <c r="AH390" s="1696"/>
      <c r="AI390" s="1696"/>
      <c r="AJ390" s="1697"/>
    </row>
    <row r="391" spans="1:36" ht="56.25" x14ac:dyDescent="0.3">
      <c r="A391" s="142" t="s">
        <v>1040</v>
      </c>
      <c r="O391" s="143"/>
      <c r="AF391" s="1698" t="s">
        <v>977</v>
      </c>
      <c r="AG391" s="1699" t="s">
        <v>829</v>
      </c>
      <c r="AH391" s="1701"/>
      <c r="AI391" s="1699" t="s">
        <v>1001</v>
      </c>
      <c r="AJ391" s="1702"/>
    </row>
    <row r="392" spans="1:36" ht="33.75" x14ac:dyDescent="0.3">
      <c r="A392" s="143"/>
      <c r="O392" s="142" t="s">
        <v>1038</v>
      </c>
      <c r="AF392" s="1690"/>
      <c r="AG392" s="134" t="s">
        <v>400</v>
      </c>
      <c r="AH392" s="134" t="s">
        <v>401</v>
      </c>
      <c r="AI392" s="134" t="s">
        <v>400</v>
      </c>
      <c r="AJ392" s="135" t="s">
        <v>401</v>
      </c>
    </row>
    <row r="393" spans="1:36" x14ac:dyDescent="0.3">
      <c r="A393" s="142" t="s">
        <v>1041</v>
      </c>
      <c r="O393" s="143"/>
      <c r="AF393" s="109" t="s">
        <v>1042</v>
      </c>
      <c r="AG393" s="119">
        <v>38015015</v>
      </c>
      <c r="AH393" s="119">
        <v>108238532</v>
      </c>
      <c r="AI393" s="119">
        <v>36604177</v>
      </c>
      <c r="AJ393" s="120">
        <v>109056644</v>
      </c>
    </row>
    <row r="394" spans="1:36" ht="56.25" x14ac:dyDescent="0.3">
      <c r="A394" s="143"/>
      <c r="O394" s="142" t="s">
        <v>1040</v>
      </c>
      <c r="AF394" s="109" t="s">
        <v>1043</v>
      </c>
      <c r="AG394" s="119">
        <v>16533643</v>
      </c>
      <c r="AH394" s="119">
        <v>36555166</v>
      </c>
      <c r="AI394" s="119">
        <v>6081837</v>
      </c>
      <c r="AJ394" s="120">
        <v>19530608</v>
      </c>
    </row>
    <row r="395" spans="1:36" ht="22.5" x14ac:dyDescent="0.3">
      <c r="A395" s="142" t="s">
        <v>1044</v>
      </c>
      <c r="O395" s="143"/>
      <c r="AF395" s="109" t="s">
        <v>1045</v>
      </c>
      <c r="AG395" s="119">
        <v>2974133</v>
      </c>
      <c r="AH395" s="119">
        <v>9293941</v>
      </c>
      <c r="AI395" s="119">
        <v>2675538</v>
      </c>
      <c r="AJ395" s="120">
        <v>7706455</v>
      </c>
    </row>
    <row r="396" spans="1:36" x14ac:dyDescent="0.3">
      <c r="A396" s="142" t="s">
        <v>1046</v>
      </c>
      <c r="O396" s="142" t="s">
        <v>1041</v>
      </c>
      <c r="AF396" s="109" t="s">
        <v>1047</v>
      </c>
      <c r="AG396" s="119">
        <v>364527</v>
      </c>
      <c r="AH396" s="119">
        <v>1295364</v>
      </c>
      <c r="AI396" s="119">
        <v>1950</v>
      </c>
      <c r="AJ396" s="120">
        <v>444215</v>
      </c>
    </row>
    <row r="397" spans="1:36" x14ac:dyDescent="0.3">
      <c r="A397" s="142" t="s">
        <v>1048</v>
      </c>
      <c r="O397" s="143"/>
      <c r="AF397" s="146" t="s">
        <v>774</v>
      </c>
      <c r="AG397" s="126">
        <v>57887318</v>
      </c>
      <c r="AH397" s="126">
        <v>155383003</v>
      </c>
      <c r="AI397" s="126">
        <v>45363502</v>
      </c>
      <c r="AJ397" s="127">
        <v>136737922</v>
      </c>
    </row>
    <row r="398" spans="1:36" ht="22.5" x14ac:dyDescent="0.3">
      <c r="A398" s="142" t="s">
        <v>1049</v>
      </c>
      <c r="O398" s="142" t="s">
        <v>1044</v>
      </c>
      <c r="AF398" s="143"/>
    </row>
    <row r="399" spans="1:36" x14ac:dyDescent="0.3">
      <c r="A399" s="142" t="s">
        <v>1050</v>
      </c>
      <c r="O399" s="142" t="s">
        <v>1046</v>
      </c>
      <c r="AF399" s="143"/>
    </row>
    <row r="400" spans="1:36" x14ac:dyDescent="0.3">
      <c r="A400" s="143"/>
      <c r="O400" s="142" t="s">
        <v>1048</v>
      </c>
      <c r="AF400" s="142" t="s">
        <v>1051</v>
      </c>
    </row>
    <row r="401" spans="1:40" ht="45" x14ac:dyDescent="0.3">
      <c r="A401" s="142" t="s">
        <v>1052</v>
      </c>
      <c r="O401" s="142" t="s">
        <v>1049</v>
      </c>
      <c r="AF401" s="143"/>
    </row>
    <row r="402" spans="1:40" x14ac:dyDescent="0.3">
      <c r="A402" s="143"/>
      <c r="O402" s="142" t="s">
        <v>1050</v>
      </c>
      <c r="AF402" s="142" t="s">
        <v>1053</v>
      </c>
    </row>
    <row r="403" spans="1:40" ht="33.75" x14ac:dyDescent="0.3">
      <c r="A403" s="142" t="s">
        <v>1054</v>
      </c>
      <c r="O403" s="143"/>
      <c r="AF403" s="143"/>
    </row>
    <row r="404" spans="1:40" ht="45" x14ac:dyDescent="0.3">
      <c r="A404" s="142" t="s">
        <v>1055</v>
      </c>
      <c r="O404" s="142" t="s">
        <v>1052</v>
      </c>
      <c r="AF404" s="142" t="s">
        <v>1056</v>
      </c>
    </row>
    <row r="405" spans="1:40" ht="22.5" x14ac:dyDescent="0.3">
      <c r="A405" s="142" t="s">
        <v>1057</v>
      </c>
      <c r="O405" s="143"/>
      <c r="AF405" s="143"/>
    </row>
    <row r="406" spans="1:40" ht="33.75" x14ac:dyDescent="0.3">
      <c r="A406" s="143"/>
      <c r="O406" s="142" t="s">
        <v>1054</v>
      </c>
      <c r="AF406" s="142" t="s">
        <v>1058</v>
      </c>
    </row>
    <row r="407" spans="1:40" ht="33.75" x14ac:dyDescent="0.3">
      <c r="A407" s="142" t="s">
        <v>1059</v>
      </c>
      <c r="O407" s="142" t="s">
        <v>1055</v>
      </c>
      <c r="AF407" s="1695" t="s">
        <v>826</v>
      </c>
      <c r="AG407" s="1696"/>
      <c r="AH407" s="1696"/>
      <c r="AI407" s="1696"/>
      <c r="AJ407" s="1696"/>
      <c r="AK407" s="1696"/>
      <c r="AL407" s="1696"/>
      <c r="AM407" s="1696"/>
      <c r="AN407" s="1697"/>
    </row>
    <row r="408" spans="1:40" ht="22.5" x14ac:dyDescent="0.3">
      <c r="A408" s="142" t="s">
        <v>1060</v>
      </c>
      <c r="O408" s="142" t="s">
        <v>1057</v>
      </c>
      <c r="AF408" s="1698" t="s">
        <v>977</v>
      </c>
      <c r="AG408" s="1699" t="s">
        <v>1061</v>
      </c>
      <c r="AH408" s="1700"/>
      <c r="AI408" s="1700"/>
      <c r="AJ408" s="1701"/>
      <c r="AK408" s="1699" t="s">
        <v>1062</v>
      </c>
      <c r="AL408" s="1700"/>
      <c r="AM408" s="1700"/>
      <c r="AN408" s="1702"/>
    </row>
    <row r="409" spans="1:40" ht="22.5" x14ac:dyDescent="0.3">
      <c r="A409" s="142" t="s">
        <v>1063</v>
      </c>
      <c r="O409" s="143"/>
      <c r="AF409" s="1715"/>
      <c r="AG409" s="163" t="s">
        <v>1064</v>
      </c>
      <c r="AH409" s="163" t="s">
        <v>1065</v>
      </c>
      <c r="AI409" s="163" t="s">
        <v>1065</v>
      </c>
      <c r="AJ409" s="1716" t="s">
        <v>774</v>
      </c>
      <c r="AK409" s="1716" t="s">
        <v>1066</v>
      </c>
      <c r="AL409" s="1716" t="s">
        <v>1067</v>
      </c>
      <c r="AM409" s="1716" t="s">
        <v>1068</v>
      </c>
      <c r="AN409" s="1718" t="s">
        <v>774</v>
      </c>
    </row>
    <row r="410" spans="1:40" ht="33.75" x14ac:dyDescent="0.3">
      <c r="A410" s="143"/>
      <c r="O410" s="142" t="s">
        <v>1059</v>
      </c>
      <c r="AF410" s="1715"/>
      <c r="AG410" s="164" t="s">
        <v>1069</v>
      </c>
      <c r="AH410" s="164" t="s">
        <v>1070</v>
      </c>
      <c r="AI410" s="164" t="s">
        <v>1071</v>
      </c>
      <c r="AJ410" s="1717"/>
      <c r="AK410" s="1717"/>
      <c r="AL410" s="1717"/>
      <c r="AM410" s="1717"/>
      <c r="AN410" s="1719"/>
    </row>
    <row r="411" spans="1:40" ht="56.25" x14ac:dyDescent="0.3">
      <c r="A411" s="142" t="s">
        <v>1072</v>
      </c>
      <c r="O411" s="142" t="s">
        <v>1060</v>
      </c>
      <c r="AF411" s="1690"/>
      <c r="AG411" s="139" t="s">
        <v>1073</v>
      </c>
      <c r="AH411" s="139"/>
      <c r="AI411" s="139"/>
      <c r="AJ411" s="1692"/>
      <c r="AK411" s="1692"/>
      <c r="AL411" s="1692"/>
      <c r="AM411" s="1692"/>
      <c r="AN411" s="1694"/>
    </row>
    <row r="412" spans="1:40" ht="22.5" x14ac:dyDescent="0.3">
      <c r="A412" s="143"/>
      <c r="O412" s="142" t="s">
        <v>1063</v>
      </c>
      <c r="AF412" s="1712" t="s">
        <v>1074</v>
      </c>
      <c r="AG412" s="1713"/>
      <c r="AH412" s="1713"/>
      <c r="AI412" s="1713"/>
      <c r="AJ412" s="1713"/>
      <c r="AK412" s="1713"/>
      <c r="AL412" s="1713"/>
      <c r="AM412" s="1713"/>
      <c r="AN412" s="1714"/>
    </row>
    <row r="413" spans="1:40" ht="90" x14ac:dyDescent="0.3">
      <c r="A413" s="142" t="s">
        <v>1075</v>
      </c>
      <c r="O413" s="143"/>
      <c r="AF413" s="109" t="s">
        <v>1076</v>
      </c>
      <c r="AG413" s="115" t="s">
        <v>199</v>
      </c>
      <c r="AH413" s="119">
        <v>139848960</v>
      </c>
      <c r="AI413" s="115" t="s">
        <v>199</v>
      </c>
      <c r="AJ413" s="119">
        <v>139848960</v>
      </c>
      <c r="AK413" s="115" t="s">
        <v>199</v>
      </c>
      <c r="AL413" s="115" t="s">
        <v>199</v>
      </c>
      <c r="AM413" s="115" t="s">
        <v>199</v>
      </c>
      <c r="AN413" s="116" t="s">
        <v>199</v>
      </c>
    </row>
    <row r="414" spans="1:40" ht="56.25" x14ac:dyDescent="0.3">
      <c r="O414" s="142" t="s">
        <v>1072</v>
      </c>
      <c r="AF414" s="109" t="s">
        <v>1077</v>
      </c>
      <c r="AG414" s="115" t="s">
        <v>199</v>
      </c>
      <c r="AH414" s="119">
        <v>24571424</v>
      </c>
      <c r="AI414" s="115" t="s">
        <v>199</v>
      </c>
      <c r="AJ414" s="119">
        <v>24571424</v>
      </c>
      <c r="AK414" s="115" t="s">
        <v>199</v>
      </c>
      <c r="AL414" s="115" t="s">
        <v>199</v>
      </c>
      <c r="AM414" s="115" t="s">
        <v>199</v>
      </c>
      <c r="AN414" s="116" t="s">
        <v>199</v>
      </c>
    </row>
    <row r="415" spans="1:40" x14ac:dyDescent="0.3">
      <c r="A415" s="142" t="s">
        <v>1078</v>
      </c>
      <c r="O415" s="143"/>
      <c r="AF415" s="109" t="s">
        <v>1079</v>
      </c>
      <c r="AG415" s="115" t="s">
        <v>199</v>
      </c>
      <c r="AH415" s="119">
        <v>27284366</v>
      </c>
      <c r="AI415" s="115" t="s">
        <v>199</v>
      </c>
      <c r="AJ415" s="119">
        <v>27284366</v>
      </c>
      <c r="AK415" s="115" t="s">
        <v>199</v>
      </c>
      <c r="AL415" s="115" t="s">
        <v>199</v>
      </c>
      <c r="AM415" s="115" t="s">
        <v>199</v>
      </c>
      <c r="AN415" s="116" t="s">
        <v>199</v>
      </c>
    </row>
    <row r="416" spans="1:40" ht="90" x14ac:dyDescent="0.3">
      <c r="A416" s="165" t="s">
        <v>1080</v>
      </c>
      <c r="B416" s="166" t="s">
        <v>1081</v>
      </c>
      <c r="O416" s="142" t="s">
        <v>1075</v>
      </c>
      <c r="AF416" s="109" t="s">
        <v>1082</v>
      </c>
      <c r="AG416" s="119">
        <v>24244881</v>
      </c>
      <c r="AH416" s="115" t="s">
        <v>199</v>
      </c>
      <c r="AI416" s="115" t="s">
        <v>199</v>
      </c>
      <c r="AJ416" s="119">
        <v>24244881</v>
      </c>
      <c r="AK416" s="119">
        <v>2943465</v>
      </c>
      <c r="AL416" s="115" t="s">
        <v>199</v>
      </c>
      <c r="AM416" s="119">
        <v>21301416</v>
      </c>
      <c r="AN416" s="120">
        <v>24244881</v>
      </c>
    </row>
    <row r="417" spans="1:40" x14ac:dyDescent="0.3">
      <c r="A417" s="114" t="s">
        <v>1083</v>
      </c>
      <c r="B417" s="167" t="s">
        <v>1084</v>
      </c>
      <c r="AF417" s="162" t="s">
        <v>1085</v>
      </c>
      <c r="AG417" s="119">
        <v>24244881</v>
      </c>
      <c r="AH417" s="119">
        <v>191704750</v>
      </c>
      <c r="AI417" s="115" t="s">
        <v>199</v>
      </c>
      <c r="AJ417" s="119">
        <v>215949631</v>
      </c>
      <c r="AK417" s="119">
        <v>2943465</v>
      </c>
      <c r="AL417" s="115" t="s">
        <v>199</v>
      </c>
      <c r="AM417" s="119">
        <v>21301416</v>
      </c>
      <c r="AN417" s="120">
        <v>24244881</v>
      </c>
    </row>
    <row r="418" spans="1:40" x14ac:dyDescent="0.3">
      <c r="A418" s="114" t="s">
        <v>1086</v>
      </c>
      <c r="B418" s="167" t="s">
        <v>1087</v>
      </c>
      <c r="O418" s="142" t="s">
        <v>1078</v>
      </c>
      <c r="AF418" s="1712" t="s">
        <v>1088</v>
      </c>
      <c r="AG418" s="1713"/>
      <c r="AH418" s="1713"/>
      <c r="AI418" s="1713"/>
      <c r="AJ418" s="1713"/>
      <c r="AK418" s="1713"/>
      <c r="AL418" s="1713"/>
      <c r="AM418" s="1713"/>
      <c r="AN418" s="1714"/>
    </row>
    <row r="419" spans="1:40" x14ac:dyDescent="0.3">
      <c r="A419" s="125" t="s">
        <v>1089</v>
      </c>
      <c r="B419" s="168" t="s">
        <v>1090</v>
      </c>
      <c r="O419" s="165" t="s">
        <v>1080</v>
      </c>
      <c r="P419" s="166" t="s">
        <v>1081</v>
      </c>
      <c r="AF419" s="109" t="s">
        <v>1091</v>
      </c>
      <c r="AG419" s="115" t="s">
        <v>199</v>
      </c>
      <c r="AH419" s="115" t="s">
        <v>199</v>
      </c>
      <c r="AI419" s="119">
        <v>40373478</v>
      </c>
      <c r="AJ419" s="119">
        <v>40373478</v>
      </c>
      <c r="AK419" s="115" t="s">
        <v>199</v>
      </c>
      <c r="AL419" s="115" t="s">
        <v>199</v>
      </c>
      <c r="AM419" s="115" t="s">
        <v>199</v>
      </c>
      <c r="AN419" s="116" t="s">
        <v>199</v>
      </c>
    </row>
    <row r="420" spans="1:40" x14ac:dyDescent="0.3">
      <c r="O420" s="114" t="s">
        <v>1083</v>
      </c>
      <c r="P420" s="167" t="s">
        <v>1084</v>
      </c>
      <c r="AF420" s="109" t="s">
        <v>1092</v>
      </c>
      <c r="AG420" s="115" t="s">
        <v>199</v>
      </c>
      <c r="AH420" s="115" t="s">
        <v>199</v>
      </c>
      <c r="AI420" s="119">
        <v>34403202</v>
      </c>
      <c r="AJ420" s="119">
        <v>34403202</v>
      </c>
      <c r="AK420" s="115" t="s">
        <v>199</v>
      </c>
      <c r="AL420" s="115" t="s">
        <v>199</v>
      </c>
      <c r="AM420" s="115" t="s">
        <v>199</v>
      </c>
      <c r="AN420" s="116" t="s">
        <v>199</v>
      </c>
    </row>
    <row r="421" spans="1:40" x14ac:dyDescent="0.3">
      <c r="A421" s="142" t="s">
        <v>1093</v>
      </c>
      <c r="O421" s="114" t="s">
        <v>1086</v>
      </c>
      <c r="P421" s="167" t="s">
        <v>1087</v>
      </c>
      <c r="AF421" s="109" t="s">
        <v>1094</v>
      </c>
      <c r="AG421" s="115" t="s">
        <v>199</v>
      </c>
      <c r="AH421" s="115" t="s">
        <v>199</v>
      </c>
      <c r="AI421" s="119">
        <v>2849861</v>
      </c>
      <c r="AJ421" s="119">
        <v>2849861</v>
      </c>
      <c r="AK421" s="115" t="s">
        <v>199</v>
      </c>
      <c r="AL421" s="115" t="s">
        <v>199</v>
      </c>
      <c r="AM421" s="115" t="s">
        <v>199</v>
      </c>
      <c r="AN421" s="116" t="s">
        <v>199</v>
      </c>
    </row>
    <row r="422" spans="1:40" x14ac:dyDescent="0.3">
      <c r="O422" s="125" t="s">
        <v>1089</v>
      </c>
      <c r="P422" s="168" t="s">
        <v>1090</v>
      </c>
      <c r="AF422" s="109" t="s">
        <v>1095</v>
      </c>
      <c r="AG422" s="119">
        <v>51782364</v>
      </c>
      <c r="AH422" s="115" t="s">
        <v>199</v>
      </c>
      <c r="AI422" s="115" t="s">
        <v>199</v>
      </c>
      <c r="AJ422" s="119">
        <v>51782364</v>
      </c>
      <c r="AK422" s="119">
        <v>51782364</v>
      </c>
      <c r="AL422" s="115" t="s">
        <v>199</v>
      </c>
      <c r="AM422" s="115" t="s">
        <v>199</v>
      </c>
      <c r="AN422" s="120">
        <v>51782364</v>
      </c>
    </row>
    <row r="423" spans="1:40" x14ac:dyDescent="0.3">
      <c r="A423" s="143"/>
      <c r="AF423" s="146" t="s">
        <v>1096</v>
      </c>
      <c r="AG423" s="126">
        <v>51782364</v>
      </c>
      <c r="AH423" s="136" t="s">
        <v>199</v>
      </c>
      <c r="AI423" s="126">
        <v>77626541</v>
      </c>
      <c r="AJ423" s="126">
        <v>129408905</v>
      </c>
      <c r="AK423" s="126">
        <v>51782364</v>
      </c>
      <c r="AL423" s="136" t="s">
        <v>199</v>
      </c>
      <c r="AM423" s="136" t="s">
        <v>199</v>
      </c>
      <c r="AN423" s="127">
        <v>51782364</v>
      </c>
    </row>
    <row r="424" spans="1:40" ht="56.25" x14ac:dyDescent="0.3">
      <c r="A424" s="142" t="s">
        <v>1097</v>
      </c>
      <c r="O424" s="142" t="s">
        <v>1093</v>
      </c>
      <c r="AF424" s="142" t="s">
        <v>1098</v>
      </c>
    </row>
    <row r="425" spans="1:40" x14ac:dyDescent="0.3">
      <c r="A425" s="142"/>
      <c r="AF425" s="143"/>
    </row>
    <row r="426" spans="1:40" ht="101.25" x14ac:dyDescent="0.3">
      <c r="A426" s="142" t="s">
        <v>1099</v>
      </c>
      <c r="O426" s="143"/>
      <c r="AF426" s="142" t="s">
        <v>1100</v>
      </c>
    </row>
    <row r="427" spans="1:40" ht="56.25" x14ac:dyDescent="0.3">
      <c r="A427" s="143"/>
      <c r="O427" s="142" t="s">
        <v>1097</v>
      </c>
      <c r="AF427" s="1695" t="s">
        <v>826</v>
      </c>
      <c r="AG427" s="1696"/>
      <c r="AH427" s="1696"/>
      <c r="AI427" s="1696"/>
      <c r="AJ427" s="1696"/>
      <c r="AK427" s="1696"/>
      <c r="AL427" s="1696"/>
      <c r="AM427" s="1696"/>
      <c r="AN427" s="1697"/>
    </row>
    <row r="428" spans="1:40" ht="45" x14ac:dyDescent="0.3">
      <c r="A428" s="142" t="s">
        <v>1101</v>
      </c>
      <c r="O428" s="142"/>
      <c r="AF428" s="1698" t="s">
        <v>977</v>
      </c>
      <c r="AG428" s="1699" t="s">
        <v>1061</v>
      </c>
      <c r="AH428" s="1700"/>
      <c r="AI428" s="1700"/>
      <c r="AJ428" s="1701"/>
      <c r="AK428" s="1699" t="s">
        <v>1062</v>
      </c>
      <c r="AL428" s="1700"/>
      <c r="AM428" s="1700"/>
      <c r="AN428" s="1702"/>
    </row>
    <row r="429" spans="1:40" ht="101.25" x14ac:dyDescent="0.3">
      <c r="A429" s="143"/>
      <c r="O429" s="142" t="s">
        <v>1099</v>
      </c>
      <c r="AF429" s="1715"/>
      <c r="AG429" s="163" t="s">
        <v>1064</v>
      </c>
      <c r="AH429" s="163" t="s">
        <v>1065</v>
      </c>
      <c r="AI429" s="163" t="s">
        <v>1065</v>
      </c>
      <c r="AJ429" s="1716" t="s">
        <v>774</v>
      </c>
      <c r="AK429" s="1716" t="s">
        <v>1066</v>
      </c>
      <c r="AL429" s="1716" t="s">
        <v>1067</v>
      </c>
      <c r="AM429" s="1716" t="s">
        <v>1068</v>
      </c>
      <c r="AN429" s="1718" t="s">
        <v>774</v>
      </c>
    </row>
    <row r="430" spans="1:40" ht="22.5" x14ac:dyDescent="0.3">
      <c r="A430" s="142" t="s">
        <v>1102</v>
      </c>
      <c r="O430" s="143"/>
      <c r="AF430" s="1715"/>
      <c r="AG430" s="164" t="s">
        <v>1069</v>
      </c>
      <c r="AH430" s="164" t="s">
        <v>1070</v>
      </c>
      <c r="AI430" s="164" t="s">
        <v>1071</v>
      </c>
      <c r="AJ430" s="1717"/>
      <c r="AK430" s="1717"/>
      <c r="AL430" s="1717"/>
      <c r="AM430" s="1717"/>
      <c r="AN430" s="1719"/>
    </row>
    <row r="431" spans="1:40" ht="45" x14ac:dyDescent="0.3">
      <c r="A431" s="142" t="s">
        <v>1103</v>
      </c>
      <c r="O431" s="142" t="s">
        <v>1101</v>
      </c>
      <c r="AF431" s="1690"/>
      <c r="AG431" s="139" t="s">
        <v>1073</v>
      </c>
      <c r="AH431" s="139"/>
      <c r="AI431" s="139"/>
      <c r="AJ431" s="1692"/>
      <c r="AK431" s="1692"/>
      <c r="AL431" s="1692"/>
      <c r="AM431" s="1692"/>
      <c r="AN431" s="1694"/>
    </row>
    <row r="432" spans="1:40" x14ac:dyDescent="0.3">
      <c r="A432" s="142" t="s">
        <v>1104</v>
      </c>
      <c r="O432" s="143"/>
      <c r="AF432" s="1712" t="s">
        <v>1074</v>
      </c>
      <c r="AG432" s="1713"/>
      <c r="AH432" s="1713"/>
      <c r="AI432" s="1713"/>
      <c r="AJ432" s="1713"/>
      <c r="AK432" s="1713"/>
      <c r="AL432" s="1713"/>
      <c r="AM432" s="1713"/>
      <c r="AN432" s="1714"/>
    </row>
    <row r="433" spans="1:40" ht="22.5" x14ac:dyDescent="0.3">
      <c r="A433" s="142" t="s">
        <v>1105</v>
      </c>
      <c r="O433" s="142" t="s">
        <v>1102</v>
      </c>
      <c r="AF433" s="109" t="s">
        <v>1076</v>
      </c>
      <c r="AG433" s="115" t="s">
        <v>199</v>
      </c>
      <c r="AH433" s="119">
        <v>132018645</v>
      </c>
      <c r="AI433" s="115" t="s">
        <v>199</v>
      </c>
      <c r="AJ433" s="119">
        <v>132018645</v>
      </c>
      <c r="AK433" s="115" t="s">
        <v>199</v>
      </c>
      <c r="AL433" s="115" t="s">
        <v>199</v>
      </c>
      <c r="AM433" s="115" t="s">
        <v>199</v>
      </c>
      <c r="AN433" s="116" t="s">
        <v>199</v>
      </c>
    </row>
    <row r="434" spans="1:40" ht="22.5" x14ac:dyDescent="0.3">
      <c r="A434" s="142" t="s">
        <v>1106</v>
      </c>
      <c r="O434" s="142" t="s">
        <v>1103</v>
      </c>
      <c r="AF434" s="109" t="s">
        <v>1107</v>
      </c>
      <c r="AG434" s="115" t="s">
        <v>199</v>
      </c>
      <c r="AH434" s="119">
        <v>309072</v>
      </c>
      <c r="AI434" s="115" t="s">
        <v>199</v>
      </c>
      <c r="AJ434" s="119">
        <v>309072</v>
      </c>
      <c r="AK434" s="115"/>
      <c r="AL434" s="115"/>
      <c r="AM434" s="115"/>
      <c r="AN434" s="116"/>
    </row>
    <row r="435" spans="1:40" x14ac:dyDescent="0.3">
      <c r="A435" s="142" t="s">
        <v>1108</v>
      </c>
      <c r="O435" s="142" t="s">
        <v>1104</v>
      </c>
      <c r="AF435" s="109" t="s">
        <v>1077</v>
      </c>
      <c r="AG435" s="115" t="s">
        <v>199</v>
      </c>
      <c r="AH435" s="119">
        <v>18943519</v>
      </c>
      <c r="AI435" s="115" t="s">
        <v>199</v>
      </c>
      <c r="AJ435" s="119">
        <v>18943519</v>
      </c>
      <c r="AK435" s="115" t="s">
        <v>199</v>
      </c>
      <c r="AL435" s="115" t="s">
        <v>199</v>
      </c>
      <c r="AM435" s="115" t="s">
        <v>199</v>
      </c>
      <c r="AN435" s="116" t="s">
        <v>199</v>
      </c>
    </row>
    <row r="436" spans="1:40" ht="22.5" x14ac:dyDescent="0.3">
      <c r="A436" s="143"/>
      <c r="O436" s="142" t="s">
        <v>1105</v>
      </c>
      <c r="AF436" s="109" t="s">
        <v>1079</v>
      </c>
      <c r="AG436" s="115" t="s">
        <v>199</v>
      </c>
      <c r="AH436" s="119">
        <v>27148527</v>
      </c>
      <c r="AI436" s="115" t="s">
        <v>199</v>
      </c>
      <c r="AJ436" s="119">
        <v>27148527</v>
      </c>
      <c r="AK436" s="115" t="s">
        <v>199</v>
      </c>
      <c r="AL436" s="115" t="s">
        <v>199</v>
      </c>
      <c r="AM436" s="115" t="s">
        <v>199</v>
      </c>
      <c r="AN436" s="116" t="s">
        <v>199</v>
      </c>
    </row>
    <row r="437" spans="1:40" ht="22.5" x14ac:dyDescent="0.3">
      <c r="A437" s="142" t="s">
        <v>1109</v>
      </c>
      <c r="O437" s="142" t="s">
        <v>1106</v>
      </c>
      <c r="AF437" s="109" t="s">
        <v>1082</v>
      </c>
      <c r="AG437" s="119">
        <v>30772110</v>
      </c>
      <c r="AH437" s="115" t="s">
        <v>199</v>
      </c>
      <c r="AI437" s="115" t="s">
        <v>199</v>
      </c>
      <c r="AJ437" s="119">
        <v>30772110</v>
      </c>
      <c r="AK437" s="119">
        <v>5337483</v>
      </c>
      <c r="AL437" s="115" t="s">
        <v>199</v>
      </c>
      <c r="AM437" s="119">
        <v>25434627</v>
      </c>
      <c r="AN437" s="120">
        <v>30772110</v>
      </c>
    </row>
    <row r="438" spans="1:40" x14ac:dyDescent="0.3">
      <c r="A438" s="143"/>
      <c r="O438" s="142" t="s">
        <v>1108</v>
      </c>
      <c r="AF438" s="162" t="s">
        <v>1085</v>
      </c>
      <c r="AG438" s="119">
        <v>30772110</v>
      </c>
      <c r="AH438" s="119">
        <v>178419763</v>
      </c>
      <c r="AI438" s="115" t="s">
        <v>199</v>
      </c>
      <c r="AJ438" s="119">
        <v>209191873</v>
      </c>
      <c r="AK438" s="119">
        <v>5337483</v>
      </c>
      <c r="AL438" s="115" t="s">
        <v>199</v>
      </c>
      <c r="AM438" s="119">
        <v>25434627</v>
      </c>
      <c r="AN438" s="120">
        <v>30772110</v>
      </c>
    </row>
    <row r="439" spans="1:40" x14ac:dyDescent="0.3">
      <c r="A439" s="142" t="s">
        <v>1110</v>
      </c>
      <c r="O439" s="143"/>
      <c r="AF439" s="1712" t="s">
        <v>1088</v>
      </c>
      <c r="AG439" s="1713"/>
      <c r="AH439" s="1713"/>
      <c r="AI439" s="1713"/>
      <c r="AJ439" s="1713"/>
      <c r="AK439" s="1713"/>
      <c r="AL439" s="1713"/>
      <c r="AM439" s="1713"/>
      <c r="AN439" s="1714"/>
    </row>
    <row r="440" spans="1:40" ht="22.5" x14ac:dyDescent="0.3">
      <c r="A440" s="143"/>
      <c r="O440" s="142" t="s">
        <v>1109</v>
      </c>
      <c r="AF440" s="109" t="s">
        <v>1091</v>
      </c>
      <c r="AG440" s="115" t="s">
        <v>199</v>
      </c>
      <c r="AH440" s="115" t="s">
        <v>199</v>
      </c>
      <c r="AI440" s="119">
        <v>34914087</v>
      </c>
      <c r="AJ440" s="119">
        <v>34914087</v>
      </c>
      <c r="AK440" s="115" t="s">
        <v>199</v>
      </c>
      <c r="AL440" s="115" t="s">
        <v>199</v>
      </c>
      <c r="AM440" s="115" t="s">
        <v>199</v>
      </c>
      <c r="AN440" s="116" t="s">
        <v>199</v>
      </c>
    </row>
    <row r="441" spans="1:40" ht="67.5" x14ac:dyDescent="0.3">
      <c r="A441" s="142" t="s">
        <v>1111</v>
      </c>
      <c r="O441" s="143"/>
      <c r="AF441" s="109" t="s">
        <v>1092</v>
      </c>
      <c r="AG441" s="115" t="s">
        <v>199</v>
      </c>
      <c r="AH441" s="115" t="s">
        <v>199</v>
      </c>
      <c r="AI441" s="119">
        <v>31417076</v>
      </c>
      <c r="AJ441" s="119">
        <v>31417076</v>
      </c>
      <c r="AK441" s="115" t="s">
        <v>199</v>
      </c>
      <c r="AL441" s="115" t="s">
        <v>199</v>
      </c>
      <c r="AM441" s="115" t="s">
        <v>199</v>
      </c>
      <c r="AN441" s="116" t="s">
        <v>199</v>
      </c>
    </row>
    <row r="442" spans="1:40" x14ac:dyDescent="0.3">
      <c r="O442" s="142" t="s">
        <v>1110</v>
      </c>
      <c r="AF442" s="109" t="s">
        <v>1094</v>
      </c>
      <c r="AG442" s="115" t="s">
        <v>199</v>
      </c>
      <c r="AH442" s="115" t="s">
        <v>199</v>
      </c>
      <c r="AI442" s="119">
        <v>4261338</v>
      </c>
      <c r="AJ442" s="119">
        <v>4261338</v>
      </c>
      <c r="AK442" s="115" t="s">
        <v>199</v>
      </c>
      <c r="AL442" s="115" t="s">
        <v>199</v>
      </c>
      <c r="AM442" s="115" t="s">
        <v>199</v>
      </c>
      <c r="AN442" s="116" t="s">
        <v>199</v>
      </c>
    </row>
    <row r="443" spans="1:40" ht="33.75" x14ac:dyDescent="0.3">
      <c r="A443" s="142" t="s">
        <v>1112</v>
      </c>
      <c r="O443" s="143"/>
      <c r="AF443" s="109" t="s">
        <v>1095</v>
      </c>
      <c r="AG443" s="119">
        <v>93145379</v>
      </c>
      <c r="AH443" s="115" t="s">
        <v>199</v>
      </c>
      <c r="AI443" s="115" t="s">
        <v>199</v>
      </c>
      <c r="AJ443" s="119">
        <v>93145379</v>
      </c>
      <c r="AK443" s="115" t="s">
        <v>199</v>
      </c>
      <c r="AL443" s="115" t="s">
        <v>199</v>
      </c>
      <c r="AM443" s="119">
        <v>93145379</v>
      </c>
      <c r="AN443" s="120">
        <v>93145379</v>
      </c>
    </row>
    <row r="444" spans="1:40" ht="67.5" x14ac:dyDescent="0.3">
      <c r="A444" s="143"/>
      <c r="O444" s="142" t="s">
        <v>1111</v>
      </c>
      <c r="AF444" s="146" t="s">
        <v>1096</v>
      </c>
      <c r="AG444" s="126">
        <v>93145379</v>
      </c>
      <c r="AH444" s="136" t="s">
        <v>199</v>
      </c>
      <c r="AI444" s="126">
        <v>70592501</v>
      </c>
      <c r="AJ444" s="126">
        <v>163737880</v>
      </c>
      <c r="AK444" s="136" t="s">
        <v>199</v>
      </c>
      <c r="AL444" s="136" t="s">
        <v>199</v>
      </c>
      <c r="AM444" s="126">
        <v>93145379</v>
      </c>
      <c r="AN444" s="127">
        <v>93145379</v>
      </c>
    </row>
    <row r="445" spans="1:40" ht="45" x14ac:dyDescent="0.3">
      <c r="A445" s="142" t="s">
        <v>1113</v>
      </c>
      <c r="AF445" s="142" t="s">
        <v>1098</v>
      </c>
    </row>
    <row r="446" spans="1:40" ht="33.75" x14ac:dyDescent="0.3">
      <c r="A446" s="143"/>
      <c r="O446" s="142" t="s">
        <v>1112</v>
      </c>
      <c r="AF446" s="143"/>
    </row>
    <row r="447" spans="1:40" ht="78.75" x14ac:dyDescent="0.3">
      <c r="A447" s="142" t="s">
        <v>1114</v>
      </c>
      <c r="O447" s="143"/>
      <c r="AF447" s="142" t="s">
        <v>1115</v>
      </c>
    </row>
    <row r="448" spans="1:40" x14ac:dyDescent="0.3">
      <c r="O448" s="142" t="s">
        <v>1113</v>
      </c>
      <c r="AF448" s="1695" t="s">
        <v>976</v>
      </c>
      <c r="AG448" s="1696"/>
      <c r="AH448" s="1696"/>
      <c r="AI448" s="1696"/>
      <c r="AJ448" s="1697"/>
    </row>
    <row r="449" spans="1:36" x14ac:dyDescent="0.3">
      <c r="A449" s="142" t="s">
        <v>1116</v>
      </c>
      <c r="O449" s="143"/>
      <c r="AF449" s="1698" t="s">
        <v>977</v>
      </c>
      <c r="AG449" s="1699" t="s">
        <v>1117</v>
      </c>
      <c r="AH449" s="1701"/>
      <c r="AI449" s="1699" t="s">
        <v>1118</v>
      </c>
      <c r="AJ449" s="1702"/>
    </row>
    <row r="450" spans="1:36" ht="78.75" x14ac:dyDescent="0.3">
      <c r="A450" s="143"/>
      <c r="O450" s="142" t="s">
        <v>1114</v>
      </c>
      <c r="AF450" s="1690"/>
      <c r="AG450" s="134" t="s">
        <v>829</v>
      </c>
      <c r="AH450" s="134" t="s">
        <v>1001</v>
      </c>
      <c r="AI450" s="134" t="s">
        <v>829</v>
      </c>
      <c r="AJ450" s="135" t="s">
        <v>1001</v>
      </c>
    </row>
    <row r="451" spans="1:36" ht="56.25" x14ac:dyDescent="0.3">
      <c r="A451" s="142" t="s">
        <v>1119</v>
      </c>
      <c r="AF451" s="109" t="s">
        <v>1120</v>
      </c>
      <c r="AG451" s="119">
        <v>25434627</v>
      </c>
      <c r="AH451" s="115" t="s">
        <v>199</v>
      </c>
      <c r="AI451" s="119">
        <v>93145379</v>
      </c>
      <c r="AJ451" s="116" t="s">
        <v>199</v>
      </c>
    </row>
    <row r="452" spans="1:36" x14ac:dyDescent="0.3">
      <c r="A452" s="143"/>
      <c r="O452" s="142" t="s">
        <v>1116</v>
      </c>
      <c r="AF452" s="109" t="s">
        <v>1121</v>
      </c>
      <c r="AG452" s="119">
        <v>20301223</v>
      </c>
      <c r="AH452" s="119">
        <v>20001800</v>
      </c>
      <c r="AI452" s="115" t="s">
        <v>199</v>
      </c>
      <c r="AJ452" s="120">
        <v>70000001</v>
      </c>
    </row>
    <row r="453" spans="1:36" ht="22.5" x14ac:dyDescent="0.3">
      <c r="A453" s="142" t="s">
        <v>1122</v>
      </c>
      <c r="O453" s="143"/>
      <c r="AF453" s="109" t="s">
        <v>1123</v>
      </c>
      <c r="AG453" s="119">
        <v>-20434354</v>
      </c>
      <c r="AH453" s="115" t="s">
        <v>199</v>
      </c>
      <c r="AI453" s="115" t="s">
        <v>199</v>
      </c>
      <c r="AJ453" s="116" t="s">
        <v>199</v>
      </c>
    </row>
    <row r="454" spans="1:36" ht="56.25" x14ac:dyDescent="0.3">
      <c r="A454" s="143"/>
      <c r="O454" s="142" t="s">
        <v>1119</v>
      </c>
      <c r="AF454" s="109" t="s">
        <v>1124</v>
      </c>
      <c r="AG454" s="119">
        <v>-4000080</v>
      </c>
      <c r="AH454" s="115" t="s">
        <v>199</v>
      </c>
      <c r="AI454" s="119">
        <v>-51782364</v>
      </c>
      <c r="AJ454" s="116" t="s">
        <v>199</v>
      </c>
    </row>
    <row r="455" spans="1:36" ht="45" x14ac:dyDescent="0.3">
      <c r="A455" s="142" t="s">
        <v>1125</v>
      </c>
      <c r="O455" s="143"/>
      <c r="AF455" s="109" t="s">
        <v>1126</v>
      </c>
      <c r="AG455" s="115" t="s">
        <v>199</v>
      </c>
      <c r="AH455" s="115" t="s">
        <v>199</v>
      </c>
      <c r="AI455" s="119">
        <v>-41363015</v>
      </c>
      <c r="AJ455" s="120">
        <v>7995295</v>
      </c>
    </row>
    <row r="456" spans="1:36" ht="22.5" x14ac:dyDescent="0.3">
      <c r="A456" s="143"/>
      <c r="O456" s="142" t="s">
        <v>1122</v>
      </c>
      <c r="AF456" s="121" t="s">
        <v>1127</v>
      </c>
      <c r="AG456" s="126">
        <v>21301416</v>
      </c>
      <c r="AH456" s="126">
        <v>20001800</v>
      </c>
      <c r="AI456" s="136" t="s">
        <v>199</v>
      </c>
      <c r="AJ456" s="127">
        <v>77995296</v>
      </c>
    </row>
    <row r="457" spans="1:36" ht="33.75" x14ac:dyDescent="0.3">
      <c r="A457" s="142" t="s">
        <v>1128</v>
      </c>
      <c r="O457" s="143"/>
      <c r="AF457" s="142" t="s">
        <v>1129</v>
      </c>
    </row>
    <row r="458" spans="1:36" ht="45" x14ac:dyDescent="0.3">
      <c r="O458" s="142" t="s">
        <v>1125</v>
      </c>
    </row>
    <row r="459" spans="1:36" ht="22.5" x14ac:dyDescent="0.3">
      <c r="A459" s="142" t="s">
        <v>1130</v>
      </c>
      <c r="O459" s="143"/>
      <c r="AF459" s="142" t="s">
        <v>1131</v>
      </c>
    </row>
    <row r="460" spans="1:36" ht="33.75" x14ac:dyDescent="0.3">
      <c r="A460" s="143"/>
      <c r="O460" s="142" t="s">
        <v>1128</v>
      </c>
    </row>
    <row r="461" spans="1:36" ht="33.75" x14ac:dyDescent="0.3">
      <c r="A461" s="142" t="s">
        <v>1132</v>
      </c>
      <c r="AF461" s="142" t="s">
        <v>1133</v>
      </c>
    </row>
    <row r="462" spans="1:36" ht="22.5" x14ac:dyDescent="0.3">
      <c r="A462" s="106" t="s">
        <v>788</v>
      </c>
      <c r="B462" s="108" t="s">
        <v>1134</v>
      </c>
      <c r="O462" s="142" t="s">
        <v>1130</v>
      </c>
      <c r="AF462" s="1689" t="s">
        <v>977</v>
      </c>
      <c r="AG462" s="1691" t="s">
        <v>1135</v>
      </c>
      <c r="AH462" s="138" t="s">
        <v>1136</v>
      </c>
      <c r="AI462" s="169" t="s">
        <v>1137</v>
      </c>
    </row>
    <row r="463" spans="1:36" x14ac:dyDescent="0.3">
      <c r="A463" s="170" t="s">
        <v>1138</v>
      </c>
      <c r="B463" s="171" t="s">
        <v>1139</v>
      </c>
      <c r="O463" s="143"/>
      <c r="AF463" s="1715"/>
      <c r="AG463" s="1717"/>
      <c r="AH463" s="164" t="s">
        <v>1140</v>
      </c>
      <c r="AI463" s="172" t="s">
        <v>1141</v>
      </c>
    </row>
    <row r="464" spans="1:36" ht="33.75" x14ac:dyDescent="0.3">
      <c r="A464" s="170" t="s">
        <v>1142</v>
      </c>
      <c r="B464" s="171" t="s">
        <v>1143</v>
      </c>
      <c r="O464" s="142" t="s">
        <v>1144</v>
      </c>
      <c r="AF464" s="1690"/>
      <c r="AG464" s="1692"/>
      <c r="AH464" s="139"/>
      <c r="AI464" s="173" t="s">
        <v>1145</v>
      </c>
    </row>
    <row r="465" spans="1:42" x14ac:dyDescent="0.3">
      <c r="A465" s="170" t="s">
        <v>1146</v>
      </c>
      <c r="B465" s="171" t="s">
        <v>1139</v>
      </c>
      <c r="O465" s="106" t="s">
        <v>763</v>
      </c>
      <c r="P465" s="108" t="s">
        <v>1147</v>
      </c>
      <c r="AF465" s="1706" t="s">
        <v>1148</v>
      </c>
      <c r="AG465" s="1723" t="s">
        <v>1149</v>
      </c>
      <c r="AH465" s="1723" t="s">
        <v>1150</v>
      </c>
      <c r="AI465" s="174" t="s">
        <v>1151</v>
      </c>
    </row>
    <row r="466" spans="1:42" x14ac:dyDescent="0.3">
      <c r="A466" s="170" t="s">
        <v>1152</v>
      </c>
      <c r="B466" s="171" t="s">
        <v>1139</v>
      </c>
      <c r="O466" s="170" t="s">
        <v>1138</v>
      </c>
      <c r="P466" s="171" t="s">
        <v>1139</v>
      </c>
      <c r="AF466" s="1744"/>
      <c r="AG466" s="1751"/>
      <c r="AH466" s="1751"/>
      <c r="AI466" s="175" t="s">
        <v>1153</v>
      </c>
    </row>
    <row r="467" spans="1:42" x14ac:dyDescent="0.3">
      <c r="A467" s="170" t="s">
        <v>1154</v>
      </c>
      <c r="B467" s="171" t="s">
        <v>1139</v>
      </c>
      <c r="O467" s="170" t="s">
        <v>1142</v>
      </c>
      <c r="P467" s="171" t="s">
        <v>1143</v>
      </c>
      <c r="AF467" s="1708"/>
      <c r="AG467" s="1770"/>
      <c r="AH467" s="1770"/>
      <c r="AI467" s="176" t="s">
        <v>1155</v>
      </c>
    </row>
    <row r="468" spans="1:42" x14ac:dyDescent="0.3">
      <c r="A468" s="177" t="s">
        <v>1156</v>
      </c>
      <c r="B468" s="178" t="s">
        <v>1139</v>
      </c>
      <c r="O468" s="170" t="s">
        <v>1146</v>
      </c>
      <c r="P468" s="171" t="s">
        <v>1157</v>
      </c>
    </row>
    <row r="469" spans="1:42" x14ac:dyDescent="0.3">
      <c r="A469" s="143"/>
      <c r="O469" s="170" t="s">
        <v>1152</v>
      </c>
      <c r="P469" s="171" t="s">
        <v>1139</v>
      </c>
      <c r="AF469" s="142" t="s">
        <v>1158</v>
      </c>
    </row>
    <row r="470" spans="1:42" ht="45" x14ac:dyDescent="0.3">
      <c r="A470" s="142" t="s">
        <v>1159</v>
      </c>
      <c r="O470" s="170" t="s">
        <v>1154</v>
      </c>
      <c r="P470" s="171" t="s">
        <v>1160</v>
      </c>
      <c r="AF470" s="143"/>
    </row>
    <row r="471" spans="1:42" ht="22.5" x14ac:dyDescent="0.3">
      <c r="O471" s="177" t="s">
        <v>1156</v>
      </c>
      <c r="P471" s="178" t="s">
        <v>1139</v>
      </c>
      <c r="AF471" s="142" t="s">
        <v>1161</v>
      </c>
    </row>
    <row r="472" spans="1:42" ht="45" x14ac:dyDescent="0.3">
      <c r="A472" s="142" t="s">
        <v>1162</v>
      </c>
      <c r="O472" s="142" t="s">
        <v>1159</v>
      </c>
    </row>
    <row r="473" spans="1:42" x14ac:dyDescent="0.3">
      <c r="A473" s="143"/>
      <c r="AF473" s="142" t="s">
        <v>824</v>
      </c>
    </row>
    <row r="474" spans="1:42" ht="90" x14ac:dyDescent="0.3">
      <c r="A474" s="142" t="s">
        <v>1163</v>
      </c>
      <c r="O474" s="142" t="s">
        <v>1162</v>
      </c>
      <c r="AF474" s="1695" t="s">
        <v>976</v>
      </c>
      <c r="AG474" s="1696"/>
      <c r="AH474" s="1696"/>
      <c r="AI474" s="1696"/>
      <c r="AJ474" s="1696"/>
      <c r="AK474" s="1696"/>
      <c r="AL474" s="1696"/>
      <c r="AM474" s="1696"/>
      <c r="AN474" s="1696"/>
      <c r="AO474" s="1696"/>
      <c r="AP474" s="1697"/>
    </row>
    <row r="475" spans="1:42" x14ac:dyDescent="0.3">
      <c r="A475" s="142" t="s">
        <v>1164</v>
      </c>
      <c r="O475" s="143"/>
      <c r="AF475" s="1698" t="s">
        <v>977</v>
      </c>
      <c r="AG475" s="1699" t="s">
        <v>400</v>
      </c>
      <c r="AH475" s="1700"/>
      <c r="AI475" s="1700"/>
      <c r="AJ475" s="1700"/>
      <c r="AK475" s="1701"/>
      <c r="AL475" s="1699" t="s">
        <v>401</v>
      </c>
      <c r="AM475" s="1700"/>
      <c r="AN475" s="1700"/>
      <c r="AO475" s="1700"/>
      <c r="AP475" s="1702"/>
    </row>
    <row r="476" spans="1:42" ht="90" x14ac:dyDescent="0.3">
      <c r="A476" s="106" t="s">
        <v>788</v>
      </c>
      <c r="B476" s="108" t="s">
        <v>1134</v>
      </c>
      <c r="O476" s="142" t="s">
        <v>1163</v>
      </c>
      <c r="AF476" s="1715"/>
      <c r="AG476" s="1699" t="s">
        <v>1165</v>
      </c>
      <c r="AH476" s="1701"/>
      <c r="AI476" s="1699" t="s">
        <v>1166</v>
      </c>
      <c r="AJ476" s="1701"/>
      <c r="AK476" s="1716" t="s">
        <v>774</v>
      </c>
      <c r="AL476" s="1699" t="s">
        <v>1165</v>
      </c>
      <c r="AM476" s="1701"/>
      <c r="AN476" s="1699" t="s">
        <v>1166</v>
      </c>
      <c r="AO476" s="1701"/>
      <c r="AP476" s="1718" t="s">
        <v>774</v>
      </c>
    </row>
    <row r="477" spans="1:42" x14ac:dyDescent="0.3">
      <c r="A477" s="170" t="s">
        <v>1167</v>
      </c>
      <c r="B477" s="171" t="s">
        <v>1168</v>
      </c>
      <c r="O477" s="142" t="s">
        <v>1164</v>
      </c>
      <c r="AF477" s="1690"/>
      <c r="AG477" s="134" t="s">
        <v>1117</v>
      </c>
      <c r="AH477" s="134" t="s">
        <v>1118</v>
      </c>
      <c r="AI477" s="134" t="s">
        <v>1117</v>
      </c>
      <c r="AJ477" s="134" t="s">
        <v>1118</v>
      </c>
      <c r="AK477" s="1692"/>
      <c r="AL477" s="134" t="s">
        <v>1117</v>
      </c>
      <c r="AM477" s="134" t="s">
        <v>1118</v>
      </c>
      <c r="AN477" s="134" t="s">
        <v>1117</v>
      </c>
      <c r="AO477" s="134" t="s">
        <v>1118</v>
      </c>
      <c r="AP477" s="1694"/>
    </row>
    <row r="478" spans="1:42" x14ac:dyDescent="0.3">
      <c r="A478" s="170" t="s">
        <v>1169</v>
      </c>
      <c r="B478" s="171" t="s">
        <v>1170</v>
      </c>
      <c r="O478" s="106" t="s">
        <v>763</v>
      </c>
      <c r="P478" s="108" t="s">
        <v>1147</v>
      </c>
      <c r="AF478" s="1712" t="s">
        <v>1171</v>
      </c>
      <c r="AG478" s="1713"/>
      <c r="AH478" s="1713"/>
      <c r="AI478" s="1713"/>
      <c r="AJ478" s="1713"/>
      <c r="AK478" s="1713"/>
      <c r="AL478" s="1713"/>
      <c r="AM478" s="1713"/>
      <c r="AN478" s="1713"/>
      <c r="AO478" s="1713"/>
      <c r="AP478" s="1714"/>
    </row>
    <row r="479" spans="1:42" x14ac:dyDescent="0.3">
      <c r="A479" s="170" t="s">
        <v>1172</v>
      </c>
      <c r="B479" s="171" t="s">
        <v>1139</v>
      </c>
      <c r="O479" s="170" t="s">
        <v>1167</v>
      </c>
      <c r="P479" s="171" t="s">
        <v>1168</v>
      </c>
      <c r="AF479" s="109" t="s">
        <v>1173</v>
      </c>
      <c r="AG479" s="111" t="s">
        <v>199</v>
      </c>
      <c r="AH479" s="111" t="s">
        <v>199</v>
      </c>
      <c r="AI479" s="117">
        <v>739934</v>
      </c>
      <c r="AJ479" s="111" t="s">
        <v>199</v>
      </c>
      <c r="AK479" s="117">
        <v>739934</v>
      </c>
      <c r="AL479" s="111" t="s">
        <v>199</v>
      </c>
      <c r="AM479" s="111" t="s">
        <v>199</v>
      </c>
      <c r="AN479" s="117">
        <v>1666987</v>
      </c>
      <c r="AO479" s="111" t="s">
        <v>199</v>
      </c>
      <c r="AP479" s="118">
        <v>1666987</v>
      </c>
    </row>
    <row r="480" spans="1:42" x14ac:dyDescent="0.3">
      <c r="A480" s="177" t="s">
        <v>1174</v>
      </c>
      <c r="B480" s="178" t="s">
        <v>1175</v>
      </c>
      <c r="O480" s="170" t="s">
        <v>1169</v>
      </c>
      <c r="P480" s="171" t="s">
        <v>1170</v>
      </c>
      <c r="AF480" s="109" t="s">
        <v>1176</v>
      </c>
      <c r="AG480" s="111" t="s">
        <v>199</v>
      </c>
      <c r="AH480" s="111" t="s">
        <v>199</v>
      </c>
      <c r="AI480" s="117">
        <v>1148578</v>
      </c>
      <c r="AJ480" s="117">
        <v>70561</v>
      </c>
      <c r="AK480" s="117">
        <v>1219139</v>
      </c>
      <c r="AL480" s="111" t="s">
        <v>199</v>
      </c>
      <c r="AM480" s="111" t="s">
        <v>199</v>
      </c>
      <c r="AN480" s="117">
        <v>2551558</v>
      </c>
      <c r="AO480" s="117">
        <v>128904</v>
      </c>
      <c r="AP480" s="118">
        <v>2680462</v>
      </c>
    </row>
    <row r="481" spans="1:42" x14ac:dyDescent="0.3">
      <c r="A481" s="143"/>
      <c r="O481" s="170" t="s">
        <v>1172</v>
      </c>
      <c r="P481" s="171" t="s">
        <v>1139</v>
      </c>
      <c r="AF481" s="109" t="s">
        <v>1177</v>
      </c>
      <c r="AG481" s="111" t="s">
        <v>199</v>
      </c>
      <c r="AH481" s="117">
        <v>8348968</v>
      </c>
      <c r="AI481" s="111" t="s">
        <v>199</v>
      </c>
      <c r="AJ481" s="111" t="s">
        <v>199</v>
      </c>
      <c r="AK481" s="117">
        <v>8348968</v>
      </c>
      <c r="AL481" s="111" t="s">
        <v>199</v>
      </c>
      <c r="AM481" s="117">
        <v>41363015</v>
      </c>
      <c r="AN481" s="111" t="s">
        <v>199</v>
      </c>
      <c r="AO481" s="111" t="s">
        <v>199</v>
      </c>
      <c r="AP481" s="118">
        <v>41363015</v>
      </c>
    </row>
    <row r="482" spans="1:42" ht="67.5" x14ac:dyDescent="0.3">
      <c r="A482" s="142" t="s">
        <v>1178</v>
      </c>
      <c r="O482" s="177" t="s">
        <v>1174</v>
      </c>
      <c r="P482" s="178" t="s">
        <v>1175</v>
      </c>
      <c r="AF482" s="109" t="s">
        <v>1179</v>
      </c>
      <c r="AG482" s="111" t="s">
        <v>199</v>
      </c>
      <c r="AH482" s="111" t="s">
        <v>199</v>
      </c>
      <c r="AI482" s="111" t="s">
        <v>199</v>
      </c>
      <c r="AJ482" s="111" t="s">
        <v>199</v>
      </c>
      <c r="AK482" s="111" t="s">
        <v>199</v>
      </c>
      <c r="AL482" s="117">
        <v>3510626</v>
      </c>
      <c r="AM482" s="111" t="s">
        <v>199</v>
      </c>
      <c r="AN482" s="111" t="s">
        <v>199</v>
      </c>
      <c r="AO482" s="111" t="s">
        <v>199</v>
      </c>
      <c r="AP482" s="118">
        <v>3510626</v>
      </c>
    </row>
    <row r="483" spans="1:42" x14ac:dyDescent="0.3">
      <c r="A483" s="143"/>
      <c r="O483" s="143"/>
      <c r="AF483" s="170" t="s">
        <v>774</v>
      </c>
      <c r="AG483" s="111" t="s">
        <v>199</v>
      </c>
      <c r="AH483" s="117">
        <v>8348968</v>
      </c>
      <c r="AI483" s="117">
        <v>1888512</v>
      </c>
      <c r="AJ483" s="117">
        <v>70561</v>
      </c>
      <c r="AK483" s="117">
        <v>10308041</v>
      </c>
      <c r="AL483" s="117">
        <v>3510626</v>
      </c>
      <c r="AM483" s="117">
        <v>41363015</v>
      </c>
      <c r="AN483" s="117">
        <v>4218545</v>
      </c>
      <c r="AO483" s="117">
        <v>128904</v>
      </c>
      <c r="AP483" s="118">
        <v>49221090</v>
      </c>
    </row>
    <row r="484" spans="1:42" ht="78.75" x14ac:dyDescent="0.3">
      <c r="A484" s="142" t="s">
        <v>1180</v>
      </c>
      <c r="O484" s="142" t="s">
        <v>1178</v>
      </c>
      <c r="AF484" s="1712" t="s">
        <v>1181</v>
      </c>
      <c r="AG484" s="1713"/>
      <c r="AH484" s="1713"/>
      <c r="AI484" s="1713"/>
      <c r="AJ484" s="1713"/>
      <c r="AK484" s="1713"/>
      <c r="AL484" s="1713"/>
      <c r="AM484" s="1713"/>
      <c r="AN484" s="1713"/>
      <c r="AO484" s="1713"/>
      <c r="AP484" s="1714"/>
    </row>
    <row r="485" spans="1:42" x14ac:dyDescent="0.3">
      <c r="O485" s="143"/>
      <c r="AF485" s="109" t="s">
        <v>1182</v>
      </c>
      <c r="AG485" s="111" t="s">
        <v>199</v>
      </c>
      <c r="AH485" s="111" t="s">
        <v>199</v>
      </c>
      <c r="AI485" s="111" t="s">
        <v>199</v>
      </c>
      <c r="AJ485" s="117">
        <v>62837</v>
      </c>
      <c r="AK485" s="117">
        <v>62837</v>
      </c>
      <c r="AL485" s="111" t="s">
        <v>199</v>
      </c>
      <c r="AM485" s="111" t="s">
        <v>199</v>
      </c>
      <c r="AN485" s="111" t="s">
        <v>199</v>
      </c>
      <c r="AO485" s="117">
        <v>195957</v>
      </c>
      <c r="AP485" s="118">
        <v>195957</v>
      </c>
    </row>
    <row r="486" spans="1:42" ht="78.75" x14ac:dyDescent="0.3">
      <c r="A486" s="142" t="s">
        <v>1183</v>
      </c>
      <c r="O486" s="142" t="s">
        <v>1180</v>
      </c>
      <c r="AF486" s="109" t="s">
        <v>1184</v>
      </c>
      <c r="AG486" s="111" t="s">
        <v>199</v>
      </c>
      <c r="AH486" s="111" t="s">
        <v>199</v>
      </c>
      <c r="AI486" s="117">
        <v>-111834</v>
      </c>
      <c r="AJ486" s="117">
        <v>111294</v>
      </c>
      <c r="AK486" s="111">
        <v>-540</v>
      </c>
      <c r="AL486" s="111" t="s">
        <v>199</v>
      </c>
      <c r="AM486" s="111" t="s">
        <v>199</v>
      </c>
      <c r="AN486" s="117">
        <v>111078</v>
      </c>
      <c r="AO486" s="117">
        <v>115573</v>
      </c>
      <c r="AP486" s="118">
        <v>226651</v>
      </c>
    </row>
    <row r="487" spans="1:42" x14ac:dyDescent="0.3">
      <c r="A487" s="143"/>
      <c r="AF487" s="109" t="s">
        <v>1185</v>
      </c>
      <c r="AG487" s="117">
        <v>-255100</v>
      </c>
      <c r="AH487" s="111" t="s">
        <v>199</v>
      </c>
      <c r="AI487" s="111" t="s">
        <v>199</v>
      </c>
      <c r="AJ487" s="111" t="s">
        <v>199</v>
      </c>
      <c r="AK487" s="117">
        <v>-255100</v>
      </c>
      <c r="AL487" s="117">
        <v>2394018</v>
      </c>
      <c r="AM487" s="111" t="s">
        <v>199</v>
      </c>
      <c r="AN487" s="111" t="s">
        <v>199</v>
      </c>
      <c r="AO487" s="111" t="s">
        <v>199</v>
      </c>
      <c r="AP487" s="118">
        <v>2394018</v>
      </c>
    </row>
    <row r="488" spans="1:42" ht="45" x14ac:dyDescent="0.3">
      <c r="A488" s="142" t="s">
        <v>1186</v>
      </c>
      <c r="O488" s="142" t="s">
        <v>1183</v>
      </c>
      <c r="AF488" s="109" t="s">
        <v>1187</v>
      </c>
      <c r="AG488" s="111" t="s">
        <v>199</v>
      </c>
      <c r="AH488" s="111" t="s">
        <v>199</v>
      </c>
      <c r="AI488" s="117">
        <v>-797327</v>
      </c>
      <c r="AJ488" s="111" t="s">
        <v>199</v>
      </c>
      <c r="AK488" s="117">
        <v>-797327</v>
      </c>
      <c r="AL488" s="111" t="s">
        <v>199</v>
      </c>
      <c r="AM488" s="111" t="s">
        <v>199</v>
      </c>
      <c r="AN488" s="117">
        <v>-805351</v>
      </c>
      <c r="AO488" s="111" t="s">
        <v>199</v>
      </c>
      <c r="AP488" s="118">
        <v>-805351</v>
      </c>
    </row>
    <row r="489" spans="1:42" x14ac:dyDescent="0.3">
      <c r="O489" s="143"/>
      <c r="AF489" s="177" t="s">
        <v>774</v>
      </c>
      <c r="AG489" s="130">
        <v>-255100</v>
      </c>
      <c r="AH489" s="123" t="s">
        <v>199</v>
      </c>
      <c r="AI489" s="130">
        <v>-909161</v>
      </c>
      <c r="AJ489" s="130">
        <v>174131</v>
      </c>
      <c r="AK489" s="130">
        <v>-990130</v>
      </c>
      <c r="AL489" s="130">
        <v>2394018</v>
      </c>
      <c r="AM489" s="123" t="s">
        <v>199</v>
      </c>
      <c r="AN489" s="130">
        <v>-694273</v>
      </c>
      <c r="AO489" s="130">
        <v>311530</v>
      </c>
      <c r="AP489" s="131">
        <v>2011275</v>
      </c>
    </row>
    <row r="490" spans="1:42" ht="22.5" x14ac:dyDescent="0.3">
      <c r="A490" s="143"/>
      <c r="O490" s="142" t="s">
        <v>1186</v>
      </c>
      <c r="AF490" s="142" t="s">
        <v>1188</v>
      </c>
    </row>
    <row r="491" spans="1:42" ht="33.75" x14ac:dyDescent="0.3">
      <c r="A491" s="142" t="s">
        <v>1189</v>
      </c>
      <c r="AF491" s="143"/>
    </row>
    <row r="492" spans="1:42" x14ac:dyDescent="0.3">
      <c r="A492" s="143"/>
      <c r="O492" s="143"/>
      <c r="AF492" s="142" t="s">
        <v>992</v>
      </c>
    </row>
    <row r="493" spans="1:42" ht="33.75" x14ac:dyDescent="0.3">
      <c r="A493" s="142" t="s">
        <v>1190</v>
      </c>
      <c r="O493" s="142" t="s">
        <v>1189</v>
      </c>
      <c r="AF493" s="1695" t="s">
        <v>976</v>
      </c>
      <c r="AG493" s="1696"/>
      <c r="AH493" s="1696"/>
      <c r="AI493" s="1696"/>
      <c r="AJ493" s="1696"/>
      <c r="AK493" s="1696"/>
      <c r="AL493" s="1696"/>
      <c r="AM493" s="1696"/>
      <c r="AN493" s="1696"/>
      <c r="AO493" s="1696"/>
      <c r="AP493" s="1697"/>
    </row>
    <row r="494" spans="1:42" x14ac:dyDescent="0.3">
      <c r="A494" s="143"/>
      <c r="O494" s="143"/>
      <c r="AF494" s="1698" t="s">
        <v>977</v>
      </c>
      <c r="AG494" s="1699" t="s">
        <v>400</v>
      </c>
      <c r="AH494" s="1700"/>
      <c r="AI494" s="1700"/>
      <c r="AJ494" s="1700"/>
      <c r="AK494" s="1701"/>
      <c r="AL494" s="1699" t="s">
        <v>401</v>
      </c>
      <c r="AM494" s="1700"/>
      <c r="AN494" s="1700"/>
      <c r="AO494" s="1700"/>
      <c r="AP494" s="1702"/>
    </row>
    <row r="495" spans="1:42" ht="45" x14ac:dyDescent="0.3">
      <c r="A495" s="142" t="s">
        <v>1191</v>
      </c>
      <c r="O495" s="142" t="s">
        <v>1190</v>
      </c>
      <c r="AF495" s="1715"/>
      <c r="AG495" s="1699" t="s">
        <v>1165</v>
      </c>
      <c r="AH495" s="1701"/>
      <c r="AI495" s="1699" t="s">
        <v>1166</v>
      </c>
      <c r="AJ495" s="1701"/>
      <c r="AK495" s="1716" t="s">
        <v>774</v>
      </c>
      <c r="AL495" s="1699" t="s">
        <v>1165</v>
      </c>
      <c r="AM495" s="1701"/>
      <c r="AN495" s="1699" t="s">
        <v>1166</v>
      </c>
      <c r="AO495" s="1701"/>
      <c r="AP495" s="1718" t="s">
        <v>774</v>
      </c>
    </row>
    <row r="496" spans="1:42" x14ac:dyDescent="0.3">
      <c r="O496" s="143"/>
      <c r="AF496" s="1690"/>
      <c r="AG496" s="134" t="s">
        <v>1117</v>
      </c>
      <c r="AH496" s="134" t="s">
        <v>1118</v>
      </c>
      <c r="AI496" s="134" t="s">
        <v>1117</v>
      </c>
      <c r="AJ496" s="134" t="s">
        <v>1118</v>
      </c>
      <c r="AK496" s="1692"/>
      <c r="AL496" s="134" t="s">
        <v>1117</v>
      </c>
      <c r="AM496" s="134" t="s">
        <v>1118</v>
      </c>
      <c r="AN496" s="134" t="s">
        <v>1117</v>
      </c>
      <c r="AO496" s="134" t="s">
        <v>1118</v>
      </c>
      <c r="AP496" s="1694"/>
    </row>
    <row r="497" spans="1:42" ht="45" x14ac:dyDescent="0.3">
      <c r="A497" s="142" t="s">
        <v>1192</v>
      </c>
      <c r="O497" s="142" t="s">
        <v>1191</v>
      </c>
      <c r="AF497" s="1712" t="s">
        <v>1171</v>
      </c>
      <c r="AG497" s="1713"/>
      <c r="AH497" s="1713"/>
      <c r="AI497" s="1713"/>
      <c r="AJ497" s="1713"/>
      <c r="AK497" s="1713"/>
      <c r="AL497" s="1713"/>
      <c r="AM497" s="1713"/>
      <c r="AN497" s="1713"/>
      <c r="AO497" s="1713"/>
      <c r="AP497" s="1714"/>
    </row>
    <row r="498" spans="1:42" x14ac:dyDescent="0.3">
      <c r="A498" s="143"/>
      <c r="AF498" s="109" t="s">
        <v>1173</v>
      </c>
      <c r="AG498" s="111" t="s">
        <v>199</v>
      </c>
      <c r="AH498" s="111" t="s">
        <v>199</v>
      </c>
      <c r="AI498" s="117">
        <v>214000</v>
      </c>
      <c r="AJ498" s="111" t="s">
        <v>199</v>
      </c>
      <c r="AK498" s="117">
        <v>214000</v>
      </c>
      <c r="AL498" s="111" t="s">
        <v>199</v>
      </c>
      <c r="AM498" s="111" t="s">
        <v>199</v>
      </c>
      <c r="AN498" s="117">
        <v>371300</v>
      </c>
      <c r="AO498" s="111" t="s">
        <v>199</v>
      </c>
      <c r="AP498" s="118">
        <v>371300</v>
      </c>
    </row>
    <row r="499" spans="1:42" ht="33.75" x14ac:dyDescent="0.3">
      <c r="A499" s="142" t="s">
        <v>1193</v>
      </c>
      <c r="O499" s="142" t="s">
        <v>1192</v>
      </c>
      <c r="AF499" s="109" t="s">
        <v>1176</v>
      </c>
      <c r="AG499" s="111" t="s">
        <v>199</v>
      </c>
      <c r="AH499" s="111" t="s">
        <v>199</v>
      </c>
      <c r="AI499" s="117">
        <v>1691107</v>
      </c>
      <c r="AJ499" s="117">
        <v>76692</v>
      </c>
      <c r="AK499" s="117">
        <v>1767799</v>
      </c>
      <c r="AL499" s="111" t="s">
        <v>199</v>
      </c>
      <c r="AM499" s="111" t="s">
        <v>199</v>
      </c>
      <c r="AN499" s="117">
        <v>2958919</v>
      </c>
      <c r="AO499" s="117">
        <v>139502</v>
      </c>
      <c r="AP499" s="118">
        <v>3098421</v>
      </c>
    </row>
    <row r="500" spans="1:42" x14ac:dyDescent="0.3">
      <c r="O500" s="143"/>
      <c r="AF500" s="170" t="s">
        <v>774</v>
      </c>
      <c r="AG500" s="111" t="s">
        <v>199</v>
      </c>
      <c r="AH500" s="111" t="s">
        <v>199</v>
      </c>
      <c r="AI500" s="117">
        <v>1905107</v>
      </c>
      <c r="AJ500" s="117">
        <v>76692</v>
      </c>
      <c r="AK500" s="117">
        <v>1981799</v>
      </c>
      <c r="AL500" s="111" t="s">
        <v>199</v>
      </c>
      <c r="AM500" s="111" t="s">
        <v>199</v>
      </c>
      <c r="AN500" s="117">
        <v>3330219</v>
      </c>
      <c r="AO500" s="117">
        <v>139502</v>
      </c>
      <c r="AP500" s="118">
        <v>3469721</v>
      </c>
    </row>
    <row r="501" spans="1:42" ht="33.75" x14ac:dyDescent="0.3">
      <c r="A501" s="143"/>
      <c r="O501" s="142" t="s">
        <v>1193</v>
      </c>
      <c r="AF501" s="1712" t="s">
        <v>1181</v>
      </c>
      <c r="AG501" s="1713"/>
      <c r="AH501" s="1713"/>
      <c r="AI501" s="1713"/>
      <c r="AJ501" s="1713"/>
      <c r="AK501" s="1713"/>
      <c r="AL501" s="1713"/>
      <c r="AM501" s="1713"/>
      <c r="AN501" s="1713"/>
      <c r="AO501" s="1713"/>
      <c r="AP501" s="1714"/>
    </row>
    <row r="502" spans="1:42" x14ac:dyDescent="0.3">
      <c r="A502" s="142" t="s">
        <v>1194</v>
      </c>
      <c r="AF502" s="109" t="s">
        <v>1182</v>
      </c>
      <c r="AG502" s="111" t="s">
        <v>199</v>
      </c>
      <c r="AH502" s="111" t="s">
        <v>199</v>
      </c>
      <c r="AI502" s="111" t="s">
        <v>199</v>
      </c>
      <c r="AJ502" s="117">
        <v>74522</v>
      </c>
      <c r="AK502" s="117">
        <v>74522</v>
      </c>
      <c r="AL502" s="111" t="s">
        <v>199</v>
      </c>
      <c r="AM502" s="111" t="s">
        <v>199</v>
      </c>
      <c r="AN502" s="111" t="s">
        <v>199</v>
      </c>
      <c r="AO502" s="117">
        <v>230446</v>
      </c>
      <c r="AP502" s="118">
        <v>230446</v>
      </c>
    </row>
    <row r="503" spans="1:42" x14ac:dyDescent="0.3">
      <c r="A503" s="143"/>
      <c r="O503" s="143"/>
      <c r="AF503" s="109" t="s">
        <v>1184</v>
      </c>
      <c r="AG503" s="111" t="s">
        <v>199</v>
      </c>
      <c r="AH503" s="111" t="s">
        <v>199</v>
      </c>
      <c r="AI503" s="117">
        <v>-59101</v>
      </c>
      <c r="AJ503" s="117">
        <v>6338</v>
      </c>
      <c r="AK503" s="117">
        <v>-52763</v>
      </c>
      <c r="AL503" s="111" t="s">
        <v>199</v>
      </c>
      <c r="AM503" s="111" t="s">
        <v>199</v>
      </c>
      <c r="AN503" s="117">
        <v>66978</v>
      </c>
      <c r="AO503" s="117">
        <v>72182</v>
      </c>
      <c r="AP503" s="118">
        <v>139160</v>
      </c>
    </row>
    <row r="504" spans="1:42" ht="112.5" x14ac:dyDescent="0.3">
      <c r="A504" s="142" t="s">
        <v>1195</v>
      </c>
      <c r="O504" s="142" t="s">
        <v>1194</v>
      </c>
      <c r="AF504" s="109" t="s">
        <v>1185</v>
      </c>
      <c r="AG504" s="111" t="s">
        <v>199</v>
      </c>
      <c r="AH504" s="117">
        <v>-10604818</v>
      </c>
      <c r="AI504" s="111" t="s">
        <v>199</v>
      </c>
      <c r="AJ504" s="111" t="s">
        <v>199</v>
      </c>
      <c r="AK504" s="117">
        <v>-10604818</v>
      </c>
      <c r="AL504" s="111" t="s">
        <v>199</v>
      </c>
      <c r="AM504" s="117">
        <v>7995295</v>
      </c>
      <c r="AN504" s="111" t="s">
        <v>199</v>
      </c>
      <c r="AO504" s="111" t="s">
        <v>199</v>
      </c>
      <c r="AP504" s="118">
        <v>7995295</v>
      </c>
    </row>
    <row r="505" spans="1:42" x14ac:dyDescent="0.3">
      <c r="A505" s="143"/>
      <c r="O505" s="143"/>
      <c r="AF505" s="109" t="s">
        <v>1187</v>
      </c>
      <c r="AG505" s="111" t="s">
        <v>1196</v>
      </c>
      <c r="AH505" s="111" t="s">
        <v>199</v>
      </c>
      <c r="AI505" s="117">
        <v>507345</v>
      </c>
      <c r="AJ505" s="111" t="s">
        <v>199</v>
      </c>
      <c r="AK505" s="117">
        <v>507345</v>
      </c>
      <c r="AL505" s="111" t="s">
        <v>199</v>
      </c>
      <c r="AM505" s="111" t="s">
        <v>199</v>
      </c>
      <c r="AN505" s="117">
        <v>300288</v>
      </c>
      <c r="AO505" s="111" t="s">
        <v>199</v>
      </c>
      <c r="AP505" s="118">
        <v>300288</v>
      </c>
    </row>
    <row r="506" spans="1:42" ht="112.5" x14ac:dyDescent="0.3">
      <c r="A506" s="142" t="s">
        <v>1197</v>
      </c>
      <c r="O506" s="142" t="s">
        <v>1195</v>
      </c>
      <c r="AF506" s="177" t="s">
        <v>774</v>
      </c>
      <c r="AG506" s="123" t="s">
        <v>199</v>
      </c>
      <c r="AH506" s="130">
        <v>-10604818</v>
      </c>
      <c r="AI506" s="130">
        <v>448244</v>
      </c>
      <c r="AJ506" s="130">
        <v>80860</v>
      </c>
      <c r="AK506" s="130">
        <v>-10075714</v>
      </c>
      <c r="AL506" s="123" t="s">
        <v>199</v>
      </c>
      <c r="AM506" s="130">
        <v>7995295</v>
      </c>
      <c r="AN506" s="130">
        <v>367266</v>
      </c>
      <c r="AO506" s="130">
        <v>302628</v>
      </c>
      <c r="AP506" s="131">
        <v>8665189</v>
      </c>
    </row>
    <row r="507" spans="1:42" ht="22.5" x14ac:dyDescent="0.3">
      <c r="O507" s="143"/>
      <c r="AF507" s="142" t="s">
        <v>1188</v>
      </c>
    </row>
    <row r="508" spans="1:42" ht="90" x14ac:dyDescent="0.3">
      <c r="A508" s="142" t="s">
        <v>1198</v>
      </c>
      <c r="O508" s="142" t="s">
        <v>1197</v>
      </c>
    </row>
    <row r="509" spans="1:42" x14ac:dyDescent="0.3">
      <c r="A509" s="143"/>
    </row>
    <row r="510" spans="1:42" ht="33.75" x14ac:dyDescent="0.3">
      <c r="A510" s="142" t="s">
        <v>1199</v>
      </c>
      <c r="O510" s="142" t="s">
        <v>1198</v>
      </c>
      <c r="AF510" s="142" t="s">
        <v>1200</v>
      </c>
    </row>
    <row r="511" spans="1:42" ht="22.5" x14ac:dyDescent="0.3">
      <c r="A511" s="142" t="s">
        <v>1201</v>
      </c>
      <c r="O511" s="143"/>
    </row>
    <row r="512" spans="1:42" ht="22.5" x14ac:dyDescent="0.3">
      <c r="A512" s="142" t="s">
        <v>1202</v>
      </c>
      <c r="O512" s="142" t="s">
        <v>1199</v>
      </c>
    </row>
    <row r="513" spans="1:38" ht="22.5" x14ac:dyDescent="0.3">
      <c r="O513" s="142" t="s">
        <v>1201</v>
      </c>
      <c r="AF513" s="143"/>
    </row>
    <row r="514" spans="1:38" ht="78.75" x14ac:dyDescent="0.3">
      <c r="A514" s="142" t="s">
        <v>1203</v>
      </c>
      <c r="O514" s="142" t="s">
        <v>1202</v>
      </c>
      <c r="AF514" s="142" t="s">
        <v>1204</v>
      </c>
    </row>
    <row r="515" spans="1:38" x14ac:dyDescent="0.3">
      <c r="A515" s="143"/>
      <c r="AF515" s="143"/>
    </row>
    <row r="516" spans="1:38" ht="90" x14ac:dyDescent="0.3">
      <c r="A516" s="142" t="s">
        <v>1205</v>
      </c>
      <c r="O516" s="142" t="s">
        <v>1203</v>
      </c>
      <c r="AF516" s="142" t="s">
        <v>1206</v>
      </c>
    </row>
    <row r="517" spans="1:38" x14ac:dyDescent="0.3">
      <c r="O517" s="143"/>
    </row>
    <row r="518" spans="1:38" ht="90" x14ac:dyDescent="0.3">
      <c r="A518" s="142" t="s">
        <v>1207</v>
      </c>
      <c r="O518" s="142" t="s">
        <v>1205</v>
      </c>
    </row>
    <row r="519" spans="1:38" x14ac:dyDescent="0.3">
      <c r="A519" s="143"/>
      <c r="AF519" s="1695" t="s">
        <v>976</v>
      </c>
      <c r="AG519" s="1696"/>
      <c r="AH519" s="1696"/>
      <c r="AI519" s="1696"/>
      <c r="AJ519" s="1696"/>
      <c r="AK519" s="1696"/>
      <c r="AL519" s="1697"/>
    </row>
    <row r="520" spans="1:38" ht="67.5" x14ac:dyDescent="0.3">
      <c r="A520" s="142" t="s">
        <v>1208</v>
      </c>
      <c r="O520" s="142" t="s">
        <v>1207</v>
      </c>
      <c r="AF520" s="1698" t="s">
        <v>977</v>
      </c>
      <c r="AG520" s="1699" t="s">
        <v>786</v>
      </c>
      <c r="AH520" s="1700"/>
      <c r="AI520" s="1701"/>
      <c r="AJ520" s="1699" t="s">
        <v>787</v>
      </c>
      <c r="AK520" s="1700"/>
      <c r="AL520" s="1702"/>
    </row>
    <row r="521" spans="1:38" x14ac:dyDescent="0.3">
      <c r="A521" s="143"/>
      <c r="O521" s="143"/>
      <c r="AF521" s="1690"/>
      <c r="AG521" s="134" t="s">
        <v>1209</v>
      </c>
      <c r="AH521" s="134" t="s">
        <v>1210</v>
      </c>
      <c r="AI521" s="134" t="s">
        <v>1211</v>
      </c>
      <c r="AJ521" s="134" t="s">
        <v>1209</v>
      </c>
      <c r="AK521" s="134" t="s">
        <v>1210</v>
      </c>
      <c r="AL521" s="135" t="s">
        <v>1211</v>
      </c>
    </row>
    <row r="522" spans="1:38" ht="67.5" x14ac:dyDescent="0.3">
      <c r="A522" s="142" t="s">
        <v>1212</v>
      </c>
      <c r="O522" s="142" t="s">
        <v>1208</v>
      </c>
      <c r="AF522" s="1712" t="s">
        <v>1213</v>
      </c>
      <c r="AG522" s="1713"/>
      <c r="AH522" s="1713"/>
      <c r="AI522" s="1713"/>
      <c r="AJ522" s="1713"/>
      <c r="AK522" s="1713"/>
      <c r="AL522" s="1714"/>
    </row>
    <row r="523" spans="1:38" x14ac:dyDescent="0.3">
      <c r="A523" s="143"/>
      <c r="O523" s="143"/>
      <c r="AF523" s="114" t="s">
        <v>1077</v>
      </c>
      <c r="AG523" s="117">
        <v>25576039</v>
      </c>
      <c r="AH523" s="117">
        <v>-1004615</v>
      </c>
      <c r="AI523" s="117">
        <v>24571424</v>
      </c>
      <c r="AJ523" s="117">
        <v>19936987</v>
      </c>
      <c r="AK523" s="117">
        <v>-993467</v>
      </c>
      <c r="AL523" s="118">
        <v>18943520</v>
      </c>
    </row>
    <row r="524" spans="1:38" ht="67.5" x14ac:dyDescent="0.3">
      <c r="A524" s="142" t="s">
        <v>1214</v>
      </c>
      <c r="O524" s="142" t="s">
        <v>1212</v>
      </c>
      <c r="AF524" s="114" t="s">
        <v>1215</v>
      </c>
      <c r="AG524" s="117">
        <v>28587315</v>
      </c>
      <c r="AH524" s="117">
        <v>-4543502</v>
      </c>
      <c r="AI524" s="117">
        <v>24043813</v>
      </c>
      <c r="AJ524" s="117">
        <v>29951221</v>
      </c>
      <c r="AK524" s="117">
        <v>-5360000</v>
      </c>
      <c r="AL524" s="118">
        <v>24591221</v>
      </c>
    </row>
    <row r="525" spans="1:38" x14ac:dyDescent="0.3">
      <c r="O525" s="143"/>
      <c r="AF525" s="114" t="s">
        <v>1216</v>
      </c>
      <c r="AG525" s="117">
        <v>349198</v>
      </c>
      <c r="AH525" s="111" t="s">
        <v>199</v>
      </c>
      <c r="AI525" s="117">
        <v>349198</v>
      </c>
      <c r="AJ525" s="117">
        <v>106478</v>
      </c>
      <c r="AK525" s="111" t="s">
        <v>199</v>
      </c>
      <c r="AL525" s="118">
        <v>106478</v>
      </c>
    </row>
    <row r="526" spans="1:38" ht="67.5" x14ac:dyDescent="0.3">
      <c r="A526" s="142" t="s">
        <v>1217</v>
      </c>
      <c r="O526" s="142" t="s">
        <v>1214</v>
      </c>
      <c r="AF526" s="114" t="s">
        <v>1218</v>
      </c>
      <c r="AG526" s="117">
        <v>1465123</v>
      </c>
      <c r="AH526" s="111" t="s">
        <v>199</v>
      </c>
      <c r="AI526" s="117">
        <v>1465123</v>
      </c>
      <c r="AJ526" s="117">
        <v>193509</v>
      </c>
      <c r="AK526" s="111" t="s">
        <v>199</v>
      </c>
      <c r="AL526" s="118">
        <v>193509</v>
      </c>
    </row>
    <row r="527" spans="1:38" x14ac:dyDescent="0.3">
      <c r="A527" s="143"/>
      <c r="AF527" s="170" t="s">
        <v>980</v>
      </c>
      <c r="AG527" s="117">
        <v>55977675</v>
      </c>
      <c r="AH527" s="117">
        <v>-5548117</v>
      </c>
      <c r="AI527" s="117">
        <v>50429558</v>
      </c>
      <c r="AJ527" s="117">
        <v>50188195</v>
      </c>
      <c r="AK527" s="117">
        <v>-6353467</v>
      </c>
      <c r="AL527" s="118">
        <v>43834728</v>
      </c>
    </row>
    <row r="528" spans="1:38" ht="78.75" x14ac:dyDescent="0.3">
      <c r="A528" s="142" t="s">
        <v>1219</v>
      </c>
      <c r="O528" s="142" t="s">
        <v>1217</v>
      </c>
      <c r="AF528" s="1712" t="s">
        <v>1220</v>
      </c>
      <c r="AG528" s="1713"/>
      <c r="AH528" s="1713"/>
      <c r="AI528" s="1713"/>
      <c r="AJ528" s="1713"/>
      <c r="AK528" s="1713"/>
      <c r="AL528" s="1714"/>
    </row>
    <row r="529" spans="1:38" x14ac:dyDescent="0.3">
      <c r="O529" s="143"/>
      <c r="AF529" s="114" t="s">
        <v>1218</v>
      </c>
      <c r="AG529" s="117">
        <v>1426231</v>
      </c>
      <c r="AH529" s="111" t="s">
        <v>199</v>
      </c>
      <c r="AI529" s="117">
        <v>1426231</v>
      </c>
      <c r="AJ529" s="117">
        <v>2257319</v>
      </c>
      <c r="AK529" s="111" t="s">
        <v>199</v>
      </c>
      <c r="AL529" s="118">
        <v>2257319</v>
      </c>
    </row>
    <row r="530" spans="1:38" ht="78.75" x14ac:dyDescent="0.3">
      <c r="A530" s="143"/>
      <c r="O530" s="142" t="s">
        <v>1219</v>
      </c>
      <c r="AF530" s="170" t="s">
        <v>980</v>
      </c>
      <c r="AG530" s="117">
        <v>1426231</v>
      </c>
      <c r="AH530" s="111" t="s">
        <v>199</v>
      </c>
      <c r="AI530" s="117">
        <v>1426231</v>
      </c>
      <c r="AJ530" s="117">
        <v>2257319</v>
      </c>
      <c r="AK530" s="111" t="s">
        <v>199</v>
      </c>
      <c r="AL530" s="118">
        <v>2257319</v>
      </c>
    </row>
    <row r="531" spans="1:38" ht="56.25" x14ac:dyDescent="0.3">
      <c r="A531" s="142" t="s">
        <v>1221</v>
      </c>
      <c r="AF531" s="177" t="s">
        <v>774</v>
      </c>
      <c r="AG531" s="130">
        <v>57403906</v>
      </c>
      <c r="AH531" s="130">
        <v>-5548117</v>
      </c>
      <c r="AI531" s="130">
        <v>51855789</v>
      </c>
      <c r="AJ531" s="130">
        <v>52445514</v>
      </c>
      <c r="AK531" s="130">
        <v>-6353467</v>
      </c>
      <c r="AL531" s="131">
        <v>46092047</v>
      </c>
    </row>
    <row r="532" spans="1:38" x14ac:dyDescent="0.3">
      <c r="A532" s="143"/>
      <c r="O532" s="143"/>
      <c r="AF532" s="143"/>
    </row>
    <row r="533" spans="1:38" ht="56.25" x14ac:dyDescent="0.3">
      <c r="A533" s="142" t="s">
        <v>1222</v>
      </c>
      <c r="O533" s="142" t="s">
        <v>1221</v>
      </c>
      <c r="AF533" s="142" t="s">
        <v>1223</v>
      </c>
    </row>
    <row r="534" spans="1:38" x14ac:dyDescent="0.3">
      <c r="A534" s="143"/>
      <c r="O534" s="143"/>
      <c r="AF534" s="1695" t="s">
        <v>976</v>
      </c>
      <c r="AG534" s="1696"/>
      <c r="AH534" s="1697"/>
    </row>
    <row r="535" spans="1:38" ht="33.75" x14ac:dyDescent="0.3">
      <c r="A535" s="142" t="s">
        <v>1224</v>
      </c>
      <c r="O535" s="142" t="s">
        <v>1222</v>
      </c>
      <c r="AF535" s="161" t="s">
        <v>763</v>
      </c>
      <c r="AG535" s="134" t="s">
        <v>829</v>
      </c>
      <c r="AH535" s="135" t="s">
        <v>1001</v>
      </c>
    </row>
    <row r="536" spans="1:38" x14ac:dyDescent="0.3">
      <c r="A536" s="142" t="s">
        <v>1225</v>
      </c>
      <c r="O536" s="143"/>
      <c r="AF536" s="114" t="s">
        <v>1120</v>
      </c>
      <c r="AG536" s="117">
        <v>6353467</v>
      </c>
      <c r="AH536" s="118">
        <v>5603630</v>
      </c>
    </row>
    <row r="537" spans="1:38" ht="22.5" x14ac:dyDescent="0.3">
      <c r="A537" s="142" t="s">
        <v>1226</v>
      </c>
      <c r="O537" s="142" t="s">
        <v>1224</v>
      </c>
      <c r="AF537" s="114" t="s">
        <v>1227</v>
      </c>
      <c r="AG537" s="117">
        <v>-805350</v>
      </c>
      <c r="AH537" s="118">
        <v>300287</v>
      </c>
    </row>
    <row r="538" spans="1:38" x14ac:dyDescent="0.3">
      <c r="A538" s="142" t="s">
        <v>1228</v>
      </c>
      <c r="O538" s="142" t="s">
        <v>1225</v>
      </c>
      <c r="AF538" s="125" t="s">
        <v>1127</v>
      </c>
      <c r="AG538" s="130">
        <v>5548117</v>
      </c>
      <c r="AH538" s="131">
        <v>5903917</v>
      </c>
    </row>
    <row r="539" spans="1:38" ht="45" x14ac:dyDescent="0.3">
      <c r="A539" s="142" t="s">
        <v>1229</v>
      </c>
      <c r="O539" s="142" t="s">
        <v>1226</v>
      </c>
    </row>
    <row r="540" spans="1:38" x14ac:dyDescent="0.3">
      <c r="O540" s="142" t="s">
        <v>1228</v>
      </c>
    </row>
    <row r="541" spans="1:38" ht="56.25" x14ac:dyDescent="0.3">
      <c r="A541" s="142" t="s">
        <v>1230</v>
      </c>
      <c r="O541" s="142" t="s">
        <v>1229</v>
      </c>
      <c r="AF541" s="142" t="s">
        <v>1231</v>
      </c>
    </row>
    <row r="542" spans="1:38" x14ac:dyDescent="0.3">
      <c r="A542" s="143"/>
      <c r="AF542" s="143"/>
    </row>
    <row r="543" spans="1:38" ht="56.25" x14ac:dyDescent="0.3">
      <c r="A543" s="142" t="s">
        <v>1232</v>
      </c>
      <c r="O543" s="142" t="s">
        <v>1230</v>
      </c>
      <c r="AF543" s="142" t="s">
        <v>1233</v>
      </c>
    </row>
    <row r="544" spans="1:38" x14ac:dyDescent="0.3">
      <c r="A544" s="143"/>
      <c r="O544" s="143"/>
      <c r="AF544" s="143"/>
    </row>
    <row r="545" spans="1:36" ht="45" x14ac:dyDescent="0.3">
      <c r="A545" s="142" t="s">
        <v>1234</v>
      </c>
      <c r="O545" s="142" t="s">
        <v>1232</v>
      </c>
      <c r="AF545" s="142" t="s">
        <v>1058</v>
      </c>
    </row>
    <row r="546" spans="1:36" x14ac:dyDescent="0.3">
      <c r="A546" s="143"/>
      <c r="O546" s="143"/>
    </row>
    <row r="547" spans="1:36" ht="45" x14ac:dyDescent="0.3">
      <c r="A547" s="142" t="s">
        <v>1235</v>
      </c>
      <c r="O547" s="142" t="s">
        <v>1234</v>
      </c>
    </row>
    <row r="548" spans="1:36" x14ac:dyDescent="0.3">
      <c r="A548" s="143"/>
      <c r="O548" s="143"/>
      <c r="AF548" s="1695" t="s">
        <v>976</v>
      </c>
      <c r="AG548" s="1696"/>
      <c r="AH548" s="1696"/>
      <c r="AI548" s="1696"/>
      <c r="AJ548" s="1697"/>
    </row>
    <row r="549" spans="1:36" ht="45" x14ac:dyDescent="0.3">
      <c r="A549" s="142" t="s">
        <v>1236</v>
      </c>
      <c r="O549" s="142" t="s">
        <v>1235</v>
      </c>
      <c r="AF549" s="1698" t="s">
        <v>1237</v>
      </c>
      <c r="AG549" s="1716" t="s">
        <v>1238</v>
      </c>
      <c r="AH549" s="1716" t="s">
        <v>1239</v>
      </c>
      <c r="AI549" s="1699" t="s">
        <v>1240</v>
      </c>
      <c r="AJ549" s="1702"/>
    </row>
    <row r="550" spans="1:36" x14ac:dyDescent="0.3">
      <c r="O550" s="143"/>
      <c r="AF550" s="1690"/>
      <c r="AG550" s="1692"/>
      <c r="AH550" s="1692"/>
      <c r="AI550" s="134" t="s">
        <v>1241</v>
      </c>
      <c r="AJ550" s="135" t="s">
        <v>1242</v>
      </c>
    </row>
    <row r="551" spans="1:36" x14ac:dyDescent="0.3">
      <c r="A551" s="143"/>
      <c r="O551" s="142" t="s">
        <v>1236</v>
      </c>
      <c r="AF551" s="114" t="s">
        <v>1243</v>
      </c>
      <c r="AG551" s="119">
        <v>10961034</v>
      </c>
      <c r="AH551" s="119">
        <v>5268327</v>
      </c>
      <c r="AI551" s="119">
        <v>175168</v>
      </c>
      <c r="AJ551" s="120">
        <v>-5692707</v>
      </c>
    </row>
    <row r="552" spans="1:36" ht="33.75" x14ac:dyDescent="0.3">
      <c r="A552" s="142" t="s">
        <v>1244</v>
      </c>
      <c r="AF552" s="114" t="s">
        <v>1245</v>
      </c>
      <c r="AG552" s="119">
        <v>3378283</v>
      </c>
      <c r="AH552" s="119">
        <v>2211499</v>
      </c>
      <c r="AI552" s="119">
        <v>-103394</v>
      </c>
      <c r="AJ552" s="120">
        <v>-1166784</v>
      </c>
    </row>
    <row r="553" spans="1:36" x14ac:dyDescent="0.3">
      <c r="A553" s="143"/>
      <c r="O553" s="143"/>
      <c r="AF553" s="114" t="s">
        <v>1246</v>
      </c>
      <c r="AG553" s="119">
        <v>1768948</v>
      </c>
      <c r="AH553" s="119">
        <v>1179592</v>
      </c>
      <c r="AI553" s="115">
        <v>-51</v>
      </c>
      <c r="AJ553" s="120">
        <v>-589356</v>
      </c>
    </row>
    <row r="554" spans="1:36" ht="33.75" x14ac:dyDescent="0.3">
      <c r="A554" s="142" t="s">
        <v>1247</v>
      </c>
      <c r="O554" s="142" t="s">
        <v>1244</v>
      </c>
      <c r="AF554" s="114" t="s">
        <v>1248</v>
      </c>
      <c r="AG554" s="119">
        <v>10618788</v>
      </c>
      <c r="AH554" s="119">
        <v>5218415</v>
      </c>
      <c r="AI554" s="119">
        <v>-47357</v>
      </c>
      <c r="AJ554" s="120">
        <v>-5400373</v>
      </c>
    </row>
    <row r="555" spans="1:36" x14ac:dyDescent="0.3">
      <c r="A555" s="143"/>
      <c r="O555" s="143"/>
      <c r="AF555" s="146" t="s">
        <v>774</v>
      </c>
      <c r="AG555" s="126">
        <v>26727053</v>
      </c>
      <c r="AH555" s="126">
        <v>13877834</v>
      </c>
      <c r="AI555" s="126">
        <v>24366</v>
      </c>
      <c r="AJ555" s="127">
        <v>-12849220</v>
      </c>
    </row>
    <row r="556" spans="1:36" ht="67.5" x14ac:dyDescent="0.3">
      <c r="A556" s="142" t="s">
        <v>1249</v>
      </c>
      <c r="O556" s="142" t="s">
        <v>1247</v>
      </c>
      <c r="AF556" s="143"/>
    </row>
    <row r="557" spans="1:36" x14ac:dyDescent="0.3">
      <c r="A557" s="142"/>
      <c r="O557" s="143"/>
      <c r="AF557" s="142" t="s">
        <v>1100</v>
      </c>
    </row>
    <row r="558" spans="1:36" ht="67.5" x14ac:dyDescent="0.3">
      <c r="A558" s="142" t="s">
        <v>1250</v>
      </c>
      <c r="O558" s="142" t="s">
        <v>1249</v>
      </c>
      <c r="AF558" s="1695" t="s">
        <v>976</v>
      </c>
      <c r="AG558" s="1696"/>
      <c r="AH558" s="1696"/>
      <c r="AI558" s="1696"/>
      <c r="AJ558" s="1697"/>
    </row>
    <row r="559" spans="1:36" x14ac:dyDescent="0.3">
      <c r="A559" s="143"/>
      <c r="O559" s="142"/>
      <c r="AF559" s="1698" t="s">
        <v>1237</v>
      </c>
      <c r="AG559" s="1716" t="s">
        <v>1238</v>
      </c>
      <c r="AH559" s="1716" t="s">
        <v>1239</v>
      </c>
      <c r="AI559" s="1699" t="s">
        <v>1240</v>
      </c>
      <c r="AJ559" s="1702"/>
    </row>
    <row r="560" spans="1:36" ht="67.5" x14ac:dyDescent="0.3">
      <c r="A560" s="142" t="s">
        <v>1251</v>
      </c>
      <c r="O560" s="142" t="s">
        <v>1250</v>
      </c>
      <c r="AF560" s="1690"/>
      <c r="AG560" s="1692"/>
      <c r="AH560" s="1692"/>
      <c r="AI560" s="134" t="s">
        <v>1241</v>
      </c>
      <c r="AJ560" s="135" t="s">
        <v>1242</v>
      </c>
    </row>
    <row r="561" spans="1:36" x14ac:dyDescent="0.3">
      <c r="A561" s="143"/>
      <c r="O561" s="143"/>
      <c r="AF561" s="114" t="s">
        <v>1243</v>
      </c>
      <c r="AG561" s="119">
        <v>9552030</v>
      </c>
      <c r="AH561" s="119">
        <v>3593638</v>
      </c>
      <c r="AI561" s="119">
        <v>1957082</v>
      </c>
      <c r="AJ561" s="120">
        <v>-5958392</v>
      </c>
    </row>
    <row r="562" spans="1:36" ht="67.5" x14ac:dyDescent="0.3">
      <c r="A562" s="142" t="s">
        <v>1252</v>
      </c>
      <c r="O562" s="142" t="s">
        <v>1251</v>
      </c>
      <c r="AF562" s="114" t="s">
        <v>1245</v>
      </c>
      <c r="AG562" s="119">
        <v>2308843</v>
      </c>
      <c r="AH562" s="119">
        <v>1288548</v>
      </c>
      <c r="AI562" s="119">
        <v>459822</v>
      </c>
      <c r="AJ562" s="120">
        <v>-1020296</v>
      </c>
    </row>
    <row r="563" spans="1:36" x14ac:dyDescent="0.3">
      <c r="A563" s="143"/>
      <c r="O563" s="143"/>
      <c r="AF563" s="114" t="s">
        <v>1246</v>
      </c>
      <c r="AG563" s="119">
        <v>1086078</v>
      </c>
      <c r="AH563" s="119">
        <v>684525</v>
      </c>
      <c r="AI563" s="119">
        <v>822174</v>
      </c>
      <c r="AJ563" s="120">
        <v>-401553</v>
      </c>
    </row>
    <row r="564" spans="1:36" ht="45" x14ac:dyDescent="0.3">
      <c r="A564" s="142" t="s">
        <v>1253</v>
      </c>
      <c r="O564" s="142" t="s">
        <v>1252</v>
      </c>
      <c r="AF564" s="114" t="s">
        <v>1248</v>
      </c>
      <c r="AG564" s="119">
        <v>7634990</v>
      </c>
      <c r="AH564" s="119">
        <v>2091732</v>
      </c>
      <c r="AI564" s="119">
        <v>1369192</v>
      </c>
      <c r="AJ564" s="120">
        <v>-5543257</v>
      </c>
    </row>
    <row r="565" spans="1:36" x14ac:dyDescent="0.3">
      <c r="A565" s="143"/>
      <c r="O565" s="143"/>
      <c r="AF565" s="146" t="s">
        <v>774</v>
      </c>
      <c r="AG565" s="126">
        <v>20581941</v>
      </c>
      <c r="AH565" s="126">
        <v>7658443</v>
      </c>
      <c r="AI565" s="126">
        <v>4608270</v>
      </c>
      <c r="AJ565" s="127">
        <v>-12923498</v>
      </c>
    </row>
    <row r="566" spans="1:36" ht="45" x14ac:dyDescent="0.3">
      <c r="A566" s="142" t="s">
        <v>1254</v>
      </c>
      <c r="O566" s="142" t="s">
        <v>1253</v>
      </c>
      <c r="AF566" s="143"/>
    </row>
    <row r="567" spans="1:36" ht="45" x14ac:dyDescent="0.3">
      <c r="A567" s="143"/>
      <c r="O567" s="143"/>
      <c r="AF567" s="142" t="s">
        <v>1255</v>
      </c>
    </row>
    <row r="568" spans="1:36" ht="90" x14ac:dyDescent="0.3">
      <c r="A568" s="142" t="s">
        <v>1256</v>
      </c>
      <c r="O568" s="142" t="s">
        <v>1254</v>
      </c>
    </row>
    <row r="569" spans="1:36" x14ac:dyDescent="0.3">
      <c r="O569" s="143"/>
    </row>
    <row r="570" spans="1:36" ht="90" x14ac:dyDescent="0.3">
      <c r="A570" s="142" t="s">
        <v>1257</v>
      </c>
      <c r="O570" s="142" t="s">
        <v>1256</v>
      </c>
      <c r="AF570" s="142" t="s">
        <v>1258</v>
      </c>
    </row>
    <row r="571" spans="1:36" x14ac:dyDescent="0.3">
      <c r="AF571" s="143"/>
    </row>
    <row r="572" spans="1:36" ht="45" x14ac:dyDescent="0.3">
      <c r="A572" s="142" t="s">
        <v>1259</v>
      </c>
      <c r="O572" s="142" t="s">
        <v>1257</v>
      </c>
      <c r="AF572" s="142" t="s">
        <v>1260</v>
      </c>
    </row>
    <row r="573" spans="1:36" x14ac:dyDescent="0.3">
      <c r="A573" s="143"/>
    </row>
    <row r="574" spans="1:36" x14ac:dyDescent="0.3">
      <c r="A574" s="142" t="s">
        <v>1261</v>
      </c>
      <c r="O574" s="142" t="s">
        <v>1259</v>
      </c>
    </row>
    <row r="575" spans="1:36" x14ac:dyDescent="0.3">
      <c r="A575" s="143"/>
      <c r="O575" s="143"/>
      <c r="AF575" s="1695" t="s">
        <v>976</v>
      </c>
      <c r="AG575" s="1696"/>
      <c r="AH575" s="1697"/>
    </row>
    <row r="576" spans="1:36" ht="45" x14ac:dyDescent="0.3">
      <c r="A576" s="142" t="s">
        <v>1262</v>
      </c>
      <c r="O576" s="142" t="s">
        <v>1261</v>
      </c>
      <c r="AF576" s="161" t="s">
        <v>977</v>
      </c>
      <c r="AG576" s="134" t="s">
        <v>786</v>
      </c>
      <c r="AH576" s="135" t="s">
        <v>787</v>
      </c>
    </row>
    <row r="577" spans="1:38" x14ac:dyDescent="0.3">
      <c r="O577" s="143"/>
      <c r="AF577" s="1703" t="s">
        <v>1263</v>
      </c>
      <c r="AG577" s="1704"/>
      <c r="AH577" s="1727"/>
    </row>
    <row r="578" spans="1:38" ht="45" x14ac:dyDescent="0.15">
      <c r="A578" s="142" t="s">
        <v>1264</v>
      </c>
      <c r="O578" s="142" t="s">
        <v>1262</v>
      </c>
      <c r="AF578" s="114" t="s">
        <v>1265</v>
      </c>
      <c r="AG578" s="179" t="s">
        <v>1266</v>
      </c>
      <c r="AH578" s="180">
        <v>12701376</v>
      </c>
    </row>
    <row r="579" spans="1:38" x14ac:dyDescent="0.15">
      <c r="A579" s="143"/>
      <c r="AF579" s="114" t="s">
        <v>1267</v>
      </c>
      <c r="AG579" s="179" t="s">
        <v>1268</v>
      </c>
      <c r="AH579" s="180">
        <v>2471738</v>
      </c>
    </row>
    <row r="580" spans="1:38" ht="33.75" x14ac:dyDescent="0.15">
      <c r="A580" s="142" t="s">
        <v>1269</v>
      </c>
      <c r="O580" s="142" t="s">
        <v>1264</v>
      </c>
      <c r="AF580" s="114" t="s">
        <v>1270</v>
      </c>
      <c r="AG580" s="179" t="s">
        <v>1271</v>
      </c>
      <c r="AH580" s="180">
        <v>86198</v>
      </c>
    </row>
    <row r="581" spans="1:38" x14ac:dyDescent="0.15">
      <c r="O581" s="143"/>
      <c r="AF581" s="146" t="s">
        <v>774</v>
      </c>
      <c r="AG581" s="181" t="s">
        <v>1272</v>
      </c>
      <c r="AH581" s="182">
        <v>15259312</v>
      </c>
    </row>
    <row r="582" spans="1:38" ht="33.75" x14ac:dyDescent="0.3">
      <c r="A582" s="142" t="s">
        <v>1273</v>
      </c>
      <c r="O582" s="142" t="s">
        <v>1269</v>
      </c>
      <c r="AF582" s="142" t="s">
        <v>1274</v>
      </c>
    </row>
    <row r="583" spans="1:38" x14ac:dyDescent="0.3">
      <c r="AF583" s="143"/>
    </row>
    <row r="584" spans="1:38" ht="33.75" x14ac:dyDescent="0.3">
      <c r="A584" s="143"/>
      <c r="O584" s="142" t="s">
        <v>1273</v>
      </c>
      <c r="AF584" s="143"/>
    </row>
    <row r="585" spans="1:38" ht="67.5" x14ac:dyDescent="0.3">
      <c r="A585" s="142" t="s">
        <v>1275</v>
      </c>
      <c r="AF585" s="142" t="s">
        <v>1276</v>
      </c>
    </row>
    <row r="586" spans="1:38" x14ac:dyDescent="0.3">
      <c r="O586" s="143"/>
      <c r="AF586" s="143"/>
    </row>
    <row r="587" spans="1:38" ht="67.5" x14ac:dyDescent="0.3">
      <c r="A587" s="143"/>
      <c r="O587" s="142" t="s">
        <v>1275</v>
      </c>
      <c r="AF587" s="142" t="s">
        <v>1277</v>
      </c>
    </row>
    <row r="588" spans="1:38" ht="123.75" x14ac:dyDescent="0.3">
      <c r="A588" s="142" t="s">
        <v>1278</v>
      </c>
      <c r="AF588" s="1745" t="s">
        <v>780</v>
      </c>
      <c r="AG588" s="1747" t="s">
        <v>817</v>
      </c>
      <c r="AH588" s="1747" t="s">
        <v>782</v>
      </c>
      <c r="AI588" s="1747" t="s">
        <v>818</v>
      </c>
      <c r="AJ588" s="1747" t="s">
        <v>784</v>
      </c>
      <c r="AK588" s="1749" t="s">
        <v>785</v>
      </c>
      <c r="AL588" s="1750"/>
    </row>
    <row r="589" spans="1:38" ht="45" x14ac:dyDescent="0.3">
      <c r="A589" s="142" t="s">
        <v>1279</v>
      </c>
      <c r="O589" s="143"/>
      <c r="AF589" s="1746"/>
      <c r="AG589" s="1748"/>
      <c r="AH589" s="1748"/>
      <c r="AI589" s="1748"/>
      <c r="AJ589" s="1748"/>
      <c r="AK589" s="156" t="s">
        <v>786</v>
      </c>
      <c r="AL589" s="157" t="s">
        <v>787</v>
      </c>
    </row>
    <row r="590" spans="1:38" ht="123.75" x14ac:dyDescent="0.3">
      <c r="A590" s="143"/>
      <c r="O590" s="142" t="s">
        <v>1278</v>
      </c>
      <c r="AF590" s="1703" t="s">
        <v>1280</v>
      </c>
      <c r="AG590" s="1704"/>
      <c r="AH590" s="1704"/>
      <c r="AI590" s="1704"/>
      <c r="AJ590" s="1704"/>
      <c r="AK590" s="1704"/>
      <c r="AL590" s="1727"/>
    </row>
    <row r="591" spans="1:38" ht="45" x14ac:dyDescent="0.3">
      <c r="A591" s="142" t="s">
        <v>1281</v>
      </c>
      <c r="O591" s="142" t="s">
        <v>1279</v>
      </c>
      <c r="AF591" s="1720" t="s">
        <v>822</v>
      </c>
      <c r="AG591" s="110" t="s">
        <v>1282</v>
      </c>
      <c r="AH591" s="158" t="s">
        <v>1283</v>
      </c>
      <c r="AI591" s="110" t="s">
        <v>1284</v>
      </c>
      <c r="AJ591" s="158" t="s">
        <v>795</v>
      </c>
      <c r="AK591" s="144">
        <v>8.4500000000000006E-2</v>
      </c>
      <c r="AL591" s="145">
        <v>8.8599999999999998E-2</v>
      </c>
    </row>
    <row r="592" spans="1:38" x14ac:dyDescent="0.3">
      <c r="A592" s="143"/>
      <c r="AF592" s="1721"/>
      <c r="AG592" s="110" t="s">
        <v>1285</v>
      </c>
      <c r="AH592" s="158" t="s">
        <v>1283</v>
      </c>
      <c r="AI592" s="110" t="s">
        <v>1286</v>
      </c>
      <c r="AJ592" s="158" t="s">
        <v>795</v>
      </c>
      <c r="AK592" s="144">
        <v>0.10340000000000001</v>
      </c>
      <c r="AL592" s="116" t="s">
        <v>199</v>
      </c>
    </row>
    <row r="593" spans="1:38" ht="112.5" x14ac:dyDescent="0.3">
      <c r="A593" s="142" t="s">
        <v>1287</v>
      </c>
      <c r="O593" s="143"/>
      <c r="AF593" s="1722"/>
      <c r="AG593" s="122" t="s">
        <v>1288</v>
      </c>
      <c r="AH593" s="159" t="s">
        <v>1283</v>
      </c>
      <c r="AI593" s="122" t="s">
        <v>1289</v>
      </c>
      <c r="AJ593" s="159" t="s">
        <v>795</v>
      </c>
      <c r="AK593" s="147">
        <v>9.06E-2</v>
      </c>
      <c r="AL593" s="137" t="s">
        <v>199</v>
      </c>
    </row>
    <row r="594" spans="1:38" ht="33.75" x14ac:dyDescent="0.3">
      <c r="A594" s="143"/>
      <c r="O594" s="142" t="s">
        <v>1281</v>
      </c>
      <c r="AF594" s="142" t="s">
        <v>1290</v>
      </c>
    </row>
    <row r="595" spans="1:38" x14ac:dyDescent="0.3">
      <c r="A595" s="142" t="s">
        <v>1291</v>
      </c>
      <c r="O595" s="143"/>
    </row>
    <row r="596" spans="1:38" ht="112.5" x14ac:dyDescent="0.3">
      <c r="A596" s="143"/>
      <c r="O596" s="142" t="s">
        <v>1287</v>
      </c>
      <c r="AF596" s="142" t="s">
        <v>1292</v>
      </c>
    </row>
    <row r="597" spans="1:38" ht="45" x14ac:dyDescent="0.15">
      <c r="A597" s="142" t="s">
        <v>1293</v>
      </c>
      <c r="O597" s="143"/>
      <c r="AF597" s="1728" t="s">
        <v>976</v>
      </c>
      <c r="AG597" s="1729"/>
      <c r="AH597" s="1729"/>
      <c r="AI597" s="1729"/>
      <c r="AJ597" s="1729"/>
      <c r="AK597" s="1729"/>
      <c r="AL597" s="1730"/>
    </row>
    <row r="598" spans="1:38" x14ac:dyDescent="0.3">
      <c r="A598" s="143"/>
      <c r="O598" s="142" t="s">
        <v>1291</v>
      </c>
      <c r="AF598" s="1698" t="s">
        <v>874</v>
      </c>
      <c r="AG598" s="1699" t="s">
        <v>786</v>
      </c>
      <c r="AH598" s="1700"/>
      <c r="AI598" s="1701"/>
      <c r="AJ598" s="1699" t="s">
        <v>787</v>
      </c>
      <c r="AK598" s="1700"/>
      <c r="AL598" s="1702"/>
    </row>
    <row r="599" spans="1:38" ht="56.25" x14ac:dyDescent="0.3">
      <c r="A599" s="142" t="s">
        <v>1294</v>
      </c>
      <c r="O599" s="143"/>
      <c r="AF599" s="1690"/>
      <c r="AG599" s="134" t="s">
        <v>1295</v>
      </c>
      <c r="AH599" s="134" t="s">
        <v>1296</v>
      </c>
      <c r="AI599" s="134" t="s">
        <v>1061</v>
      </c>
      <c r="AJ599" s="134" t="s">
        <v>1295</v>
      </c>
      <c r="AK599" s="134" t="s">
        <v>1296</v>
      </c>
      <c r="AL599" s="135" t="s">
        <v>1061</v>
      </c>
    </row>
    <row r="600" spans="1:38" ht="45" x14ac:dyDescent="0.3">
      <c r="O600" s="142" t="s">
        <v>1293</v>
      </c>
      <c r="AF600" s="114" t="s">
        <v>1297</v>
      </c>
      <c r="AG600" s="117">
        <v>251230</v>
      </c>
      <c r="AH600" s="117">
        <v>471124</v>
      </c>
      <c r="AI600" s="117">
        <v>717491</v>
      </c>
      <c r="AJ600" s="117">
        <v>251230</v>
      </c>
      <c r="AK600" s="117">
        <v>15402</v>
      </c>
      <c r="AL600" s="118">
        <v>275387</v>
      </c>
    </row>
    <row r="601" spans="1:38" ht="45" x14ac:dyDescent="0.3">
      <c r="A601" s="142" t="s">
        <v>1298</v>
      </c>
      <c r="O601" s="143"/>
      <c r="AF601" s="114" t="s">
        <v>1299</v>
      </c>
      <c r="AG601" s="117">
        <v>3011475</v>
      </c>
      <c r="AH601" s="117">
        <v>2751764</v>
      </c>
      <c r="AI601" s="117">
        <v>2813143</v>
      </c>
      <c r="AJ601" s="111" t="s">
        <v>199</v>
      </c>
      <c r="AK601" s="111" t="s">
        <v>199</v>
      </c>
      <c r="AL601" s="112" t="s">
        <v>199</v>
      </c>
    </row>
    <row r="602" spans="1:38" ht="56.25" x14ac:dyDescent="0.3">
      <c r="O602" s="142" t="s">
        <v>1294</v>
      </c>
      <c r="AF602" s="114" t="s">
        <v>1300</v>
      </c>
      <c r="AG602" s="117">
        <v>4000080</v>
      </c>
      <c r="AH602" s="117">
        <v>2296589</v>
      </c>
      <c r="AI602" s="117">
        <v>4410458</v>
      </c>
      <c r="AJ602" s="111" t="s">
        <v>199</v>
      </c>
      <c r="AK602" s="111" t="s">
        <v>199</v>
      </c>
      <c r="AL602" s="112" t="s">
        <v>199</v>
      </c>
    </row>
    <row r="603" spans="1:38" ht="56.25" x14ac:dyDescent="0.3">
      <c r="A603" s="142" t="s">
        <v>1301</v>
      </c>
      <c r="AF603" s="146" t="s">
        <v>774</v>
      </c>
      <c r="AG603" s="130">
        <v>7262785</v>
      </c>
      <c r="AH603" s="130">
        <v>5519477</v>
      </c>
      <c r="AI603" s="130">
        <v>7941092</v>
      </c>
      <c r="AJ603" s="130">
        <v>251230</v>
      </c>
      <c r="AK603" s="130">
        <v>15402</v>
      </c>
      <c r="AL603" s="131">
        <v>275387</v>
      </c>
    </row>
    <row r="604" spans="1:38" ht="45" x14ac:dyDescent="0.3">
      <c r="A604" s="143"/>
      <c r="O604" s="142" t="s">
        <v>1298</v>
      </c>
      <c r="AF604" s="142" t="s">
        <v>1302</v>
      </c>
    </row>
    <row r="605" spans="1:38" ht="33.75" x14ac:dyDescent="0.3">
      <c r="A605" s="142" t="s">
        <v>1303</v>
      </c>
      <c r="AF605" s="142" t="s">
        <v>1304</v>
      </c>
    </row>
    <row r="606" spans="1:38" ht="56.25" x14ac:dyDescent="0.3">
      <c r="O606" s="142" t="s">
        <v>1301</v>
      </c>
      <c r="AF606" s="142" t="s">
        <v>1305</v>
      </c>
    </row>
    <row r="607" spans="1:38" x14ac:dyDescent="0.3">
      <c r="A607" s="142" t="s">
        <v>1306</v>
      </c>
      <c r="O607" s="143"/>
    </row>
    <row r="608" spans="1:38" ht="22.5" x14ac:dyDescent="0.3">
      <c r="O608" s="142" t="s">
        <v>1303</v>
      </c>
      <c r="AF608" s="142" t="s">
        <v>1307</v>
      </c>
    </row>
    <row r="609" spans="1:38" x14ac:dyDescent="0.3">
      <c r="A609" s="143"/>
      <c r="AF609" s="143"/>
    </row>
    <row r="610" spans="1:38" x14ac:dyDescent="0.3">
      <c r="A610" s="142" t="s">
        <v>1308</v>
      </c>
      <c r="O610" s="142" t="s">
        <v>1306</v>
      </c>
      <c r="AF610" s="142" t="s">
        <v>824</v>
      </c>
    </row>
    <row r="611" spans="1:38" x14ac:dyDescent="0.3">
      <c r="A611" s="143"/>
    </row>
    <row r="612" spans="1:38" ht="67.5" x14ac:dyDescent="0.15">
      <c r="A612" s="142" t="s">
        <v>1309</v>
      </c>
      <c r="O612" s="143"/>
      <c r="AF612" s="1728" t="s">
        <v>826</v>
      </c>
      <c r="AG612" s="1729"/>
      <c r="AH612" s="1729"/>
      <c r="AI612" s="1729"/>
      <c r="AJ612" s="1729"/>
      <c r="AK612" s="1729"/>
      <c r="AL612" s="1730"/>
    </row>
    <row r="613" spans="1:38" x14ac:dyDescent="0.3">
      <c r="A613" s="143"/>
      <c r="O613" s="142" t="s">
        <v>1308</v>
      </c>
      <c r="AF613" s="161" t="s">
        <v>874</v>
      </c>
      <c r="AG613" s="134" t="s">
        <v>269</v>
      </c>
      <c r="AH613" s="134" t="s">
        <v>320</v>
      </c>
      <c r="AI613" s="134" t="s">
        <v>361</v>
      </c>
      <c r="AJ613" s="134" t="s">
        <v>832</v>
      </c>
      <c r="AK613" s="134" t="s">
        <v>1310</v>
      </c>
      <c r="AL613" s="135" t="s">
        <v>472</v>
      </c>
    </row>
    <row r="614" spans="1:38" ht="67.5" x14ac:dyDescent="0.3">
      <c r="A614" s="142" t="s">
        <v>1311</v>
      </c>
      <c r="O614" s="143"/>
      <c r="AF614" s="162" t="s">
        <v>1312</v>
      </c>
      <c r="AG614" s="117">
        <v>11103683</v>
      </c>
      <c r="AH614" s="117">
        <v>5584907</v>
      </c>
      <c r="AI614" s="117">
        <v>5518776</v>
      </c>
      <c r="AJ614" s="117">
        <v>6153819</v>
      </c>
      <c r="AK614" s="117">
        <v>-691656</v>
      </c>
      <c r="AL614" s="118">
        <v>-691656</v>
      </c>
    </row>
    <row r="615" spans="1:38" ht="67.5" x14ac:dyDescent="0.3">
      <c r="O615" s="142" t="s">
        <v>1309</v>
      </c>
      <c r="AF615" s="162" t="s">
        <v>1313</v>
      </c>
      <c r="AG615" s="117">
        <v>28968716</v>
      </c>
      <c r="AH615" s="117">
        <v>2368334</v>
      </c>
      <c r="AI615" s="117">
        <v>26600381</v>
      </c>
      <c r="AJ615" s="117">
        <v>117225</v>
      </c>
      <c r="AK615" s="117">
        <v>-1966530</v>
      </c>
      <c r="AL615" s="118">
        <v>-1966530</v>
      </c>
    </row>
    <row r="616" spans="1:38" x14ac:dyDescent="0.3">
      <c r="A616" s="143"/>
      <c r="O616" s="143"/>
      <c r="AF616" s="146" t="s">
        <v>1314</v>
      </c>
      <c r="AG616" s="130">
        <v>26479184</v>
      </c>
      <c r="AH616" s="130">
        <v>1134448</v>
      </c>
      <c r="AI616" s="130">
        <v>25344736</v>
      </c>
      <c r="AJ616" s="130">
        <v>50528</v>
      </c>
      <c r="AK616" s="130">
        <v>-5769698</v>
      </c>
      <c r="AL616" s="131">
        <v>-5692346</v>
      </c>
    </row>
    <row r="617" spans="1:38" ht="67.5" x14ac:dyDescent="0.3">
      <c r="A617" s="142" t="s">
        <v>1315</v>
      </c>
      <c r="O617" s="142" t="s">
        <v>1311</v>
      </c>
      <c r="AF617" s="143"/>
    </row>
    <row r="618" spans="1:38" x14ac:dyDescent="0.3">
      <c r="AF618" s="142" t="s">
        <v>841</v>
      </c>
    </row>
    <row r="619" spans="1:38" x14ac:dyDescent="0.15">
      <c r="A619" s="143"/>
      <c r="O619" s="143"/>
      <c r="AF619" s="1728" t="s">
        <v>826</v>
      </c>
      <c r="AG619" s="1729"/>
      <c r="AH619" s="1729"/>
      <c r="AI619" s="1729"/>
      <c r="AJ619" s="1729"/>
      <c r="AK619" s="1729"/>
      <c r="AL619" s="1730"/>
    </row>
    <row r="620" spans="1:38" ht="33.75" x14ac:dyDescent="0.3">
      <c r="A620" s="142" t="s">
        <v>1316</v>
      </c>
      <c r="O620" s="142" t="s">
        <v>1315</v>
      </c>
      <c r="AF620" s="161" t="s">
        <v>874</v>
      </c>
      <c r="AG620" s="134" t="s">
        <v>269</v>
      </c>
      <c r="AH620" s="134" t="s">
        <v>320</v>
      </c>
      <c r="AI620" s="134" t="s">
        <v>361</v>
      </c>
      <c r="AJ620" s="134" t="s">
        <v>832</v>
      </c>
      <c r="AK620" s="134" t="s">
        <v>1310</v>
      </c>
      <c r="AL620" s="135" t="s">
        <v>472</v>
      </c>
    </row>
    <row r="621" spans="1:38" x14ac:dyDescent="0.3">
      <c r="AF621" s="146" t="s">
        <v>1312</v>
      </c>
      <c r="AG621" s="130">
        <v>6215931</v>
      </c>
      <c r="AH621" s="130">
        <v>6100837</v>
      </c>
      <c r="AI621" s="130">
        <v>115094</v>
      </c>
      <c r="AJ621" s="130">
        <v>7981656</v>
      </c>
      <c r="AK621" s="130">
        <v>248574</v>
      </c>
      <c r="AL621" s="131">
        <v>248574</v>
      </c>
    </row>
    <row r="622" spans="1:38" ht="67.5" x14ac:dyDescent="0.3">
      <c r="A622" s="142" t="s">
        <v>1317</v>
      </c>
      <c r="O622" s="143"/>
    </row>
    <row r="623" spans="1:38" ht="33.75" x14ac:dyDescent="0.3">
      <c r="O623" s="142" t="s">
        <v>1316</v>
      </c>
      <c r="AF623" s="142" t="s">
        <v>1318</v>
      </c>
    </row>
    <row r="624" spans="1:38" ht="90" x14ac:dyDescent="0.3">
      <c r="A624" s="142" t="s">
        <v>1319</v>
      </c>
      <c r="AF624" s="143"/>
    </row>
    <row r="625" spans="1:38" ht="67.5" x14ac:dyDescent="0.3">
      <c r="O625" s="142" t="s">
        <v>1317</v>
      </c>
      <c r="AF625" s="142" t="s">
        <v>824</v>
      </c>
    </row>
    <row r="626" spans="1:38" x14ac:dyDescent="0.3">
      <c r="A626" s="143"/>
    </row>
    <row r="627" spans="1:38" ht="90" x14ac:dyDescent="0.15">
      <c r="A627" s="142" t="s">
        <v>1320</v>
      </c>
      <c r="O627" s="142" t="s">
        <v>1319</v>
      </c>
      <c r="AF627" s="1728" t="s">
        <v>826</v>
      </c>
      <c r="AG627" s="1729"/>
      <c r="AH627" s="1729"/>
      <c r="AI627" s="1729"/>
      <c r="AJ627" s="1729"/>
      <c r="AK627" s="1729"/>
      <c r="AL627" s="1730"/>
    </row>
    <row r="628" spans="1:38" x14ac:dyDescent="0.3">
      <c r="A628" s="143"/>
      <c r="AF628" s="161" t="s">
        <v>874</v>
      </c>
      <c r="AG628" s="134" t="s">
        <v>1120</v>
      </c>
      <c r="AH628" s="134" t="s">
        <v>1321</v>
      </c>
      <c r="AI628" s="134" t="s">
        <v>1322</v>
      </c>
      <c r="AJ628" s="134" t="s">
        <v>516</v>
      </c>
      <c r="AK628" s="134" t="s">
        <v>1323</v>
      </c>
      <c r="AL628" s="135" t="s">
        <v>1127</v>
      </c>
    </row>
    <row r="629" spans="1:38" ht="33.75" x14ac:dyDescent="0.3">
      <c r="A629" s="142" t="s">
        <v>1324</v>
      </c>
      <c r="O629" s="143"/>
      <c r="AF629" s="162" t="s">
        <v>1312</v>
      </c>
      <c r="AG629" s="117">
        <v>275387</v>
      </c>
      <c r="AH629" s="111" t="s">
        <v>199</v>
      </c>
      <c r="AI629" s="117">
        <v>-51272</v>
      </c>
      <c r="AJ629" s="111" t="s">
        <v>199</v>
      </c>
      <c r="AK629" s="117">
        <v>493376</v>
      </c>
      <c r="AL629" s="118">
        <v>717491</v>
      </c>
    </row>
    <row r="630" spans="1:38" x14ac:dyDescent="0.3">
      <c r="A630" s="143"/>
      <c r="O630" s="142" t="s">
        <v>1320</v>
      </c>
      <c r="AF630" s="162" t="s">
        <v>1313</v>
      </c>
      <c r="AG630" s="111" t="s">
        <v>199</v>
      </c>
      <c r="AH630" s="117">
        <v>3011475</v>
      </c>
      <c r="AI630" s="117">
        <v>-192466</v>
      </c>
      <c r="AJ630" s="111" t="s">
        <v>199</v>
      </c>
      <c r="AK630" s="117">
        <v>-5866</v>
      </c>
      <c r="AL630" s="118">
        <v>2813143</v>
      </c>
    </row>
    <row r="631" spans="1:38" ht="67.5" x14ac:dyDescent="0.3">
      <c r="A631" s="142" t="s">
        <v>1325</v>
      </c>
      <c r="O631" s="143"/>
      <c r="AF631" s="146" t="s">
        <v>1314</v>
      </c>
      <c r="AG631" s="123" t="s">
        <v>199</v>
      </c>
      <c r="AH631" s="130">
        <v>4000080</v>
      </c>
      <c r="AI631" s="130">
        <v>-522816</v>
      </c>
      <c r="AJ631" s="130">
        <v>7009</v>
      </c>
      <c r="AK631" s="130">
        <v>926184</v>
      </c>
      <c r="AL631" s="131">
        <v>4410458</v>
      </c>
    </row>
    <row r="632" spans="1:38" ht="33.75" x14ac:dyDescent="0.3">
      <c r="O632" s="142" t="s">
        <v>1324</v>
      </c>
      <c r="AF632" s="143"/>
    </row>
    <row r="633" spans="1:38" x14ac:dyDescent="0.3">
      <c r="A633" s="142" t="s">
        <v>1326</v>
      </c>
      <c r="O633" s="143"/>
      <c r="AF633" s="142" t="s">
        <v>992</v>
      </c>
    </row>
    <row r="634" spans="1:38" ht="67.5" x14ac:dyDescent="0.15">
      <c r="A634" s="143"/>
      <c r="O634" s="142" t="s">
        <v>1325</v>
      </c>
      <c r="AF634" s="1728" t="s">
        <v>826</v>
      </c>
      <c r="AG634" s="1729"/>
      <c r="AH634" s="1729"/>
      <c r="AI634" s="1729"/>
      <c r="AJ634" s="1729"/>
      <c r="AK634" s="1729"/>
      <c r="AL634" s="1730"/>
    </row>
    <row r="635" spans="1:38" x14ac:dyDescent="0.3">
      <c r="A635" s="142" t="s">
        <v>1327</v>
      </c>
      <c r="AF635" s="161" t="s">
        <v>874</v>
      </c>
      <c r="AG635" s="134" t="s">
        <v>1120</v>
      </c>
      <c r="AH635" s="134" t="s">
        <v>1321</v>
      </c>
      <c r="AI635" s="134" t="s">
        <v>1322</v>
      </c>
      <c r="AJ635" s="134" t="s">
        <v>516</v>
      </c>
      <c r="AK635" s="134" t="s">
        <v>1323</v>
      </c>
      <c r="AL635" s="135" t="s">
        <v>1127</v>
      </c>
    </row>
    <row r="636" spans="1:38" x14ac:dyDescent="0.3">
      <c r="A636" s="143"/>
      <c r="O636" s="142" t="s">
        <v>1326</v>
      </c>
      <c r="AF636" s="146" t="s">
        <v>1312</v>
      </c>
      <c r="AG636" s="123" t="s">
        <v>199</v>
      </c>
      <c r="AH636" s="130">
        <v>251230</v>
      </c>
      <c r="AI636" s="123" t="s">
        <v>199</v>
      </c>
      <c r="AJ636" s="123" t="s">
        <v>199</v>
      </c>
      <c r="AK636" s="123" t="s">
        <v>199</v>
      </c>
      <c r="AL636" s="131">
        <v>251230</v>
      </c>
    </row>
    <row r="637" spans="1:38" ht="67.5" x14ac:dyDescent="0.3">
      <c r="A637" s="142" t="s">
        <v>1328</v>
      </c>
      <c r="O637" s="143"/>
    </row>
    <row r="638" spans="1:38" x14ac:dyDescent="0.3">
      <c r="A638" s="143"/>
      <c r="O638" s="142" t="s">
        <v>1327</v>
      </c>
    </row>
    <row r="639" spans="1:38" x14ac:dyDescent="0.3">
      <c r="A639" s="142" t="s">
        <v>1329</v>
      </c>
      <c r="O639" s="143"/>
      <c r="AF639" s="142" t="s">
        <v>1330</v>
      </c>
    </row>
    <row r="640" spans="1:38" ht="67.5" x14ac:dyDescent="0.3">
      <c r="A640" s="143"/>
      <c r="O640" s="142" t="s">
        <v>1328</v>
      </c>
      <c r="AF640" s="143"/>
    </row>
    <row r="641" spans="1:36" ht="45" x14ac:dyDescent="0.3">
      <c r="A641" s="142" t="s">
        <v>1331</v>
      </c>
      <c r="O641" s="143"/>
      <c r="AF641" s="142" t="s">
        <v>1332</v>
      </c>
    </row>
    <row r="642" spans="1:36" x14ac:dyDescent="0.3">
      <c r="A642" s="143"/>
      <c r="O642" s="142" t="s">
        <v>1333</v>
      </c>
      <c r="AF642" s="143"/>
    </row>
    <row r="643" spans="1:36" x14ac:dyDescent="0.3">
      <c r="A643" s="142" t="s">
        <v>1334</v>
      </c>
      <c r="O643" s="143"/>
      <c r="AF643" s="142" t="s">
        <v>1335</v>
      </c>
    </row>
    <row r="644" spans="1:36" ht="45" x14ac:dyDescent="0.3">
      <c r="A644" s="143"/>
      <c r="O644" s="142" t="s">
        <v>1331</v>
      </c>
    </row>
    <row r="645" spans="1:36" ht="56.25" x14ac:dyDescent="0.3">
      <c r="A645" s="142" t="s">
        <v>1336</v>
      </c>
      <c r="O645" s="143"/>
    </row>
    <row r="646" spans="1:36" x14ac:dyDescent="0.3">
      <c r="O646" s="142" t="s">
        <v>1334</v>
      </c>
      <c r="AF646" s="1695" t="s">
        <v>976</v>
      </c>
      <c r="AG646" s="1696"/>
      <c r="AH646" s="1696"/>
      <c r="AI646" s="1696"/>
      <c r="AJ646" s="1697"/>
    </row>
    <row r="647" spans="1:36" x14ac:dyDescent="0.3">
      <c r="A647" s="143"/>
      <c r="O647" s="143"/>
      <c r="AF647" s="161" t="s">
        <v>977</v>
      </c>
      <c r="AG647" s="134" t="s">
        <v>1295</v>
      </c>
      <c r="AH647" s="134" t="s">
        <v>1337</v>
      </c>
      <c r="AI647" s="134" t="s">
        <v>1338</v>
      </c>
      <c r="AJ647" s="135" t="s">
        <v>1061</v>
      </c>
    </row>
    <row r="648" spans="1:36" ht="56.25" x14ac:dyDescent="0.3">
      <c r="A648" s="142" t="s">
        <v>1339</v>
      </c>
      <c r="O648" s="142" t="s">
        <v>1336</v>
      </c>
      <c r="AF648" s="109" t="s">
        <v>1138</v>
      </c>
      <c r="AG648" s="117">
        <v>31456</v>
      </c>
      <c r="AH648" s="117">
        <v>-27574</v>
      </c>
      <c r="AI648" s="111" t="s">
        <v>199</v>
      </c>
      <c r="AJ648" s="118">
        <v>3882</v>
      </c>
    </row>
    <row r="649" spans="1:36" x14ac:dyDescent="0.3">
      <c r="A649" s="143"/>
      <c r="AF649" s="109" t="s">
        <v>1142</v>
      </c>
      <c r="AG649" s="117">
        <v>3387307</v>
      </c>
      <c r="AH649" s="117">
        <v>-2558404</v>
      </c>
      <c r="AI649" s="117">
        <v>-265589</v>
      </c>
      <c r="AJ649" s="118">
        <v>563314</v>
      </c>
    </row>
    <row r="650" spans="1:36" ht="67.5" x14ac:dyDescent="0.3">
      <c r="A650" s="142" t="s">
        <v>1340</v>
      </c>
      <c r="O650" s="143"/>
      <c r="AF650" s="109" t="s">
        <v>1146</v>
      </c>
      <c r="AG650" s="117">
        <v>209637</v>
      </c>
      <c r="AH650" s="117">
        <v>-162740</v>
      </c>
      <c r="AI650" s="117">
        <v>-19482</v>
      </c>
      <c r="AJ650" s="118">
        <v>27415</v>
      </c>
    </row>
    <row r="651" spans="1:36" x14ac:dyDescent="0.3">
      <c r="O651" s="142" t="s">
        <v>1339</v>
      </c>
      <c r="AF651" s="109" t="s">
        <v>1152</v>
      </c>
      <c r="AG651" s="117">
        <v>525142</v>
      </c>
      <c r="AH651" s="117">
        <v>-484624</v>
      </c>
      <c r="AI651" s="111">
        <v>-524</v>
      </c>
      <c r="AJ651" s="118">
        <v>39994</v>
      </c>
    </row>
    <row r="652" spans="1:36" x14ac:dyDescent="0.3">
      <c r="O652" s="143"/>
      <c r="AF652" s="109" t="s">
        <v>1154</v>
      </c>
      <c r="AG652" s="117">
        <v>4788047</v>
      </c>
      <c r="AH652" s="117">
        <v>-3058594</v>
      </c>
      <c r="AI652" s="117">
        <v>-235587</v>
      </c>
      <c r="AJ652" s="118">
        <v>1493866</v>
      </c>
    </row>
    <row r="653" spans="1:36" ht="67.5" x14ac:dyDescent="0.3">
      <c r="A653" s="142" t="s">
        <v>1341</v>
      </c>
      <c r="O653" s="142" t="s">
        <v>1340</v>
      </c>
      <c r="AF653" s="109" t="s">
        <v>1342</v>
      </c>
      <c r="AG653" s="117">
        <v>10395607</v>
      </c>
      <c r="AH653" s="117">
        <v>-8019316</v>
      </c>
      <c r="AI653" s="111" t="s">
        <v>199</v>
      </c>
      <c r="AJ653" s="118">
        <v>2376291</v>
      </c>
    </row>
    <row r="654" spans="1:36" x14ac:dyDescent="0.3">
      <c r="A654" s="143"/>
      <c r="AF654" s="109" t="s">
        <v>1156</v>
      </c>
      <c r="AG654" s="117">
        <v>1099342</v>
      </c>
      <c r="AH654" s="117">
        <v>-794649</v>
      </c>
      <c r="AI654" s="117">
        <v>-23940</v>
      </c>
      <c r="AJ654" s="118">
        <v>280753</v>
      </c>
    </row>
    <row r="655" spans="1:36" ht="22.5" x14ac:dyDescent="0.3">
      <c r="A655" s="142" t="s">
        <v>1343</v>
      </c>
      <c r="AF655" s="109" t="s">
        <v>1344</v>
      </c>
      <c r="AG655" s="117">
        <v>83052</v>
      </c>
      <c r="AH655" s="111" t="s">
        <v>199</v>
      </c>
      <c r="AI655" s="111" t="s">
        <v>199</v>
      </c>
      <c r="AJ655" s="118">
        <v>83052</v>
      </c>
    </row>
    <row r="656" spans="1:36" x14ac:dyDescent="0.3">
      <c r="A656" s="142" t="s">
        <v>1345</v>
      </c>
      <c r="O656" s="142" t="s">
        <v>1341</v>
      </c>
      <c r="AF656" s="146" t="s">
        <v>774</v>
      </c>
      <c r="AG656" s="130">
        <v>20519590</v>
      </c>
      <c r="AH656" s="130">
        <v>-15105901</v>
      </c>
      <c r="AI656" s="130">
        <v>-545122</v>
      </c>
      <c r="AJ656" s="131">
        <v>4868567</v>
      </c>
    </row>
    <row r="657" spans="1:36" x14ac:dyDescent="0.3">
      <c r="A657" s="142" t="s">
        <v>1346</v>
      </c>
      <c r="O657" s="143"/>
      <c r="AF657" s="142" t="s">
        <v>1347</v>
      </c>
    </row>
    <row r="658" spans="1:36" ht="22.5" x14ac:dyDescent="0.3">
      <c r="A658" s="142" t="s">
        <v>1348</v>
      </c>
      <c r="O658" s="142" t="s">
        <v>1343</v>
      </c>
      <c r="AF658" s="1695" t="s">
        <v>826</v>
      </c>
      <c r="AG658" s="1696"/>
      <c r="AH658" s="1696"/>
      <c r="AI658" s="1696"/>
      <c r="AJ658" s="1697"/>
    </row>
    <row r="659" spans="1:36" x14ac:dyDescent="0.3">
      <c r="A659" s="142" t="s">
        <v>1349</v>
      </c>
      <c r="O659" s="142" t="s">
        <v>1345</v>
      </c>
      <c r="AF659" s="161" t="s">
        <v>977</v>
      </c>
      <c r="AG659" s="134" t="s">
        <v>1295</v>
      </c>
      <c r="AH659" s="134" t="s">
        <v>1337</v>
      </c>
      <c r="AI659" s="134" t="s">
        <v>1338</v>
      </c>
      <c r="AJ659" s="135" t="s">
        <v>1061</v>
      </c>
    </row>
    <row r="660" spans="1:36" ht="22.5" x14ac:dyDescent="0.3">
      <c r="A660" s="142" t="s">
        <v>1350</v>
      </c>
      <c r="O660" s="142" t="s">
        <v>1346</v>
      </c>
      <c r="AF660" s="114" t="s">
        <v>1138</v>
      </c>
      <c r="AG660" s="119">
        <v>31456</v>
      </c>
      <c r="AH660" s="119">
        <v>-26169</v>
      </c>
      <c r="AI660" s="115" t="s">
        <v>199</v>
      </c>
      <c r="AJ660" s="120">
        <v>5287</v>
      </c>
    </row>
    <row r="661" spans="1:36" x14ac:dyDescent="0.3">
      <c r="A661" s="143"/>
      <c r="O661" s="142" t="s">
        <v>1348</v>
      </c>
      <c r="AF661" s="114" t="s">
        <v>1142</v>
      </c>
      <c r="AG661" s="119">
        <v>3117546</v>
      </c>
      <c r="AH661" s="119">
        <v>-2095258</v>
      </c>
      <c r="AI661" s="119">
        <v>-202939</v>
      </c>
      <c r="AJ661" s="120">
        <v>819349</v>
      </c>
    </row>
    <row r="662" spans="1:36" ht="33.75" x14ac:dyDescent="0.3">
      <c r="A662" s="142" t="s">
        <v>1351</v>
      </c>
      <c r="O662" s="142" t="s">
        <v>1349</v>
      </c>
      <c r="AF662" s="114" t="s">
        <v>1146</v>
      </c>
      <c r="AG662" s="119">
        <v>209637</v>
      </c>
      <c r="AH662" s="119">
        <v>-148228</v>
      </c>
      <c r="AI662" s="119">
        <v>-19482</v>
      </c>
      <c r="AJ662" s="120">
        <v>41927</v>
      </c>
    </row>
    <row r="663" spans="1:36" ht="22.5" x14ac:dyDescent="0.3">
      <c r="A663" s="143"/>
      <c r="O663" s="142" t="s">
        <v>1350</v>
      </c>
      <c r="AF663" s="114" t="s">
        <v>1152</v>
      </c>
      <c r="AG663" s="119">
        <v>498470</v>
      </c>
      <c r="AH663" s="119">
        <v>-469135</v>
      </c>
      <c r="AI663" s="115">
        <v>-524</v>
      </c>
      <c r="AJ663" s="120">
        <v>28811</v>
      </c>
    </row>
    <row r="664" spans="1:36" ht="33.75" x14ac:dyDescent="0.3">
      <c r="A664" s="142" t="s">
        <v>1352</v>
      </c>
      <c r="O664" s="143"/>
      <c r="AF664" s="114" t="s">
        <v>1154</v>
      </c>
      <c r="AG664" s="119">
        <v>4844074</v>
      </c>
      <c r="AH664" s="119">
        <v>-2648234</v>
      </c>
      <c r="AI664" s="119">
        <v>-506894</v>
      </c>
      <c r="AJ664" s="120">
        <v>1688946</v>
      </c>
    </row>
    <row r="665" spans="1:36" ht="33.75" x14ac:dyDescent="0.3">
      <c r="A665" s="143"/>
      <c r="O665" s="142" t="s">
        <v>1351</v>
      </c>
      <c r="AF665" s="114" t="s">
        <v>1342</v>
      </c>
      <c r="AG665" s="119">
        <v>10198146</v>
      </c>
      <c r="AH665" s="119">
        <v>-6429957</v>
      </c>
      <c r="AI665" s="115" t="s">
        <v>199</v>
      </c>
      <c r="AJ665" s="120">
        <v>3768189</v>
      </c>
    </row>
    <row r="666" spans="1:36" ht="78.75" x14ac:dyDescent="0.3">
      <c r="A666" s="142" t="s">
        <v>1353</v>
      </c>
      <c r="O666" s="143"/>
      <c r="AF666" s="114" t="s">
        <v>1156</v>
      </c>
      <c r="AG666" s="119">
        <v>3364550</v>
      </c>
      <c r="AH666" s="119">
        <v>-1323458</v>
      </c>
      <c r="AI666" s="119">
        <v>-1702497</v>
      </c>
      <c r="AJ666" s="120">
        <v>338595</v>
      </c>
    </row>
    <row r="667" spans="1:36" ht="33.75" x14ac:dyDescent="0.3">
      <c r="A667" s="143"/>
      <c r="O667" s="142" t="s">
        <v>1352</v>
      </c>
      <c r="AF667" s="114" t="s">
        <v>1344</v>
      </c>
      <c r="AG667" s="119">
        <v>61141</v>
      </c>
      <c r="AH667" s="115" t="s">
        <v>199</v>
      </c>
      <c r="AI667" s="115" t="s">
        <v>199</v>
      </c>
      <c r="AJ667" s="120">
        <v>61141</v>
      </c>
    </row>
    <row r="668" spans="1:36" x14ac:dyDescent="0.3">
      <c r="A668" s="142" t="s">
        <v>1354</v>
      </c>
      <c r="O668" s="143"/>
      <c r="AF668" s="146" t="s">
        <v>774</v>
      </c>
      <c r="AG668" s="126">
        <v>22325020</v>
      </c>
      <c r="AH668" s="126">
        <v>-13140439</v>
      </c>
      <c r="AI668" s="126">
        <v>-2432336</v>
      </c>
      <c r="AJ668" s="127">
        <v>6752245</v>
      </c>
    </row>
    <row r="669" spans="1:36" ht="78.75" x14ac:dyDescent="0.3">
      <c r="A669" s="143"/>
      <c r="O669" s="142" t="s">
        <v>1353</v>
      </c>
      <c r="AF669" s="143"/>
    </row>
    <row r="670" spans="1:36" ht="33.75" x14ac:dyDescent="0.3">
      <c r="A670" s="142" t="s">
        <v>1355</v>
      </c>
      <c r="O670" s="143"/>
      <c r="AF670" s="142" t="s">
        <v>1356</v>
      </c>
    </row>
    <row r="671" spans="1:36" x14ac:dyDescent="0.3">
      <c r="A671" s="143"/>
      <c r="O671" s="142" t="s">
        <v>1354</v>
      </c>
    </row>
    <row r="672" spans="1:36" ht="45" x14ac:dyDescent="0.3">
      <c r="A672" s="142" t="s">
        <v>1357</v>
      </c>
      <c r="O672" s="143"/>
      <c r="AF672" s="142" t="s">
        <v>824</v>
      </c>
    </row>
    <row r="673" spans="1:41" ht="33.75" x14ac:dyDescent="0.3">
      <c r="O673" s="142" t="s">
        <v>1355</v>
      </c>
      <c r="AF673" s="1695" t="s">
        <v>826</v>
      </c>
      <c r="AG673" s="1696"/>
      <c r="AH673" s="1696"/>
      <c r="AI673" s="1696"/>
      <c r="AJ673" s="1696"/>
      <c r="AK673" s="1696"/>
      <c r="AL673" s="1696"/>
      <c r="AM673" s="1696"/>
      <c r="AN673" s="1696"/>
      <c r="AO673" s="1697"/>
    </row>
    <row r="674" spans="1:41" x14ac:dyDescent="0.3">
      <c r="A674" s="142" t="s">
        <v>1358</v>
      </c>
      <c r="O674" s="143"/>
      <c r="AF674" s="161" t="s">
        <v>763</v>
      </c>
      <c r="AG674" s="134" t="s">
        <v>1138</v>
      </c>
      <c r="AH674" s="134" t="s">
        <v>1142</v>
      </c>
      <c r="AI674" s="134" t="s">
        <v>1146</v>
      </c>
      <c r="AJ674" s="134" t="s">
        <v>1152</v>
      </c>
      <c r="AK674" s="134" t="s">
        <v>1154</v>
      </c>
      <c r="AL674" s="134" t="s">
        <v>1342</v>
      </c>
      <c r="AM674" s="134" t="s">
        <v>1156</v>
      </c>
      <c r="AN674" s="134" t="s">
        <v>1344</v>
      </c>
      <c r="AO674" s="135" t="s">
        <v>1359</v>
      </c>
    </row>
    <row r="675" spans="1:41" ht="45" x14ac:dyDescent="0.3">
      <c r="A675" s="143"/>
      <c r="O675" s="142" t="s">
        <v>1357</v>
      </c>
      <c r="AF675" s="114" t="s">
        <v>1120</v>
      </c>
      <c r="AG675" s="119">
        <v>5287</v>
      </c>
      <c r="AH675" s="119">
        <v>819349</v>
      </c>
      <c r="AI675" s="119">
        <v>41927</v>
      </c>
      <c r="AJ675" s="119">
        <v>28811</v>
      </c>
      <c r="AK675" s="119">
        <v>1688946</v>
      </c>
      <c r="AL675" s="119">
        <v>3768189</v>
      </c>
      <c r="AM675" s="119">
        <v>338595</v>
      </c>
      <c r="AN675" s="119">
        <v>61141</v>
      </c>
      <c r="AO675" s="120">
        <v>6752245</v>
      </c>
    </row>
    <row r="676" spans="1:41" ht="67.5" x14ac:dyDescent="0.3">
      <c r="A676" s="142" t="s">
        <v>1360</v>
      </c>
      <c r="AF676" s="114" t="s">
        <v>1121</v>
      </c>
      <c r="AG676" s="115" t="s">
        <v>199</v>
      </c>
      <c r="AH676" s="119">
        <v>191601</v>
      </c>
      <c r="AI676" s="115" t="s">
        <v>199</v>
      </c>
      <c r="AJ676" s="119">
        <v>26673</v>
      </c>
      <c r="AK676" s="119">
        <v>302975</v>
      </c>
      <c r="AL676" s="119">
        <v>164394</v>
      </c>
      <c r="AM676" s="119">
        <v>3350</v>
      </c>
      <c r="AN676" s="119">
        <v>100070</v>
      </c>
      <c r="AO676" s="120">
        <v>789063</v>
      </c>
    </row>
    <row r="677" spans="1:41" x14ac:dyDescent="0.3">
      <c r="A677" s="143"/>
      <c r="O677" s="142" t="s">
        <v>1358</v>
      </c>
      <c r="AF677" s="114" t="s">
        <v>1123</v>
      </c>
      <c r="AG677" s="115" t="s">
        <v>199</v>
      </c>
      <c r="AH677" s="115" t="s">
        <v>199</v>
      </c>
      <c r="AI677" s="115" t="s">
        <v>199</v>
      </c>
      <c r="AJ677" s="115" t="s">
        <v>199</v>
      </c>
      <c r="AK677" s="115">
        <v>-217</v>
      </c>
      <c r="AL677" s="115" t="s">
        <v>199</v>
      </c>
      <c r="AM677" s="115" t="s">
        <v>199</v>
      </c>
      <c r="AN677" s="115" t="s">
        <v>199</v>
      </c>
      <c r="AO677" s="116">
        <v>-217</v>
      </c>
    </row>
    <row r="678" spans="1:41" ht="22.5" x14ac:dyDescent="0.3">
      <c r="A678" s="142" t="s">
        <v>1361</v>
      </c>
      <c r="O678" s="143"/>
      <c r="AF678" s="114" t="s">
        <v>1362</v>
      </c>
      <c r="AG678" s="119">
        <v>-1405</v>
      </c>
      <c r="AH678" s="119">
        <v>-463145</v>
      </c>
      <c r="AI678" s="119">
        <v>-14512</v>
      </c>
      <c r="AJ678" s="119">
        <v>-15490</v>
      </c>
      <c r="AK678" s="119">
        <v>-498606</v>
      </c>
      <c r="AL678" s="119">
        <v>-2127018</v>
      </c>
      <c r="AM678" s="119">
        <v>-61192</v>
      </c>
      <c r="AN678" s="115" t="s">
        <v>199</v>
      </c>
      <c r="AO678" s="120">
        <v>-3181368</v>
      </c>
    </row>
    <row r="679" spans="1:41" ht="67.5" x14ac:dyDescent="0.3">
      <c r="A679" s="142" t="s">
        <v>1363</v>
      </c>
      <c r="O679" s="142" t="s">
        <v>1360</v>
      </c>
      <c r="AF679" s="114" t="s">
        <v>1364</v>
      </c>
      <c r="AG679" s="115" t="s">
        <v>199</v>
      </c>
      <c r="AH679" s="119">
        <v>-62650</v>
      </c>
      <c r="AI679" s="115" t="s">
        <v>199</v>
      </c>
      <c r="AJ679" s="115" t="s">
        <v>199</v>
      </c>
      <c r="AK679" s="115">
        <v>-231</v>
      </c>
      <c r="AL679" s="115" t="s">
        <v>199</v>
      </c>
      <c r="AM679" s="115" t="s">
        <v>199</v>
      </c>
      <c r="AN679" s="115" t="s">
        <v>199</v>
      </c>
      <c r="AO679" s="120">
        <v>-62881</v>
      </c>
    </row>
    <row r="680" spans="1:41" ht="22.5" x14ac:dyDescent="0.3">
      <c r="A680" s="142" t="s">
        <v>1365</v>
      </c>
      <c r="O680" s="143"/>
      <c r="AF680" s="114" t="s">
        <v>1366</v>
      </c>
      <c r="AG680" s="115" t="s">
        <v>199</v>
      </c>
      <c r="AH680" s="119">
        <v>78159</v>
      </c>
      <c r="AI680" s="115" t="s">
        <v>199</v>
      </c>
      <c r="AJ680" s="115" t="s">
        <v>199</v>
      </c>
      <c r="AK680" s="115" t="s">
        <v>199</v>
      </c>
      <c r="AL680" s="115" t="s">
        <v>199</v>
      </c>
      <c r="AM680" s="115" t="s">
        <v>199</v>
      </c>
      <c r="AN680" s="119">
        <v>-78159</v>
      </c>
      <c r="AO680" s="116" t="s">
        <v>199</v>
      </c>
    </row>
    <row r="681" spans="1:41" ht="22.5" x14ac:dyDescent="0.3">
      <c r="O681" s="142" t="s">
        <v>1361</v>
      </c>
      <c r="AF681" s="114" t="s">
        <v>1367</v>
      </c>
      <c r="AG681" s="115" t="s">
        <v>199</v>
      </c>
      <c r="AH681" s="115" t="s">
        <v>199</v>
      </c>
      <c r="AI681" s="115" t="s">
        <v>199</v>
      </c>
      <c r="AJ681" s="115" t="s">
        <v>199</v>
      </c>
      <c r="AK681" s="115">
        <v>999</v>
      </c>
      <c r="AL681" s="119">
        <v>-25818</v>
      </c>
      <c r="AM681" s="115" t="s">
        <v>199</v>
      </c>
      <c r="AN681" s="115" t="s">
        <v>199</v>
      </c>
      <c r="AO681" s="120">
        <v>-24819</v>
      </c>
    </row>
    <row r="682" spans="1:41" ht="22.5" x14ac:dyDescent="0.3">
      <c r="A682" s="142" t="s">
        <v>1368</v>
      </c>
      <c r="O682" s="142" t="s">
        <v>1363</v>
      </c>
      <c r="AF682" s="114" t="s">
        <v>1369</v>
      </c>
      <c r="AG682" s="115" t="s">
        <v>199</v>
      </c>
      <c r="AH682" s="115" t="s">
        <v>199</v>
      </c>
      <c r="AI682" s="115" t="s">
        <v>199</v>
      </c>
      <c r="AJ682" s="115" t="s">
        <v>199</v>
      </c>
      <c r="AK682" s="115" t="s">
        <v>199</v>
      </c>
      <c r="AL682" s="119">
        <v>596544</v>
      </c>
      <c r="AM682" s="115" t="s">
        <v>199</v>
      </c>
      <c r="AN682" s="115" t="s">
        <v>199</v>
      </c>
      <c r="AO682" s="120">
        <v>596544</v>
      </c>
    </row>
    <row r="683" spans="1:41" ht="22.5" x14ac:dyDescent="0.3">
      <c r="A683" s="143"/>
      <c r="O683" s="142" t="s">
        <v>1365</v>
      </c>
      <c r="AF683" s="125" t="s">
        <v>1127</v>
      </c>
      <c r="AG683" s="126">
        <v>3882</v>
      </c>
      <c r="AH683" s="126">
        <v>563314</v>
      </c>
      <c r="AI683" s="126">
        <v>27415</v>
      </c>
      <c r="AJ683" s="126">
        <v>39994</v>
      </c>
      <c r="AK683" s="126">
        <v>1493866</v>
      </c>
      <c r="AL683" s="126">
        <v>2376291</v>
      </c>
      <c r="AM683" s="126">
        <v>280753</v>
      </c>
      <c r="AN683" s="126">
        <v>83052</v>
      </c>
      <c r="AO683" s="127">
        <v>4868567</v>
      </c>
    </row>
    <row r="684" spans="1:41" ht="202.5" x14ac:dyDescent="0.3">
      <c r="A684" s="142" t="s">
        <v>1370</v>
      </c>
      <c r="AF684" s="142" t="s">
        <v>1371</v>
      </c>
    </row>
    <row r="685" spans="1:41" x14ac:dyDescent="0.3">
      <c r="O685" s="142" t="s">
        <v>1368</v>
      </c>
    </row>
    <row r="686" spans="1:41" ht="45" x14ac:dyDescent="0.3">
      <c r="A686" s="142" t="s">
        <v>1372</v>
      </c>
      <c r="O686" s="143"/>
      <c r="AF686" s="142" t="s">
        <v>992</v>
      </c>
    </row>
    <row r="687" spans="1:41" ht="202.5" x14ac:dyDescent="0.3">
      <c r="A687" s="143"/>
      <c r="O687" s="142" t="s">
        <v>1370</v>
      </c>
      <c r="AF687" s="1695" t="s">
        <v>826</v>
      </c>
      <c r="AG687" s="1696"/>
      <c r="AH687" s="1696"/>
      <c r="AI687" s="1696"/>
      <c r="AJ687" s="1696"/>
      <c r="AK687" s="1696"/>
      <c r="AL687" s="1696"/>
      <c r="AM687" s="1696"/>
      <c r="AN687" s="1696"/>
      <c r="AO687" s="1697"/>
    </row>
    <row r="688" spans="1:41" ht="67.5" x14ac:dyDescent="0.3">
      <c r="A688" s="142" t="s">
        <v>1373</v>
      </c>
      <c r="AF688" s="161" t="s">
        <v>763</v>
      </c>
      <c r="AG688" s="134" t="s">
        <v>1138</v>
      </c>
      <c r="AH688" s="134" t="s">
        <v>1142</v>
      </c>
      <c r="AI688" s="134" t="s">
        <v>1146</v>
      </c>
      <c r="AJ688" s="134" t="s">
        <v>1152</v>
      </c>
      <c r="AK688" s="134" t="s">
        <v>1154</v>
      </c>
      <c r="AL688" s="134" t="s">
        <v>1342</v>
      </c>
      <c r="AM688" s="134" t="s">
        <v>1156</v>
      </c>
      <c r="AN688" s="134" t="s">
        <v>1344</v>
      </c>
      <c r="AO688" s="135" t="s">
        <v>1359</v>
      </c>
    </row>
    <row r="689" spans="1:41" ht="45" x14ac:dyDescent="0.3">
      <c r="A689" s="143"/>
      <c r="O689" s="142" t="s">
        <v>1372</v>
      </c>
      <c r="AF689" s="114" t="s">
        <v>1120</v>
      </c>
      <c r="AG689" s="119">
        <v>7159</v>
      </c>
      <c r="AH689" s="119">
        <v>471428</v>
      </c>
      <c r="AI689" s="119">
        <v>61277</v>
      </c>
      <c r="AJ689" s="119">
        <v>27641</v>
      </c>
      <c r="AK689" s="119">
        <v>1536129</v>
      </c>
      <c r="AL689" s="119">
        <v>5421886</v>
      </c>
      <c r="AM689" s="119">
        <v>26672</v>
      </c>
      <c r="AN689" s="119">
        <v>102390</v>
      </c>
      <c r="AO689" s="120">
        <v>7654582</v>
      </c>
    </row>
    <row r="690" spans="1:41" x14ac:dyDescent="0.3">
      <c r="A690" s="142" t="s">
        <v>1374</v>
      </c>
      <c r="O690" s="143"/>
      <c r="AF690" s="114" t="s">
        <v>1121</v>
      </c>
      <c r="AG690" s="115" t="s">
        <v>199</v>
      </c>
      <c r="AH690" s="119">
        <v>407580</v>
      </c>
      <c r="AI690" s="115" t="s">
        <v>199</v>
      </c>
      <c r="AJ690" s="115" t="s">
        <v>199</v>
      </c>
      <c r="AK690" s="119">
        <v>546615</v>
      </c>
      <c r="AL690" s="119">
        <v>1484930</v>
      </c>
      <c r="AM690" s="115" t="s">
        <v>199</v>
      </c>
      <c r="AN690" s="119">
        <v>96624</v>
      </c>
      <c r="AO690" s="120">
        <v>2535749</v>
      </c>
    </row>
    <row r="691" spans="1:41" ht="67.5" x14ac:dyDescent="0.3">
      <c r="A691" s="142" t="s">
        <v>1375</v>
      </c>
      <c r="O691" s="142" t="s">
        <v>1373</v>
      </c>
      <c r="AF691" s="114" t="s">
        <v>1123</v>
      </c>
      <c r="AG691" s="115" t="s">
        <v>199</v>
      </c>
      <c r="AH691" s="115" t="s">
        <v>199</v>
      </c>
      <c r="AI691" s="115" t="s">
        <v>199</v>
      </c>
      <c r="AJ691" s="115" t="s">
        <v>199</v>
      </c>
      <c r="AK691" s="119">
        <v>-8091</v>
      </c>
      <c r="AL691" s="119">
        <v>-472900</v>
      </c>
      <c r="AM691" s="115" t="s">
        <v>199</v>
      </c>
      <c r="AN691" s="115" t="s">
        <v>199</v>
      </c>
      <c r="AO691" s="120">
        <v>-480991</v>
      </c>
    </row>
    <row r="692" spans="1:41" ht="22.5" x14ac:dyDescent="0.3">
      <c r="A692" s="142" t="s">
        <v>1376</v>
      </c>
      <c r="O692" s="143"/>
      <c r="AF692" s="114" t="s">
        <v>1362</v>
      </c>
      <c r="AG692" s="119">
        <v>-1405</v>
      </c>
      <c r="AH692" s="119">
        <v>-350198</v>
      </c>
      <c r="AI692" s="119">
        <v>-14512</v>
      </c>
      <c r="AJ692" s="119">
        <v>-12684</v>
      </c>
      <c r="AK692" s="119">
        <v>-380643</v>
      </c>
      <c r="AL692" s="119">
        <v>-1961482</v>
      </c>
      <c r="AM692" s="119">
        <v>-9771</v>
      </c>
      <c r="AN692" s="115" t="s">
        <v>199</v>
      </c>
      <c r="AO692" s="120">
        <v>-2730695</v>
      </c>
    </row>
    <row r="693" spans="1:41" ht="22.5" x14ac:dyDescent="0.3">
      <c r="A693" s="142" t="s">
        <v>1377</v>
      </c>
      <c r="O693" s="142" t="s">
        <v>1374</v>
      </c>
      <c r="AF693" s="114" t="s">
        <v>1366</v>
      </c>
      <c r="AG693" s="115" t="s">
        <v>199</v>
      </c>
      <c r="AH693" s="119">
        <v>138530</v>
      </c>
      <c r="AI693" s="115" t="s">
        <v>199</v>
      </c>
      <c r="AJ693" s="115" t="s">
        <v>199</v>
      </c>
      <c r="AK693" s="115" t="s">
        <v>199</v>
      </c>
      <c r="AL693" s="115" t="s">
        <v>199</v>
      </c>
      <c r="AM693" s="115" t="s">
        <v>199</v>
      </c>
      <c r="AN693" s="119">
        <v>-138530</v>
      </c>
      <c r="AO693" s="116" t="s">
        <v>199</v>
      </c>
    </row>
    <row r="694" spans="1:41" ht="67.5" x14ac:dyDescent="0.3">
      <c r="O694" s="142" t="s">
        <v>1375</v>
      </c>
      <c r="AF694" s="114" t="s">
        <v>1367</v>
      </c>
      <c r="AG694" s="115" t="s">
        <v>199</v>
      </c>
      <c r="AH694" s="115" t="s">
        <v>199</v>
      </c>
      <c r="AI694" s="115" t="s">
        <v>199</v>
      </c>
      <c r="AJ694" s="115" t="s">
        <v>199</v>
      </c>
      <c r="AK694" s="119">
        <v>1789</v>
      </c>
      <c r="AL694" s="119">
        <v>6921</v>
      </c>
      <c r="AM694" s="115" t="s">
        <v>199</v>
      </c>
      <c r="AN694" s="115" t="s">
        <v>199</v>
      </c>
      <c r="AO694" s="120">
        <v>8710</v>
      </c>
    </row>
    <row r="695" spans="1:41" ht="22.5" x14ac:dyDescent="0.3">
      <c r="A695" s="142" t="s">
        <v>1378</v>
      </c>
      <c r="O695" s="142" t="s">
        <v>1376</v>
      </c>
      <c r="AF695" s="114" t="s">
        <v>1369</v>
      </c>
      <c r="AG695" s="115" t="s">
        <v>199</v>
      </c>
      <c r="AH695" s="115" t="s">
        <v>199</v>
      </c>
      <c r="AI695" s="115" t="s">
        <v>199</v>
      </c>
      <c r="AJ695" s="115" t="s">
        <v>199</v>
      </c>
      <c r="AK695" s="115" t="s">
        <v>199</v>
      </c>
      <c r="AL695" s="119">
        <v>-472898</v>
      </c>
      <c r="AM695" s="115" t="s">
        <v>199</v>
      </c>
      <c r="AN695" s="115" t="s">
        <v>199</v>
      </c>
      <c r="AO695" s="120">
        <v>-472898</v>
      </c>
    </row>
    <row r="696" spans="1:41" ht="22.5" x14ac:dyDescent="0.3">
      <c r="A696" s="143"/>
      <c r="O696" s="142" t="s">
        <v>1377</v>
      </c>
      <c r="AF696" s="125" t="s">
        <v>1127</v>
      </c>
      <c r="AG696" s="126">
        <v>5755</v>
      </c>
      <c r="AH696" s="126">
        <v>667340</v>
      </c>
      <c r="AI696" s="126">
        <v>46765</v>
      </c>
      <c r="AJ696" s="126">
        <v>14956</v>
      </c>
      <c r="AK696" s="126">
        <v>1695800</v>
      </c>
      <c r="AL696" s="126">
        <v>4006457</v>
      </c>
      <c r="AM696" s="126">
        <v>16902</v>
      </c>
      <c r="AN696" s="126">
        <v>60483</v>
      </c>
      <c r="AO696" s="127">
        <v>6514458</v>
      </c>
    </row>
    <row r="697" spans="1:41" ht="168.75" x14ac:dyDescent="0.3">
      <c r="A697" s="142" t="s">
        <v>1379</v>
      </c>
      <c r="AF697" s="142" t="s">
        <v>1371</v>
      </c>
    </row>
    <row r="698" spans="1:41" x14ac:dyDescent="0.3">
      <c r="O698" s="142" t="s">
        <v>1378</v>
      </c>
      <c r="AF698" s="143"/>
    </row>
    <row r="699" spans="1:41" x14ac:dyDescent="0.3">
      <c r="A699" s="143"/>
      <c r="O699" s="143"/>
      <c r="AF699" s="143"/>
    </row>
    <row r="700" spans="1:41" ht="168.75" x14ac:dyDescent="0.3">
      <c r="A700" s="142" t="s">
        <v>1380</v>
      </c>
      <c r="O700" s="142" t="s">
        <v>1379</v>
      </c>
      <c r="AF700" s="142" t="s">
        <v>1381</v>
      </c>
    </row>
    <row r="701" spans="1:41" x14ac:dyDescent="0.3">
      <c r="A701" s="143"/>
      <c r="AF701" s="143"/>
    </row>
    <row r="702" spans="1:41" ht="56.25" x14ac:dyDescent="0.3">
      <c r="A702" s="142" t="s">
        <v>1382</v>
      </c>
      <c r="O702" s="143"/>
      <c r="AF702" s="142" t="s">
        <v>1383</v>
      </c>
    </row>
    <row r="703" spans="1:41" ht="33.75" x14ac:dyDescent="0.3">
      <c r="O703" s="142" t="s">
        <v>1380</v>
      </c>
      <c r="AF703" s="143"/>
    </row>
    <row r="704" spans="1:41" x14ac:dyDescent="0.3">
      <c r="A704" s="142" t="s">
        <v>1384</v>
      </c>
      <c r="O704" s="143"/>
      <c r="AF704" s="142" t="s">
        <v>1058</v>
      </c>
    </row>
    <row r="705" spans="1:37" ht="56.25" x14ac:dyDescent="0.3">
      <c r="A705" s="143"/>
      <c r="O705" s="142" t="s">
        <v>1382</v>
      </c>
      <c r="AF705" s="1695" t="s">
        <v>976</v>
      </c>
      <c r="AG705" s="1696"/>
      <c r="AH705" s="1696"/>
      <c r="AI705" s="1696"/>
      <c r="AJ705" s="1697"/>
    </row>
    <row r="706" spans="1:37" ht="90" x14ac:dyDescent="0.3">
      <c r="A706" s="142" t="s">
        <v>1385</v>
      </c>
      <c r="AF706" s="161" t="s">
        <v>977</v>
      </c>
      <c r="AG706" s="134" t="s">
        <v>1295</v>
      </c>
      <c r="AH706" s="134" t="s">
        <v>1337</v>
      </c>
      <c r="AI706" s="134" t="s">
        <v>1338</v>
      </c>
      <c r="AJ706" s="135" t="s">
        <v>1061</v>
      </c>
    </row>
    <row r="707" spans="1:37" x14ac:dyDescent="0.3">
      <c r="O707" s="142" t="s">
        <v>1384</v>
      </c>
      <c r="AF707" s="109" t="s">
        <v>1167</v>
      </c>
      <c r="AG707" s="219">
        <v>14867505</v>
      </c>
      <c r="AH707" s="219">
        <v>-9938225</v>
      </c>
      <c r="AI707" s="219">
        <v>-3411056</v>
      </c>
      <c r="AJ707" s="220">
        <v>1518224</v>
      </c>
    </row>
    <row r="708" spans="1:37" x14ac:dyDescent="0.3">
      <c r="A708" s="142" t="s">
        <v>1386</v>
      </c>
      <c r="O708" s="143"/>
      <c r="AF708" s="109" t="s">
        <v>1169</v>
      </c>
      <c r="AG708" s="219">
        <v>1496774</v>
      </c>
      <c r="AH708" s="219">
        <v>-784836</v>
      </c>
      <c r="AI708" s="219" t="s">
        <v>199</v>
      </c>
      <c r="AJ708" s="220">
        <v>711938</v>
      </c>
    </row>
    <row r="709" spans="1:37" ht="90" x14ac:dyDescent="0.3">
      <c r="A709" s="143"/>
      <c r="O709" s="142" t="s">
        <v>1385</v>
      </c>
      <c r="AF709" s="109" t="s">
        <v>1172</v>
      </c>
      <c r="AG709" s="219">
        <v>13678201</v>
      </c>
      <c r="AH709" s="219">
        <v>-6379242</v>
      </c>
      <c r="AI709" s="219">
        <v>-5171408</v>
      </c>
      <c r="AJ709" s="220">
        <v>2127551</v>
      </c>
    </row>
    <row r="710" spans="1:37" ht="33.75" x14ac:dyDescent="0.3">
      <c r="A710" s="142" t="s">
        <v>1387</v>
      </c>
      <c r="AF710" s="109" t="s">
        <v>1388</v>
      </c>
      <c r="AG710" s="219">
        <v>462235</v>
      </c>
      <c r="AH710" s="219" t="s">
        <v>199</v>
      </c>
      <c r="AI710" s="219" t="s">
        <v>199</v>
      </c>
      <c r="AJ710" s="225">
        <v>462235</v>
      </c>
    </row>
    <row r="711" spans="1:37" x14ac:dyDescent="0.3">
      <c r="O711" s="142" t="s">
        <v>1386</v>
      </c>
      <c r="AF711" s="114" t="s">
        <v>1174</v>
      </c>
      <c r="AG711" s="219">
        <v>26370665</v>
      </c>
      <c r="AH711" s="219">
        <v>-19120308</v>
      </c>
      <c r="AI711" s="219">
        <v>-4587612</v>
      </c>
      <c r="AJ711" s="220">
        <v>2662745</v>
      </c>
    </row>
    <row r="712" spans="1:37" ht="22.5" x14ac:dyDescent="0.3">
      <c r="A712" s="142" t="s">
        <v>1389</v>
      </c>
      <c r="AF712" s="114" t="s">
        <v>1390</v>
      </c>
      <c r="AG712" s="219">
        <v>40656149</v>
      </c>
      <c r="AH712" s="219" t="s">
        <v>199</v>
      </c>
      <c r="AI712" s="219">
        <v>-33191753</v>
      </c>
      <c r="AJ712" s="220">
        <v>7464396</v>
      </c>
    </row>
    <row r="713" spans="1:37" ht="33.75" x14ac:dyDescent="0.3">
      <c r="A713" s="142" t="s">
        <v>1391</v>
      </c>
      <c r="O713" s="142" t="s">
        <v>1392</v>
      </c>
      <c r="AF713" s="146" t="s">
        <v>774</v>
      </c>
      <c r="AG713" s="221">
        <v>97531529</v>
      </c>
      <c r="AH713" s="221">
        <v>-36222611</v>
      </c>
      <c r="AI713" s="221">
        <v>-46361829</v>
      </c>
      <c r="AJ713" s="222">
        <v>14947089</v>
      </c>
      <c r="AK713" s="226"/>
    </row>
    <row r="714" spans="1:37" x14ac:dyDescent="0.3">
      <c r="A714" s="142" t="s">
        <v>1393</v>
      </c>
    </row>
    <row r="715" spans="1:37" ht="22.5" x14ac:dyDescent="0.3">
      <c r="A715" s="142" t="s">
        <v>1394</v>
      </c>
      <c r="O715" s="142" t="s">
        <v>920</v>
      </c>
      <c r="AF715" s="142" t="s">
        <v>1395</v>
      </c>
    </row>
    <row r="716" spans="1:37" x14ac:dyDescent="0.3">
      <c r="A716" s="142" t="s">
        <v>1396</v>
      </c>
      <c r="AF716" s="1695" t="s">
        <v>826</v>
      </c>
      <c r="AG716" s="1696"/>
      <c r="AH716" s="1696"/>
      <c r="AI716" s="1696"/>
      <c r="AJ716" s="1697"/>
    </row>
    <row r="717" spans="1:37" ht="112.5" x14ac:dyDescent="0.3">
      <c r="O717" s="142" t="s">
        <v>1397</v>
      </c>
      <c r="AF717" s="161" t="s">
        <v>977</v>
      </c>
      <c r="AG717" s="134" t="s">
        <v>1295</v>
      </c>
      <c r="AH717" s="134" t="s">
        <v>1337</v>
      </c>
      <c r="AI717" s="134" t="s">
        <v>1338</v>
      </c>
      <c r="AJ717" s="135" t="s">
        <v>1061</v>
      </c>
    </row>
    <row r="718" spans="1:37" x14ac:dyDescent="0.3">
      <c r="A718" s="142" t="s">
        <v>1398</v>
      </c>
      <c r="AF718" s="114" t="s">
        <v>1167</v>
      </c>
      <c r="AG718" s="119">
        <v>13895643</v>
      </c>
      <c r="AH718" s="119">
        <v>-9589436</v>
      </c>
      <c r="AI718" s="119">
        <v>-3168369</v>
      </c>
      <c r="AJ718" s="120">
        <v>1137839</v>
      </c>
    </row>
    <row r="719" spans="1:37" ht="22.5" x14ac:dyDescent="0.3">
      <c r="O719" s="142" t="s">
        <v>925</v>
      </c>
      <c r="AF719" s="114" t="s">
        <v>1169</v>
      </c>
      <c r="AG719" s="119">
        <v>1444193</v>
      </c>
      <c r="AH719" s="119">
        <v>-737718</v>
      </c>
      <c r="AI719" s="115" t="s">
        <v>199</v>
      </c>
      <c r="AJ719" s="120">
        <v>706474</v>
      </c>
    </row>
    <row r="720" spans="1:37" x14ac:dyDescent="0.3">
      <c r="A720" s="142"/>
      <c r="AF720" s="114" t="s">
        <v>1172</v>
      </c>
      <c r="AG720" s="119">
        <v>13558543</v>
      </c>
      <c r="AH720" s="119">
        <v>-5533882</v>
      </c>
      <c r="AI720" s="119">
        <v>-5190041</v>
      </c>
      <c r="AJ720" s="120">
        <v>2834620</v>
      </c>
    </row>
    <row r="721" spans="1:39" ht="90" x14ac:dyDescent="0.3">
      <c r="A721" s="142" t="s">
        <v>1399</v>
      </c>
      <c r="O721" s="142" t="s">
        <v>1400</v>
      </c>
      <c r="AF721" s="114" t="s">
        <v>1388</v>
      </c>
      <c r="AG721" s="119">
        <v>462235</v>
      </c>
      <c r="AH721" s="115" t="s">
        <v>199</v>
      </c>
      <c r="AI721" s="115" t="s">
        <v>199</v>
      </c>
      <c r="AJ721" s="120">
        <v>462235</v>
      </c>
    </row>
    <row r="722" spans="1:39" x14ac:dyDescent="0.3">
      <c r="AF722" s="114" t="s">
        <v>1174</v>
      </c>
      <c r="AG722" s="119">
        <v>25335502</v>
      </c>
      <c r="AH722" s="119">
        <v>-17656271</v>
      </c>
      <c r="AI722" s="119">
        <v>-4587612</v>
      </c>
      <c r="AJ722" s="120">
        <v>3091619</v>
      </c>
    </row>
    <row r="723" spans="1:39" ht="22.5" x14ac:dyDescent="0.3">
      <c r="O723" s="142" t="s">
        <v>929</v>
      </c>
      <c r="AF723" s="114" t="s">
        <v>1390</v>
      </c>
      <c r="AG723" s="119">
        <v>41442573</v>
      </c>
      <c r="AH723" s="115" t="s">
        <v>199</v>
      </c>
      <c r="AI723" s="119">
        <v>-33908050</v>
      </c>
      <c r="AJ723" s="120">
        <v>7534523</v>
      </c>
    </row>
    <row r="724" spans="1:39" x14ac:dyDescent="0.3">
      <c r="A724" s="142" t="s">
        <v>969</v>
      </c>
      <c r="AF724" s="146" t="s">
        <v>774</v>
      </c>
      <c r="AG724" s="126">
        <v>96138689</v>
      </c>
      <c r="AH724" s="126">
        <v>-33517307</v>
      </c>
      <c r="AI724" s="126">
        <v>-46854072</v>
      </c>
      <c r="AJ724" s="127">
        <v>15767310</v>
      </c>
    </row>
    <row r="725" spans="1:39" ht="78.75" x14ac:dyDescent="0.3">
      <c r="A725" s="143"/>
      <c r="O725" s="142" t="s">
        <v>1401</v>
      </c>
      <c r="AF725" s="143"/>
    </row>
    <row r="726" spans="1:39" ht="22.5" x14ac:dyDescent="0.3">
      <c r="A726" s="142" t="s">
        <v>1402</v>
      </c>
      <c r="AF726" s="142" t="s">
        <v>1403</v>
      </c>
    </row>
    <row r="727" spans="1:39" x14ac:dyDescent="0.3">
      <c r="A727" s="143"/>
      <c r="O727" s="142" t="s">
        <v>1404</v>
      </c>
      <c r="AF727" s="143"/>
    </row>
    <row r="728" spans="1:39" ht="22.5" x14ac:dyDescent="0.3">
      <c r="A728" s="142" t="s">
        <v>1405</v>
      </c>
      <c r="O728" s="143"/>
      <c r="AF728" s="142" t="s">
        <v>824</v>
      </c>
    </row>
    <row r="729" spans="1:39" ht="67.5" x14ac:dyDescent="0.3">
      <c r="O729" s="142" t="s">
        <v>1406</v>
      </c>
      <c r="AF729" s="1695" t="s">
        <v>976</v>
      </c>
      <c r="AG729" s="1696"/>
      <c r="AH729" s="1696"/>
      <c r="AI729" s="1696"/>
      <c r="AJ729" s="1696"/>
      <c r="AK729" s="1696"/>
      <c r="AL729" s="1696"/>
      <c r="AM729" s="1697"/>
    </row>
    <row r="730" spans="1:39" x14ac:dyDescent="0.3">
      <c r="O730" s="143"/>
      <c r="AF730" s="161" t="s">
        <v>977</v>
      </c>
      <c r="AG730" s="134" t="s">
        <v>1167</v>
      </c>
      <c r="AH730" s="134" t="s">
        <v>1169</v>
      </c>
      <c r="AI730" s="134" t="s">
        <v>1172</v>
      </c>
      <c r="AJ730" s="134" t="s">
        <v>1388</v>
      </c>
      <c r="AK730" s="134" t="s">
        <v>1407</v>
      </c>
      <c r="AL730" s="134" t="s">
        <v>1390</v>
      </c>
      <c r="AM730" s="135" t="s">
        <v>774</v>
      </c>
    </row>
    <row r="731" spans="1:39" ht="22.5" x14ac:dyDescent="0.3">
      <c r="A731" s="142" t="s">
        <v>840</v>
      </c>
      <c r="O731" s="142" t="s">
        <v>1408</v>
      </c>
      <c r="AF731" s="109" t="s">
        <v>1120</v>
      </c>
      <c r="AG731" s="119">
        <v>1137839</v>
      </c>
      <c r="AH731" s="119">
        <v>706474</v>
      </c>
      <c r="AI731" s="119">
        <v>2834620</v>
      </c>
      <c r="AJ731" s="119">
        <v>462235</v>
      </c>
      <c r="AK731" s="119">
        <v>3091619</v>
      </c>
      <c r="AL731" s="119">
        <v>7534523</v>
      </c>
      <c r="AM731" s="120">
        <v>15767310</v>
      </c>
    </row>
    <row r="732" spans="1:39" x14ac:dyDescent="0.3">
      <c r="A732" s="128"/>
      <c r="O732" s="143"/>
      <c r="AF732" s="109" t="s">
        <v>1409</v>
      </c>
      <c r="AG732" s="119">
        <v>864761</v>
      </c>
      <c r="AH732" s="115" t="s">
        <v>199</v>
      </c>
      <c r="AI732" s="115" t="s">
        <v>199</v>
      </c>
      <c r="AJ732" s="115" t="s">
        <v>199</v>
      </c>
      <c r="AK732" s="115" t="s">
        <v>199</v>
      </c>
      <c r="AL732" s="115" t="s">
        <v>199</v>
      </c>
      <c r="AM732" s="120">
        <v>864761</v>
      </c>
    </row>
    <row r="733" spans="1:39" ht="112.5" x14ac:dyDescent="0.3">
      <c r="A733" s="128"/>
      <c r="O733" s="142" t="s">
        <v>1410</v>
      </c>
      <c r="AF733" s="109" t="s">
        <v>1121</v>
      </c>
      <c r="AG733" s="115" t="s">
        <v>199</v>
      </c>
      <c r="AH733" s="119">
        <v>14853</v>
      </c>
      <c r="AI733" s="119">
        <v>142323</v>
      </c>
      <c r="AJ733" s="115" t="s">
        <v>199</v>
      </c>
      <c r="AK733" s="119">
        <v>1220447</v>
      </c>
      <c r="AL733" s="115" t="s">
        <v>199</v>
      </c>
      <c r="AM733" s="120">
        <v>1377623</v>
      </c>
    </row>
    <row r="734" spans="1:39" x14ac:dyDescent="0.3">
      <c r="A734" s="1695" t="s">
        <v>976</v>
      </c>
      <c r="B734" s="1696"/>
      <c r="C734" s="1696"/>
      <c r="D734" s="1697"/>
      <c r="AF734" s="109" t="s">
        <v>1362</v>
      </c>
      <c r="AG734" s="119">
        <v>-348789</v>
      </c>
      <c r="AH734" s="119">
        <v>-47118</v>
      </c>
      <c r="AI734" s="119">
        <v>-854294</v>
      </c>
      <c r="AJ734" s="115" t="s">
        <v>199</v>
      </c>
      <c r="AK734" s="119">
        <v>-1464037</v>
      </c>
      <c r="AL734" s="115" t="s">
        <v>199</v>
      </c>
      <c r="AM734" s="120">
        <v>-2714239</v>
      </c>
    </row>
    <row r="735" spans="1:39" x14ac:dyDescent="0.3">
      <c r="A735" s="161" t="s">
        <v>977</v>
      </c>
      <c r="B735" s="134" t="s">
        <v>978</v>
      </c>
      <c r="C735" s="134" t="s">
        <v>979</v>
      </c>
      <c r="D735" s="135" t="s">
        <v>774</v>
      </c>
      <c r="O735" s="142" t="s">
        <v>1411</v>
      </c>
      <c r="AF735" s="109" t="s">
        <v>1412</v>
      </c>
      <c r="AG735" s="119">
        <v>-242687</v>
      </c>
      <c r="AH735" s="115" t="s">
        <v>199</v>
      </c>
      <c r="AI735" s="115" t="s">
        <v>199</v>
      </c>
      <c r="AJ735" s="115" t="s">
        <v>199</v>
      </c>
      <c r="AK735" s="115" t="s">
        <v>199</v>
      </c>
      <c r="AL735" s="115" t="s">
        <v>199</v>
      </c>
      <c r="AM735" s="120">
        <v>-242687</v>
      </c>
    </row>
    <row r="736" spans="1:39" x14ac:dyDescent="0.3">
      <c r="A736" s="114" t="s">
        <v>1413</v>
      </c>
      <c r="B736" s="115" t="s">
        <v>1414</v>
      </c>
      <c r="C736" s="115" t="s">
        <v>1415</v>
      </c>
      <c r="D736" s="116" t="s">
        <v>1416</v>
      </c>
      <c r="O736" s="142"/>
      <c r="AF736" s="109" t="s">
        <v>1366</v>
      </c>
      <c r="AG736" s="119">
        <v>107100</v>
      </c>
      <c r="AH736" s="119">
        <v>37729</v>
      </c>
      <c r="AI736" s="119">
        <v>6100</v>
      </c>
      <c r="AJ736" s="115" t="s">
        <v>199</v>
      </c>
      <c r="AK736" s="119">
        <v>-150929</v>
      </c>
      <c r="AL736" s="115" t="s">
        <v>199</v>
      </c>
      <c r="AM736" s="116" t="s">
        <v>199</v>
      </c>
    </row>
    <row r="737" spans="1:39" ht="123.75" x14ac:dyDescent="0.3">
      <c r="A737" s="114" t="s">
        <v>985</v>
      </c>
      <c r="B737" s="115" t="s">
        <v>1414</v>
      </c>
      <c r="C737" s="115" t="s">
        <v>1415</v>
      </c>
      <c r="D737" s="116" t="s">
        <v>1416</v>
      </c>
      <c r="O737" s="142" t="s">
        <v>1417</v>
      </c>
      <c r="AF737" s="109" t="s">
        <v>1367</v>
      </c>
      <c r="AG737" s="115" t="s">
        <v>199</v>
      </c>
      <c r="AH737" s="115" t="s">
        <v>199</v>
      </c>
      <c r="AI737" s="119">
        <v>-1198</v>
      </c>
      <c r="AJ737" s="115" t="s">
        <v>199</v>
      </c>
      <c r="AK737" s="115" t="s">
        <v>199</v>
      </c>
      <c r="AL737" s="119">
        <v>-70127</v>
      </c>
      <c r="AM737" s="120">
        <v>-71325</v>
      </c>
    </row>
    <row r="738" spans="1:39" x14ac:dyDescent="0.3">
      <c r="A738" s="114" t="s">
        <v>416</v>
      </c>
      <c r="B738" s="119">
        <v>-10657027</v>
      </c>
      <c r="C738" s="119">
        <v>-1231895</v>
      </c>
      <c r="D738" s="120">
        <v>-11888922</v>
      </c>
      <c r="AF738" s="109" t="s">
        <v>1013</v>
      </c>
      <c r="AG738" s="115" t="s">
        <v>199</v>
      </c>
      <c r="AH738" s="115" t="s">
        <v>199</v>
      </c>
      <c r="AI738" s="115" t="s">
        <v>199</v>
      </c>
      <c r="AJ738" s="115" t="s">
        <v>199</v>
      </c>
      <c r="AK738" s="119">
        <v>-34355</v>
      </c>
      <c r="AL738" s="115" t="s">
        <v>199</v>
      </c>
      <c r="AM738" s="120">
        <v>-34355</v>
      </c>
    </row>
    <row r="739" spans="1:39" ht="22.5" x14ac:dyDescent="0.3">
      <c r="A739" s="1703" t="s">
        <v>988</v>
      </c>
      <c r="B739" s="1704"/>
      <c r="C739" s="1705"/>
      <c r="D739" s="120">
        <v>-2863952</v>
      </c>
      <c r="O739" s="142" t="s">
        <v>1418</v>
      </c>
      <c r="AF739" s="121" t="s">
        <v>1127</v>
      </c>
      <c r="AG739" s="126">
        <v>1518224</v>
      </c>
      <c r="AH739" s="126">
        <v>711938</v>
      </c>
      <c r="AI739" s="126">
        <v>2127551</v>
      </c>
      <c r="AJ739" s="126">
        <v>462235</v>
      </c>
      <c r="AK739" s="126">
        <v>2662745</v>
      </c>
      <c r="AL739" s="126">
        <v>7464396</v>
      </c>
      <c r="AM739" s="127">
        <v>14947089</v>
      </c>
    </row>
    <row r="740" spans="1:39" x14ac:dyDescent="0.3">
      <c r="A740" s="1703" t="s">
        <v>989</v>
      </c>
      <c r="B740" s="1704"/>
      <c r="C740" s="1705"/>
      <c r="D740" s="120">
        <v>-10295321</v>
      </c>
      <c r="O740" s="143"/>
    </row>
    <row r="741" spans="1:39" ht="67.5" x14ac:dyDescent="0.3">
      <c r="A741" s="1703" t="s">
        <v>1419</v>
      </c>
      <c r="B741" s="1704"/>
      <c r="C741" s="1705"/>
      <c r="D741" s="116" t="s">
        <v>1420</v>
      </c>
      <c r="O741" s="142" t="s">
        <v>1421</v>
      </c>
      <c r="AF741" s="142" t="s">
        <v>992</v>
      </c>
    </row>
    <row r="742" spans="1:39" x14ac:dyDescent="0.3">
      <c r="A742" s="1709" t="s">
        <v>1422</v>
      </c>
      <c r="B742" s="1710"/>
      <c r="C742" s="1711"/>
      <c r="D742" s="127">
        <v>-25048195</v>
      </c>
      <c r="AF742" s="1695" t="s">
        <v>976</v>
      </c>
      <c r="AG742" s="1696"/>
      <c r="AH742" s="1696"/>
      <c r="AI742" s="1696"/>
      <c r="AJ742" s="1696"/>
      <c r="AK742" s="1696"/>
      <c r="AL742" s="1696"/>
      <c r="AM742" s="1697"/>
    </row>
    <row r="743" spans="1:39" ht="45" x14ac:dyDescent="0.3">
      <c r="A743" s="142" t="s">
        <v>1423</v>
      </c>
      <c r="O743" s="142" t="s">
        <v>1424</v>
      </c>
      <c r="AF743" s="161" t="s">
        <v>977</v>
      </c>
      <c r="AG743" s="134" t="s">
        <v>1167</v>
      </c>
      <c r="AH743" s="134" t="s">
        <v>1169</v>
      </c>
      <c r="AI743" s="134" t="s">
        <v>1172</v>
      </c>
      <c r="AJ743" s="134" t="s">
        <v>1388</v>
      </c>
      <c r="AK743" s="134" t="s">
        <v>1407</v>
      </c>
      <c r="AL743" s="134" t="s">
        <v>1390</v>
      </c>
      <c r="AM743" s="135" t="s">
        <v>774</v>
      </c>
    </row>
    <row r="744" spans="1:39" x14ac:dyDescent="0.3">
      <c r="O744" s="143"/>
      <c r="AF744" s="109" t="s">
        <v>1120</v>
      </c>
      <c r="AG744" s="119">
        <v>1048124</v>
      </c>
      <c r="AH744" s="119">
        <v>671125</v>
      </c>
      <c r="AI744" s="119">
        <v>3477287</v>
      </c>
      <c r="AJ744" s="119">
        <v>462235</v>
      </c>
      <c r="AK744" s="119">
        <v>5086224</v>
      </c>
      <c r="AL744" s="119">
        <v>6115530</v>
      </c>
      <c r="AM744" s="120">
        <v>16860525</v>
      </c>
    </row>
    <row r="745" spans="1:39" x14ac:dyDescent="0.3">
      <c r="A745" s="142" t="s">
        <v>841</v>
      </c>
      <c r="O745" s="142" t="s">
        <v>1425</v>
      </c>
      <c r="AF745" s="109" t="s">
        <v>1409</v>
      </c>
      <c r="AG745" s="119">
        <v>852343</v>
      </c>
      <c r="AH745" s="115" t="s">
        <v>199</v>
      </c>
      <c r="AI745" s="115" t="s">
        <v>199</v>
      </c>
      <c r="AJ745" s="115" t="s">
        <v>199</v>
      </c>
      <c r="AK745" s="115" t="s">
        <v>199</v>
      </c>
      <c r="AL745" s="115" t="s">
        <v>199</v>
      </c>
      <c r="AM745" s="120">
        <v>852343</v>
      </c>
    </row>
    <row r="746" spans="1:39" x14ac:dyDescent="0.3">
      <c r="A746" s="128"/>
      <c r="O746" s="143"/>
      <c r="AF746" s="109" t="s">
        <v>1121</v>
      </c>
      <c r="AG746" s="115" t="s">
        <v>199</v>
      </c>
      <c r="AH746" s="119">
        <v>31312</v>
      </c>
      <c r="AI746" s="119">
        <v>111750</v>
      </c>
      <c r="AJ746" s="115" t="s">
        <v>199</v>
      </c>
      <c r="AK746" s="119">
        <v>343671</v>
      </c>
      <c r="AL746" s="119">
        <v>1464530</v>
      </c>
      <c r="AM746" s="120">
        <v>1951262</v>
      </c>
    </row>
    <row r="747" spans="1:39" ht="67.5" x14ac:dyDescent="0.3">
      <c r="A747" s="1695" t="s">
        <v>976</v>
      </c>
      <c r="B747" s="1696"/>
      <c r="C747" s="1696"/>
      <c r="D747" s="1697"/>
      <c r="O747" s="142" t="s">
        <v>1426</v>
      </c>
      <c r="AF747" s="109" t="s">
        <v>1427</v>
      </c>
      <c r="AG747" s="119">
        <v>-391415</v>
      </c>
      <c r="AH747" s="119">
        <v>-50954</v>
      </c>
      <c r="AI747" s="119">
        <v>-835170</v>
      </c>
      <c r="AJ747" s="115" t="s">
        <v>199</v>
      </c>
      <c r="AK747" s="119">
        <v>-1612231</v>
      </c>
      <c r="AL747" s="115" t="s">
        <v>199</v>
      </c>
      <c r="AM747" s="120">
        <v>-2889771</v>
      </c>
    </row>
    <row r="748" spans="1:39" x14ac:dyDescent="0.3">
      <c r="A748" s="161" t="s">
        <v>977</v>
      </c>
      <c r="B748" s="134" t="s">
        <v>978</v>
      </c>
      <c r="C748" s="134" t="s">
        <v>979</v>
      </c>
      <c r="D748" s="135" t="s">
        <v>774</v>
      </c>
      <c r="O748" s="143"/>
      <c r="AF748" s="109" t="s">
        <v>1366</v>
      </c>
      <c r="AG748" s="115" t="s">
        <v>199</v>
      </c>
      <c r="AH748" s="119">
        <v>80951</v>
      </c>
      <c r="AI748" s="119">
        <v>9850</v>
      </c>
      <c r="AJ748" s="115" t="s">
        <v>1196</v>
      </c>
      <c r="AK748" s="119">
        <v>-90801</v>
      </c>
      <c r="AL748" s="115" t="s">
        <v>199</v>
      </c>
      <c r="AM748" s="116" t="s">
        <v>199</v>
      </c>
    </row>
    <row r="749" spans="1:39" ht="112.5" x14ac:dyDescent="0.3">
      <c r="A749" s="114" t="s">
        <v>1413</v>
      </c>
      <c r="B749" s="115" t="s">
        <v>1428</v>
      </c>
      <c r="C749" s="115" t="s">
        <v>1429</v>
      </c>
      <c r="D749" s="116" t="s">
        <v>1430</v>
      </c>
      <c r="O749" s="142" t="s">
        <v>1431</v>
      </c>
      <c r="AF749" s="109" t="s">
        <v>1367</v>
      </c>
      <c r="AG749" s="115" t="s">
        <v>199</v>
      </c>
      <c r="AH749" s="115" t="s">
        <v>199</v>
      </c>
      <c r="AI749" s="115" t="s">
        <v>199</v>
      </c>
      <c r="AJ749" s="115" t="s">
        <v>199</v>
      </c>
      <c r="AK749" s="115" t="s">
        <v>199</v>
      </c>
      <c r="AL749" s="119">
        <v>7432</v>
      </c>
      <c r="AM749" s="120">
        <v>7432</v>
      </c>
    </row>
    <row r="750" spans="1:39" x14ac:dyDescent="0.3">
      <c r="A750" s="114" t="s">
        <v>985</v>
      </c>
      <c r="B750" s="115" t="s">
        <v>1428</v>
      </c>
      <c r="C750" s="115" t="s">
        <v>1429</v>
      </c>
      <c r="D750" s="116" t="s">
        <v>1430</v>
      </c>
      <c r="AF750" s="121" t="s">
        <v>1127</v>
      </c>
      <c r="AG750" s="126">
        <v>1509052</v>
      </c>
      <c r="AH750" s="126">
        <v>732433</v>
      </c>
      <c r="AI750" s="126">
        <v>2763716</v>
      </c>
      <c r="AJ750" s="126">
        <v>462235</v>
      </c>
      <c r="AK750" s="126">
        <v>3726864</v>
      </c>
      <c r="AL750" s="126">
        <v>7587492</v>
      </c>
      <c r="AM750" s="127">
        <v>16781792</v>
      </c>
    </row>
    <row r="751" spans="1:39" x14ac:dyDescent="0.3">
      <c r="A751" s="114" t="s">
        <v>416</v>
      </c>
      <c r="B751" s="119">
        <v>-10874246</v>
      </c>
      <c r="C751" s="119">
        <v>-15869225</v>
      </c>
      <c r="D751" s="120">
        <v>-26743471</v>
      </c>
    </row>
    <row r="752" spans="1:39" x14ac:dyDescent="0.3">
      <c r="A752" s="1703" t="s">
        <v>988</v>
      </c>
      <c r="B752" s="1704"/>
      <c r="C752" s="1705"/>
      <c r="D752" s="116" t="s">
        <v>1432</v>
      </c>
      <c r="O752" s="142" t="s">
        <v>969</v>
      </c>
    </row>
    <row r="753" spans="1:34" x14ac:dyDescent="0.3">
      <c r="A753" s="1703" t="s">
        <v>989</v>
      </c>
      <c r="B753" s="1704"/>
      <c r="C753" s="1705"/>
      <c r="D753" s="120">
        <v>-21660445</v>
      </c>
      <c r="O753" s="143"/>
      <c r="AF753" s="142" t="s">
        <v>1433</v>
      </c>
    </row>
    <row r="754" spans="1:34" ht="22.5" x14ac:dyDescent="0.3">
      <c r="A754" s="1703" t="s">
        <v>1434</v>
      </c>
      <c r="B754" s="1704"/>
      <c r="C754" s="1705"/>
      <c r="D754" s="120">
        <v>-798642</v>
      </c>
      <c r="O754" s="142" t="s">
        <v>1405</v>
      </c>
    </row>
    <row r="755" spans="1:34" ht="22.5" x14ac:dyDescent="0.3">
      <c r="A755" s="1709" t="s">
        <v>1422</v>
      </c>
      <c r="B755" s="1710"/>
      <c r="C755" s="1711"/>
      <c r="D755" s="127">
        <v>-47935284</v>
      </c>
      <c r="O755" s="143"/>
      <c r="AF755" s="142" t="s">
        <v>1435</v>
      </c>
    </row>
    <row r="756" spans="1:34" ht="22.5" x14ac:dyDescent="0.3">
      <c r="A756" s="142" t="s">
        <v>1423</v>
      </c>
      <c r="O756" s="142" t="s">
        <v>1436</v>
      </c>
      <c r="AF756" s="1695" t="s">
        <v>826</v>
      </c>
      <c r="AG756" s="1696"/>
      <c r="AH756" s="1697"/>
    </row>
    <row r="757" spans="1:34" x14ac:dyDescent="0.3">
      <c r="A757" s="143"/>
      <c r="AF757" s="161" t="s">
        <v>763</v>
      </c>
      <c r="AG757" s="134" t="s">
        <v>786</v>
      </c>
      <c r="AH757" s="135" t="s">
        <v>787</v>
      </c>
    </row>
    <row r="758" spans="1:34" x14ac:dyDescent="0.3">
      <c r="A758" s="142" t="s">
        <v>1437</v>
      </c>
      <c r="AF758" s="1712" t="s">
        <v>1342</v>
      </c>
      <c r="AG758" s="1713"/>
      <c r="AH758" s="1714"/>
    </row>
    <row r="759" spans="1:34" x14ac:dyDescent="0.15">
      <c r="A759" s="143"/>
      <c r="O759" s="142" t="s">
        <v>840</v>
      </c>
      <c r="AF759" s="109" t="s">
        <v>1438</v>
      </c>
      <c r="AG759" s="183">
        <v>2121150</v>
      </c>
      <c r="AH759" s="180">
        <v>3517141</v>
      </c>
    </row>
    <row r="760" spans="1:34" x14ac:dyDescent="0.15">
      <c r="A760" s="142" t="s">
        <v>1439</v>
      </c>
      <c r="O760" s="128"/>
      <c r="AF760" s="109" t="s">
        <v>1440</v>
      </c>
      <c r="AG760" s="183">
        <v>98568</v>
      </c>
      <c r="AH760" s="180">
        <v>58342</v>
      </c>
    </row>
    <row r="761" spans="1:34" x14ac:dyDescent="0.15">
      <c r="A761" s="143"/>
      <c r="O761" s="128"/>
      <c r="AF761" s="109" t="s">
        <v>1013</v>
      </c>
      <c r="AG761" s="183">
        <v>156574</v>
      </c>
      <c r="AH761" s="180">
        <v>192706</v>
      </c>
    </row>
    <row r="762" spans="1:34" x14ac:dyDescent="0.15">
      <c r="A762" s="142" t="s">
        <v>1441</v>
      </c>
      <c r="O762" s="1695" t="s">
        <v>976</v>
      </c>
      <c r="P762" s="1696"/>
      <c r="Q762" s="1696"/>
      <c r="R762" s="1696"/>
      <c r="S762" s="1696"/>
      <c r="T762" s="1697"/>
      <c r="AF762" s="146" t="s">
        <v>1442</v>
      </c>
      <c r="AG762" s="184">
        <v>2376292</v>
      </c>
      <c r="AH762" s="182">
        <v>3768190</v>
      </c>
    </row>
    <row r="763" spans="1:34" x14ac:dyDescent="0.3">
      <c r="A763" s="1695" t="s">
        <v>826</v>
      </c>
      <c r="B763" s="1696"/>
      <c r="C763" s="1697"/>
      <c r="O763" s="161" t="s">
        <v>977</v>
      </c>
      <c r="P763" s="134" t="s">
        <v>978</v>
      </c>
      <c r="Q763" s="134" t="s">
        <v>979</v>
      </c>
      <c r="R763" s="134" t="s">
        <v>980</v>
      </c>
      <c r="S763" s="134" t="s">
        <v>981</v>
      </c>
      <c r="T763" s="135" t="s">
        <v>774</v>
      </c>
    </row>
    <row r="764" spans="1:34" ht="22.5" x14ac:dyDescent="0.3">
      <c r="A764" s="161" t="s">
        <v>788</v>
      </c>
      <c r="B764" s="134" t="s">
        <v>789</v>
      </c>
      <c r="C764" s="135" t="s">
        <v>843</v>
      </c>
      <c r="O764" s="114" t="s">
        <v>982</v>
      </c>
      <c r="P764" s="119">
        <v>199453790</v>
      </c>
      <c r="Q764" s="119">
        <v>44782541</v>
      </c>
      <c r="R764" s="119">
        <v>244236331</v>
      </c>
      <c r="S764" s="119">
        <v>-47067</v>
      </c>
      <c r="T764" s="120">
        <v>244189264</v>
      </c>
      <c r="AF764" s="142" t="s">
        <v>1443</v>
      </c>
    </row>
    <row r="765" spans="1:34" x14ac:dyDescent="0.3">
      <c r="A765" s="1712" t="s">
        <v>1444</v>
      </c>
      <c r="B765" s="1713"/>
      <c r="C765" s="1714"/>
      <c r="O765" s="114" t="s">
        <v>984</v>
      </c>
      <c r="P765" s="115" t="s">
        <v>199</v>
      </c>
      <c r="Q765" s="119">
        <v>47067</v>
      </c>
      <c r="R765" s="119">
        <v>47067</v>
      </c>
      <c r="S765" s="119">
        <v>-47067</v>
      </c>
      <c r="T765" s="116" t="s">
        <v>199</v>
      </c>
      <c r="AF765" s="1695" t="s">
        <v>826</v>
      </c>
      <c r="AG765" s="1696"/>
      <c r="AH765" s="1697"/>
    </row>
    <row r="766" spans="1:34" x14ac:dyDescent="0.3">
      <c r="A766" s="109" t="s">
        <v>1004</v>
      </c>
      <c r="B766" s="115" t="s">
        <v>1445</v>
      </c>
      <c r="C766" s="116" t="s">
        <v>1446</v>
      </c>
      <c r="O766" s="114" t="s">
        <v>985</v>
      </c>
      <c r="P766" s="119">
        <v>199453790</v>
      </c>
      <c r="Q766" s="119">
        <v>44735474</v>
      </c>
      <c r="R766" s="119">
        <v>244189264</v>
      </c>
      <c r="S766" s="115" t="s">
        <v>199</v>
      </c>
      <c r="T766" s="120">
        <v>244189264</v>
      </c>
      <c r="AF766" s="161" t="s">
        <v>763</v>
      </c>
      <c r="AG766" s="134" t="s">
        <v>829</v>
      </c>
      <c r="AH766" s="135" t="s">
        <v>1001</v>
      </c>
    </row>
    <row r="767" spans="1:34" x14ac:dyDescent="0.3">
      <c r="A767" s="109" t="s">
        <v>1006</v>
      </c>
      <c r="B767" s="115" t="s">
        <v>1447</v>
      </c>
      <c r="C767" s="116" t="s">
        <v>1448</v>
      </c>
      <c r="O767" s="114" t="s">
        <v>416</v>
      </c>
      <c r="P767" s="119">
        <v>5880906</v>
      </c>
      <c r="Q767" s="119">
        <v>-1032397</v>
      </c>
      <c r="R767" s="119">
        <v>4848509</v>
      </c>
      <c r="S767" s="115" t="s">
        <v>199</v>
      </c>
      <c r="T767" s="120">
        <v>4848509</v>
      </c>
      <c r="AF767" s="1703" t="s">
        <v>1449</v>
      </c>
      <c r="AG767" s="1704"/>
      <c r="AH767" s="1727"/>
    </row>
    <row r="768" spans="1:34" x14ac:dyDescent="0.3">
      <c r="A768" s="109" t="s">
        <v>1008</v>
      </c>
      <c r="B768" s="115" t="s">
        <v>1450</v>
      </c>
      <c r="C768" s="116" t="s">
        <v>1451</v>
      </c>
      <c r="O768" s="1703" t="s">
        <v>988</v>
      </c>
      <c r="P768" s="1704"/>
      <c r="Q768" s="1704"/>
      <c r="R768" s="1704"/>
      <c r="S768" s="1705"/>
      <c r="T768" s="120">
        <v>-18992817</v>
      </c>
      <c r="AF768" s="114" t="s">
        <v>1438</v>
      </c>
      <c r="AG768" s="119">
        <v>2053924</v>
      </c>
      <c r="AH768" s="120">
        <v>1892355</v>
      </c>
    </row>
    <row r="769" spans="1:36" x14ac:dyDescent="0.3">
      <c r="A769" s="109" t="s">
        <v>1009</v>
      </c>
      <c r="B769" s="115" t="s">
        <v>1452</v>
      </c>
      <c r="C769" s="116" t="s">
        <v>1453</v>
      </c>
      <c r="O769" s="1703" t="s">
        <v>989</v>
      </c>
      <c r="P769" s="1704"/>
      <c r="Q769" s="1704"/>
      <c r="R769" s="1704"/>
      <c r="S769" s="1705"/>
      <c r="T769" s="120">
        <v>-1724726</v>
      </c>
      <c r="AF769" s="114" t="s">
        <v>1440</v>
      </c>
      <c r="AG769" s="119">
        <v>36962</v>
      </c>
      <c r="AH769" s="120">
        <v>32994</v>
      </c>
    </row>
    <row r="770" spans="1:36" x14ac:dyDescent="0.3">
      <c r="A770" s="109" t="s">
        <v>1010</v>
      </c>
      <c r="B770" s="115" t="s">
        <v>1454</v>
      </c>
      <c r="C770" s="116" t="s">
        <v>1455</v>
      </c>
      <c r="O770" s="1703" t="s">
        <v>1456</v>
      </c>
      <c r="P770" s="1704"/>
      <c r="Q770" s="1704"/>
      <c r="R770" s="1704"/>
      <c r="S770" s="1705"/>
      <c r="T770" s="120">
        <v>24157</v>
      </c>
      <c r="AF770" s="114" t="s">
        <v>1013</v>
      </c>
      <c r="AG770" s="119">
        <v>36132</v>
      </c>
      <c r="AH770" s="120">
        <v>36132</v>
      </c>
    </row>
    <row r="771" spans="1:36" x14ac:dyDescent="0.3">
      <c r="A771" s="109" t="s">
        <v>1012</v>
      </c>
      <c r="B771" s="115" t="s">
        <v>1457</v>
      </c>
      <c r="C771" s="116" t="s">
        <v>1458</v>
      </c>
      <c r="O771" s="1709" t="s">
        <v>442</v>
      </c>
      <c r="P771" s="1710"/>
      <c r="Q771" s="1710"/>
      <c r="R771" s="1710"/>
      <c r="S771" s="1711"/>
      <c r="T771" s="127">
        <v>-15844877</v>
      </c>
      <c r="AF771" s="162" t="s">
        <v>774</v>
      </c>
      <c r="AG771" s="119">
        <v>2127018</v>
      </c>
      <c r="AH771" s="120">
        <v>1961482</v>
      </c>
    </row>
    <row r="772" spans="1:36" x14ac:dyDescent="0.3">
      <c r="A772" s="109" t="s">
        <v>1013</v>
      </c>
      <c r="B772" s="115" t="s">
        <v>1459</v>
      </c>
      <c r="C772" s="116" t="s">
        <v>1460</v>
      </c>
      <c r="AF772" s="114" t="s">
        <v>1461</v>
      </c>
      <c r="AG772" s="119">
        <v>195958</v>
      </c>
      <c r="AH772" s="120">
        <v>230446</v>
      </c>
    </row>
    <row r="773" spans="1:36" x14ac:dyDescent="0.3">
      <c r="A773" s="162" t="s">
        <v>1462</v>
      </c>
      <c r="B773" s="115" t="s">
        <v>1416</v>
      </c>
      <c r="C773" s="116" t="s">
        <v>1463</v>
      </c>
      <c r="O773" s="142" t="s">
        <v>841</v>
      </c>
      <c r="AF773" s="114" t="s">
        <v>1464</v>
      </c>
      <c r="AG773" s="119">
        <v>24348</v>
      </c>
      <c r="AH773" s="120">
        <v>34090</v>
      </c>
    </row>
    <row r="774" spans="1:36" x14ac:dyDescent="0.3">
      <c r="A774" s="1712" t="s">
        <v>1465</v>
      </c>
      <c r="B774" s="1713"/>
      <c r="C774" s="1714"/>
      <c r="O774" s="128"/>
      <c r="AF774" s="125" t="s">
        <v>1466</v>
      </c>
      <c r="AG774" s="126">
        <v>87119</v>
      </c>
      <c r="AH774" s="127">
        <v>29971</v>
      </c>
    </row>
    <row r="775" spans="1:36" x14ac:dyDescent="0.3">
      <c r="A775" s="109" t="s">
        <v>1467</v>
      </c>
      <c r="B775" s="115" t="s">
        <v>1468</v>
      </c>
      <c r="C775" s="116" t="s">
        <v>1469</v>
      </c>
      <c r="O775" s="1695" t="s">
        <v>976</v>
      </c>
      <c r="P775" s="1696"/>
      <c r="Q775" s="1696"/>
      <c r="R775" s="1696"/>
      <c r="S775" s="1696"/>
      <c r="T775" s="1697"/>
      <c r="AF775" s="143"/>
    </row>
    <row r="776" spans="1:36" ht="22.5" x14ac:dyDescent="0.3">
      <c r="A776" s="109" t="s">
        <v>1470</v>
      </c>
      <c r="B776" s="115" t="s">
        <v>1471</v>
      </c>
      <c r="C776" s="116" t="s">
        <v>1472</v>
      </c>
      <c r="O776" s="161" t="s">
        <v>977</v>
      </c>
      <c r="P776" s="134" t="s">
        <v>978</v>
      </c>
      <c r="Q776" s="134" t="s">
        <v>979</v>
      </c>
      <c r="R776" s="134" t="s">
        <v>980</v>
      </c>
      <c r="S776" s="134" t="s">
        <v>981</v>
      </c>
      <c r="T776" s="135" t="s">
        <v>774</v>
      </c>
      <c r="AF776" s="142" t="s">
        <v>1473</v>
      </c>
    </row>
    <row r="777" spans="1:36" x14ac:dyDescent="0.3">
      <c r="A777" s="109" t="s">
        <v>1474</v>
      </c>
      <c r="B777" s="115" t="s">
        <v>1475</v>
      </c>
      <c r="C777" s="116" t="s">
        <v>1476</v>
      </c>
      <c r="O777" s="114" t="s">
        <v>982</v>
      </c>
      <c r="P777" s="119">
        <v>184211907</v>
      </c>
      <c r="Q777" s="119">
        <v>42117165</v>
      </c>
      <c r="R777" s="119">
        <v>226329072</v>
      </c>
      <c r="S777" s="115" t="s">
        <v>199</v>
      </c>
      <c r="T777" s="120">
        <v>226329072</v>
      </c>
      <c r="AF777" s="143"/>
    </row>
    <row r="778" spans="1:36" x14ac:dyDescent="0.3">
      <c r="A778" s="109" t="s">
        <v>1477</v>
      </c>
      <c r="B778" s="115" t="s">
        <v>1478</v>
      </c>
      <c r="C778" s="116" t="s">
        <v>1479</v>
      </c>
      <c r="O778" s="114" t="s">
        <v>984</v>
      </c>
      <c r="P778" s="115" t="s">
        <v>199</v>
      </c>
      <c r="Q778" s="115" t="s">
        <v>199</v>
      </c>
      <c r="R778" s="115" t="s">
        <v>199</v>
      </c>
      <c r="S778" s="115" t="s">
        <v>199</v>
      </c>
      <c r="T778" s="116" t="s">
        <v>199</v>
      </c>
      <c r="AF778" s="143"/>
    </row>
    <row r="779" spans="1:36" x14ac:dyDescent="0.3">
      <c r="A779" s="162" t="s">
        <v>1462</v>
      </c>
      <c r="B779" s="115" t="s">
        <v>1416</v>
      </c>
      <c r="C779" s="116" t="s">
        <v>1463</v>
      </c>
      <c r="O779" s="114" t="s">
        <v>985</v>
      </c>
      <c r="P779" s="119">
        <v>184211907</v>
      </c>
      <c r="Q779" s="119">
        <v>42117165</v>
      </c>
      <c r="R779" s="119">
        <v>226329072</v>
      </c>
      <c r="S779" s="115" t="s">
        <v>199</v>
      </c>
      <c r="T779" s="120">
        <v>226329072</v>
      </c>
      <c r="AF779" s="142" t="s">
        <v>1480</v>
      </c>
    </row>
    <row r="780" spans="1:36" x14ac:dyDescent="0.3">
      <c r="A780" s="1712" t="s">
        <v>1023</v>
      </c>
      <c r="B780" s="1713"/>
      <c r="C780" s="1714"/>
      <c r="O780" s="114" t="s">
        <v>416</v>
      </c>
      <c r="P780" s="119">
        <v>-10657027</v>
      </c>
      <c r="Q780" s="119">
        <v>-1231895</v>
      </c>
      <c r="R780" s="119">
        <v>-11888922</v>
      </c>
      <c r="S780" s="115" t="s">
        <v>199</v>
      </c>
      <c r="T780" s="120">
        <v>-11888922</v>
      </c>
      <c r="AF780" s="143"/>
    </row>
    <row r="781" spans="1:36" ht="22.5" x14ac:dyDescent="0.3">
      <c r="A781" s="109" t="s">
        <v>1025</v>
      </c>
      <c r="B781" s="115" t="s">
        <v>1481</v>
      </c>
      <c r="C781" s="116" t="s">
        <v>1482</v>
      </c>
      <c r="O781" s="1703" t="s">
        <v>988</v>
      </c>
      <c r="P781" s="1704"/>
      <c r="Q781" s="1704"/>
      <c r="R781" s="1704"/>
      <c r="S781" s="1705"/>
      <c r="T781" s="120">
        <v>-2863952</v>
      </c>
      <c r="AF781" s="142" t="s">
        <v>1483</v>
      </c>
    </row>
    <row r="782" spans="1:36" x14ac:dyDescent="0.3">
      <c r="A782" s="109" t="s">
        <v>1026</v>
      </c>
      <c r="B782" s="115" t="s">
        <v>1484</v>
      </c>
      <c r="C782" s="116" t="s">
        <v>1485</v>
      </c>
      <c r="O782" s="1703" t="s">
        <v>989</v>
      </c>
      <c r="P782" s="1704"/>
      <c r="Q782" s="1704"/>
      <c r="R782" s="1704"/>
      <c r="S782" s="1705"/>
      <c r="T782" s="120">
        <v>-10295321</v>
      </c>
      <c r="AF782" s="1695" t="s">
        <v>976</v>
      </c>
      <c r="AG782" s="1696"/>
      <c r="AH782" s="1696"/>
      <c r="AI782" s="1696"/>
      <c r="AJ782" s="1697"/>
    </row>
    <row r="783" spans="1:36" x14ac:dyDescent="0.3">
      <c r="A783" s="146" t="s">
        <v>1462</v>
      </c>
      <c r="B783" s="136" t="s">
        <v>1416</v>
      </c>
      <c r="C783" s="137" t="s">
        <v>1463</v>
      </c>
      <c r="O783" s="1703" t="s">
        <v>1456</v>
      </c>
      <c r="P783" s="1704"/>
      <c r="Q783" s="1704"/>
      <c r="R783" s="1704"/>
      <c r="S783" s="1705"/>
      <c r="T783" s="116" t="s">
        <v>199</v>
      </c>
      <c r="AF783" s="1698" t="s">
        <v>977</v>
      </c>
      <c r="AG783" s="1699" t="s">
        <v>786</v>
      </c>
      <c r="AH783" s="1701"/>
      <c r="AI783" s="1699" t="s">
        <v>787</v>
      </c>
      <c r="AJ783" s="1702"/>
    </row>
    <row r="784" spans="1:36" ht="22.5" x14ac:dyDescent="0.3">
      <c r="A784" s="142" t="s">
        <v>1486</v>
      </c>
      <c r="O784" s="1709" t="s">
        <v>442</v>
      </c>
      <c r="P784" s="1710"/>
      <c r="Q784" s="1710"/>
      <c r="R784" s="1710"/>
      <c r="S784" s="1711"/>
      <c r="T784" s="127">
        <v>-25048195</v>
      </c>
      <c r="AF784" s="1690"/>
      <c r="AG784" s="134" t="s">
        <v>1487</v>
      </c>
      <c r="AH784" s="134" t="s">
        <v>1488</v>
      </c>
      <c r="AI784" s="134" t="s">
        <v>1487</v>
      </c>
      <c r="AJ784" s="135" t="s">
        <v>1488</v>
      </c>
    </row>
    <row r="785" spans="1:36" ht="22.5" x14ac:dyDescent="0.15">
      <c r="A785" s="142" t="s">
        <v>1489</v>
      </c>
      <c r="O785" s="143"/>
      <c r="AF785" s="109" t="s">
        <v>247</v>
      </c>
      <c r="AG785" s="183">
        <v>40373478</v>
      </c>
      <c r="AH785" s="179" t="s">
        <v>199</v>
      </c>
      <c r="AI785" s="183">
        <v>34914087</v>
      </c>
      <c r="AJ785" s="185" t="s">
        <v>199</v>
      </c>
    </row>
    <row r="786" spans="1:36" ht="22.5" x14ac:dyDescent="0.15">
      <c r="O786" s="142" t="s">
        <v>1490</v>
      </c>
      <c r="AF786" s="109" t="s">
        <v>1491</v>
      </c>
      <c r="AG786" s="183">
        <v>31805555</v>
      </c>
      <c r="AH786" s="179" t="s">
        <v>199</v>
      </c>
      <c r="AI786" s="183">
        <v>27364580</v>
      </c>
      <c r="AJ786" s="185" t="s">
        <v>199</v>
      </c>
    </row>
    <row r="787" spans="1:36" x14ac:dyDescent="0.15">
      <c r="A787" s="142" t="s">
        <v>1492</v>
      </c>
      <c r="O787" s="143"/>
      <c r="AF787" s="109" t="s">
        <v>1493</v>
      </c>
      <c r="AG787" s="183">
        <v>1603307</v>
      </c>
      <c r="AH787" s="179" t="s">
        <v>199</v>
      </c>
      <c r="AI787" s="183">
        <v>3584734</v>
      </c>
      <c r="AJ787" s="185" t="s">
        <v>199</v>
      </c>
    </row>
    <row r="788" spans="1:36" x14ac:dyDescent="0.15">
      <c r="A788" s="143"/>
      <c r="O788" s="142" t="s">
        <v>1494</v>
      </c>
      <c r="AF788" s="109" t="s">
        <v>1495</v>
      </c>
      <c r="AG788" s="179" t="s">
        <v>199</v>
      </c>
      <c r="AH788" s="183">
        <v>994339</v>
      </c>
      <c r="AI788" s="179" t="s">
        <v>199</v>
      </c>
      <c r="AJ788" s="180">
        <v>467762</v>
      </c>
    </row>
    <row r="789" spans="1:36" ht="33.75" x14ac:dyDescent="0.15">
      <c r="A789" s="142" t="s">
        <v>1496</v>
      </c>
      <c r="O789" s="1695" t="s">
        <v>826</v>
      </c>
      <c r="P789" s="1696"/>
      <c r="Q789" s="1697"/>
      <c r="AF789" s="146" t="s">
        <v>774</v>
      </c>
      <c r="AG789" s="184">
        <v>73782340</v>
      </c>
      <c r="AH789" s="184">
        <v>994339</v>
      </c>
      <c r="AI789" s="184">
        <v>65863402</v>
      </c>
      <c r="AJ789" s="182">
        <v>467762</v>
      </c>
    </row>
    <row r="790" spans="1:36" x14ac:dyDescent="0.3">
      <c r="O790" s="161" t="s">
        <v>763</v>
      </c>
      <c r="P790" s="134" t="s">
        <v>789</v>
      </c>
      <c r="Q790" s="135" t="s">
        <v>843</v>
      </c>
      <c r="AF790" s="143"/>
    </row>
    <row r="791" spans="1:36" ht="22.5" x14ac:dyDescent="0.3">
      <c r="A791" s="142" t="s">
        <v>1497</v>
      </c>
      <c r="O791" s="1712" t="s">
        <v>1003</v>
      </c>
      <c r="P791" s="1713"/>
      <c r="Q791" s="1714"/>
      <c r="AF791" s="143"/>
    </row>
    <row r="792" spans="1:36" x14ac:dyDescent="0.3">
      <c r="A792" s="1695" t="s">
        <v>826</v>
      </c>
      <c r="B792" s="1696"/>
      <c r="C792" s="1697"/>
      <c r="O792" s="109" t="s">
        <v>1283</v>
      </c>
      <c r="P792" s="119">
        <v>224071050</v>
      </c>
      <c r="Q792" s="120">
        <v>204590279</v>
      </c>
      <c r="AF792" s="142" t="s">
        <v>1498</v>
      </c>
    </row>
    <row r="793" spans="1:36" x14ac:dyDescent="0.3">
      <c r="A793" s="161" t="s">
        <v>788</v>
      </c>
      <c r="B793" s="134" t="s">
        <v>820</v>
      </c>
      <c r="C793" s="135" t="s">
        <v>787</v>
      </c>
      <c r="O793" s="109" t="s">
        <v>809</v>
      </c>
      <c r="P793" s="119">
        <v>4815819</v>
      </c>
      <c r="Q793" s="120">
        <v>5199121</v>
      </c>
      <c r="AF793" s="143"/>
    </row>
    <row r="794" spans="1:36" x14ac:dyDescent="0.3">
      <c r="A794" s="109" t="s">
        <v>1035</v>
      </c>
      <c r="B794" s="115" t="s">
        <v>1499</v>
      </c>
      <c r="C794" s="116" t="s">
        <v>1500</v>
      </c>
      <c r="O794" s="109" t="s">
        <v>798</v>
      </c>
      <c r="P794" s="119">
        <v>6306671</v>
      </c>
      <c r="Q794" s="120">
        <v>7395508</v>
      </c>
      <c r="AF794" s="142" t="s">
        <v>1501</v>
      </c>
    </row>
    <row r="795" spans="1:36" x14ac:dyDescent="0.3">
      <c r="A795" s="109" t="s">
        <v>1036</v>
      </c>
      <c r="B795" s="115" t="s">
        <v>1502</v>
      </c>
      <c r="C795" s="116" t="s">
        <v>1503</v>
      </c>
      <c r="O795" s="109" t="s">
        <v>1504</v>
      </c>
      <c r="P795" s="119">
        <v>3137140</v>
      </c>
      <c r="Q795" s="120">
        <v>4060063</v>
      </c>
      <c r="AF795" s="1695" t="s">
        <v>976</v>
      </c>
      <c r="AG795" s="1696"/>
      <c r="AH795" s="1696"/>
      <c r="AI795" s="1696"/>
      <c r="AJ795" s="1697"/>
    </row>
    <row r="796" spans="1:36" x14ac:dyDescent="0.3">
      <c r="A796" s="121" t="s">
        <v>774</v>
      </c>
      <c r="B796" s="136" t="s">
        <v>1505</v>
      </c>
      <c r="C796" s="137" t="s">
        <v>1506</v>
      </c>
      <c r="O796" s="109" t="s">
        <v>793</v>
      </c>
      <c r="P796" s="119">
        <v>1935521</v>
      </c>
      <c r="Q796" s="120">
        <v>1763229</v>
      </c>
      <c r="AF796" s="1698" t="s">
        <v>977</v>
      </c>
      <c r="AG796" s="1699" t="s">
        <v>786</v>
      </c>
      <c r="AH796" s="1701"/>
      <c r="AI796" s="1699" t="s">
        <v>787</v>
      </c>
      <c r="AJ796" s="1702"/>
    </row>
    <row r="797" spans="1:36" x14ac:dyDescent="0.3">
      <c r="A797" s="143"/>
      <c r="O797" s="109" t="s">
        <v>1507</v>
      </c>
      <c r="P797" s="119">
        <v>2172783</v>
      </c>
      <c r="Q797" s="120">
        <v>1848246</v>
      </c>
      <c r="AF797" s="1690"/>
      <c r="AG797" s="134" t="s">
        <v>1508</v>
      </c>
      <c r="AH797" s="134" t="s">
        <v>1488</v>
      </c>
      <c r="AI797" s="134" t="s">
        <v>1508</v>
      </c>
      <c r="AJ797" s="135" t="s">
        <v>1488</v>
      </c>
    </row>
    <row r="798" spans="1:36" x14ac:dyDescent="0.15">
      <c r="A798" s="142" t="s">
        <v>1509</v>
      </c>
      <c r="O798" s="109" t="s">
        <v>71</v>
      </c>
      <c r="P798" s="119">
        <v>1750281</v>
      </c>
      <c r="Q798" s="120">
        <v>1472626</v>
      </c>
      <c r="AF798" s="114" t="s">
        <v>1035</v>
      </c>
      <c r="AG798" s="183">
        <v>53299</v>
      </c>
      <c r="AH798" s="179" t="s">
        <v>199</v>
      </c>
      <c r="AI798" s="183">
        <v>464646</v>
      </c>
      <c r="AJ798" s="185" t="s">
        <v>199</v>
      </c>
    </row>
    <row r="799" spans="1:36" x14ac:dyDescent="0.15">
      <c r="A799" s="1695" t="s">
        <v>976</v>
      </c>
      <c r="B799" s="1696"/>
      <c r="C799" s="1697"/>
      <c r="O799" s="162" t="s">
        <v>1442</v>
      </c>
      <c r="P799" s="119">
        <v>244189265</v>
      </c>
      <c r="Q799" s="120">
        <v>226329072</v>
      </c>
      <c r="AF799" s="114" t="s">
        <v>1036</v>
      </c>
      <c r="AG799" s="183">
        <v>6447472</v>
      </c>
      <c r="AH799" s="179" t="s">
        <v>199</v>
      </c>
      <c r="AI799" s="183">
        <v>6994861</v>
      </c>
      <c r="AJ799" s="185" t="s">
        <v>199</v>
      </c>
    </row>
    <row r="800" spans="1:36" x14ac:dyDescent="0.15">
      <c r="A800" s="161" t="s">
        <v>977</v>
      </c>
      <c r="B800" s="134" t="s">
        <v>789</v>
      </c>
      <c r="C800" s="135" t="s">
        <v>843</v>
      </c>
      <c r="O800" s="1712" t="s">
        <v>1510</v>
      </c>
      <c r="P800" s="1713"/>
      <c r="Q800" s="1714"/>
      <c r="AF800" s="114" t="s">
        <v>1511</v>
      </c>
      <c r="AG800" s="183">
        <v>563458</v>
      </c>
      <c r="AH800" s="179" t="s">
        <v>199</v>
      </c>
      <c r="AI800" s="183">
        <v>867842</v>
      </c>
      <c r="AJ800" s="185" t="s">
        <v>199</v>
      </c>
    </row>
    <row r="801" spans="1:38" x14ac:dyDescent="0.15">
      <c r="A801" s="109" t="s">
        <v>1512</v>
      </c>
      <c r="B801" s="115" t="s">
        <v>1513</v>
      </c>
      <c r="C801" s="116" t="s">
        <v>1514</v>
      </c>
      <c r="O801" s="109" t="s">
        <v>1515</v>
      </c>
      <c r="P801" s="119">
        <v>188277099</v>
      </c>
      <c r="Q801" s="120">
        <v>173179617</v>
      </c>
      <c r="AF801" s="114" t="s">
        <v>1516</v>
      </c>
      <c r="AG801" s="183">
        <v>876907</v>
      </c>
      <c r="AH801" s="179" t="s">
        <v>199</v>
      </c>
      <c r="AI801" s="183">
        <v>2135911</v>
      </c>
      <c r="AJ801" s="185" t="s">
        <v>199</v>
      </c>
    </row>
    <row r="802" spans="1:38" x14ac:dyDescent="0.15">
      <c r="A802" s="109" t="s">
        <v>1043</v>
      </c>
      <c r="B802" s="115" t="s">
        <v>1517</v>
      </c>
      <c r="C802" s="116" t="s">
        <v>1518</v>
      </c>
      <c r="O802" s="109" t="s">
        <v>1519</v>
      </c>
      <c r="P802" s="119">
        <v>33656274</v>
      </c>
      <c r="Q802" s="120">
        <v>31666860</v>
      </c>
      <c r="AF802" s="114" t="s">
        <v>1520</v>
      </c>
      <c r="AG802" s="183">
        <v>80039</v>
      </c>
      <c r="AH802" s="179" t="s">
        <v>199</v>
      </c>
      <c r="AI802" s="183">
        <v>116491</v>
      </c>
      <c r="AJ802" s="185" t="s">
        <v>199</v>
      </c>
    </row>
    <row r="803" spans="1:38" x14ac:dyDescent="0.15">
      <c r="A803" s="109" t="s">
        <v>1045</v>
      </c>
      <c r="B803" s="115" t="s">
        <v>1521</v>
      </c>
      <c r="C803" s="116" t="s">
        <v>1522</v>
      </c>
      <c r="O803" s="109" t="s">
        <v>1523</v>
      </c>
      <c r="P803" s="119">
        <v>17617564</v>
      </c>
      <c r="Q803" s="120">
        <v>20460604</v>
      </c>
      <c r="AF803" s="114" t="s">
        <v>1524</v>
      </c>
      <c r="AG803" s="183">
        <v>399894</v>
      </c>
      <c r="AH803" s="179" t="s">
        <v>199</v>
      </c>
      <c r="AI803" s="183">
        <v>329591</v>
      </c>
      <c r="AJ803" s="185" t="s">
        <v>199</v>
      </c>
    </row>
    <row r="804" spans="1:38" x14ac:dyDescent="0.15">
      <c r="A804" s="109" t="s">
        <v>1047</v>
      </c>
      <c r="B804" s="115" t="s">
        <v>1525</v>
      </c>
      <c r="C804" s="116" t="s">
        <v>1526</v>
      </c>
      <c r="O804" s="109" t="s">
        <v>1527</v>
      </c>
      <c r="P804" s="119">
        <v>4638328</v>
      </c>
      <c r="Q804" s="120">
        <v>1021991</v>
      </c>
      <c r="AF804" s="114" t="s">
        <v>1528</v>
      </c>
      <c r="AG804" s="179" t="s">
        <v>199</v>
      </c>
      <c r="AH804" s="183">
        <v>113210</v>
      </c>
      <c r="AI804" s="183">
        <v>59468</v>
      </c>
      <c r="AJ804" s="180">
        <v>108038</v>
      </c>
    </row>
    <row r="805" spans="1:38" x14ac:dyDescent="0.15">
      <c r="A805" s="146" t="s">
        <v>774</v>
      </c>
      <c r="B805" s="136" t="s">
        <v>1529</v>
      </c>
      <c r="C805" s="137" t="s">
        <v>1530</v>
      </c>
      <c r="O805" s="162" t="s">
        <v>1442</v>
      </c>
      <c r="P805" s="119">
        <v>244189265</v>
      </c>
      <c r="Q805" s="120">
        <v>226329072</v>
      </c>
      <c r="AF805" s="146" t="s">
        <v>774</v>
      </c>
      <c r="AG805" s="184">
        <v>8421069</v>
      </c>
      <c r="AH805" s="184">
        <v>113210</v>
      </c>
      <c r="AI805" s="184">
        <v>10968811</v>
      </c>
      <c r="AJ805" s="182">
        <v>108038</v>
      </c>
    </row>
    <row r="806" spans="1:38" x14ac:dyDescent="0.3">
      <c r="O806" s="1712" t="s">
        <v>1023</v>
      </c>
      <c r="P806" s="1713"/>
      <c r="Q806" s="1714"/>
    </row>
    <row r="807" spans="1:38" x14ac:dyDescent="0.3">
      <c r="O807" s="109" t="s">
        <v>1531</v>
      </c>
      <c r="P807" s="119">
        <v>114885484</v>
      </c>
      <c r="Q807" s="120">
        <v>122889793</v>
      </c>
      <c r="AF807" s="142" t="s">
        <v>1532</v>
      </c>
    </row>
    <row r="808" spans="1:38" x14ac:dyDescent="0.3">
      <c r="A808" s="142" t="s">
        <v>1051</v>
      </c>
      <c r="O808" s="109" t="s">
        <v>1533</v>
      </c>
      <c r="P808" s="119">
        <v>129303781</v>
      </c>
      <c r="Q808" s="120">
        <v>103439279</v>
      </c>
      <c r="AF808" s="143"/>
    </row>
    <row r="809" spans="1:38" x14ac:dyDescent="0.3">
      <c r="A809" s="143"/>
      <c r="O809" s="146" t="s">
        <v>1442</v>
      </c>
      <c r="P809" s="126">
        <v>244189265</v>
      </c>
      <c r="Q809" s="127">
        <v>226329072</v>
      </c>
      <c r="AF809" s="142" t="s">
        <v>824</v>
      </c>
    </row>
    <row r="810" spans="1:38" ht="22.5" x14ac:dyDescent="0.3">
      <c r="A810" s="142" t="s">
        <v>1053</v>
      </c>
      <c r="O810" s="142" t="s">
        <v>1028</v>
      </c>
    </row>
    <row r="811" spans="1:38" x14ac:dyDescent="0.3">
      <c r="A811" s="143"/>
      <c r="AF811" s="1695" t="s">
        <v>826</v>
      </c>
      <c r="AG811" s="1696"/>
      <c r="AH811" s="1696"/>
      <c r="AI811" s="1696"/>
      <c r="AJ811" s="1696"/>
      <c r="AK811" s="1696"/>
      <c r="AL811" s="1697"/>
    </row>
    <row r="812" spans="1:38" ht="45" x14ac:dyDescent="0.3">
      <c r="A812" s="142" t="s">
        <v>1534</v>
      </c>
      <c r="O812" s="142" t="s">
        <v>1535</v>
      </c>
      <c r="AF812" s="1698" t="s">
        <v>977</v>
      </c>
      <c r="AG812" s="1699" t="s">
        <v>1536</v>
      </c>
      <c r="AH812" s="1700"/>
      <c r="AI812" s="1700"/>
      <c r="AJ812" s="1701"/>
      <c r="AK812" s="1699" t="s">
        <v>1537</v>
      </c>
      <c r="AL812" s="1702"/>
    </row>
    <row r="813" spans="1:38" x14ac:dyDescent="0.3">
      <c r="O813" s="142"/>
      <c r="AF813" s="1690"/>
      <c r="AG813" s="134" t="s">
        <v>1120</v>
      </c>
      <c r="AH813" s="134" t="s">
        <v>1538</v>
      </c>
      <c r="AI813" s="134" t="s">
        <v>1539</v>
      </c>
      <c r="AJ813" s="134" t="s">
        <v>1127</v>
      </c>
      <c r="AK813" s="134" t="s">
        <v>1487</v>
      </c>
      <c r="AL813" s="135" t="s">
        <v>1488</v>
      </c>
    </row>
    <row r="814" spans="1:38" x14ac:dyDescent="0.3">
      <c r="O814" s="142" t="s">
        <v>1540</v>
      </c>
      <c r="AF814" s="109" t="s">
        <v>1541</v>
      </c>
      <c r="AG814" s="117">
        <v>329591</v>
      </c>
      <c r="AH814" s="117">
        <v>433613</v>
      </c>
      <c r="AI814" s="117">
        <v>-363310</v>
      </c>
      <c r="AJ814" s="117">
        <v>399894</v>
      </c>
      <c r="AK814" s="117">
        <v>399894</v>
      </c>
      <c r="AL814" s="112" t="s">
        <v>199</v>
      </c>
    </row>
    <row r="815" spans="1:38" x14ac:dyDescent="0.3">
      <c r="A815" s="142" t="s">
        <v>1542</v>
      </c>
      <c r="O815" s="128"/>
      <c r="AF815" s="109" t="s">
        <v>1543</v>
      </c>
      <c r="AG815" s="117">
        <v>167506</v>
      </c>
      <c r="AH815" s="117">
        <v>7477</v>
      </c>
      <c r="AI815" s="117">
        <v>-61773</v>
      </c>
      <c r="AJ815" s="117">
        <v>113210</v>
      </c>
      <c r="AK815" s="111" t="s">
        <v>199</v>
      </c>
      <c r="AL815" s="118">
        <v>113210</v>
      </c>
    </row>
    <row r="816" spans="1:38" x14ac:dyDescent="0.3">
      <c r="A816" s="1695" t="s">
        <v>826</v>
      </c>
      <c r="B816" s="1696"/>
      <c r="C816" s="1696"/>
      <c r="D816" s="1696"/>
      <c r="E816" s="1696"/>
      <c r="F816" s="1696"/>
      <c r="G816" s="1696"/>
      <c r="H816" s="1696"/>
      <c r="I816" s="1697"/>
      <c r="O816" s="1695" t="s">
        <v>826</v>
      </c>
      <c r="P816" s="1696"/>
      <c r="Q816" s="1697"/>
      <c r="AF816" s="146" t="s">
        <v>774</v>
      </c>
      <c r="AG816" s="130">
        <v>497097</v>
      </c>
      <c r="AH816" s="130">
        <v>441090</v>
      </c>
      <c r="AI816" s="130">
        <v>-425083</v>
      </c>
      <c r="AJ816" s="130">
        <v>513104</v>
      </c>
      <c r="AK816" s="130">
        <v>399894</v>
      </c>
      <c r="AL816" s="131">
        <v>113210</v>
      </c>
    </row>
    <row r="817" spans="1:38" ht="33.75" x14ac:dyDescent="0.3">
      <c r="A817" s="1698" t="s">
        <v>788</v>
      </c>
      <c r="B817" s="1699" t="s">
        <v>1061</v>
      </c>
      <c r="C817" s="1700"/>
      <c r="D817" s="1700"/>
      <c r="E817" s="1701"/>
      <c r="F817" s="1699" t="s">
        <v>1062</v>
      </c>
      <c r="G817" s="1700"/>
      <c r="H817" s="1700"/>
      <c r="I817" s="1702"/>
      <c r="O817" s="161" t="s">
        <v>763</v>
      </c>
      <c r="P817" s="134" t="s">
        <v>820</v>
      </c>
      <c r="Q817" s="135" t="s">
        <v>787</v>
      </c>
      <c r="AF817" s="142" t="s">
        <v>1544</v>
      </c>
    </row>
    <row r="818" spans="1:38" ht="33.75" x14ac:dyDescent="0.3">
      <c r="A818" s="1715"/>
      <c r="B818" s="163" t="s">
        <v>1064</v>
      </c>
      <c r="C818" s="163" t="s">
        <v>1065</v>
      </c>
      <c r="D818" s="163" t="s">
        <v>1065</v>
      </c>
      <c r="E818" s="1716" t="s">
        <v>1462</v>
      </c>
      <c r="F818" s="1716" t="s">
        <v>1545</v>
      </c>
      <c r="G818" s="1716" t="s">
        <v>1067</v>
      </c>
      <c r="H818" s="1716" t="s">
        <v>1068</v>
      </c>
      <c r="I818" s="1718" t="s">
        <v>1359</v>
      </c>
      <c r="O818" s="109" t="s">
        <v>1035</v>
      </c>
      <c r="P818" s="119">
        <v>2750</v>
      </c>
      <c r="Q818" s="120">
        <v>9044</v>
      </c>
      <c r="AF818" s="142" t="s">
        <v>1546</v>
      </c>
    </row>
    <row r="819" spans="1:38" x14ac:dyDescent="0.3">
      <c r="A819" s="1715"/>
      <c r="B819" s="164" t="s">
        <v>1069</v>
      </c>
      <c r="C819" s="164" t="s">
        <v>1070</v>
      </c>
      <c r="D819" s="164" t="s">
        <v>1071</v>
      </c>
      <c r="E819" s="1717"/>
      <c r="F819" s="1717"/>
      <c r="G819" s="1717"/>
      <c r="H819" s="1717"/>
      <c r="I819" s="1719"/>
      <c r="O819" s="109" t="s">
        <v>1036</v>
      </c>
      <c r="P819" s="119">
        <v>6994862</v>
      </c>
      <c r="Q819" s="120">
        <v>5245911</v>
      </c>
      <c r="AF819" s="143"/>
    </row>
    <row r="820" spans="1:38" x14ac:dyDescent="0.3">
      <c r="A820" s="1690"/>
      <c r="B820" s="139" t="s">
        <v>1073</v>
      </c>
      <c r="C820" s="139"/>
      <c r="D820" s="139"/>
      <c r="E820" s="1692"/>
      <c r="F820" s="1692"/>
      <c r="G820" s="1692"/>
      <c r="H820" s="1692"/>
      <c r="I820" s="1694"/>
      <c r="O820" s="121" t="s">
        <v>774</v>
      </c>
      <c r="P820" s="126">
        <v>6997612</v>
      </c>
      <c r="Q820" s="127">
        <v>5254955</v>
      </c>
      <c r="AF820" s="142" t="s">
        <v>992</v>
      </c>
    </row>
    <row r="821" spans="1:38" x14ac:dyDescent="0.3">
      <c r="A821" s="1712" t="s">
        <v>1547</v>
      </c>
      <c r="B821" s="1713"/>
      <c r="C821" s="1713"/>
      <c r="D821" s="1713"/>
      <c r="E821" s="1713"/>
      <c r="F821" s="1713"/>
      <c r="G821" s="1713"/>
      <c r="H821" s="1713"/>
      <c r="I821" s="1714"/>
      <c r="O821" s="143"/>
      <c r="AF821" s="1695" t="s">
        <v>826</v>
      </c>
      <c r="AG821" s="1696"/>
      <c r="AH821" s="1696"/>
      <c r="AI821" s="1696"/>
      <c r="AJ821" s="1696"/>
      <c r="AK821" s="1696"/>
      <c r="AL821" s="1697"/>
    </row>
    <row r="822" spans="1:38" x14ac:dyDescent="0.3">
      <c r="A822" s="109" t="s">
        <v>1548</v>
      </c>
      <c r="B822" s="115" t="s">
        <v>199</v>
      </c>
      <c r="C822" s="115" t="s">
        <v>199</v>
      </c>
      <c r="D822" s="115" t="s">
        <v>199</v>
      </c>
      <c r="E822" s="115" t="s">
        <v>199</v>
      </c>
      <c r="F822" s="115" t="s">
        <v>199</v>
      </c>
      <c r="G822" s="115" t="s">
        <v>199</v>
      </c>
      <c r="H822" s="115" t="s">
        <v>199</v>
      </c>
      <c r="I822" s="116" t="s">
        <v>199</v>
      </c>
      <c r="O822" s="142" t="s">
        <v>1549</v>
      </c>
      <c r="AF822" s="1698" t="s">
        <v>977</v>
      </c>
      <c r="AG822" s="1699" t="s">
        <v>1536</v>
      </c>
      <c r="AH822" s="1700"/>
      <c r="AI822" s="1700"/>
      <c r="AJ822" s="1701"/>
      <c r="AK822" s="1699" t="s">
        <v>1537</v>
      </c>
      <c r="AL822" s="1702"/>
    </row>
    <row r="823" spans="1:38" x14ac:dyDescent="0.3">
      <c r="A823" s="1712" t="s">
        <v>1550</v>
      </c>
      <c r="B823" s="1713"/>
      <c r="C823" s="1713"/>
      <c r="D823" s="1713"/>
      <c r="E823" s="1713"/>
      <c r="F823" s="1713"/>
      <c r="G823" s="1713"/>
      <c r="H823" s="1713"/>
      <c r="I823" s="1714"/>
      <c r="O823" s="1695" t="s">
        <v>976</v>
      </c>
      <c r="P823" s="1696"/>
      <c r="Q823" s="1697"/>
      <c r="AF823" s="1690"/>
      <c r="AG823" s="134" t="s">
        <v>1120</v>
      </c>
      <c r="AH823" s="134" t="s">
        <v>1538</v>
      </c>
      <c r="AI823" s="134" t="s">
        <v>1539</v>
      </c>
      <c r="AJ823" s="134" t="s">
        <v>1127</v>
      </c>
      <c r="AK823" s="134" t="s">
        <v>1487</v>
      </c>
      <c r="AL823" s="135" t="s">
        <v>1488</v>
      </c>
    </row>
    <row r="824" spans="1:38" x14ac:dyDescent="0.3">
      <c r="A824" s="109" t="s">
        <v>1551</v>
      </c>
      <c r="B824" s="115" t="s">
        <v>199</v>
      </c>
      <c r="C824" s="119">
        <v>97271207</v>
      </c>
      <c r="D824" s="115" t="s">
        <v>199</v>
      </c>
      <c r="E824" s="119">
        <v>97271207</v>
      </c>
      <c r="F824" s="115" t="s">
        <v>199</v>
      </c>
      <c r="G824" s="115" t="s">
        <v>199</v>
      </c>
      <c r="H824" s="115" t="s">
        <v>199</v>
      </c>
      <c r="I824" s="116" t="s">
        <v>199</v>
      </c>
      <c r="O824" s="161" t="s">
        <v>977</v>
      </c>
      <c r="P824" s="134" t="s">
        <v>789</v>
      </c>
      <c r="Q824" s="135" t="s">
        <v>843</v>
      </c>
      <c r="AF824" s="109" t="s">
        <v>1541</v>
      </c>
      <c r="AG824" s="117">
        <v>327832</v>
      </c>
      <c r="AH824" s="117">
        <v>476894</v>
      </c>
      <c r="AI824" s="117">
        <v>-516730</v>
      </c>
      <c r="AJ824" s="117">
        <v>287996</v>
      </c>
      <c r="AK824" s="117">
        <v>287996</v>
      </c>
      <c r="AL824" s="112" t="s">
        <v>199</v>
      </c>
    </row>
    <row r="825" spans="1:38" x14ac:dyDescent="0.3">
      <c r="A825" s="109" t="s">
        <v>1552</v>
      </c>
      <c r="B825" s="115" t="s">
        <v>199</v>
      </c>
      <c r="C825" s="229">
        <v>22027084</v>
      </c>
      <c r="D825" s="115" t="s">
        <v>199</v>
      </c>
      <c r="E825" s="119">
        <v>22027084</v>
      </c>
      <c r="F825" s="115" t="s">
        <v>199</v>
      </c>
      <c r="G825" s="115" t="s">
        <v>199</v>
      </c>
      <c r="H825" s="115" t="s">
        <v>199</v>
      </c>
      <c r="I825" s="116" t="s">
        <v>199</v>
      </c>
      <c r="O825" s="109" t="s">
        <v>1553</v>
      </c>
      <c r="P825" s="119">
        <v>145320741</v>
      </c>
      <c r="Q825" s="120">
        <v>140756266</v>
      </c>
      <c r="AF825" s="109" t="s">
        <v>1543</v>
      </c>
      <c r="AG825" s="117">
        <v>118883</v>
      </c>
      <c r="AH825" s="117">
        <v>6701</v>
      </c>
      <c r="AI825" s="111" t="s">
        <v>199</v>
      </c>
      <c r="AJ825" s="117">
        <v>125584</v>
      </c>
      <c r="AK825" s="111" t="s">
        <v>199</v>
      </c>
      <c r="AL825" s="118">
        <v>125584</v>
      </c>
    </row>
    <row r="826" spans="1:38" x14ac:dyDescent="0.3">
      <c r="A826" s="109" t="s">
        <v>1554</v>
      </c>
      <c r="B826" s="115" t="s">
        <v>199</v>
      </c>
      <c r="C826" s="119">
        <v>20581081</v>
      </c>
      <c r="D826" s="115" t="s">
        <v>199</v>
      </c>
      <c r="E826" s="119">
        <v>20581081</v>
      </c>
      <c r="F826" s="115" t="s">
        <v>199</v>
      </c>
      <c r="G826" s="115" t="s">
        <v>199</v>
      </c>
      <c r="H826" s="115" t="s">
        <v>199</v>
      </c>
      <c r="I826" s="116" t="s">
        <v>199</v>
      </c>
      <c r="O826" s="109" t="s">
        <v>1043</v>
      </c>
      <c r="P826" s="119">
        <v>28088117</v>
      </c>
      <c r="Q826" s="120">
        <v>26833967</v>
      </c>
      <c r="AF826" s="146" t="s">
        <v>774</v>
      </c>
      <c r="AG826" s="130">
        <v>446715</v>
      </c>
      <c r="AH826" s="130">
        <v>483595</v>
      </c>
      <c r="AI826" s="130">
        <v>-516730</v>
      </c>
      <c r="AJ826" s="130">
        <v>413580</v>
      </c>
      <c r="AK826" s="130">
        <v>287996</v>
      </c>
      <c r="AL826" s="131">
        <v>125584</v>
      </c>
    </row>
    <row r="827" spans="1:38" ht="33.75" x14ac:dyDescent="0.3">
      <c r="A827" s="162" t="s">
        <v>1085</v>
      </c>
      <c r="B827" s="115" t="s">
        <v>199</v>
      </c>
      <c r="C827" s="119">
        <v>139879372</v>
      </c>
      <c r="D827" s="115" t="s">
        <v>199</v>
      </c>
      <c r="E827" s="119">
        <v>139879372</v>
      </c>
      <c r="F827" s="115" t="s">
        <v>199</v>
      </c>
      <c r="G827" s="115" t="s">
        <v>199</v>
      </c>
      <c r="H827" s="115" t="s">
        <v>199</v>
      </c>
      <c r="I827" s="116" t="s">
        <v>199</v>
      </c>
      <c r="O827" s="109" t="s">
        <v>1045</v>
      </c>
      <c r="P827" s="119">
        <v>10227362</v>
      </c>
      <c r="Q827" s="120">
        <v>13476781</v>
      </c>
      <c r="AF827" s="142" t="s">
        <v>1544</v>
      </c>
    </row>
    <row r="828" spans="1:38" ht="33.75" x14ac:dyDescent="0.3">
      <c r="A828" s="1712" t="s">
        <v>1555</v>
      </c>
      <c r="B828" s="1713"/>
      <c r="C828" s="1713"/>
      <c r="D828" s="1713"/>
      <c r="E828" s="1713"/>
      <c r="F828" s="1713"/>
      <c r="G828" s="1713"/>
      <c r="H828" s="1713"/>
      <c r="I828" s="1714"/>
      <c r="O828" s="109" t="s">
        <v>1047</v>
      </c>
      <c r="P828" s="119">
        <v>1052090</v>
      </c>
      <c r="Q828" s="120">
        <v>138373</v>
      </c>
      <c r="AF828" s="142" t="s">
        <v>1546</v>
      </c>
    </row>
    <row r="829" spans="1:38" x14ac:dyDescent="0.3">
      <c r="A829" s="109" t="s">
        <v>1556</v>
      </c>
      <c r="B829" s="115" t="s">
        <v>199</v>
      </c>
      <c r="C829" s="115" t="s">
        <v>199</v>
      </c>
      <c r="D829" s="229">
        <v>32668529</v>
      </c>
      <c r="E829" s="119">
        <v>32668529</v>
      </c>
      <c r="F829" s="115" t="s">
        <v>199</v>
      </c>
      <c r="G829" s="115" t="s">
        <v>199</v>
      </c>
      <c r="H829" s="115" t="s">
        <v>199</v>
      </c>
      <c r="I829" s="116" t="s">
        <v>199</v>
      </c>
      <c r="O829" s="146" t="s">
        <v>774</v>
      </c>
      <c r="P829" s="126">
        <v>184688310</v>
      </c>
      <c r="Q829" s="127">
        <v>181205387</v>
      </c>
    </row>
    <row r="830" spans="1:38" x14ac:dyDescent="0.3">
      <c r="A830" s="109" t="s">
        <v>1557</v>
      </c>
      <c r="B830" s="115" t="s">
        <v>199</v>
      </c>
      <c r="C830" s="115" t="s">
        <v>199</v>
      </c>
      <c r="D830" s="119">
        <v>28487371</v>
      </c>
      <c r="E830" s="119">
        <v>28487371</v>
      </c>
      <c r="F830" s="115" t="s">
        <v>199</v>
      </c>
      <c r="G830" s="115" t="s">
        <v>199</v>
      </c>
      <c r="H830" s="115" t="s">
        <v>199</v>
      </c>
      <c r="I830" s="116" t="s">
        <v>199</v>
      </c>
      <c r="AF830" s="143"/>
    </row>
    <row r="831" spans="1:38" x14ac:dyDescent="0.3">
      <c r="A831" s="109" t="s">
        <v>1558</v>
      </c>
      <c r="B831" s="115" t="s">
        <v>199</v>
      </c>
      <c r="C831" s="115" t="s">
        <v>199</v>
      </c>
      <c r="D831" s="119">
        <v>5346976</v>
      </c>
      <c r="E831" s="119">
        <v>5346976</v>
      </c>
      <c r="F831" s="115" t="s">
        <v>199</v>
      </c>
      <c r="G831" s="115" t="s">
        <v>199</v>
      </c>
      <c r="H831" s="115" t="s">
        <v>199</v>
      </c>
      <c r="I831" s="116" t="s">
        <v>199</v>
      </c>
      <c r="AF831" s="142" t="s">
        <v>1559</v>
      </c>
    </row>
    <row r="832" spans="1:38" x14ac:dyDescent="0.3">
      <c r="A832" s="146" t="s">
        <v>1096</v>
      </c>
      <c r="B832" s="136" t="s">
        <v>199</v>
      </c>
      <c r="C832" s="136" t="s">
        <v>199</v>
      </c>
      <c r="D832" s="126">
        <v>66502876</v>
      </c>
      <c r="E832" s="126">
        <v>66502876</v>
      </c>
      <c r="F832" s="136" t="s">
        <v>199</v>
      </c>
      <c r="G832" s="136" t="s">
        <v>199</v>
      </c>
      <c r="H832" s="136" t="s">
        <v>199</v>
      </c>
      <c r="I832" s="137" t="s">
        <v>199</v>
      </c>
      <c r="O832" s="142" t="s">
        <v>1051</v>
      </c>
      <c r="AF832" s="143"/>
    </row>
    <row r="833" spans="1:36" ht="22.5" x14ac:dyDescent="0.3">
      <c r="A833" s="142" t="s">
        <v>1560</v>
      </c>
      <c r="O833" s="143"/>
      <c r="AF833" s="142" t="s">
        <v>1561</v>
      </c>
    </row>
    <row r="834" spans="1:36" x14ac:dyDescent="0.3">
      <c r="O834" s="142" t="s">
        <v>1053</v>
      </c>
    </row>
    <row r="835" spans="1:36" x14ac:dyDescent="0.3">
      <c r="A835" s="142" t="s">
        <v>1347</v>
      </c>
      <c r="O835" s="143"/>
      <c r="AF835" s="1695" t="s">
        <v>976</v>
      </c>
      <c r="AG835" s="1696"/>
      <c r="AH835" s="1696"/>
      <c r="AI835" s="1696"/>
      <c r="AJ835" s="1697"/>
    </row>
    <row r="836" spans="1:36" ht="45" x14ac:dyDescent="0.3">
      <c r="A836" s="1695" t="s">
        <v>826</v>
      </c>
      <c r="B836" s="1696"/>
      <c r="C836" s="1696"/>
      <c r="D836" s="1696"/>
      <c r="E836" s="1696"/>
      <c r="F836" s="1696"/>
      <c r="G836" s="1696"/>
      <c r="H836" s="1696"/>
      <c r="I836" s="1697"/>
      <c r="O836" s="142" t="s">
        <v>1534</v>
      </c>
      <c r="AF836" s="161" t="s">
        <v>1562</v>
      </c>
      <c r="AG836" s="134" t="s">
        <v>1563</v>
      </c>
      <c r="AH836" s="134" t="s">
        <v>1564</v>
      </c>
      <c r="AI836" s="134" t="s">
        <v>786</v>
      </c>
      <c r="AJ836" s="135" t="s">
        <v>787</v>
      </c>
    </row>
    <row r="837" spans="1:36" x14ac:dyDescent="0.3">
      <c r="A837" s="1698" t="s">
        <v>788</v>
      </c>
      <c r="B837" s="1699" t="s">
        <v>1061</v>
      </c>
      <c r="C837" s="1700"/>
      <c r="D837" s="1700"/>
      <c r="E837" s="1701"/>
      <c r="F837" s="1699" t="s">
        <v>1062</v>
      </c>
      <c r="G837" s="1700"/>
      <c r="H837" s="1700"/>
      <c r="I837" s="1702"/>
      <c r="AF837" s="146" t="s">
        <v>1565</v>
      </c>
      <c r="AG837" s="159" t="s">
        <v>1566</v>
      </c>
      <c r="AH837" s="159">
        <v>9</v>
      </c>
      <c r="AI837" s="126">
        <v>51782364</v>
      </c>
      <c r="AJ837" s="127">
        <v>93145379</v>
      </c>
    </row>
    <row r="838" spans="1:36" x14ac:dyDescent="0.3">
      <c r="A838" s="1715"/>
      <c r="B838" s="163" t="s">
        <v>1064</v>
      </c>
      <c r="C838" s="163" t="s">
        <v>1065</v>
      </c>
      <c r="D838" s="163" t="s">
        <v>1065</v>
      </c>
      <c r="E838" s="1716" t="s">
        <v>1462</v>
      </c>
      <c r="F838" s="1716" t="s">
        <v>1545</v>
      </c>
      <c r="G838" s="1716" t="s">
        <v>1067</v>
      </c>
      <c r="H838" s="1716" t="s">
        <v>1068</v>
      </c>
      <c r="I838" s="1718" t="s">
        <v>1359</v>
      </c>
      <c r="AF838" s="143"/>
    </row>
    <row r="839" spans="1:36" x14ac:dyDescent="0.3">
      <c r="A839" s="1715"/>
      <c r="B839" s="164" t="s">
        <v>1069</v>
      </c>
      <c r="C839" s="164" t="s">
        <v>1070</v>
      </c>
      <c r="D839" s="164" t="s">
        <v>1071</v>
      </c>
      <c r="E839" s="1717"/>
      <c r="F839" s="1717"/>
      <c r="G839" s="1717"/>
      <c r="H839" s="1717"/>
      <c r="I839" s="1719"/>
      <c r="O839" s="142" t="s">
        <v>1567</v>
      </c>
      <c r="AF839" s="142" t="s">
        <v>1568</v>
      </c>
    </row>
    <row r="840" spans="1:36" x14ac:dyDescent="0.3">
      <c r="A840" s="1690"/>
      <c r="B840" s="139" t="s">
        <v>1073</v>
      </c>
      <c r="C840" s="139"/>
      <c r="D840" s="139"/>
      <c r="E840" s="1692"/>
      <c r="F840" s="1692"/>
      <c r="G840" s="1692"/>
      <c r="H840" s="1692"/>
      <c r="I840" s="1694"/>
      <c r="O840" s="1695" t="s">
        <v>826</v>
      </c>
      <c r="P840" s="1696"/>
      <c r="Q840" s="1696"/>
      <c r="R840" s="1696"/>
      <c r="S840" s="1696"/>
      <c r="T840" s="1696"/>
      <c r="U840" s="1696"/>
      <c r="V840" s="1696"/>
      <c r="W840" s="1697"/>
      <c r="AF840" s="1695" t="s">
        <v>1569</v>
      </c>
      <c r="AG840" s="1696"/>
      <c r="AH840" s="1697"/>
    </row>
    <row r="841" spans="1:36" x14ac:dyDescent="0.3">
      <c r="A841" s="1712" t="s">
        <v>1547</v>
      </c>
      <c r="B841" s="1713"/>
      <c r="C841" s="1713"/>
      <c r="D841" s="1713"/>
      <c r="E841" s="1713"/>
      <c r="F841" s="1713"/>
      <c r="G841" s="1713"/>
      <c r="H841" s="1713"/>
      <c r="I841" s="1714"/>
      <c r="O841" s="1698" t="s">
        <v>763</v>
      </c>
      <c r="P841" s="1699" t="s">
        <v>1061</v>
      </c>
      <c r="Q841" s="1700"/>
      <c r="R841" s="1700"/>
      <c r="S841" s="1701"/>
      <c r="T841" s="1699" t="s">
        <v>1062</v>
      </c>
      <c r="U841" s="1700"/>
      <c r="V841" s="1700"/>
      <c r="W841" s="1702"/>
      <c r="AF841" s="1755" t="s">
        <v>1237</v>
      </c>
      <c r="AG841" s="1701"/>
      <c r="AH841" s="135" t="s">
        <v>1570</v>
      </c>
    </row>
    <row r="842" spans="1:36" x14ac:dyDescent="0.3">
      <c r="A842" s="109" t="s">
        <v>1548</v>
      </c>
      <c r="B842" s="119">
        <v>996360</v>
      </c>
      <c r="C842" s="115" t="s">
        <v>199</v>
      </c>
      <c r="D842" s="115" t="s">
        <v>199</v>
      </c>
      <c r="E842" s="119">
        <v>996360</v>
      </c>
      <c r="F842" s="115" t="s">
        <v>199</v>
      </c>
      <c r="G842" s="115" t="s">
        <v>199</v>
      </c>
      <c r="H842" s="119">
        <v>996360</v>
      </c>
      <c r="I842" s="120">
        <v>996360</v>
      </c>
      <c r="O842" s="1715"/>
      <c r="P842" s="163" t="s">
        <v>1064</v>
      </c>
      <c r="Q842" s="163" t="s">
        <v>1065</v>
      </c>
      <c r="R842" s="163" t="s">
        <v>1065</v>
      </c>
      <c r="S842" s="1716" t="s">
        <v>1442</v>
      </c>
      <c r="T842" s="1716" t="s">
        <v>1066</v>
      </c>
      <c r="U842" s="1716" t="s">
        <v>1067</v>
      </c>
      <c r="V842" s="1716" t="s">
        <v>1068</v>
      </c>
      <c r="W842" s="1718" t="s">
        <v>1359</v>
      </c>
      <c r="AF842" s="1720" t="s">
        <v>1571</v>
      </c>
      <c r="AG842" s="110" t="s">
        <v>1572</v>
      </c>
      <c r="AH842" s="112" t="s">
        <v>199</v>
      </c>
    </row>
    <row r="843" spans="1:36" x14ac:dyDescent="0.3">
      <c r="A843" s="1712" t="s">
        <v>1550</v>
      </c>
      <c r="B843" s="1713"/>
      <c r="C843" s="1713"/>
      <c r="D843" s="1713"/>
      <c r="E843" s="1713"/>
      <c r="F843" s="1713"/>
      <c r="G843" s="1713"/>
      <c r="H843" s="1713"/>
      <c r="I843" s="1714"/>
      <c r="O843" s="1715"/>
      <c r="P843" s="164" t="s">
        <v>1069</v>
      </c>
      <c r="Q843" s="164" t="s">
        <v>1070</v>
      </c>
      <c r="R843" s="164" t="s">
        <v>1071</v>
      </c>
      <c r="S843" s="1717"/>
      <c r="T843" s="1717"/>
      <c r="U843" s="1717"/>
      <c r="V843" s="1717"/>
      <c r="W843" s="1719"/>
      <c r="AF843" s="1734"/>
      <c r="AG843" s="110" t="s">
        <v>1573</v>
      </c>
      <c r="AH843" s="120">
        <v>13135673</v>
      </c>
    </row>
    <row r="844" spans="1:36" x14ac:dyDescent="0.3">
      <c r="A844" s="109" t="s">
        <v>1551</v>
      </c>
      <c r="B844" s="115" t="s">
        <v>199</v>
      </c>
      <c r="C844" s="119">
        <v>88901393</v>
      </c>
      <c r="D844" s="115" t="s">
        <v>199</v>
      </c>
      <c r="E844" s="119">
        <v>88901393</v>
      </c>
      <c r="F844" s="115" t="s">
        <v>199</v>
      </c>
      <c r="G844" s="115" t="s">
        <v>199</v>
      </c>
      <c r="H844" s="115" t="s">
        <v>199</v>
      </c>
      <c r="I844" s="116" t="s">
        <v>199</v>
      </c>
      <c r="O844" s="1690"/>
      <c r="P844" s="139" t="s">
        <v>1073</v>
      </c>
      <c r="Q844" s="139"/>
      <c r="R844" s="139"/>
      <c r="S844" s="1692"/>
      <c r="T844" s="1692"/>
      <c r="U844" s="1692"/>
      <c r="V844" s="1692"/>
      <c r="W844" s="1694"/>
      <c r="AF844" s="1703" t="s">
        <v>1574</v>
      </c>
      <c r="AG844" s="1705"/>
      <c r="AH844" s="116">
        <v>500</v>
      </c>
    </row>
    <row r="845" spans="1:36" x14ac:dyDescent="0.3">
      <c r="A845" s="109" t="s">
        <v>1552</v>
      </c>
      <c r="B845" s="115" t="s">
        <v>199</v>
      </c>
      <c r="C845" s="119">
        <v>25863206</v>
      </c>
      <c r="D845" s="115" t="s">
        <v>199</v>
      </c>
      <c r="E845" s="229">
        <v>25863206</v>
      </c>
      <c r="F845" s="115" t="s">
        <v>199</v>
      </c>
      <c r="G845" s="115" t="s">
        <v>199</v>
      </c>
      <c r="H845" s="115" t="s">
        <v>199</v>
      </c>
      <c r="I845" s="116" t="s">
        <v>199</v>
      </c>
      <c r="O845" s="1712" t="s">
        <v>1074</v>
      </c>
      <c r="P845" s="1713"/>
      <c r="Q845" s="1713"/>
      <c r="R845" s="1713"/>
      <c r="S845" s="1713"/>
      <c r="T845" s="1713"/>
      <c r="U845" s="1713"/>
      <c r="V845" s="1713"/>
      <c r="W845" s="1714"/>
      <c r="AF845" s="1703" t="s">
        <v>1575</v>
      </c>
      <c r="AG845" s="1705"/>
      <c r="AH845" s="120">
        <v>70000001417</v>
      </c>
    </row>
    <row r="846" spans="1:36" x14ac:dyDescent="0.3">
      <c r="A846" s="109" t="s">
        <v>1554</v>
      </c>
      <c r="B846" s="115" t="s">
        <v>199</v>
      </c>
      <c r="C846" s="119">
        <v>13594802</v>
      </c>
      <c r="D846" s="115" t="s">
        <v>199</v>
      </c>
      <c r="E846" s="119">
        <v>13594802</v>
      </c>
      <c r="F846" s="115" t="s">
        <v>199</v>
      </c>
      <c r="G846" s="115" t="s">
        <v>199</v>
      </c>
      <c r="H846" s="115" t="s">
        <v>199</v>
      </c>
      <c r="I846" s="116" t="s">
        <v>199</v>
      </c>
      <c r="O846" s="109" t="s">
        <v>275</v>
      </c>
      <c r="P846" s="115" t="s">
        <v>199</v>
      </c>
      <c r="Q846" s="119">
        <v>132018645</v>
      </c>
      <c r="R846" s="115" t="s">
        <v>199</v>
      </c>
      <c r="S846" s="119">
        <v>132018645</v>
      </c>
      <c r="T846" s="115" t="s">
        <v>199</v>
      </c>
      <c r="U846" s="115" t="s">
        <v>199</v>
      </c>
      <c r="V846" s="115" t="s">
        <v>199</v>
      </c>
      <c r="W846" s="116" t="s">
        <v>199</v>
      </c>
      <c r="AF846" s="1703" t="s">
        <v>1576</v>
      </c>
      <c r="AG846" s="1705"/>
      <c r="AH846" s="186" t="s">
        <v>1577</v>
      </c>
    </row>
    <row r="847" spans="1:36" x14ac:dyDescent="0.3">
      <c r="A847" s="162" t="s">
        <v>1085</v>
      </c>
      <c r="B847" s="119">
        <v>996360</v>
      </c>
      <c r="C847" s="119">
        <v>128359401</v>
      </c>
      <c r="D847" s="115" t="s">
        <v>199</v>
      </c>
      <c r="E847" s="119">
        <v>129355761</v>
      </c>
      <c r="F847" s="115" t="s">
        <v>199</v>
      </c>
      <c r="G847" s="115" t="s">
        <v>199</v>
      </c>
      <c r="H847" s="119">
        <v>996360</v>
      </c>
      <c r="I847" s="120">
        <v>996360</v>
      </c>
      <c r="O847" s="109" t="s">
        <v>279</v>
      </c>
      <c r="P847" s="115" t="s">
        <v>199</v>
      </c>
      <c r="Q847" s="119">
        <v>309072</v>
      </c>
      <c r="R847" s="115" t="s">
        <v>199</v>
      </c>
      <c r="S847" s="119">
        <v>309072</v>
      </c>
      <c r="T847" s="115"/>
      <c r="U847" s="115"/>
      <c r="V847" s="115"/>
      <c r="W847" s="116"/>
      <c r="AF847" s="1703" t="s">
        <v>1578</v>
      </c>
      <c r="AG847" s="1705"/>
      <c r="AH847" s="187">
        <v>44362</v>
      </c>
    </row>
    <row r="848" spans="1:36" x14ac:dyDescent="0.3">
      <c r="A848" s="1712" t="s">
        <v>1555</v>
      </c>
      <c r="B848" s="1713"/>
      <c r="C848" s="1713"/>
      <c r="D848" s="1713"/>
      <c r="E848" s="1713"/>
      <c r="F848" s="1713"/>
      <c r="G848" s="1713"/>
      <c r="H848" s="1713"/>
      <c r="I848" s="1714"/>
      <c r="O848" s="109" t="s">
        <v>1579</v>
      </c>
      <c r="P848" s="115" t="s">
        <v>199</v>
      </c>
      <c r="Q848" s="119">
        <v>18943519</v>
      </c>
      <c r="R848" s="115" t="s">
        <v>199</v>
      </c>
      <c r="S848" s="229">
        <v>18943519</v>
      </c>
      <c r="T848" s="115" t="s">
        <v>199</v>
      </c>
      <c r="U848" s="115" t="s">
        <v>199</v>
      </c>
      <c r="V848" s="115" t="s">
        <v>199</v>
      </c>
      <c r="W848" s="116" t="s">
        <v>199</v>
      </c>
      <c r="AF848" s="1703" t="s">
        <v>1580</v>
      </c>
      <c r="AG848" s="1705"/>
      <c r="AH848" s="187">
        <v>44316</v>
      </c>
    </row>
    <row r="849" spans="1:34" x14ac:dyDescent="0.3">
      <c r="A849" s="109" t="s">
        <v>1556</v>
      </c>
      <c r="B849" s="115" t="s">
        <v>199</v>
      </c>
      <c r="C849" s="115" t="s">
        <v>199</v>
      </c>
      <c r="D849" s="119">
        <v>27341941</v>
      </c>
      <c r="E849" s="229">
        <v>27341941</v>
      </c>
      <c r="F849" s="115" t="s">
        <v>199</v>
      </c>
      <c r="G849" s="115" t="s">
        <v>199</v>
      </c>
      <c r="H849" s="115" t="s">
        <v>199</v>
      </c>
      <c r="I849" s="116" t="s">
        <v>199</v>
      </c>
      <c r="O849" s="109" t="s">
        <v>1581</v>
      </c>
      <c r="P849" s="115" t="s">
        <v>199</v>
      </c>
      <c r="Q849" s="119">
        <v>27148527</v>
      </c>
      <c r="R849" s="115" t="s">
        <v>199</v>
      </c>
      <c r="S849" s="119">
        <v>27148527</v>
      </c>
      <c r="T849" s="115" t="s">
        <v>199</v>
      </c>
      <c r="U849" s="115" t="s">
        <v>199</v>
      </c>
      <c r="V849" s="115" t="s">
        <v>199</v>
      </c>
      <c r="W849" s="116" t="s">
        <v>199</v>
      </c>
      <c r="AF849" s="1720" t="s">
        <v>1582</v>
      </c>
      <c r="AG849" s="1725" t="s">
        <v>1583</v>
      </c>
      <c r="AH849" s="188" t="s">
        <v>1584</v>
      </c>
    </row>
    <row r="850" spans="1:34" x14ac:dyDescent="0.3">
      <c r="A850" s="109" t="s">
        <v>1557</v>
      </c>
      <c r="B850" s="115" t="s">
        <v>199</v>
      </c>
      <c r="C850" s="115" t="s">
        <v>199</v>
      </c>
      <c r="D850" s="119">
        <v>8922865</v>
      </c>
      <c r="E850" s="119">
        <v>8922865</v>
      </c>
      <c r="F850" s="115" t="s">
        <v>199</v>
      </c>
      <c r="G850" s="115" t="s">
        <v>199</v>
      </c>
      <c r="H850" s="115" t="s">
        <v>199</v>
      </c>
      <c r="I850" s="116" t="s">
        <v>199</v>
      </c>
      <c r="O850" s="109" t="s">
        <v>301</v>
      </c>
      <c r="P850" s="119">
        <v>30772110</v>
      </c>
      <c r="Q850" s="115" t="s">
        <v>199</v>
      </c>
      <c r="R850" s="115" t="s">
        <v>199</v>
      </c>
      <c r="S850" s="119">
        <v>30772110</v>
      </c>
      <c r="T850" s="119">
        <v>5337483</v>
      </c>
      <c r="U850" s="115" t="s">
        <v>199</v>
      </c>
      <c r="V850" s="119">
        <v>25434627</v>
      </c>
      <c r="W850" s="120">
        <v>30772110</v>
      </c>
      <c r="AF850" s="1721"/>
      <c r="AG850" s="1756"/>
      <c r="AH850" s="189" t="s">
        <v>1585</v>
      </c>
    </row>
    <row r="851" spans="1:34" x14ac:dyDescent="0.3">
      <c r="A851" s="109" t="s">
        <v>1558</v>
      </c>
      <c r="B851" s="115" t="s">
        <v>199</v>
      </c>
      <c r="C851" s="115" t="s">
        <v>199</v>
      </c>
      <c r="D851" s="119">
        <v>3246118</v>
      </c>
      <c r="E851" s="119">
        <v>3246118</v>
      </c>
      <c r="F851" s="115" t="s">
        <v>199</v>
      </c>
      <c r="G851" s="115" t="s">
        <v>199</v>
      </c>
      <c r="H851" s="115" t="s">
        <v>199</v>
      </c>
      <c r="I851" s="116" t="s">
        <v>199</v>
      </c>
      <c r="O851" s="114" t="s">
        <v>1586</v>
      </c>
      <c r="P851" s="119">
        <v>30772110</v>
      </c>
      <c r="Q851" s="119">
        <v>178419763</v>
      </c>
      <c r="R851" s="115" t="s">
        <v>199</v>
      </c>
      <c r="S851" s="119">
        <v>209191873</v>
      </c>
      <c r="T851" s="119">
        <v>5337483</v>
      </c>
      <c r="U851" s="115" t="s">
        <v>199</v>
      </c>
      <c r="V851" s="119">
        <v>25434627</v>
      </c>
      <c r="W851" s="120">
        <v>30772110</v>
      </c>
      <c r="AF851" s="1721"/>
      <c r="AG851" s="1756"/>
      <c r="AH851" s="190" t="s">
        <v>1587</v>
      </c>
    </row>
    <row r="852" spans="1:34" x14ac:dyDescent="0.3">
      <c r="A852" s="146" t="s">
        <v>1096</v>
      </c>
      <c r="B852" s="136" t="s">
        <v>199</v>
      </c>
      <c r="C852" s="136" t="s">
        <v>199</v>
      </c>
      <c r="D852" s="126">
        <v>39510924</v>
      </c>
      <c r="E852" s="126">
        <v>39510924</v>
      </c>
      <c r="F852" s="136" t="s">
        <v>199</v>
      </c>
      <c r="G852" s="136" t="s">
        <v>199</v>
      </c>
      <c r="H852" s="136" t="s">
        <v>199</v>
      </c>
      <c r="I852" s="137" t="s">
        <v>199</v>
      </c>
      <c r="O852" s="1712" t="s">
        <v>1088</v>
      </c>
      <c r="P852" s="1713"/>
      <c r="Q852" s="1713"/>
      <c r="R852" s="1713"/>
      <c r="S852" s="1713"/>
      <c r="T852" s="1713"/>
      <c r="U852" s="1713"/>
      <c r="V852" s="1713"/>
      <c r="W852" s="1714"/>
      <c r="AF852" s="1721"/>
      <c r="AG852" s="1756"/>
      <c r="AH852" s="167" t="s">
        <v>1588</v>
      </c>
    </row>
    <row r="853" spans="1:34" ht="33.75" x14ac:dyDescent="0.3">
      <c r="A853" s="142" t="s">
        <v>1589</v>
      </c>
      <c r="O853" s="109" t="s">
        <v>1091</v>
      </c>
      <c r="P853" s="115" t="s">
        <v>199</v>
      </c>
      <c r="Q853" s="115" t="s">
        <v>199</v>
      </c>
      <c r="R853" s="119">
        <v>34914087</v>
      </c>
      <c r="S853" s="229">
        <v>34914087</v>
      </c>
      <c r="T853" s="115" t="s">
        <v>199</v>
      </c>
      <c r="U853" s="115" t="s">
        <v>199</v>
      </c>
      <c r="V853" s="115" t="s">
        <v>199</v>
      </c>
      <c r="W853" s="116" t="s">
        <v>199</v>
      </c>
      <c r="AF853" s="1721"/>
      <c r="AG853" s="1756"/>
      <c r="AH853" s="167" t="s">
        <v>1590</v>
      </c>
    </row>
    <row r="854" spans="1:34" x14ac:dyDescent="0.3">
      <c r="O854" s="109" t="s">
        <v>1092</v>
      </c>
      <c r="P854" s="115" t="s">
        <v>199</v>
      </c>
      <c r="Q854" s="115" t="s">
        <v>199</v>
      </c>
      <c r="R854" s="119">
        <v>31417076</v>
      </c>
      <c r="S854" s="119">
        <v>31417076</v>
      </c>
      <c r="T854" s="115" t="s">
        <v>199</v>
      </c>
      <c r="U854" s="115" t="s">
        <v>199</v>
      </c>
      <c r="V854" s="115" t="s">
        <v>199</v>
      </c>
      <c r="W854" s="116" t="s">
        <v>199</v>
      </c>
      <c r="AF854" s="1721"/>
      <c r="AG854" s="1756"/>
      <c r="AH854" s="167" t="s">
        <v>1591</v>
      </c>
    </row>
    <row r="855" spans="1:34" x14ac:dyDescent="0.3">
      <c r="A855" s="142" t="s">
        <v>1592</v>
      </c>
      <c r="O855" s="109" t="s">
        <v>1094</v>
      </c>
      <c r="P855" s="115" t="s">
        <v>199</v>
      </c>
      <c r="Q855" s="115" t="s">
        <v>199</v>
      </c>
      <c r="R855" s="119">
        <v>4261338</v>
      </c>
      <c r="S855" s="119">
        <v>4261338</v>
      </c>
      <c r="T855" s="115" t="s">
        <v>199</v>
      </c>
      <c r="U855" s="115" t="s">
        <v>199</v>
      </c>
      <c r="V855" s="115" t="s">
        <v>199</v>
      </c>
      <c r="W855" s="116" t="s">
        <v>199</v>
      </c>
      <c r="AF855" s="1721"/>
      <c r="AG855" s="1726"/>
      <c r="AH855" s="167" t="s">
        <v>1593</v>
      </c>
    </row>
    <row r="856" spans="1:34" ht="22.5" x14ac:dyDescent="0.3">
      <c r="A856" s="142" t="s">
        <v>1594</v>
      </c>
      <c r="O856" s="109" t="s">
        <v>1095</v>
      </c>
      <c r="P856" s="119">
        <v>93145379</v>
      </c>
      <c r="Q856" s="115" t="s">
        <v>199</v>
      </c>
      <c r="R856" s="115" t="s">
        <v>199</v>
      </c>
      <c r="S856" s="119">
        <v>93145379</v>
      </c>
      <c r="T856" s="115" t="s">
        <v>199</v>
      </c>
      <c r="U856" s="115" t="s">
        <v>199</v>
      </c>
      <c r="V856" s="119">
        <v>93145379</v>
      </c>
      <c r="W856" s="120">
        <v>93145379</v>
      </c>
      <c r="AF856" s="1721"/>
      <c r="AG856" s="110" t="s">
        <v>1595</v>
      </c>
      <c r="AH856" s="186" t="s">
        <v>1596</v>
      </c>
    </row>
    <row r="857" spans="1:34" x14ac:dyDescent="0.3">
      <c r="O857" s="125" t="s">
        <v>1597</v>
      </c>
      <c r="P857" s="126">
        <v>93145379</v>
      </c>
      <c r="Q857" s="136" t="s">
        <v>199</v>
      </c>
      <c r="R857" s="126">
        <v>70592501</v>
      </c>
      <c r="S857" s="126">
        <v>163737880</v>
      </c>
      <c r="T857" s="136" t="s">
        <v>199</v>
      </c>
      <c r="U857" s="136" t="s">
        <v>199</v>
      </c>
      <c r="V857" s="126">
        <v>93145379</v>
      </c>
      <c r="W857" s="127">
        <v>93145379</v>
      </c>
      <c r="AF857" s="1734"/>
      <c r="AG857" s="110" t="s">
        <v>1598</v>
      </c>
      <c r="AH857" s="186" t="s">
        <v>1599</v>
      </c>
    </row>
    <row r="858" spans="1:34" ht="45" x14ac:dyDescent="0.3">
      <c r="A858" s="1689" t="s">
        <v>788</v>
      </c>
      <c r="B858" s="1691" t="s">
        <v>1135</v>
      </c>
      <c r="C858" s="138" t="s">
        <v>1600</v>
      </c>
      <c r="D858" s="169" t="s">
        <v>1601</v>
      </c>
      <c r="O858" s="142" t="s">
        <v>1602</v>
      </c>
      <c r="AF858" s="1703" t="s">
        <v>1603</v>
      </c>
      <c r="AG858" s="1705"/>
      <c r="AH858" s="186" t="s">
        <v>1604</v>
      </c>
    </row>
    <row r="859" spans="1:34" x14ac:dyDescent="0.3">
      <c r="A859" s="1690"/>
      <c r="B859" s="1692"/>
      <c r="C859" s="139" t="s">
        <v>1605</v>
      </c>
      <c r="D859" s="173" t="s">
        <v>1606</v>
      </c>
      <c r="O859" s="143"/>
      <c r="AF859" s="1757" t="s">
        <v>1607</v>
      </c>
      <c r="AG859" s="1758"/>
      <c r="AH859" s="186" t="s">
        <v>1608</v>
      </c>
    </row>
    <row r="860" spans="1:34" ht="33.75" x14ac:dyDescent="0.3">
      <c r="A860" s="1720" t="s">
        <v>1148</v>
      </c>
      <c r="B860" s="1723" t="s">
        <v>1609</v>
      </c>
      <c r="C860" s="1725" t="s">
        <v>1610</v>
      </c>
      <c r="D860" s="191" t="s">
        <v>1611</v>
      </c>
      <c r="O860" s="142" t="s">
        <v>1612</v>
      </c>
      <c r="AF860" s="1759"/>
      <c r="AG860" s="1760"/>
      <c r="AH860" s="160" t="s">
        <v>1613</v>
      </c>
    </row>
    <row r="861" spans="1:34" ht="56.25" x14ac:dyDescent="0.3">
      <c r="A861" s="1721"/>
      <c r="B861" s="1724"/>
      <c r="C861" s="1726"/>
      <c r="D861" s="192" t="s">
        <v>1614</v>
      </c>
      <c r="AF861" s="142" t="s">
        <v>1615</v>
      </c>
    </row>
    <row r="862" spans="1:34" x14ac:dyDescent="0.3">
      <c r="A862" s="1722"/>
      <c r="B862" s="159" t="s">
        <v>1616</v>
      </c>
      <c r="C862" s="122" t="s">
        <v>1617</v>
      </c>
      <c r="D862" s="193" t="s">
        <v>1618</v>
      </c>
      <c r="O862" s="142" t="s">
        <v>1347</v>
      </c>
      <c r="AF862" s="143"/>
    </row>
    <row r="863" spans="1:34" ht="22.5" x14ac:dyDescent="0.3">
      <c r="O863" s="1695" t="s">
        <v>826</v>
      </c>
      <c r="P863" s="1696"/>
      <c r="Q863" s="1696"/>
      <c r="R863" s="1696"/>
      <c r="S863" s="1696"/>
      <c r="T863" s="1696"/>
      <c r="U863" s="1696"/>
      <c r="V863" s="1696"/>
      <c r="W863" s="1697"/>
      <c r="AF863" s="142" t="s">
        <v>1619</v>
      </c>
    </row>
    <row r="864" spans="1:34" ht="22.5" x14ac:dyDescent="0.3">
      <c r="A864" s="142" t="s">
        <v>1620</v>
      </c>
      <c r="O864" s="1698" t="s">
        <v>763</v>
      </c>
      <c r="P864" s="1699" t="s">
        <v>1061</v>
      </c>
      <c r="Q864" s="1700"/>
      <c r="R864" s="1700"/>
      <c r="S864" s="1701"/>
      <c r="T864" s="1699" t="s">
        <v>1062</v>
      </c>
      <c r="U864" s="1700"/>
      <c r="V864" s="1700"/>
      <c r="W864" s="1702"/>
      <c r="AF864" s="1752" t="s">
        <v>826</v>
      </c>
      <c r="AG864" s="1753"/>
      <c r="AH864" s="1754"/>
    </row>
    <row r="865" spans="1:36" x14ac:dyDescent="0.3">
      <c r="A865" s="1695" t="s">
        <v>826</v>
      </c>
      <c r="B865" s="1696"/>
      <c r="C865" s="1697"/>
      <c r="O865" s="1715"/>
      <c r="P865" s="163" t="s">
        <v>1064</v>
      </c>
      <c r="Q865" s="163" t="s">
        <v>1065</v>
      </c>
      <c r="R865" s="163" t="s">
        <v>1065</v>
      </c>
      <c r="S865" s="1716" t="s">
        <v>1442</v>
      </c>
      <c r="T865" s="1716" t="s">
        <v>1545</v>
      </c>
      <c r="U865" s="1716" t="s">
        <v>1067</v>
      </c>
      <c r="V865" s="1716" t="s">
        <v>1068</v>
      </c>
      <c r="W865" s="1718" t="s">
        <v>1359</v>
      </c>
      <c r="AF865" s="194" t="s">
        <v>977</v>
      </c>
      <c r="AG865" s="156" t="s">
        <v>829</v>
      </c>
      <c r="AH865" s="157" t="s">
        <v>1001</v>
      </c>
    </row>
    <row r="866" spans="1:36" x14ac:dyDescent="0.3">
      <c r="A866" s="161" t="s">
        <v>788</v>
      </c>
      <c r="B866" s="134" t="s">
        <v>789</v>
      </c>
      <c r="C866" s="135" t="s">
        <v>843</v>
      </c>
      <c r="O866" s="1715"/>
      <c r="P866" s="164" t="s">
        <v>1069</v>
      </c>
      <c r="Q866" s="164" t="s">
        <v>1070</v>
      </c>
      <c r="R866" s="164" t="s">
        <v>1071</v>
      </c>
      <c r="S866" s="1717"/>
      <c r="T866" s="1717"/>
      <c r="U866" s="1717"/>
      <c r="V866" s="1717"/>
      <c r="W866" s="1719"/>
      <c r="AF866" s="114" t="s">
        <v>1120</v>
      </c>
      <c r="AG866" s="119">
        <v>93145379</v>
      </c>
      <c r="AH866" s="116" t="s">
        <v>199</v>
      </c>
    </row>
    <row r="867" spans="1:36" x14ac:dyDescent="0.3">
      <c r="A867" s="109" t="s">
        <v>1621</v>
      </c>
      <c r="B867" s="115" t="s">
        <v>1622</v>
      </c>
      <c r="C867" s="116" t="s">
        <v>1623</v>
      </c>
      <c r="O867" s="1690"/>
      <c r="P867" s="139" t="s">
        <v>1073</v>
      </c>
      <c r="Q867" s="139"/>
      <c r="R867" s="139"/>
      <c r="S867" s="1692"/>
      <c r="T867" s="1692"/>
      <c r="U867" s="1692"/>
      <c r="V867" s="1692"/>
      <c r="W867" s="1694"/>
      <c r="AF867" s="114" t="s">
        <v>1624</v>
      </c>
      <c r="AG867" s="115" t="s">
        <v>199</v>
      </c>
      <c r="AH867" s="120">
        <v>70000001</v>
      </c>
    </row>
    <row r="868" spans="1:36" x14ac:dyDescent="0.3">
      <c r="A868" s="109" t="s">
        <v>1625</v>
      </c>
      <c r="B868" s="119">
        <v>-996360</v>
      </c>
      <c r="C868" s="116" t="s">
        <v>1626</v>
      </c>
      <c r="O868" s="1712" t="s">
        <v>1074</v>
      </c>
      <c r="P868" s="1713"/>
      <c r="Q868" s="1713"/>
      <c r="R868" s="1713"/>
      <c r="S868" s="1713"/>
      <c r="T868" s="1713"/>
      <c r="U868" s="1713"/>
      <c r="V868" s="1713"/>
      <c r="W868" s="1714"/>
      <c r="AF868" s="114" t="s">
        <v>1627</v>
      </c>
      <c r="AG868" s="119">
        <v>-41363015</v>
      </c>
      <c r="AH868" s="120">
        <v>7995295</v>
      </c>
    </row>
    <row r="869" spans="1:36" x14ac:dyDescent="0.3">
      <c r="A869" s="121" t="s">
        <v>1628</v>
      </c>
      <c r="B869" s="136" t="s">
        <v>1420</v>
      </c>
      <c r="C869" s="137" t="s">
        <v>1622</v>
      </c>
      <c r="O869" s="109" t="s">
        <v>1629</v>
      </c>
      <c r="P869" s="115" t="s">
        <v>199</v>
      </c>
      <c r="Q869" s="119">
        <v>97271207</v>
      </c>
      <c r="R869" s="115" t="s">
        <v>199</v>
      </c>
      <c r="S869" s="119">
        <v>97271207</v>
      </c>
      <c r="T869" s="115" t="s">
        <v>199</v>
      </c>
      <c r="U869" s="115" t="s">
        <v>199</v>
      </c>
      <c r="V869" s="115" t="s">
        <v>199</v>
      </c>
      <c r="W869" s="116" t="s">
        <v>199</v>
      </c>
      <c r="AF869" s="125" t="s">
        <v>1127</v>
      </c>
      <c r="AG869" s="126">
        <v>51782364</v>
      </c>
      <c r="AH869" s="127">
        <v>77995296</v>
      </c>
    </row>
    <row r="870" spans="1:36" x14ac:dyDescent="0.3">
      <c r="A870" s="143"/>
      <c r="O870" s="109" t="s">
        <v>1630</v>
      </c>
      <c r="P870" s="115" t="s">
        <v>199</v>
      </c>
      <c r="Q870" s="119">
        <v>22027084</v>
      </c>
      <c r="R870" s="115" t="s">
        <v>199</v>
      </c>
      <c r="S870" s="119">
        <v>22027084</v>
      </c>
      <c r="T870" s="115" t="s">
        <v>199</v>
      </c>
      <c r="U870" s="115" t="s">
        <v>199</v>
      </c>
      <c r="V870" s="115" t="s">
        <v>199</v>
      </c>
      <c r="W870" s="116" t="s">
        <v>199</v>
      </c>
      <c r="AF870" s="143"/>
    </row>
    <row r="871" spans="1:36" ht="33.75" x14ac:dyDescent="0.3">
      <c r="A871" s="142" t="s">
        <v>1158</v>
      </c>
      <c r="O871" s="109" t="s">
        <v>1631</v>
      </c>
      <c r="P871" s="115" t="s">
        <v>199</v>
      </c>
      <c r="Q871" s="119">
        <v>20581081</v>
      </c>
      <c r="R871" s="115" t="s">
        <v>199</v>
      </c>
      <c r="S871" s="119">
        <v>20581081</v>
      </c>
      <c r="T871" s="115" t="s">
        <v>199</v>
      </c>
      <c r="U871" s="115" t="s">
        <v>199</v>
      </c>
      <c r="V871" s="115" t="s">
        <v>199</v>
      </c>
      <c r="W871" s="116" t="s">
        <v>199</v>
      </c>
      <c r="AF871" s="142" t="s">
        <v>1632</v>
      </c>
    </row>
    <row r="872" spans="1:36" x14ac:dyDescent="0.3">
      <c r="A872" s="143"/>
      <c r="O872" s="114" t="s">
        <v>1586</v>
      </c>
      <c r="P872" s="115" t="s">
        <v>199</v>
      </c>
      <c r="Q872" s="119">
        <v>139879372</v>
      </c>
      <c r="R872" s="115" t="s">
        <v>199</v>
      </c>
      <c r="S872" s="119">
        <v>139879372</v>
      </c>
      <c r="T872" s="115" t="s">
        <v>199</v>
      </c>
      <c r="U872" s="115" t="s">
        <v>199</v>
      </c>
      <c r="V872" s="115" t="s">
        <v>199</v>
      </c>
      <c r="W872" s="116" t="s">
        <v>199</v>
      </c>
    </row>
    <row r="873" spans="1:36" ht="22.5" x14ac:dyDescent="0.3">
      <c r="A873" s="142" t="s">
        <v>1633</v>
      </c>
      <c r="O873" s="1712" t="s">
        <v>1088</v>
      </c>
      <c r="P873" s="1713"/>
      <c r="Q873" s="1713"/>
      <c r="R873" s="1713"/>
      <c r="S873" s="1713"/>
      <c r="T873" s="1713"/>
      <c r="U873" s="1713"/>
      <c r="V873" s="1713"/>
      <c r="W873" s="1714"/>
    </row>
    <row r="874" spans="1:36" x14ac:dyDescent="0.3">
      <c r="A874" s="143"/>
      <c r="O874" s="109" t="s">
        <v>1091</v>
      </c>
      <c r="P874" s="115" t="s">
        <v>199</v>
      </c>
      <c r="Q874" s="115" t="s">
        <v>199</v>
      </c>
      <c r="R874" s="119">
        <v>32668529</v>
      </c>
      <c r="S874" s="119">
        <v>32668529</v>
      </c>
      <c r="T874" s="115" t="s">
        <v>199</v>
      </c>
      <c r="U874" s="115" t="s">
        <v>199</v>
      </c>
      <c r="V874" s="115" t="s">
        <v>199</v>
      </c>
      <c r="W874" s="116" t="s">
        <v>199</v>
      </c>
      <c r="AF874" s="142" t="s">
        <v>1634</v>
      </c>
    </row>
    <row r="875" spans="1:36" x14ac:dyDescent="0.3">
      <c r="A875" s="142" t="s">
        <v>840</v>
      </c>
      <c r="O875" s="109" t="s">
        <v>1092</v>
      </c>
      <c r="P875" s="115" t="s">
        <v>199</v>
      </c>
      <c r="Q875" s="115" t="s">
        <v>199</v>
      </c>
      <c r="R875" s="119">
        <v>28487371</v>
      </c>
      <c r="S875" s="119">
        <v>28487371</v>
      </c>
      <c r="T875" s="115" t="s">
        <v>199</v>
      </c>
      <c r="U875" s="115" t="s">
        <v>199</v>
      </c>
      <c r="V875" s="115" t="s">
        <v>199</v>
      </c>
      <c r="W875" s="116" t="s">
        <v>199</v>
      </c>
      <c r="AF875" s="143"/>
    </row>
    <row r="876" spans="1:36" ht="22.5" x14ac:dyDescent="0.3">
      <c r="A876" s="1695" t="s">
        <v>826</v>
      </c>
      <c r="B876" s="1696"/>
      <c r="C876" s="1696"/>
      <c r="D876" s="1696"/>
      <c r="E876" s="1697"/>
      <c r="O876" s="109" t="s">
        <v>1094</v>
      </c>
      <c r="P876" s="115" t="s">
        <v>199</v>
      </c>
      <c r="Q876" s="115" t="s">
        <v>199</v>
      </c>
      <c r="R876" s="119">
        <v>5346976</v>
      </c>
      <c r="S876" s="119">
        <v>5346976</v>
      </c>
      <c r="T876" s="115" t="s">
        <v>199</v>
      </c>
      <c r="U876" s="115" t="s">
        <v>199</v>
      </c>
      <c r="V876" s="115" t="s">
        <v>199</v>
      </c>
      <c r="W876" s="116" t="s">
        <v>199</v>
      </c>
      <c r="AF876" s="142" t="s">
        <v>1635</v>
      </c>
    </row>
    <row r="877" spans="1:36" x14ac:dyDescent="0.3">
      <c r="A877" s="1698" t="s">
        <v>788</v>
      </c>
      <c r="B877" s="163" t="s">
        <v>1636</v>
      </c>
      <c r="C877" s="163" t="s">
        <v>1065</v>
      </c>
      <c r="D877" s="163" t="s">
        <v>1065</v>
      </c>
      <c r="E877" s="1718" t="s">
        <v>774</v>
      </c>
      <c r="O877" s="125" t="s">
        <v>1586</v>
      </c>
      <c r="P877" s="136" t="s">
        <v>199</v>
      </c>
      <c r="Q877" s="136" t="s">
        <v>199</v>
      </c>
      <c r="R877" s="126">
        <v>66502876</v>
      </c>
      <c r="S877" s="126">
        <v>66502876</v>
      </c>
      <c r="T877" s="136" t="s">
        <v>199</v>
      </c>
      <c r="U877" s="136" t="s">
        <v>199</v>
      </c>
      <c r="V877" s="136" t="s">
        <v>199</v>
      </c>
      <c r="W877" s="137" t="s">
        <v>199</v>
      </c>
    </row>
    <row r="878" spans="1:36" x14ac:dyDescent="0.3">
      <c r="A878" s="1690"/>
      <c r="B878" s="139" t="s">
        <v>1637</v>
      </c>
      <c r="C878" s="139" t="s">
        <v>1070</v>
      </c>
      <c r="D878" s="139" t="s">
        <v>1071</v>
      </c>
      <c r="E878" s="1694"/>
      <c r="O878" s="143"/>
    </row>
    <row r="879" spans="1:36" ht="33.75" x14ac:dyDescent="0.3">
      <c r="A879" s="1712" t="s">
        <v>1171</v>
      </c>
      <c r="B879" s="1713"/>
      <c r="C879" s="1713"/>
      <c r="D879" s="1713"/>
      <c r="E879" s="1714"/>
      <c r="O879" s="142" t="s">
        <v>1589</v>
      </c>
      <c r="AF879" s="1695" t="s">
        <v>976</v>
      </c>
      <c r="AG879" s="1696"/>
      <c r="AH879" s="1696"/>
      <c r="AI879" s="1696"/>
      <c r="AJ879" s="1697"/>
    </row>
    <row r="880" spans="1:36" x14ac:dyDescent="0.3">
      <c r="A880" s="109" t="s">
        <v>1638</v>
      </c>
      <c r="B880" s="111" t="s">
        <v>1420</v>
      </c>
      <c r="C880" s="111" t="s">
        <v>1639</v>
      </c>
      <c r="D880" s="111" t="s">
        <v>1420</v>
      </c>
      <c r="E880" s="112" t="s">
        <v>1639</v>
      </c>
      <c r="AF880" s="1698" t="s">
        <v>763</v>
      </c>
      <c r="AG880" s="1699" t="s">
        <v>829</v>
      </c>
      <c r="AH880" s="1701"/>
      <c r="AI880" s="1699" t="s">
        <v>1001</v>
      </c>
      <c r="AJ880" s="1702"/>
    </row>
    <row r="881" spans="1:36" ht="22.5" x14ac:dyDescent="0.3">
      <c r="A881" s="109" t="s">
        <v>1640</v>
      </c>
      <c r="B881" s="111" t="s">
        <v>1420</v>
      </c>
      <c r="C881" s="111" t="s">
        <v>1641</v>
      </c>
      <c r="D881" s="111" t="s">
        <v>1642</v>
      </c>
      <c r="E881" s="112" t="s">
        <v>1643</v>
      </c>
      <c r="O881" s="142" t="s">
        <v>1644</v>
      </c>
      <c r="AF881" s="1690"/>
      <c r="AG881" s="134" t="s">
        <v>400</v>
      </c>
      <c r="AH881" s="134" t="s">
        <v>401</v>
      </c>
      <c r="AI881" s="134" t="s">
        <v>400</v>
      </c>
      <c r="AJ881" s="135" t="s">
        <v>401</v>
      </c>
    </row>
    <row r="882" spans="1:36" x14ac:dyDescent="0.3">
      <c r="A882" s="170" t="s">
        <v>774</v>
      </c>
      <c r="B882" s="111" t="s">
        <v>1420</v>
      </c>
      <c r="C882" s="111" t="s">
        <v>1645</v>
      </c>
      <c r="D882" s="111" t="s">
        <v>1642</v>
      </c>
      <c r="E882" s="112" t="s">
        <v>1646</v>
      </c>
      <c r="O882" s="1695" t="s">
        <v>976</v>
      </c>
      <c r="P882" s="1696"/>
      <c r="Q882" s="1696"/>
      <c r="R882" s="1696"/>
      <c r="S882" s="1697"/>
      <c r="AF882" s="114" t="s">
        <v>1647</v>
      </c>
      <c r="AG882" s="119">
        <v>5235050</v>
      </c>
      <c r="AH882" s="119">
        <v>15486630</v>
      </c>
      <c r="AI882" s="119">
        <v>4386222</v>
      </c>
      <c r="AJ882" s="120">
        <v>13017268</v>
      </c>
    </row>
    <row r="883" spans="1:36" x14ac:dyDescent="0.3">
      <c r="A883" s="1712" t="s">
        <v>1181</v>
      </c>
      <c r="B883" s="1713"/>
      <c r="C883" s="1713"/>
      <c r="D883" s="1713"/>
      <c r="E883" s="1714"/>
      <c r="O883" s="1698" t="s">
        <v>763</v>
      </c>
      <c r="P883" s="1699" t="s">
        <v>1117</v>
      </c>
      <c r="Q883" s="1701"/>
      <c r="R883" s="1699" t="s">
        <v>1118</v>
      </c>
      <c r="S883" s="1702"/>
      <c r="AF883" s="114" t="s">
        <v>1648</v>
      </c>
      <c r="AG883" s="119">
        <v>476660</v>
      </c>
      <c r="AH883" s="119">
        <v>1421181</v>
      </c>
      <c r="AI883" s="119">
        <v>443796</v>
      </c>
      <c r="AJ883" s="120">
        <v>1327210</v>
      </c>
    </row>
    <row r="884" spans="1:36" x14ac:dyDescent="0.3">
      <c r="A884" s="109" t="s">
        <v>1649</v>
      </c>
      <c r="B884" s="111" t="s">
        <v>1420</v>
      </c>
      <c r="C884" s="111" t="s">
        <v>1420</v>
      </c>
      <c r="D884" s="111" t="s">
        <v>1650</v>
      </c>
      <c r="E884" s="112" t="s">
        <v>1650</v>
      </c>
      <c r="O884" s="1690"/>
      <c r="P884" s="134" t="s">
        <v>789</v>
      </c>
      <c r="Q884" s="134" t="s">
        <v>843</v>
      </c>
      <c r="R884" s="134" t="s">
        <v>789</v>
      </c>
      <c r="S884" s="135" t="s">
        <v>843</v>
      </c>
      <c r="AF884" s="114" t="s">
        <v>1651</v>
      </c>
      <c r="AG884" s="119">
        <v>2083</v>
      </c>
      <c r="AH884" s="119">
        <v>16934</v>
      </c>
      <c r="AI884" s="115" t="s">
        <v>199</v>
      </c>
      <c r="AJ884" s="116" t="s">
        <v>199</v>
      </c>
    </row>
    <row r="885" spans="1:36" x14ac:dyDescent="0.3">
      <c r="A885" s="109" t="s">
        <v>1652</v>
      </c>
      <c r="B885" s="111" t="s">
        <v>1420</v>
      </c>
      <c r="C885" s="111" t="s">
        <v>1653</v>
      </c>
      <c r="D885" s="111" t="s">
        <v>1654</v>
      </c>
      <c r="E885" s="112" t="s">
        <v>1655</v>
      </c>
      <c r="O885" s="109" t="s">
        <v>1621</v>
      </c>
      <c r="P885" s="115" t="s">
        <v>199</v>
      </c>
      <c r="Q885" s="119">
        <v>996360</v>
      </c>
      <c r="R885" s="115" t="s">
        <v>199</v>
      </c>
      <c r="S885" s="116" t="s">
        <v>199</v>
      </c>
      <c r="AF885" s="114" t="s">
        <v>1656</v>
      </c>
      <c r="AG885" s="115">
        <v>-492</v>
      </c>
      <c r="AH885" s="119">
        <v>-56134</v>
      </c>
      <c r="AI885" s="119">
        <v>74925</v>
      </c>
      <c r="AJ885" s="120">
        <v>268216</v>
      </c>
    </row>
    <row r="886" spans="1:36" x14ac:dyDescent="0.3">
      <c r="A886" s="109" t="s">
        <v>1657</v>
      </c>
      <c r="B886" s="111" t="s">
        <v>1622</v>
      </c>
      <c r="C886" s="111" t="s">
        <v>1420</v>
      </c>
      <c r="D886" s="111" t="s">
        <v>1420</v>
      </c>
      <c r="E886" s="112" t="s">
        <v>1622</v>
      </c>
      <c r="O886" s="109" t="s">
        <v>1658</v>
      </c>
      <c r="P886" s="119">
        <v>25002072</v>
      </c>
      <c r="Q886" s="115" t="s">
        <v>199</v>
      </c>
      <c r="R886" s="119">
        <v>70000001</v>
      </c>
      <c r="S886" s="116" t="s">
        <v>199</v>
      </c>
      <c r="AF886" s="114" t="s">
        <v>1659</v>
      </c>
      <c r="AG886" s="119">
        <v>890968</v>
      </c>
      <c r="AH886" s="119">
        <v>2623939</v>
      </c>
      <c r="AI886" s="119">
        <v>743971</v>
      </c>
      <c r="AJ886" s="120">
        <v>2138531</v>
      </c>
    </row>
    <row r="887" spans="1:36" x14ac:dyDescent="0.3">
      <c r="A887" s="109" t="s">
        <v>1660</v>
      </c>
      <c r="B887" s="111" t="s">
        <v>1420</v>
      </c>
      <c r="C887" s="111" t="s">
        <v>1661</v>
      </c>
      <c r="D887" s="111" t="s">
        <v>1420</v>
      </c>
      <c r="E887" s="112" t="s">
        <v>1661</v>
      </c>
      <c r="O887" s="109" t="s">
        <v>1662</v>
      </c>
      <c r="P887" s="119">
        <v>432554</v>
      </c>
      <c r="Q887" s="119">
        <v>-996360</v>
      </c>
      <c r="R887" s="119">
        <v>-23145378</v>
      </c>
      <c r="S887" s="116" t="s">
        <v>199</v>
      </c>
      <c r="AF887" s="146" t="s">
        <v>774</v>
      </c>
      <c r="AG887" s="126">
        <v>6604270</v>
      </c>
      <c r="AH887" s="126">
        <v>19492550</v>
      </c>
      <c r="AI887" s="126">
        <v>5648914</v>
      </c>
      <c r="AJ887" s="127">
        <v>16751225</v>
      </c>
    </row>
    <row r="888" spans="1:36" x14ac:dyDescent="0.3">
      <c r="A888" s="177" t="s">
        <v>774</v>
      </c>
      <c r="B888" s="123" t="s">
        <v>1622</v>
      </c>
      <c r="C888" s="123" t="s">
        <v>1663</v>
      </c>
      <c r="D888" s="123" t="s">
        <v>1664</v>
      </c>
      <c r="E888" s="124" t="s">
        <v>1665</v>
      </c>
      <c r="O888" s="121" t="s">
        <v>1628</v>
      </c>
      <c r="P888" s="126">
        <v>25434627</v>
      </c>
      <c r="Q888" s="136" t="s">
        <v>199</v>
      </c>
      <c r="R888" s="126">
        <v>93145379</v>
      </c>
      <c r="S888" s="137" t="s">
        <v>199</v>
      </c>
      <c r="AF888" s="143"/>
    </row>
    <row r="889" spans="1:36" ht="45" x14ac:dyDescent="0.3">
      <c r="A889" s="142" t="s">
        <v>1666</v>
      </c>
      <c r="O889" s="142" t="s">
        <v>1667</v>
      </c>
      <c r="AF889" s="142" t="s">
        <v>1668</v>
      </c>
    </row>
    <row r="890" spans="1:36" x14ac:dyDescent="0.3">
      <c r="O890" s="143"/>
      <c r="AF890" s="1695" t="s">
        <v>976</v>
      </c>
      <c r="AG890" s="1696"/>
      <c r="AH890" s="1697"/>
    </row>
    <row r="891" spans="1:36" x14ac:dyDescent="0.3">
      <c r="A891" s="142" t="s">
        <v>841</v>
      </c>
      <c r="O891" s="142" t="s">
        <v>1669</v>
      </c>
      <c r="AF891" s="161" t="s">
        <v>977</v>
      </c>
      <c r="AG891" s="134" t="s">
        <v>786</v>
      </c>
      <c r="AH891" s="135" t="s">
        <v>787</v>
      </c>
    </row>
    <row r="892" spans="1:36" x14ac:dyDescent="0.3">
      <c r="A892" s="1695" t="s">
        <v>826</v>
      </c>
      <c r="B892" s="1696"/>
      <c r="C892" s="1696"/>
      <c r="D892" s="1696"/>
      <c r="E892" s="1697"/>
      <c r="O892" s="1695" t="s">
        <v>1670</v>
      </c>
      <c r="P892" s="1696"/>
      <c r="Q892" s="1696"/>
      <c r="R892" s="1697"/>
      <c r="AF892" s="109" t="s">
        <v>1671</v>
      </c>
      <c r="AG892" s="117">
        <v>569767</v>
      </c>
      <c r="AH892" s="118">
        <v>428993</v>
      </c>
    </row>
    <row r="893" spans="1:36" x14ac:dyDescent="0.3">
      <c r="A893" s="1698" t="s">
        <v>788</v>
      </c>
      <c r="B893" s="163" t="s">
        <v>1636</v>
      </c>
      <c r="C893" s="163" t="s">
        <v>1065</v>
      </c>
      <c r="D893" s="163" t="s">
        <v>1065</v>
      </c>
      <c r="E893" s="1718" t="s">
        <v>774</v>
      </c>
      <c r="O893" s="161" t="s">
        <v>1237</v>
      </c>
      <c r="P893" s="134" t="s">
        <v>1672</v>
      </c>
      <c r="Q893" s="134" t="s">
        <v>1673</v>
      </c>
      <c r="R893" s="135" t="s">
        <v>1359</v>
      </c>
      <c r="AF893" s="109" t="s">
        <v>1674</v>
      </c>
      <c r="AG893" s="117">
        <v>994849</v>
      </c>
      <c r="AH893" s="118">
        <v>789195</v>
      </c>
    </row>
    <row r="894" spans="1:36" x14ac:dyDescent="0.3">
      <c r="A894" s="1690"/>
      <c r="B894" s="139" t="s">
        <v>1637</v>
      </c>
      <c r="C894" s="139" t="s">
        <v>1070</v>
      </c>
      <c r="D894" s="139" t="s">
        <v>1071</v>
      </c>
      <c r="E894" s="1694"/>
      <c r="O894" s="109" t="s">
        <v>1675</v>
      </c>
      <c r="P894" s="119">
        <v>432554</v>
      </c>
      <c r="Q894" s="119">
        <v>-23145378</v>
      </c>
      <c r="R894" s="120">
        <v>-22712824</v>
      </c>
      <c r="AF894" s="146" t="s">
        <v>774</v>
      </c>
      <c r="AG894" s="130">
        <v>1564616</v>
      </c>
      <c r="AH894" s="131">
        <v>1218188</v>
      </c>
    </row>
    <row r="895" spans="1:36" x14ac:dyDescent="0.3">
      <c r="A895" s="1712" t="s">
        <v>1171</v>
      </c>
      <c r="B895" s="1713"/>
      <c r="C895" s="1713"/>
      <c r="D895" s="1713"/>
      <c r="E895" s="1714"/>
      <c r="O895" s="121" t="s">
        <v>1676</v>
      </c>
      <c r="P895" s="126">
        <v>432554</v>
      </c>
      <c r="Q895" s="126">
        <v>-23145378</v>
      </c>
      <c r="R895" s="127">
        <v>-22712824</v>
      </c>
    </row>
    <row r="896" spans="1:36" ht="22.5" x14ac:dyDescent="0.3">
      <c r="A896" s="109" t="s">
        <v>1638</v>
      </c>
      <c r="B896" s="111" t="s">
        <v>1420</v>
      </c>
      <c r="C896" s="111" t="s">
        <v>1677</v>
      </c>
      <c r="D896" s="111" t="s">
        <v>1420</v>
      </c>
      <c r="E896" s="112" t="s">
        <v>1677</v>
      </c>
      <c r="O896" s="143"/>
      <c r="AF896" s="142" t="s">
        <v>1678</v>
      </c>
    </row>
    <row r="897" spans="1:35" x14ac:dyDescent="0.3">
      <c r="A897" s="109" t="s">
        <v>1640</v>
      </c>
      <c r="B897" s="111" t="s">
        <v>1420</v>
      </c>
      <c r="C897" s="111" t="s">
        <v>1679</v>
      </c>
      <c r="D897" s="111" t="s">
        <v>1680</v>
      </c>
      <c r="E897" s="112" t="s">
        <v>1681</v>
      </c>
      <c r="O897" s="142" t="s">
        <v>1682</v>
      </c>
      <c r="AF897" s="143"/>
    </row>
    <row r="898" spans="1:35" x14ac:dyDescent="0.3">
      <c r="A898" s="109" t="s">
        <v>1683</v>
      </c>
      <c r="B898" s="111" t="s">
        <v>1684</v>
      </c>
      <c r="C898" s="111" t="s">
        <v>1420</v>
      </c>
      <c r="D898" s="111" t="s">
        <v>1420</v>
      </c>
      <c r="E898" s="112" t="s">
        <v>1684</v>
      </c>
      <c r="O898" s="1695" t="s">
        <v>1670</v>
      </c>
      <c r="P898" s="1696"/>
      <c r="Q898" s="1696"/>
      <c r="R898" s="1697"/>
      <c r="AF898" s="142" t="s">
        <v>1685</v>
      </c>
    </row>
    <row r="899" spans="1:35" x14ac:dyDescent="0.3">
      <c r="A899" s="109" t="s">
        <v>1686</v>
      </c>
      <c r="B899" s="111" t="s">
        <v>1687</v>
      </c>
      <c r="C899" s="111" t="s">
        <v>1420</v>
      </c>
      <c r="D899" s="111" t="s">
        <v>1420</v>
      </c>
      <c r="E899" s="112" t="s">
        <v>1687</v>
      </c>
      <c r="O899" s="161" t="s">
        <v>1237</v>
      </c>
      <c r="P899" s="134" t="s">
        <v>1672</v>
      </c>
      <c r="Q899" s="134" t="s">
        <v>1673</v>
      </c>
      <c r="R899" s="135" t="s">
        <v>1359</v>
      </c>
    </row>
    <row r="900" spans="1:35" x14ac:dyDescent="0.3">
      <c r="A900" s="170" t="s">
        <v>774</v>
      </c>
      <c r="B900" s="111" t="s">
        <v>1688</v>
      </c>
      <c r="C900" s="111" t="s">
        <v>1689</v>
      </c>
      <c r="D900" s="111" t="s">
        <v>1680</v>
      </c>
      <c r="E900" s="112" t="s">
        <v>1690</v>
      </c>
      <c r="O900" s="109" t="s">
        <v>1675</v>
      </c>
      <c r="P900" s="119">
        <v>-996360</v>
      </c>
      <c r="Q900" s="115" t="s">
        <v>199</v>
      </c>
      <c r="R900" s="120">
        <v>-996360</v>
      </c>
      <c r="AF900" s="1695" t="s">
        <v>976</v>
      </c>
      <c r="AG900" s="1696"/>
      <c r="AH900" s="1696"/>
      <c r="AI900" s="1697"/>
    </row>
    <row r="901" spans="1:35" x14ac:dyDescent="0.3">
      <c r="A901" s="1712" t="s">
        <v>1181</v>
      </c>
      <c r="B901" s="1713"/>
      <c r="C901" s="1713"/>
      <c r="D901" s="1713"/>
      <c r="E901" s="1714"/>
      <c r="O901" s="121" t="s">
        <v>1691</v>
      </c>
      <c r="P901" s="126">
        <v>-996360</v>
      </c>
      <c r="Q901" s="136" t="s">
        <v>199</v>
      </c>
      <c r="R901" s="127">
        <v>-996360</v>
      </c>
      <c r="AF901" s="161" t="s">
        <v>977</v>
      </c>
      <c r="AG901" s="134" t="s">
        <v>1692</v>
      </c>
      <c r="AH901" s="134" t="s">
        <v>1693</v>
      </c>
      <c r="AI901" s="135" t="s">
        <v>1671</v>
      </c>
    </row>
    <row r="902" spans="1:35" x14ac:dyDescent="0.3">
      <c r="A902" s="109" t="s">
        <v>1649</v>
      </c>
      <c r="B902" s="111" t="s">
        <v>1420</v>
      </c>
      <c r="C902" s="111" t="s">
        <v>1420</v>
      </c>
      <c r="D902" s="111" t="s">
        <v>1694</v>
      </c>
      <c r="E902" s="112" t="s">
        <v>1694</v>
      </c>
      <c r="O902" s="143"/>
      <c r="AF902" s="109" t="s">
        <v>1120</v>
      </c>
      <c r="AG902" s="117">
        <v>7844766</v>
      </c>
      <c r="AH902" s="117">
        <v>-7415773</v>
      </c>
      <c r="AI902" s="118">
        <v>428993</v>
      </c>
    </row>
    <row r="903" spans="1:35" x14ac:dyDescent="0.3">
      <c r="A903" s="109" t="s">
        <v>1652</v>
      </c>
      <c r="B903" s="111" t="s">
        <v>1420</v>
      </c>
      <c r="C903" s="111" t="s">
        <v>1695</v>
      </c>
      <c r="D903" s="111" t="s">
        <v>1696</v>
      </c>
      <c r="E903" s="112" t="s">
        <v>1697</v>
      </c>
      <c r="O903" s="142" t="s">
        <v>1698</v>
      </c>
      <c r="AF903" s="1712" t="s">
        <v>1699</v>
      </c>
      <c r="AG903" s="1713"/>
      <c r="AH903" s="1713"/>
      <c r="AI903" s="1714"/>
    </row>
    <row r="904" spans="1:35" x14ac:dyDescent="0.3">
      <c r="A904" s="109" t="s">
        <v>1660</v>
      </c>
      <c r="B904" s="111" t="s">
        <v>1420</v>
      </c>
      <c r="C904" s="111" t="s">
        <v>1700</v>
      </c>
      <c r="D904" s="111" t="s">
        <v>1420</v>
      </c>
      <c r="E904" s="112" t="s">
        <v>1700</v>
      </c>
      <c r="O904" s="143"/>
      <c r="AF904" s="109" t="s">
        <v>1701</v>
      </c>
      <c r="AG904" s="117">
        <v>1423704</v>
      </c>
      <c r="AH904" s="111" t="s">
        <v>199</v>
      </c>
      <c r="AI904" s="118">
        <v>1423704</v>
      </c>
    </row>
    <row r="905" spans="1:35" ht="22.5" x14ac:dyDescent="0.3">
      <c r="A905" s="177" t="s">
        <v>774</v>
      </c>
      <c r="B905" s="123" t="s">
        <v>1420</v>
      </c>
      <c r="C905" s="123" t="s">
        <v>1702</v>
      </c>
      <c r="D905" s="123" t="s">
        <v>1703</v>
      </c>
      <c r="E905" s="124" t="s">
        <v>1704</v>
      </c>
      <c r="O905" s="142" t="s">
        <v>1705</v>
      </c>
      <c r="AF905" s="109" t="s">
        <v>1706</v>
      </c>
      <c r="AG905" s="117">
        <v>134939</v>
      </c>
      <c r="AH905" s="117">
        <v>-137462</v>
      </c>
      <c r="AI905" s="118">
        <v>-2523</v>
      </c>
    </row>
    <row r="906" spans="1:35" ht="22.5" x14ac:dyDescent="0.3">
      <c r="A906" s="142" t="s">
        <v>1707</v>
      </c>
      <c r="O906" s="1689" t="s">
        <v>763</v>
      </c>
      <c r="P906" s="1691" t="s">
        <v>1135</v>
      </c>
      <c r="Q906" s="138" t="s">
        <v>1136</v>
      </c>
      <c r="R906" s="169" t="s">
        <v>1137</v>
      </c>
      <c r="AF906" s="162" t="s">
        <v>980</v>
      </c>
      <c r="AG906" s="117">
        <v>1558642</v>
      </c>
      <c r="AH906" s="117">
        <v>-137462</v>
      </c>
      <c r="AI906" s="118">
        <v>1421180</v>
      </c>
    </row>
    <row r="907" spans="1:35" x14ac:dyDescent="0.3">
      <c r="O907" s="1715"/>
      <c r="P907" s="1717"/>
      <c r="Q907" s="164" t="s">
        <v>1140</v>
      </c>
      <c r="R907" s="172" t="s">
        <v>1141</v>
      </c>
      <c r="AF907" s="1703" t="s">
        <v>1708</v>
      </c>
      <c r="AG907" s="1704"/>
      <c r="AH907" s="1704"/>
      <c r="AI907" s="1727"/>
    </row>
    <row r="908" spans="1:35" x14ac:dyDescent="0.3">
      <c r="A908" s="142" t="s">
        <v>1709</v>
      </c>
      <c r="O908" s="1690"/>
      <c r="P908" s="1692"/>
      <c r="Q908" s="139"/>
      <c r="R908" s="173" t="s">
        <v>1145</v>
      </c>
      <c r="AF908" s="114" t="s">
        <v>1710</v>
      </c>
      <c r="AG908" s="111"/>
      <c r="AH908" s="111"/>
      <c r="AI908" s="112"/>
    </row>
    <row r="909" spans="1:35" x14ac:dyDescent="0.3">
      <c r="A909" s="143"/>
      <c r="O909" s="1706" t="s">
        <v>1148</v>
      </c>
      <c r="P909" s="1723" t="s">
        <v>1149</v>
      </c>
      <c r="Q909" s="1723" t="s">
        <v>1150</v>
      </c>
      <c r="R909" s="174" t="s">
        <v>1151</v>
      </c>
      <c r="AF909" s="114" t="s">
        <v>1711</v>
      </c>
      <c r="AG909" s="117">
        <v>-1244535</v>
      </c>
      <c r="AH909" s="111" t="s">
        <v>199</v>
      </c>
      <c r="AI909" s="118">
        <v>-1244535</v>
      </c>
    </row>
    <row r="910" spans="1:35" ht="67.5" x14ac:dyDescent="0.3">
      <c r="A910" s="142" t="s">
        <v>1712</v>
      </c>
      <c r="O910" s="1744"/>
      <c r="P910" s="1751"/>
      <c r="Q910" s="1751"/>
      <c r="R910" s="175" t="s">
        <v>1153</v>
      </c>
      <c r="AF910" s="114" t="s">
        <v>1713</v>
      </c>
      <c r="AG910" s="117">
        <v>-1145371</v>
      </c>
      <c r="AH910" s="111" t="s">
        <v>199</v>
      </c>
      <c r="AI910" s="118">
        <v>-1145371</v>
      </c>
    </row>
    <row r="911" spans="1:35" x14ac:dyDescent="0.3">
      <c r="A911" s="143"/>
      <c r="O911" s="1707"/>
      <c r="P911" s="1724"/>
      <c r="Q911" s="1724"/>
      <c r="R911" s="195" t="s">
        <v>1155</v>
      </c>
      <c r="AF911" s="114" t="s">
        <v>1714</v>
      </c>
      <c r="AG911" s="117">
        <v>-99164</v>
      </c>
      <c r="AH911" s="111" t="s">
        <v>199</v>
      </c>
      <c r="AI911" s="118">
        <v>-99164</v>
      </c>
    </row>
    <row r="912" spans="1:35" x14ac:dyDescent="0.3">
      <c r="A912" s="142" t="s">
        <v>1715</v>
      </c>
      <c r="O912" s="146" t="s">
        <v>1716</v>
      </c>
      <c r="P912" s="159" t="s">
        <v>1717</v>
      </c>
      <c r="Q912" s="159" t="s">
        <v>1718</v>
      </c>
      <c r="R912" s="168" t="s">
        <v>1719</v>
      </c>
      <c r="AF912" s="114" t="s">
        <v>1720</v>
      </c>
      <c r="AG912" s="111" t="s">
        <v>199</v>
      </c>
      <c r="AH912" s="117">
        <v>31901</v>
      </c>
      <c r="AI912" s="118">
        <v>31901</v>
      </c>
    </row>
    <row r="913" spans="1:35" x14ac:dyDescent="0.3">
      <c r="A913" s="143"/>
      <c r="O913" s="143"/>
      <c r="AF913" s="162" t="s">
        <v>980</v>
      </c>
      <c r="AG913" s="117">
        <v>-1244535</v>
      </c>
      <c r="AH913" s="117">
        <v>31901</v>
      </c>
      <c r="AI913" s="118">
        <v>-1212634</v>
      </c>
    </row>
    <row r="914" spans="1:35" x14ac:dyDescent="0.3">
      <c r="A914" s="142" t="s">
        <v>1721</v>
      </c>
      <c r="O914" s="142" t="s">
        <v>1158</v>
      </c>
      <c r="AF914" s="1703" t="s">
        <v>1722</v>
      </c>
      <c r="AG914" s="1704"/>
      <c r="AH914" s="1704"/>
      <c r="AI914" s="1727"/>
    </row>
    <row r="915" spans="1:35" x14ac:dyDescent="0.3">
      <c r="A915" s="143"/>
      <c r="O915" s="143"/>
      <c r="AF915" s="114" t="s">
        <v>1723</v>
      </c>
      <c r="AG915" s="111" t="s">
        <v>199</v>
      </c>
      <c r="AH915" s="111" t="s">
        <v>199</v>
      </c>
      <c r="AI915" s="112" t="s">
        <v>199</v>
      </c>
    </row>
    <row r="916" spans="1:35" ht="78.75" x14ac:dyDescent="0.3">
      <c r="A916" s="142" t="s">
        <v>1724</v>
      </c>
      <c r="O916" s="142" t="s">
        <v>1633</v>
      </c>
      <c r="AF916" s="114" t="s">
        <v>1725</v>
      </c>
      <c r="AG916" s="117">
        <v>-822521</v>
      </c>
      <c r="AH916" s="117">
        <v>784018</v>
      </c>
      <c r="AI916" s="118">
        <v>-38503</v>
      </c>
    </row>
    <row r="917" spans="1:35" x14ac:dyDescent="0.3">
      <c r="A917" s="1695" t="s">
        <v>826</v>
      </c>
      <c r="B917" s="1696"/>
      <c r="C917" s="1697"/>
      <c r="AF917" s="114" t="s">
        <v>1726</v>
      </c>
      <c r="AG917" s="117">
        <v>-28393</v>
      </c>
      <c r="AH917" s="117">
        <v>28393</v>
      </c>
      <c r="AI917" s="112" t="s">
        <v>199</v>
      </c>
    </row>
    <row r="918" spans="1:35" x14ac:dyDescent="0.3">
      <c r="A918" s="161" t="s">
        <v>977</v>
      </c>
      <c r="B918" s="134" t="s">
        <v>820</v>
      </c>
      <c r="C918" s="135" t="s">
        <v>1727</v>
      </c>
      <c r="O918" s="142" t="s">
        <v>840</v>
      </c>
      <c r="AF918" s="114" t="s">
        <v>1728</v>
      </c>
      <c r="AG918" s="117">
        <v>-2613</v>
      </c>
      <c r="AH918" s="111" t="s">
        <v>199</v>
      </c>
      <c r="AI918" s="118">
        <v>-2613</v>
      </c>
    </row>
    <row r="919" spans="1:35" x14ac:dyDescent="0.3">
      <c r="A919" s="109" t="s">
        <v>1729</v>
      </c>
      <c r="B919" s="111" t="s">
        <v>1730</v>
      </c>
      <c r="C919" s="112" t="s">
        <v>1731</v>
      </c>
      <c r="O919" s="1695" t="s">
        <v>826</v>
      </c>
      <c r="P919" s="1696"/>
      <c r="Q919" s="1696"/>
      <c r="R919" s="1696"/>
      <c r="S919" s="1697"/>
      <c r="AF919" s="114" t="s">
        <v>1013</v>
      </c>
      <c r="AG919" s="117">
        <v>-26656</v>
      </c>
      <c r="AH919" s="111" t="s">
        <v>199</v>
      </c>
      <c r="AI919" s="118">
        <v>-26656</v>
      </c>
    </row>
    <row r="920" spans="1:35" x14ac:dyDescent="0.3">
      <c r="A920" s="109" t="s">
        <v>1732</v>
      </c>
      <c r="B920" s="111" t="s">
        <v>1733</v>
      </c>
      <c r="C920" s="112" t="s">
        <v>1734</v>
      </c>
      <c r="O920" s="1698" t="s">
        <v>763</v>
      </c>
      <c r="P920" s="163" t="s">
        <v>1636</v>
      </c>
      <c r="Q920" s="163" t="s">
        <v>1065</v>
      </c>
      <c r="R920" s="163" t="s">
        <v>1065</v>
      </c>
      <c r="S920" s="1718" t="s">
        <v>774</v>
      </c>
      <c r="AF920" s="162" t="s">
        <v>1735</v>
      </c>
      <c r="AG920" s="117">
        <v>-880183</v>
      </c>
      <c r="AH920" s="117">
        <v>812411</v>
      </c>
      <c r="AI920" s="118">
        <v>-67772</v>
      </c>
    </row>
    <row r="921" spans="1:35" x14ac:dyDescent="0.3">
      <c r="A921" s="146" t="s">
        <v>774</v>
      </c>
      <c r="B921" s="123" t="s">
        <v>1736</v>
      </c>
      <c r="C921" s="124" t="s">
        <v>1737</v>
      </c>
      <c r="O921" s="1690"/>
      <c r="P921" s="139" t="s">
        <v>1637</v>
      </c>
      <c r="Q921" s="139" t="s">
        <v>1070</v>
      </c>
      <c r="R921" s="139" t="s">
        <v>1071</v>
      </c>
      <c r="S921" s="1694"/>
      <c r="AF921" s="125" t="s">
        <v>1127</v>
      </c>
      <c r="AG921" s="130">
        <v>7278690</v>
      </c>
      <c r="AH921" s="130">
        <v>-6708923</v>
      </c>
      <c r="AI921" s="131">
        <v>569767</v>
      </c>
    </row>
    <row r="922" spans="1:35" x14ac:dyDescent="0.3">
      <c r="O922" s="1712" t="s">
        <v>1171</v>
      </c>
      <c r="P922" s="1713"/>
      <c r="Q922" s="1713"/>
      <c r="R922" s="1713"/>
      <c r="S922" s="1714"/>
    </row>
    <row r="923" spans="1:35" x14ac:dyDescent="0.3">
      <c r="A923" s="142" t="s">
        <v>1738</v>
      </c>
      <c r="O923" s="109" t="s">
        <v>1638</v>
      </c>
      <c r="P923" s="111" t="s">
        <v>199</v>
      </c>
      <c r="Q923" s="117">
        <v>709964</v>
      </c>
      <c r="R923" s="111" t="s">
        <v>199</v>
      </c>
      <c r="S923" s="118">
        <v>709964</v>
      </c>
      <c r="AF923" s="142" t="s">
        <v>992</v>
      </c>
    </row>
    <row r="924" spans="1:35" x14ac:dyDescent="0.3">
      <c r="A924" s="143"/>
      <c r="O924" s="109" t="s">
        <v>1640</v>
      </c>
      <c r="P924" s="111" t="s">
        <v>199</v>
      </c>
      <c r="Q924" s="117">
        <v>2938450</v>
      </c>
      <c r="R924" s="117">
        <v>257007</v>
      </c>
      <c r="S924" s="118">
        <v>3195457</v>
      </c>
      <c r="AF924" s="1695" t="s">
        <v>976</v>
      </c>
      <c r="AG924" s="1696"/>
      <c r="AH924" s="1696"/>
      <c r="AI924" s="1697"/>
    </row>
    <row r="925" spans="1:35" ht="45" x14ac:dyDescent="0.3">
      <c r="A925" s="142" t="s">
        <v>1739</v>
      </c>
      <c r="O925" s="109" t="s">
        <v>1683</v>
      </c>
      <c r="P925" s="117">
        <v>770072</v>
      </c>
      <c r="Q925" s="111" t="s">
        <v>199</v>
      </c>
      <c r="R925" s="111" t="s">
        <v>199</v>
      </c>
      <c r="S925" s="118">
        <v>770072</v>
      </c>
      <c r="AF925" s="161" t="s">
        <v>977</v>
      </c>
      <c r="AG925" s="134" t="s">
        <v>1692</v>
      </c>
      <c r="AH925" s="134" t="s">
        <v>1693</v>
      </c>
      <c r="AI925" s="135" t="s">
        <v>1671</v>
      </c>
    </row>
    <row r="926" spans="1:35" x14ac:dyDescent="0.3">
      <c r="O926" s="170" t="s">
        <v>774</v>
      </c>
      <c r="P926" s="117">
        <v>770072</v>
      </c>
      <c r="Q926" s="117">
        <v>3648414</v>
      </c>
      <c r="R926" s="117">
        <v>257007</v>
      </c>
      <c r="S926" s="118">
        <v>4675493</v>
      </c>
      <c r="AF926" s="109" t="s">
        <v>1120</v>
      </c>
      <c r="AG926" s="117">
        <v>6731667</v>
      </c>
      <c r="AH926" s="117">
        <v>-5908937</v>
      </c>
      <c r="AI926" s="118">
        <v>822730</v>
      </c>
    </row>
    <row r="927" spans="1:35" x14ac:dyDescent="0.3">
      <c r="O927" s="1712" t="s">
        <v>1181</v>
      </c>
      <c r="P927" s="1713"/>
      <c r="Q927" s="1713"/>
      <c r="R927" s="1713"/>
      <c r="S927" s="1714"/>
      <c r="AF927" s="1712" t="s">
        <v>1699</v>
      </c>
      <c r="AG927" s="1713"/>
      <c r="AH927" s="1713"/>
      <c r="AI927" s="1714"/>
    </row>
    <row r="928" spans="1:35" ht="45" x14ac:dyDescent="0.3">
      <c r="A928" s="142" t="s">
        <v>1740</v>
      </c>
      <c r="O928" s="109" t="s">
        <v>1649</v>
      </c>
      <c r="P928" s="111" t="s">
        <v>199</v>
      </c>
      <c r="Q928" s="111" t="s">
        <v>199</v>
      </c>
      <c r="R928" s="117">
        <v>300912</v>
      </c>
      <c r="S928" s="118">
        <v>300912</v>
      </c>
      <c r="AF928" s="109" t="s">
        <v>1701</v>
      </c>
      <c r="AG928" s="117">
        <v>1325646</v>
      </c>
      <c r="AH928" s="111" t="s">
        <v>199</v>
      </c>
      <c r="AI928" s="118">
        <v>1325646</v>
      </c>
    </row>
    <row r="929" spans="1:35" x14ac:dyDescent="0.3">
      <c r="A929" s="1695" t="s">
        <v>826</v>
      </c>
      <c r="B929" s="1696"/>
      <c r="C929" s="1696"/>
      <c r="D929" s="1696"/>
      <c r="E929" s="1696"/>
      <c r="F929" s="1696"/>
      <c r="G929" s="1697"/>
      <c r="O929" s="109" t="s">
        <v>1652</v>
      </c>
      <c r="P929" s="111" t="s">
        <v>199</v>
      </c>
      <c r="Q929" s="117">
        <v>135324</v>
      </c>
      <c r="R929" s="117">
        <v>86696</v>
      </c>
      <c r="S929" s="118">
        <v>222020</v>
      </c>
      <c r="AF929" s="109" t="s">
        <v>1706</v>
      </c>
      <c r="AG929" s="117">
        <v>92906</v>
      </c>
      <c r="AH929" s="117">
        <v>-91341</v>
      </c>
      <c r="AI929" s="118">
        <v>1565</v>
      </c>
    </row>
    <row r="930" spans="1:35" x14ac:dyDescent="0.3">
      <c r="A930" s="1698" t="s">
        <v>788</v>
      </c>
      <c r="B930" s="1699" t="s">
        <v>820</v>
      </c>
      <c r="C930" s="1700"/>
      <c r="D930" s="1701"/>
      <c r="E930" s="1699" t="s">
        <v>787</v>
      </c>
      <c r="F930" s="1700"/>
      <c r="G930" s="1702"/>
      <c r="O930" s="109" t="s">
        <v>1657</v>
      </c>
      <c r="P930" s="117">
        <v>23145377</v>
      </c>
      <c r="Q930" s="111" t="s">
        <v>199</v>
      </c>
      <c r="R930" s="111" t="s">
        <v>199</v>
      </c>
      <c r="S930" s="118">
        <v>23145377</v>
      </c>
      <c r="AF930" s="162" t="s">
        <v>980</v>
      </c>
      <c r="AG930" s="117">
        <v>1418552</v>
      </c>
      <c r="AH930" s="117">
        <v>-91341</v>
      </c>
      <c r="AI930" s="118">
        <v>1327211</v>
      </c>
    </row>
    <row r="931" spans="1:35" x14ac:dyDescent="0.3">
      <c r="A931" s="1690"/>
      <c r="B931" s="134" t="s">
        <v>1209</v>
      </c>
      <c r="C931" s="134" t="s">
        <v>1210</v>
      </c>
      <c r="D931" s="134" t="s">
        <v>1211</v>
      </c>
      <c r="E931" s="134" t="s">
        <v>1209</v>
      </c>
      <c r="F931" s="134" t="s">
        <v>1210</v>
      </c>
      <c r="G931" s="135" t="s">
        <v>1211</v>
      </c>
      <c r="O931" s="109" t="s">
        <v>1660</v>
      </c>
      <c r="P931" s="111" t="s">
        <v>199</v>
      </c>
      <c r="Q931" s="117">
        <v>749838</v>
      </c>
      <c r="R931" s="111" t="s">
        <v>199</v>
      </c>
      <c r="S931" s="118">
        <v>749838</v>
      </c>
      <c r="AF931" s="1703" t="s">
        <v>1708</v>
      </c>
      <c r="AG931" s="1704"/>
      <c r="AH931" s="1704"/>
      <c r="AI931" s="1727"/>
    </row>
    <row r="932" spans="1:35" x14ac:dyDescent="0.3">
      <c r="A932" s="1712" t="s">
        <v>1213</v>
      </c>
      <c r="B932" s="1713"/>
      <c r="C932" s="1713"/>
      <c r="D932" s="1713"/>
      <c r="E932" s="1713"/>
      <c r="F932" s="1713"/>
      <c r="G932" s="1714"/>
      <c r="O932" s="177" t="s">
        <v>774</v>
      </c>
      <c r="P932" s="130">
        <v>23145377</v>
      </c>
      <c r="Q932" s="130">
        <v>885162</v>
      </c>
      <c r="R932" s="130">
        <v>387608</v>
      </c>
      <c r="S932" s="131">
        <v>24418147</v>
      </c>
      <c r="AF932" s="114" t="s">
        <v>1741</v>
      </c>
      <c r="AG932" s="111"/>
      <c r="AH932" s="111"/>
      <c r="AI932" s="112"/>
    </row>
    <row r="933" spans="1:35" ht="22.5" x14ac:dyDescent="0.3">
      <c r="A933" s="114" t="s">
        <v>1077</v>
      </c>
      <c r="B933" s="111" t="s">
        <v>1742</v>
      </c>
      <c r="C933" s="117">
        <v>-1403630</v>
      </c>
      <c r="D933" s="111" t="s">
        <v>1743</v>
      </c>
      <c r="E933" s="111" t="s">
        <v>1744</v>
      </c>
      <c r="F933" s="117">
        <v>-1846789</v>
      </c>
      <c r="G933" s="112" t="s">
        <v>1745</v>
      </c>
      <c r="O933" s="142" t="s">
        <v>1746</v>
      </c>
      <c r="AF933" s="114" t="s">
        <v>1711</v>
      </c>
      <c r="AG933" s="117">
        <v>-254522</v>
      </c>
      <c r="AH933" s="111" t="s">
        <v>199</v>
      </c>
      <c r="AI933" s="118">
        <v>-254522</v>
      </c>
    </row>
    <row r="934" spans="1:35" x14ac:dyDescent="0.3">
      <c r="A934" s="114" t="s">
        <v>1747</v>
      </c>
      <c r="B934" s="111" t="s">
        <v>1420</v>
      </c>
      <c r="C934" s="111" t="s">
        <v>1420</v>
      </c>
      <c r="D934" s="111" t="s">
        <v>1420</v>
      </c>
      <c r="E934" s="111" t="s">
        <v>1748</v>
      </c>
      <c r="F934" s="111" t="s">
        <v>1420</v>
      </c>
      <c r="G934" s="112" t="s">
        <v>1748</v>
      </c>
      <c r="O934" s="143"/>
      <c r="AF934" s="114" t="s">
        <v>1713</v>
      </c>
      <c r="AG934" s="117">
        <v>-238000</v>
      </c>
      <c r="AH934" s="111" t="s">
        <v>199</v>
      </c>
      <c r="AI934" s="118">
        <v>-238000</v>
      </c>
    </row>
    <row r="935" spans="1:35" x14ac:dyDescent="0.3">
      <c r="A935" s="114" t="s">
        <v>1215</v>
      </c>
      <c r="B935" s="111" t="s">
        <v>1749</v>
      </c>
      <c r="C935" s="117">
        <v>-4200000</v>
      </c>
      <c r="D935" s="111" t="s">
        <v>1750</v>
      </c>
      <c r="E935" s="111" t="s">
        <v>1751</v>
      </c>
      <c r="F935" s="111" t="s">
        <v>1752</v>
      </c>
      <c r="G935" s="112" t="s">
        <v>1751</v>
      </c>
      <c r="O935" s="142" t="s">
        <v>841</v>
      </c>
      <c r="AF935" s="114" t="s">
        <v>1714</v>
      </c>
      <c r="AG935" s="117">
        <v>-16522</v>
      </c>
      <c r="AH935" s="111" t="s">
        <v>199</v>
      </c>
      <c r="AI935" s="118">
        <v>-16522</v>
      </c>
    </row>
    <row r="936" spans="1:35" x14ac:dyDescent="0.3">
      <c r="A936" s="114" t="s">
        <v>1216</v>
      </c>
      <c r="B936" s="111" t="s">
        <v>1753</v>
      </c>
      <c r="C936" s="111" t="s">
        <v>1420</v>
      </c>
      <c r="D936" s="111" t="s">
        <v>1753</v>
      </c>
      <c r="E936" s="111" t="s">
        <v>1754</v>
      </c>
      <c r="F936" s="111" t="s">
        <v>1420</v>
      </c>
      <c r="G936" s="112" t="s">
        <v>1754</v>
      </c>
      <c r="O936" s="1695" t="s">
        <v>826</v>
      </c>
      <c r="P936" s="1696"/>
      <c r="Q936" s="1696"/>
      <c r="R936" s="1696"/>
      <c r="S936" s="1697"/>
      <c r="AF936" s="114" t="s">
        <v>1720</v>
      </c>
      <c r="AG936" s="111" t="s">
        <v>199</v>
      </c>
      <c r="AH936" s="117">
        <v>7311</v>
      </c>
      <c r="AI936" s="118">
        <v>7311</v>
      </c>
    </row>
    <row r="937" spans="1:35" x14ac:dyDescent="0.3">
      <c r="A937" s="114" t="s">
        <v>1218</v>
      </c>
      <c r="B937" s="111" t="s">
        <v>1420</v>
      </c>
      <c r="C937" s="111" t="s">
        <v>1420</v>
      </c>
      <c r="D937" s="111" t="s">
        <v>1420</v>
      </c>
      <c r="E937" s="111" t="s">
        <v>1755</v>
      </c>
      <c r="F937" s="111" t="s">
        <v>1420</v>
      </c>
      <c r="G937" s="112" t="s">
        <v>1755</v>
      </c>
      <c r="O937" s="1698" t="s">
        <v>763</v>
      </c>
      <c r="P937" s="163" t="s">
        <v>1636</v>
      </c>
      <c r="Q937" s="163" t="s">
        <v>1065</v>
      </c>
      <c r="R937" s="163" t="s">
        <v>1065</v>
      </c>
      <c r="S937" s="1718" t="s">
        <v>774</v>
      </c>
      <c r="AF937" s="162" t="s">
        <v>980</v>
      </c>
      <c r="AG937" s="117">
        <v>-254522</v>
      </c>
      <c r="AH937" s="117">
        <v>7311</v>
      </c>
      <c r="AI937" s="118">
        <v>-247211</v>
      </c>
    </row>
    <row r="938" spans="1:35" x14ac:dyDescent="0.3">
      <c r="A938" s="170" t="s">
        <v>980</v>
      </c>
      <c r="B938" s="111" t="s">
        <v>1756</v>
      </c>
      <c r="C938" s="117">
        <v>-5603630</v>
      </c>
      <c r="D938" s="111" t="s">
        <v>1757</v>
      </c>
      <c r="E938" s="111" t="s">
        <v>1758</v>
      </c>
      <c r="F938" s="117">
        <v>-1846789</v>
      </c>
      <c r="G938" s="112" t="s">
        <v>1759</v>
      </c>
      <c r="O938" s="1690"/>
      <c r="P938" s="139" t="s">
        <v>1637</v>
      </c>
      <c r="Q938" s="139" t="s">
        <v>1070</v>
      </c>
      <c r="R938" s="139" t="s">
        <v>1071</v>
      </c>
      <c r="S938" s="1694"/>
      <c r="AF938" s="1703" t="s">
        <v>1722</v>
      </c>
      <c r="AG938" s="1704"/>
      <c r="AH938" s="1704"/>
      <c r="AI938" s="1727"/>
    </row>
    <row r="939" spans="1:35" x14ac:dyDescent="0.3">
      <c r="A939" s="1712" t="s">
        <v>1220</v>
      </c>
      <c r="B939" s="1713"/>
      <c r="C939" s="1713"/>
      <c r="D939" s="1713"/>
      <c r="E939" s="1713"/>
      <c r="F939" s="1713"/>
      <c r="G939" s="1714"/>
      <c r="O939" s="1712" t="s">
        <v>1171</v>
      </c>
      <c r="P939" s="1713"/>
      <c r="Q939" s="1713"/>
      <c r="R939" s="1713"/>
      <c r="S939" s="1714"/>
      <c r="AF939" s="114" t="s">
        <v>1723</v>
      </c>
      <c r="AG939" s="111" t="s">
        <v>199</v>
      </c>
      <c r="AH939" s="117">
        <v>-300000</v>
      </c>
      <c r="AI939" s="118">
        <v>-300000</v>
      </c>
    </row>
    <row r="940" spans="1:35" x14ac:dyDescent="0.3">
      <c r="A940" s="114" t="s">
        <v>1760</v>
      </c>
      <c r="B940" s="111" t="s">
        <v>1420</v>
      </c>
      <c r="C940" s="111" t="s">
        <v>1420</v>
      </c>
      <c r="D940" s="111" t="s">
        <v>1420</v>
      </c>
      <c r="E940" s="111" t="s">
        <v>1761</v>
      </c>
      <c r="F940" s="111" t="s">
        <v>1420</v>
      </c>
      <c r="G940" s="112" t="s">
        <v>1761</v>
      </c>
      <c r="O940" s="109" t="s">
        <v>1638</v>
      </c>
      <c r="P940" s="111" t="s">
        <v>199</v>
      </c>
      <c r="Q940" s="117">
        <v>595480</v>
      </c>
      <c r="R940" s="111" t="s">
        <v>199</v>
      </c>
      <c r="S940" s="118">
        <v>595480</v>
      </c>
      <c r="AF940" s="114" t="s">
        <v>1725</v>
      </c>
      <c r="AG940" s="117">
        <v>-724861</v>
      </c>
      <c r="AH940" s="117">
        <v>813470</v>
      </c>
      <c r="AI940" s="118">
        <v>88609</v>
      </c>
    </row>
    <row r="941" spans="1:35" x14ac:dyDescent="0.3">
      <c r="A941" s="114" t="s">
        <v>1762</v>
      </c>
      <c r="B941" s="111" t="s">
        <v>1763</v>
      </c>
      <c r="C941" s="111" t="s">
        <v>1420</v>
      </c>
      <c r="D941" s="111" t="s">
        <v>1763</v>
      </c>
      <c r="E941" s="111" t="s">
        <v>1764</v>
      </c>
      <c r="F941" s="111" t="s">
        <v>1420</v>
      </c>
      <c r="G941" s="112" t="s">
        <v>1764</v>
      </c>
      <c r="O941" s="109" t="s">
        <v>1640</v>
      </c>
      <c r="P941" s="111" t="s">
        <v>199</v>
      </c>
      <c r="Q941" s="117">
        <v>270341</v>
      </c>
      <c r="R941" s="117">
        <v>170565</v>
      </c>
      <c r="S941" s="118">
        <v>440906</v>
      </c>
      <c r="AF941" s="114" t="s">
        <v>1728</v>
      </c>
      <c r="AG941" s="111">
        <v>562</v>
      </c>
      <c r="AH941" s="111" t="s">
        <v>199</v>
      </c>
      <c r="AI941" s="112">
        <v>562</v>
      </c>
    </row>
    <row r="942" spans="1:35" x14ac:dyDescent="0.3">
      <c r="A942" s="162" t="s">
        <v>980</v>
      </c>
      <c r="B942" s="111" t="s">
        <v>1763</v>
      </c>
      <c r="C942" s="111" t="s">
        <v>1420</v>
      </c>
      <c r="D942" s="111" t="s">
        <v>1763</v>
      </c>
      <c r="E942" s="111" t="s">
        <v>1765</v>
      </c>
      <c r="F942" s="111" t="s">
        <v>1420</v>
      </c>
      <c r="G942" s="112" t="s">
        <v>1765</v>
      </c>
      <c r="O942" s="170" t="s">
        <v>774</v>
      </c>
      <c r="P942" s="111" t="s">
        <v>199</v>
      </c>
      <c r="Q942" s="117">
        <v>865821</v>
      </c>
      <c r="R942" s="117">
        <v>170565</v>
      </c>
      <c r="S942" s="118">
        <v>1036386</v>
      </c>
      <c r="AF942" s="162" t="s">
        <v>1735</v>
      </c>
      <c r="AG942" s="117">
        <v>-724299</v>
      </c>
      <c r="AH942" s="117">
        <v>513470</v>
      </c>
      <c r="AI942" s="118">
        <v>-210829</v>
      </c>
    </row>
    <row r="943" spans="1:35" x14ac:dyDescent="0.3">
      <c r="A943" s="177" t="s">
        <v>774</v>
      </c>
      <c r="B943" s="123" t="s">
        <v>1766</v>
      </c>
      <c r="C943" s="130">
        <v>-5603630</v>
      </c>
      <c r="D943" s="123" t="s">
        <v>1733</v>
      </c>
      <c r="E943" s="123" t="s">
        <v>1767</v>
      </c>
      <c r="F943" s="130">
        <v>-1846789</v>
      </c>
      <c r="G943" s="124" t="s">
        <v>1734</v>
      </c>
      <c r="O943" s="1712" t="s">
        <v>1181</v>
      </c>
      <c r="P943" s="1713"/>
      <c r="Q943" s="1713"/>
      <c r="R943" s="1713"/>
      <c r="S943" s="1714"/>
      <c r="AF943" s="125" t="s">
        <v>1127</v>
      </c>
      <c r="AG943" s="130">
        <v>7171398</v>
      </c>
      <c r="AH943" s="130">
        <v>-5479499</v>
      </c>
      <c r="AI943" s="131">
        <v>1691899</v>
      </c>
    </row>
    <row r="944" spans="1:35" ht="33.75" x14ac:dyDescent="0.3">
      <c r="A944" s="142" t="s">
        <v>1768</v>
      </c>
      <c r="O944" s="109" t="s">
        <v>1649</v>
      </c>
      <c r="P944" s="111" t="s">
        <v>199</v>
      </c>
      <c r="Q944" s="111" t="s">
        <v>199</v>
      </c>
      <c r="R944" s="117">
        <v>172076</v>
      </c>
      <c r="S944" s="118">
        <v>172076</v>
      </c>
    </row>
    <row r="945" spans="1:34" x14ac:dyDescent="0.3">
      <c r="O945" s="109" t="s">
        <v>1652</v>
      </c>
      <c r="P945" s="111" t="s">
        <v>199</v>
      </c>
      <c r="Q945" s="117">
        <v>2617063</v>
      </c>
      <c r="R945" s="117">
        <v>114841</v>
      </c>
      <c r="S945" s="118">
        <v>2731904</v>
      </c>
      <c r="AF945" s="142" t="s">
        <v>1769</v>
      </c>
    </row>
    <row r="946" spans="1:34" ht="22.5" x14ac:dyDescent="0.3">
      <c r="A946" s="142" t="s">
        <v>1770</v>
      </c>
      <c r="O946" s="109" t="s">
        <v>1657</v>
      </c>
      <c r="P946" s="117">
        <v>996360</v>
      </c>
      <c r="Q946" s="111" t="s">
        <v>199</v>
      </c>
      <c r="R946" s="111" t="s">
        <v>199</v>
      </c>
      <c r="S946" s="118">
        <v>996360</v>
      </c>
      <c r="AF946" s="106" t="s">
        <v>977</v>
      </c>
      <c r="AG946" s="107" t="s">
        <v>786</v>
      </c>
      <c r="AH946" s="108" t="s">
        <v>787</v>
      </c>
    </row>
    <row r="947" spans="1:34" x14ac:dyDescent="0.3">
      <c r="A947" s="1695" t="s">
        <v>826</v>
      </c>
      <c r="B947" s="1696"/>
      <c r="C947" s="1697"/>
      <c r="O947" s="109" t="s">
        <v>1660</v>
      </c>
      <c r="P947" s="111" t="s">
        <v>199</v>
      </c>
      <c r="Q947" s="117">
        <v>4171017</v>
      </c>
      <c r="R947" s="111" t="s">
        <v>199</v>
      </c>
      <c r="S947" s="118">
        <v>4171017</v>
      </c>
      <c r="AF947" s="109" t="s">
        <v>1771</v>
      </c>
      <c r="AG947" s="196">
        <v>4.19E-2</v>
      </c>
      <c r="AH947" s="197">
        <v>2.5499999999999998E-2</v>
      </c>
    </row>
    <row r="948" spans="1:34" x14ac:dyDescent="0.3">
      <c r="A948" s="161" t="s">
        <v>788</v>
      </c>
      <c r="B948" s="134" t="s">
        <v>789</v>
      </c>
      <c r="C948" s="135" t="s">
        <v>1772</v>
      </c>
      <c r="O948" s="177" t="s">
        <v>774</v>
      </c>
      <c r="P948" s="130">
        <v>996360</v>
      </c>
      <c r="Q948" s="130">
        <v>6788080</v>
      </c>
      <c r="R948" s="130">
        <v>286917</v>
      </c>
      <c r="S948" s="131">
        <v>8071357</v>
      </c>
      <c r="AF948" s="121" t="s">
        <v>1773</v>
      </c>
      <c r="AG948" s="198">
        <v>4.1300000000000003E-2</v>
      </c>
      <c r="AH948" s="199">
        <v>4.1300000000000003E-2</v>
      </c>
    </row>
    <row r="949" spans="1:34" ht="22.5" x14ac:dyDescent="0.3">
      <c r="A949" s="114" t="s">
        <v>1774</v>
      </c>
      <c r="B949" s="111" t="s">
        <v>1775</v>
      </c>
      <c r="C949" s="112" t="s">
        <v>1776</v>
      </c>
      <c r="O949" s="142" t="s">
        <v>1746</v>
      </c>
      <c r="AF949" s="143"/>
    </row>
    <row r="950" spans="1:34" x14ac:dyDescent="0.3">
      <c r="A950" s="114" t="s">
        <v>1777</v>
      </c>
      <c r="B950" s="111" t="s">
        <v>1661</v>
      </c>
      <c r="C950" s="112" t="s">
        <v>1700</v>
      </c>
      <c r="O950" s="143"/>
      <c r="AF950" s="143"/>
    </row>
    <row r="951" spans="1:34" x14ac:dyDescent="0.3">
      <c r="A951" s="114" t="s">
        <v>1778</v>
      </c>
      <c r="B951" s="117">
        <v>-389627</v>
      </c>
      <c r="C951" s="118">
        <v>-125760</v>
      </c>
      <c r="O951" s="143"/>
      <c r="AF951" s="142" t="s">
        <v>1779</v>
      </c>
    </row>
    <row r="952" spans="1:34" x14ac:dyDescent="0.3">
      <c r="A952" s="114" t="s">
        <v>1780</v>
      </c>
      <c r="B952" s="117">
        <v>-24549</v>
      </c>
      <c r="C952" s="112" t="s">
        <v>1420</v>
      </c>
      <c r="O952" s="142" t="s">
        <v>1709</v>
      </c>
      <c r="AF952" s="143"/>
    </row>
    <row r="953" spans="1:34" ht="22.5" x14ac:dyDescent="0.3">
      <c r="A953" s="125" t="s">
        <v>1781</v>
      </c>
      <c r="B953" s="123" t="s">
        <v>1782</v>
      </c>
      <c r="C953" s="124" t="s">
        <v>1775</v>
      </c>
      <c r="O953" s="143"/>
      <c r="AF953" s="142" t="s">
        <v>1783</v>
      </c>
    </row>
    <row r="954" spans="1:34" ht="67.5" x14ac:dyDescent="0.3">
      <c r="O954" s="142" t="s">
        <v>1712</v>
      </c>
      <c r="AF954" s="1695" t="s">
        <v>976</v>
      </c>
      <c r="AG954" s="1696"/>
      <c r="AH954" s="1697"/>
    </row>
    <row r="955" spans="1:34" ht="22.5" x14ac:dyDescent="0.3">
      <c r="A955" s="142" t="s">
        <v>1784</v>
      </c>
      <c r="O955" s="143"/>
      <c r="AF955" s="161" t="s">
        <v>977</v>
      </c>
      <c r="AG955" s="134" t="s">
        <v>786</v>
      </c>
      <c r="AH955" s="135" t="s">
        <v>787</v>
      </c>
    </row>
    <row r="956" spans="1:34" x14ac:dyDescent="0.15">
      <c r="A956" s="1728" t="s">
        <v>826</v>
      </c>
      <c r="B956" s="1729"/>
      <c r="C956" s="1729"/>
      <c r="D956" s="1729"/>
      <c r="E956" s="1730"/>
      <c r="O956" s="142" t="s">
        <v>1715</v>
      </c>
      <c r="AF956" s="109" t="s">
        <v>1785</v>
      </c>
      <c r="AG956" s="111" t="s">
        <v>1786</v>
      </c>
      <c r="AH956" s="112" t="s">
        <v>1786</v>
      </c>
    </row>
    <row r="957" spans="1:34" x14ac:dyDescent="0.3">
      <c r="A957" s="161" t="s">
        <v>977</v>
      </c>
      <c r="B957" s="134" t="s">
        <v>1787</v>
      </c>
      <c r="C957" s="134" t="s">
        <v>1788</v>
      </c>
      <c r="D957" s="134" t="s">
        <v>1789</v>
      </c>
      <c r="E957" s="135" t="s">
        <v>1790</v>
      </c>
      <c r="O957" s="143"/>
      <c r="AF957" s="109" t="s">
        <v>1791</v>
      </c>
      <c r="AG957" s="111" t="s">
        <v>1792</v>
      </c>
      <c r="AH957" s="112" t="s">
        <v>1792</v>
      </c>
    </row>
    <row r="958" spans="1:34" ht="78.75" x14ac:dyDescent="0.3">
      <c r="A958" s="109" t="s">
        <v>1793</v>
      </c>
      <c r="B958" s="196">
        <v>8.2000000000000007E-3</v>
      </c>
      <c r="C958" s="111" t="s">
        <v>1794</v>
      </c>
      <c r="D958" s="117">
        <v>-178669</v>
      </c>
      <c r="E958" s="112" t="s">
        <v>1795</v>
      </c>
      <c r="O958" s="142" t="s">
        <v>1724</v>
      </c>
      <c r="AF958" s="109" t="s">
        <v>1796</v>
      </c>
      <c r="AG958" s="111" t="s">
        <v>1797</v>
      </c>
      <c r="AH958" s="112" t="s">
        <v>1797</v>
      </c>
    </row>
    <row r="959" spans="1:34" x14ac:dyDescent="0.15">
      <c r="A959" s="109" t="s">
        <v>1798</v>
      </c>
      <c r="B959" s="196">
        <v>8.9200000000000002E-2</v>
      </c>
      <c r="C959" s="111" t="s">
        <v>1799</v>
      </c>
      <c r="D959" s="117">
        <v>-44084</v>
      </c>
      <c r="E959" s="112" t="s">
        <v>1800</v>
      </c>
      <c r="O959" s="1695" t="s">
        <v>826</v>
      </c>
      <c r="P959" s="1696"/>
      <c r="Q959" s="1697"/>
      <c r="AF959" s="121" t="s">
        <v>1801</v>
      </c>
      <c r="AG959" s="123" t="s">
        <v>1802</v>
      </c>
      <c r="AH959" s="200" t="s">
        <v>1802</v>
      </c>
    </row>
    <row r="960" spans="1:34" x14ac:dyDescent="0.3">
      <c r="A960" s="109" t="s">
        <v>1803</v>
      </c>
      <c r="B960" s="196">
        <v>0</v>
      </c>
      <c r="C960" s="111" t="s">
        <v>1804</v>
      </c>
      <c r="D960" s="111" t="s">
        <v>1420</v>
      </c>
      <c r="E960" s="112" t="s">
        <v>1804</v>
      </c>
      <c r="O960" s="161" t="s">
        <v>977</v>
      </c>
      <c r="P960" s="134" t="s">
        <v>820</v>
      </c>
      <c r="Q960" s="135" t="s">
        <v>1727</v>
      </c>
      <c r="AF960" s="143"/>
    </row>
    <row r="961" spans="1:35" ht="22.5" x14ac:dyDescent="0.3">
      <c r="A961" s="109" t="s">
        <v>1805</v>
      </c>
      <c r="B961" s="196">
        <v>0.82130000000000003</v>
      </c>
      <c r="C961" s="111" t="s">
        <v>1806</v>
      </c>
      <c r="D961" s="117">
        <v>-24837</v>
      </c>
      <c r="E961" s="112" t="s">
        <v>1807</v>
      </c>
      <c r="O961" s="114" t="s">
        <v>1729</v>
      </c>
      <c r="P961" s="117">
        <v>132018645</v>
      </c>
      <c r="Q961" s="118">
        <v>97271207</v>
      </c>
      <c r="AF961" s="142" t="s">
        <v>1808</v>
      </c>
    </row>
    <row r="962" spans="1:35" x14ac:dyDescent="0.3">
      <c r="A962" s="109" t="s">
        <v>1809</v>
      </c>
      <c r="B962" s="196">
        <v>0.99990000000000001</v>
      </c>
      <c r="C962" s="111" t="s">
        <v>1810</v>
      </c>
      <c r="D962" s="117">
        <v>-1156040</v>
      </c>
      <c r="E962" s="112" t="s">
        <v>1811</v>
      </c>
      <c r="O962" s="114" t="s">
        <v>1812</v>
      </c>
      <c r="P962" s="117">
        <v>309072</v>
      </c>
      <c r="Q962" s="112" t="s">
        <v>199</v>
      </c>
      <c r="AF962" s="1695" t="s">
        <v>976</v>
      </c>
      <c r="AG962" s="1696"/>
      <c r="AH962" s="1696"/>
      <c r="AI962" s="1697"/>
    </row>
    <row r="963" spans="1:35" x14ac:dyDescent="0.3">
      <c r="A963" s="146" t="s">
        <v>774</v>
      </c>
      <c r="B963" s="159"/>
      <c r="C963" s="123" t="s">
        <v>1742</v>
      </c>
      <c r="D963" s="130">
        <v>-1403630</v>
      </c>
      <c r="E963" s="124" t="s">
        <v>1743</v>
      </c>
      <c r="O963" s="114" t="s">
        <v>1732</v>
      </c>
      <c r="P963" s="117">
        <v>46092046</v>
      </c>
      <c r="Q963" s="118">
        <v>42608165</v>
      </c>
      <c r="AF963" s="161" t="s">
        <v>977</v>
      </c>
      <c r="AG963" s="134" t="s">
        <v>1813</v>
      </c>
      <c r="AH963" s="134" t="s">
        <v>493</v>
      </c>
      <c r="AI963" s="135" t="s">
        <v>1814</v>
      </c>
    </row>
    <row r="964" spans="1:35" x14ac:dyDescent="0.3">
      <c r="A964" s="143"/>
      <c r="O964" s="146" t="s">
        <v>774</v>
      </c>
      <c r="P964" s="130">
        <v>178419763</v>
      </c>
      <c r="Q964" s="131">
        <v>139879372</v>
      </c>
      <c r="AF964" s="1712" t="s">
        <v>1682</v>
      </c>
      <c r="AG964" s="1713"/>
      <c r="AH964" s="1713"/>
      <c r="AI964" s="1714"/>
    </row>
    <row r="965" spans="1:35" ht="22.5" x14ac:dyDescent="0.3">
      <c r="A965" s="142" t="s">
        <v>1815</v>
      </c>
      <c r="AF965" s="109" t="s">
        <v>1816</v>
      </c>
      <c r="AG965" s="111" t="s">
        <v>1797</v>
      </c>
      <c r="AH965" s="117">
        <v>28429924</v>
      </c>
      <c r="AI965" s="118">
        <v>177997002</v>
      </c>
    </row>
    <row r="966" spans="1:35" x14ac:dyDescent="0.15">
      <c r="A966" s="1728" t="s">
        <v>826</v>
      </c>
      <c r="B966" s="1729"/>
      <c r="C966" s="1729"/>
      <c r="D966" s="1729"/>
      <c r="E966" s="1730"/>
      <c r="O966" s="142" t="s">
        <v>1817</v>
      </c>
      <c r="AF966" s="109" t="s">
        <v>1818</v>
      </c>
      <c r="AG966" s="111" t="s">
        <v>1797</v>
      </c>
      <c r="AH966" s="183">
        <v>28429924</v>
      </c>
      <c r="AI966" s="180">
        <v>177997002</v>
      </c>
    </row>
    <row r="967" spans="1:35" x14ac:dyDescent="0.3">
      <c r="A967" s="161" t="s">
        <v>977</v>
      </c>
      <c r="B967" s="134" t="s">
        <v>1787</v>
      </c>
      <c r="C967" s="134" t="s">
        <v>1788</v>
      </c>
      <c r="D967" s="134" t="s">
        <v>1789</v>
      </c>
      <c r="E967" s="135" t="s">
        <v>1790</v>
      </c>
      <c r="O967" s="143"/>
      <c r="AF967" s="1712" t="s">
        <v>1819</v>
      </c>
      <c r="AG967" s="1713"/>
      <c r="AH967" s="1713"/>
      <c r="AI967" s="1714"/>
    </row>
    <row r="968" spans="1:35" ht="67.5" x14ac:dyDescent="0.15">
      <c r="A968" s="109" t="s">
        <v>1793</v>
      </c>
      <c r="B968" s="196">
        <v>1.9E-3</v>
      </c>
      <c r="C968" s="111" t="s">
        <v>1820</v>
      </c>
      <c r="D968" s="117">
        <v>-71286</v>
      </c>
      <c r="E968" s="112" t="s">
        <v>1821</v>
      </c>
      <c r="O968" s="142" t="s">
        <v>1822</v>
      </c>
      <c r="AF968" s="109" t="s">
        <v>1816</v>
      </c>
      <c r="AG968" s="111" t="s">
        <v>1797</v>
      </c>
      <c r="AH968" s="183">
        <v>28429924</v>
      </c>
      <c r="AI968" s="180">
        <v>177997002</v>
      </c>
    </row>
    <row r="969" spans="1:35" x14ac:dyDescent="0.15">
      <c r="A969" s="109" t="s">
        <v>1798</v>
      </c>
      <c r="B969" s="196">
        <v>6.6199999999999995E-2</v>
      </c>
      <c r="C969" s="111" t="s">
        <v>1823</v>
      </c>
      <c r="D969" s="117">
        <v>-178241</v>
      </c>
      <c r="E969" s="112" t="s">
        <v>1824</v>
      </c>
      <c r="O969" s="143"/>
      <c r="AF969" s="109" t="s">
        <v>1825</v>
      </c>
      <c r="AG969" s="111" t="s">
        <v>199</v>
      </c>
      <c r="AH969" s="179" t="s">
        <v>199</v>
      </c>
      <c r="AI969" s="180">
        <v>-118931790</v>
      </c>
    </row>
    <row r="970" spans="1:35" ht="33.75" x14ac:dyDescent="0.15">
      <c r="A970" s="109" t="s">
        <v>1803</v>
      </c>
      <c r="B970" s="196">
        <v>0.25090000000000001</v>
      </c>
      <c r="C970" s="111" t="s">
        <v>1826</v>
      </c>
      <c r="D970" s="117">
        <v>-65280</v>
      </c>
      <c r="E970" s="112" t="s">
        <v>1827</v>
      </c>
      <c r="O970" s="142" t="s">
        <v>1828</v>
      </c>
      <c r="AF970" s="121" t="s">
        <v>1818</v>
      </c>
      <c r="AG970" s="123" t="s">
        <v>1797</v>
      </c>
      <c r="AH970" s="184">
        <v>28429924</v>
      </c>
      <c r="AI970" s="182">
        <v>59065212</v>
      </c>
    </row>
    <row r="971" spans="1:35" x14ac:dyDescent="0.3">
      <c r="A971" s="109" t="s">
        <v>1805</v>
      </c>
      <c r="B971" s="196">
        <v>0.98870000000000002</v>
      </c>
      <c r="C971" s="111" t="s">
        <v>1829</v>
      </c>
      <c r="D971" s="117">
        <v>-515586</v>
      </c>
      <c r="E971" s="112" t="s">
        <v>1830</v>
      </c>
      <c r="AF971" s="143"/>
    </row>
    <row r="972" spans="1:35" x14ac:dyDescent="0.3">
      <c r="A972" s="109" t="s">
        <v>1809</v>
      </c>
      <c r="B972" s="196">
        <v>0.9829</v>
      </c>
      <c r="C972" s="111" t="s">
        <v>1831</v>
      </c>
      <c r="D972" s="117">
        <v>-1016396</v>
      </c>
      <c r="E972" s="112" t="s">
        <v>1832</v>
      </c>
      <c r="O972" s="143"/>
      <c r="AF972" s="142" t="s">
        <v>1833</v>
      </c>
    </row>
    <row r="973" spans="1:35" x14ac:dyDescent="0.3">
      <c r="A973" s="146" t="s">
        <v>774</v>
      </c>
      <c r="B973" s="159"/>
      <c r="C973" s="123" t="s">
        <v>1744</v>
      </c>
      <c r="D973" s="123" t="s">
        <v>1834</v>
      </c>
      <c r="E973" s="124" t="s">
        <v>1745</v>
      </c>
      <c r="O973" s="142" t="s">
        <v>1835</v>
      </c>
      <c r="AF973" s="1695" t="s">
        <v>976</v>
      </c>
      <c r="AG973" s="1696"/>
      <c r="AH973" s="1697"/>
    </row>
    <row r="974" spans="1:35" x14ac:dyDescent="0.3">
      <c r="O974" s="1695" t="s">
        <v>826</v>
      </c>
      <c r="P974" s="1696"/>
      <c r="Q974" s="1696"/>
      <c r="R974" s="1696"/>
      <c r="S974" s="1697"/>
      <c r="AF974" s="161" t="s">
        <v>977</v>
      </c>
      <c r="AG974" s="134" t="s">
        <v>786</v>
      </c>
      <c r="AH974" s="135" t="s">
        <v>787</v>
      </c>
    </row>
    <row r="975" spans="1:35" x14ac:dyDescent="0.3">
      <c r="A975" s="142" t="s">
        <v>1817</v>
      </c>
      <c r="O975" s="161" t="s">
        <v>763</v>
      </c>
      <c r="P975" s="134" t="s">
        <v>1061</v>
      </c>
      <c r="Q975" s="134" t="s">
        <v>1836</v>
      </c>
      <c r="R975" s="134" t="s">
        <v>1837</v>
      </c>
      <c r="S975" s="135" t="s">
        <v>1838</v>
      </c>
      <c r="AF975" s="109" t="s">
        <v>1814</v>
      </c>
      <c r="AG975" s="117">
        <v>59065212</v>
      </c>
      <c r="AH975" s="118">
        <v>177997002</v>
      </c>
    </row>
    <row r="976" spans="1:35" x14ac:dyDescent="0.3">
      <c r="A976" s="143"/>
      <c r="O976" s="1712" t="s">
        <v>1839</v>
      </c>
      <c r="P976" s="1713"/>
      <c r="Q976" s="1713"/>
      <c r="R976" s="1713"/>
      <c r="S976" s="1714"/>
      <c r="AF976" s="109" t="s">
        <v>1840</v>
      </c>
      <c r="AG976" s="117">
        <v>1076616</v>
      </c>
      <c r="AH976" s="118">
        <v>746991</v>
      </c>
    </row>
    <row r="977" spans="1:34" ht="67.5" x14ac:dyDescent="0.15">
      <c r="A977" s="142" t="s">
        <v>1822</v>
      </c>
      <c r="O977" s="109" t="s">
        <v>1841</v>
      </c>
      <c r="P977" s="117">
        <v>66331164</v>
      </c>
      <c r="Q977" s="117">
        <v>66331164</v>
      </c>
      <c r="R977" s="117">
        <v>65863402</v>
      </c>
      <c r="S977" s="118">
        <v>467762</v>
      </c>
      <c r="AF977" s="146" t="s">
        <v>774</v>
      </c>
      <c r="AG977" s="130">
        <v>60141828</v>
      </c>
      <c r="AH977" s="182">
        <v>178743993</v>
      </c>
    </row>
    <row r="978" spans="1:34" x14ac:dyDescent="0.3">
      <c r="A978" s="143"/>
      <c r="O978" s="109" t="s">
        <v>1842</v>
      </c>
      <c r="P978" s="117">
        <v>4261338</v>
      </c>
      <c r="Q978" s="117">
        <v>4535882</v>
      </c>
      <c r="R978" s="117">
        <v>2892844</v>
      </c>
      <c r="S978" s="118">
        <v>1643038</v>
      </c>
      <c r="AF978" s="143"/>
    </row>
    <row r="979" spans="1:34" ht="33.75" x14ac:dyDescent="0.3">
      <c r="A979" s="142" t="s">
        <v>1828</v>
      </c>
      <c r="O979" s="146" t="s">
        <v>774</v>
      </c>
      <c r="P979" s="130">
        <v>70592502</v>
      </c>
      <c r="Q979" s="130">
        <v>70867046</v>
      </c>
      <c r="R979" s="130">
        <v>68756246</v>
      </c>
      <c r="S979" s="131">
        <v>2110800</v>
      </c>
      <c r="AF979" s="143"/>
    </row>
    <row r="980" spans="1:34" x14ac:dyDescent="0.3">
      <c r="AF980" s="142" t="s">
        <v>1843</v>
      </c>
    </row>
    <row r="981" spans="1:34" x14ac:dyDescent="0.3">
      <c r="A981" s="143"/>
      <c r="O981" s="142" t="s">
        <v>1100</v>
      </c>
      <c r="AF981" s="143"/>
    </row>
    <row r="982" spans="1:34" x14ac:dyDescent="0.3">
      <c r="A982" s="142" t="s">
        <v>1835</v>
      </c>
      <c r="O982" s="1695" t="s">
        <v>826</v>
      </c>
      <c r="P982" s="1696"/>
      <c r="Q982" s="1696"/>
      <c r="R982" s="1696"/>
      <c r="S982" s="1697"/>
      <c r="AF982" s="142" t="s">
        <v>1844</v>
      </c>
    </row>
    <row r="983" spans="1:34" x14ac:dyDescent="0.3">
      <c r="A983" s="1695" t="s">
        <v>826</v>
      </c>
      <c r="B983" s="1696"/>
      <c r="C983" s="1696"/>
      <c r="D983" s="1696"/>
      <c r="E983" s="1697"/>
      <c r="O983" s="161" t="s">
        <v>763</v>
      </c>
      <c r="P983" s="134" t="s">
        <v>1061</v>
      </c>
      <c r="Q983" s="134" t="s">
        <v>1836</v>
      </c>
      <c r="R983" s="134" t="s">
        <v>1837</v>
      </c>
      <c r="S983" s="135" t="s">
        <v>1838</v>
      </c>
      <c r="AF983" s="1695" t="s">
        <v>976</v>
      </c>
      <c r="AG983" s="1696"/>
      <c r="AH983" s="1697"/>
    </row>
    <row r="984" spans="1:34" x14ac:dyDescent="0.3">
      <c r="A984" s="161" t="s">
        <v>788</v>
      </c>
      <c r="B984" s="134" t="s">
        <v>1061</v>
      </c>
      <c r="C984" s="134" t="s">
        <v>1836</v>
      </c>
      <c r="D984" s="134" t="s">
        <v>1837</v>
      </c>
      <c r="E984" s="135" t="s">
        <v>1838</v>
      </c>
      <c r="O984" s="1712" t="s">
        <v>1839</v>
      </c>
      <c r="P984" s="1713"/>
      <c r="Q984" s="1713"/>
      <c r="R984" s="1713"/>
      <c r="S984" s="1714"/>
      <c r="AF984" s="161" t="s">
        <v>977</v>
      </c>
      <c r="AG984" s="134" t="s">
        <v>786</v>
      </c>
      <c r="AH984" s="135" t="s">
        <v>787</v>
      </c>
    </row>
    <row r="985" spans="1:34" x14ac:dyDescent="0.3">
      <c r="A985" s="1712" t="s">
        <v>1839</v>
      </c>
      <c r="B985" s="1713"/>
      <c r="C985" s="1713"/>
      <c r="D985" s="1713"/>
      <c r="E985" s="1714"/>
      <c r="O985" s="109" t="s">
        <v>1841</v>
      </c>
      <c r="P985" s="117">
        <v>61155900</v>
      </c>
      <c r="Q985" s="117">
        <v>61155900</v>
      </c>
      <c r="R985" s="117">
        <v>60933091</v>
      </c>
      <c r="S985" s="118">
        <v>222809</v>
      </c>
      <c r="AF985" s="114" t="s">
        <v>1845</v>
      </c>
      <c r="AG985" s="117">
        <v>-1293811</v>
      </c>
      <c r="AH985" s="118">
        <v>-1292040</v>
      </c>
    </row>
    <row r="986" spans="1:34" x14ac:dyDescent="0.3">
      <c r="A986" s="109" t="s">
        <v>1841</v>
      </c>
      <c r="B986" s="111" t="s">
        <v>1846</v>
      </c>
      <c r="C986" s="111" t="s">
        <v>1846</v>
      </c>
      <c r="D986" s="111" t="s">
        <v>1847</v>
      </c>
      <c r="E986" s="112" t="s">
        <v>1848</v>
      </c>
      <c r="O986" s="109" t="s">
        <v>1842</v>
      </c>
      <c r="P986" s="117">
        <v>5346976</v>
      </c>
      <c r="Q986" s="117">
        <v>5802160</v>
      </c>
      <c r="R986" s="117">
        <v>2769097</v>
      </c>
      <c r="S986" s="118">
        <v>3033063</v>
      </c>
      <c r="AF986" s="114" t="s">
        <v>790</v>
      </c>
      <c r="AG986" s="111" t="s">
        <v>199</v>
      </c>
      <c r="AH986" s="118">
        <v>-4240</v>
      </c>
    </row>
    <row r="987" spans="1:34" x14ac:dyDescent="0.3">
      <c r="A987" s="109" t="s">
        <v>1842</v>
      </c>
      <c r="B987" s="111" t="s">
        <v>1849</v>
      </c>
      <c r="C987" s="111" t="s">
        <v>1850</v>
      </c>
      <c r="D987" s="111" t="s">
        <v>1851</v>
      </c>
      <c r="E987" s="112" t="s">
        <v>1852</v>
      </c>
      <c r="O987" s="146" t="s">
        <v>774</v>
      </c>
      <c r="P987" s="130">
        <v>66502876</v>
      </c>
      <c r="Q987" s="130">
        <v>66958060</v>
      </c>
      <c r="R987" s="130">
        <v>63702188</v>
      </c>
      <c r="S987" s="131">
        <v>3255872</v>
      </c>
      <c r="AF987" s="114" t="s">
        <v>1853</v>
      </c>
      <c r="AG987" s="117">
        <v>1058492</v>
      </c>
      <c r="AH987" s="120">
        <v>1444251</v>
      </c>
    </row>
    <row r="988" spans="1:34" x14ac:dyDescent="0.3">
      <c r="A988" s="146" t="s">
        <v>774</v>
      </c>
      <c r="B988" s="123" t="s">
        <v>1854</v>
      </c>
      <c r="C988" s="123" t="s">
        <v>1855</v>
      </c>
      <c r="D988" s="123" t="s">
        <v>1856</v>
      </c>
      <c r="E988" s="124" t="s">
        <v>1857</v>
      </c>
      <c r="AF988" s="114" t="s">
        <v>1858</v>
      </c>
      <c r="AG988" s="117">
        <v>2020003</v>
      </c>
      <c r="AH988" s="120">
        <v>2268616</v>
      </c>
    </row>
    <row r="989" spans="1:34" x14ac:dyDescent="0.3">
      <c r="O989" s="142" t="s">
        <v>1859</v>
      </c>
      <c r="AF989" s="114" t="s">
        <v>1860</v>
      </c>
      <c r="AG989" s="117">
        <v>7009</v>
      </c>
      <c r="AH989" s="116" t="s">
        <v>199</v>
      </c>
    </row>
    <row r="990" spans="1:34" x14ac:dyDescent="0.3">
      <c r="A990" s="142" t="s">
        <v>1100</v>
      </c>
      <c r="O990" s="143"/>
      <c r="AF990" s="114" t="s">
        <v>1861</v>
      </c>
      <c r="AG990" s="117">
        <v>-2731869</v>
      </c>
      <c r="AH990" s="120">
        <v>-2731869</v>
      </c>
    </row>
    <row r="991" spans="1:34" ht="22.5" x14ac:dyDescent="0.3">
      <c r="A991" s="1695" t="s">
        <v>826</v>
      </c>
      <c r="B991" s="1696"/>
      <c r="C991" s="1696"/>
      <c r="D991" s="1696"/>
      <c r="E991" s="1697"/>
      <c r="O991" s="142" t="s">
        <v>1862</v>
      </c>
      <c r="AF991" s="146" t="s">
        <v>774</v>
      </c>
      <c r="AG991" s="130">
        <v>-940176</v>
      </c>
      <c r="AH991" s="127">
        <v>-315282</v>
      </c>
    </row>
    <row r="992" spans="1:34" x14ac:dyDescent="0.3">
      <c r="A992" s="161" t="s">
        <v>788</v>
      </c>
      <c r="B992" s="134" t="s">
        <v>1061</v>
      </c>
      <c r="C992" s="134" t="s">
        <v>1836</v>
      </c>
      <c r="D992" s="134" t="s">
        <v>1837</v>
      </c>
      <c r="E992" s="135" t="s">
        <v>1838</v>
      </c>
      <c r="O992" s="143"/>
      <c r="AF992" s="143"/>
    </row>
    <row r="993" spans="1:36" x14ac:dyDescent="0.3">
      <c r="A993" s="1712" t="s">
        <v>1839</v>
      </c>
      <c r="B993" s="1713"/>
      <c r="C993" s="1713"/>
      <c r="D993" s="1713"/>
      <c r="E993" s="1714"/>
      <c r="O993" s="142" t="s">
        <v>1863</v>
      </c>
      <c r="AF993" s="142" t="s">
        <v>1864</v>
      </c>
    </row>
    <row r="994" spans="1:36" x14ac:dyDescent="0.3">
      <c r="A994" s="109" t="s">
        <v>1841</v>
      </c>
      <c r="B994" s="111" t="s">
        <v>1865</v>
      </c>
      <c r="C994" s="111" t="s">
        <v>1865</v>
      </c>
      <c r="D994" s="111" t="s">
        <v>1866</v>
      </c>
      <c r="E994" s="112" t="s">
        <v>1867</v>
      </c>
      <c r="O994" s="143"/>
      <c r="AF994" s="1752" t="s">
        <v>1868</v>
      </c>
      <c r="AG994" s="1753"/>
      <c r="AH994" s="1753"/>
      <c r="AI994" s="1753"/>
      <c r="AJ994" s="1754"/>
    </row>
    <row r="995" spans="1:36" ht="56.25" x14ac:dyDescent="0.3">
      <c r="A995" s="109" t="s">
        <v>1842</v>
      </c>
      <c r="B995" s="111" t="s">
        <v>1869</v>
      </c>
      <c r="C995" s="111" t="s">
        <v>1870</v>
      </c>
      <c r="D995" s="111" t="s">
        <v>1871</v>
      </c>
      <c r="E995" s="112" t="s">
        <v>1872</v>
      </c>
      <c r="O995" s="142" t="s">
        <v>1873</v>
      </c>
      <c r="AF995" s="1771" t="s">
        <v>977</v>
      </c>
      <c r="AG995" s="1772" t="s">
        <v>829</v>
      </c>
      <c r="AH995" s="1773"/>
      <c r="AI995" s="1772" t="s">
        <v>843</v>
      </c>
      <c r="AJ995" s="1774"/>
    </row>
    <row r="996" spans="1:36" x14ac:dyDescent="0.3">
      <c r="A996" s="146" t="s">
        <v>774</v>
      </c>
      <c r="B996" s="123" t="s">
        <v>1874</v>
      </c>
      <c r="C996" s="123" t="s">
        <v>1875</v>
      </c>
      <c r="D996" s="123" t="s">
        <v>1876</v>
      </c>
      <c r="E996" s="124" t="s">
        <v>1877</v>
      </c>
      <c r="O996" s="1695" t="s">
        <v>826</v>
      </c>
      <c r="P996" s="1696"/>
      <c r="Q996" s="1696"/>
      <c r="R996" s="1696"/>
      <c r="S996" s="1696"/>
      <c r="T996" s="1696"/>
      <c r="U996" s="1697"/>
      <c r="AF996" s="1746"/>
      <c r="AG996" s="156" t="s">
        <v>1813</v>
      </c>
      <c r="AH996" s="156" t="s">
        <v>1878</v>
      </c>
      <c r="AI996" s="156" t="s">
        <v>1813</v>
      </c>
      <c r="AJ996" s="157" t="s">
        <v>1878</v>
      </c>
    </row>
    <row r="997" spans="1:36" x14ac:dyDescent="0.3">
      <c r="O997" s="1698" t="s">
        <v>977</v>
      </c>
      <c r="P997" s="1699" t="s">
        <v>820</v>
      </c>
      <c r="Q997" s="1700"/>
      <c r="R997" s="1701"/>
      <c r="S997" s="1699" t="s">
        <v>787</v>
      </c>
      <c r="T997" s="1700"/>
      <c r="U997" s="1702"/>
      <c r="AF997" s="114" t="s">
        <v>1120</v>
      </c>
      <c r="AG997" s="115">
        <v>800</v>
      </c>
      <c r="AH997" s="119">
        <v>4240</v>
      </c>
      <c r="AI997" s="115">
        <v>800</v>
      </c>
      <c r="AJ997" s="120">
        <v>4240</v>
      </c>
    </row>
    <row r="998" spans="1:36" x14ac:dyDescent="0.3">
      <c r="A998" s="142" t="s">
        <v>1859</v>
      </c>
      <c r="O998" s="1690"/>
      <c r="P998" s="134" t="s">
        <v>1879</v>
      </c>
      <c r="Q998" s="134" t="s">
        <v>1880</v>
      </c>
      <c r="R998" s="134" t="s">
        <v>1881</v>
      </c>
      <c r="S998" s="134" t="s">
        <v>1879</v>
      </c>
      <c r="T998" s="134" t="s">
        <v>1880</v>
      </c>
      <c r="U998" s="135" t="s">
        <v>1881</v>
      </c>
      <c r="AF998" s="125" t="s">
        <v>1127</v>
      </c>
      <c r="AG998" s="136" t="s">
        <v>199</v>
      </c>
      <c r="AH998" s="136" t="s">
        <v>199</v>
      </c>
      <c r="AI998" s="136">
        <v>800</v>
      </c>
      <c r="AJ998" s="127">
        <v>4240</v>
      </c>
    </row>
    <row r="999" spans="1:36" x14ac:dyDescent="0.3">
      <c r="A999" s="143"/>
      <c r="O999" s="1712" t="s">
        <v>1882</v>
      </c>
      <c r="P999" s="1713"/>
      <c r="Q999" s="1713"/>
      <c r="R999" s="1713"/>
      <c r="S999" s="1713"/>
      <c r="T999" s="1713"/>
      <c r="U999" s="1714"/>
      <c r="AF999" s="143"/>
    </row>
    <row r="1000" spans="1:36" ht="22.5" x14ac:dyDescent="0.3">
      <c r="A1000" s="142" t="s">
        <v>1862</v>
      </c>
      <c r="O1000" s="114" t="s">
        <v>1883</v>
      </c>
      <c r="P1000" s="117">
        <v>22331218</v>
      </c>
      <c r="Q1000" s="117">
        <v>1257</v>
      </c>
      <c r="R1000" s="117">
        <v>5107623</v>
      </c>
      <c r="S1000" s="117">
        <v>28501998</v>
      </c>
      <c r="T1000" s="117">
        <v>9595</v>
      </c>
      <c r="U1000" s="118">
        <v>1370298</v>
      </c>
      <c r="AF1000" s="143"/>
    </row>
    <row r="1001" spans="1:36" x14ac:dyDescent="0.3">
      <c r="A1001" s="143"/>
      <c r="O1001" s="114" t="s">
        <v>1884</v>
      </c>
      <c r="P1001" s="111" t="s">
        <v>199</v>
      </c>
      <c r="Q1001" s="111" t="s">
        <v>199</v>
      </c>
      <c r="R1001" s="117">
        <v>309072</v>
      </c>
      <c r="S1001" s="111" t="s">
        <v>199</v>
      </c>
      <c r="T1001" s="111" t="s">
        <v>199</v>
      </c>
      <c r="U1001" s="112" t="s">
        <v>199</v>
      </c>
      <c r="AF1001" s="142" t="s">
        <v>1885</v>
      </c>
    </row>
    <row r="1002" spans="1:36" x14ac:dyDescent="0.3">
      <c r="A1002" s="142" t="s">
        <v>1863</v>
      </c>
      <c r="O1002" s="114" t="s">
        <v>1886</v>
      </c>
      <c r="P1002" s="117">
        <v>2143542</v>
      </c>
      <c r="Q1002" s="111">
        <v>130</v>
      </c>
      <c r="R1002" s="117">
        <v>50283</v>
      </c>
      <c r="S1002" s="117">
        <v>3529598</v>
      </c>
      <c r="T1002" s="111" t="s">
        <v>199</v>
      </c>
      <c r="U1002" s="112" t="s">
        <v>199</v>
      </c>
      <c r="AF1002" s="143"/>
    </row>
    <row r="1003" spans="1:36" ht="22.5" x14ac:dyDescent="0.3">
      <c r="A1003" s="143"/>
      <c r="O1003" s="162" t="s">
        <v>774</v>
      </c>
      <c r="P1003" s="117">
        <v>24474760</v>
      </c>
      <c r="Q1003" s="117">
        <v>1387</v>
      </c>
      <c r="R1003" s="117">
        <v>5466978</v>
      </c>
      <c r="S1003" s="117">
        <v>32031596</v>
      </c>
      <c r="T1003" s="117">
        <v>9595</v>
      </c>
      <c r="U1003" s="118">
        <v>1370298</v>
      </c>
      <c r="AF1003" s="142" t="s">
        <v>1887</v>
      </c>
    </row>
    <row r="1004" spans="1:36" ht="56.25" x14ac:dyDescent="0.3">
      <c r="A1004" s="142" t="s">
        <v>1873</v>
      </c>
      <c r="O1004" s="1703" t="s">
        <v>1888</v>
      </c>
      <c r="P1004" s="1704"/>
      <c r="Q1004" s="1704"/>
      <c r="R1004" s="1704"/>
      <c r="S1004" s="1704"/>
      <c r="T1004" s="1704"/>
      <c r="U1004" s="1727"/>
      <c r="AF1004" s="106" t="s">
        <v>977</v>
      </c>
      <c r="AG1004" s="107" t="s">
        <v>1889</v>
      </c>
      <c r="AH1004" s="107" t="s">
        <v>1890</v>
      </c>
      <c r="AI1004" s="108" t="s">
        <v>1891</v>
      </c>
    </row>
    <row r="1005" spans="1:36" x14ac:dyDescent="0.3">
      <c r="A1005" s="1695" t="s">
        <v>826</v>
      </c>
      <c r="B1005" s="1696"/>
      <c r="C1005" s="1696"/>
      <c r="D1005" s="1696"/>
      <c r="E1005" s="1696"/>
      <c r="F1005" s="1696"/>
      <c r="G1005" s="1697"/>
      <c r="O1005" s="125" t="s">
        <v>1892</v>
      </c>
      <c r="P1005" s="126">
        <v>838929</v>
      </c>
      <c r="Q1005" s="126">
        <v>17301</v>
      </c>
      <c r="R1005" s="126">
        <v>788102</v>
      </c>
      <c r="S1005" s="126">
        <v>500913</v>
      </c>
      <c r="T1005" s="126">
        <v>10706</v>
      </c>
      <c r="U1005" s="127">
        <v>3470</v>
      </c>
      <c r="AF1005" s="114" t="s">
        <v>1893</v>
      </c>
      <c r="AG1005" s="201">
        <v>43552</v>
      </c>
      <c r="AH1005" s="201">
        <v>43552</v>
      </c>
      <c r="AI1005" s="187">
        <v>43552</v>
      </c>
    </row>
    <row r="1006" spans="1:36" x14ac:dyDescent="0.3">
      <c r="A1006" s="1698" t="s">
        <v>977</v>
      </c>
      <c r="B1006" s="1699" t="s">
        <v>820</v>
      </c>
      <c r="C1006" s="1700"/>
      <c r="D1006" s="1701"/>
      <c r="E1006" s="1699" t="s">
        <v>787</v>
      </c>
      <c r="F1006" s="1700"/>
      <c r="G1006" s="1702"/>
      <c r="AF1006" s="114" t="s">
        <v>1894</v>
      </c>
      <c r="AG1006" s="1731" t="s">
        <v>1895</v>
      </c>
      <c r="AH1006" s="1732"/>
      <c r="AI1006" s="1733"/>
    </row>
    <row r="1007" spans="1:36" ht="33.75" x14ac:dyDescent="0.3">
      <c r="A1007" s="1690"/>
      <c r="B1007" s="134" t="s">
        <v>1879</v>
      </c>
      <c r="C1007" s="134" t="s">
        <v>1880</v>
      </c>
      <c r="D1007" s="134" t="s">
        <v>1881</v>
      </c>
      <c r="E1007" s="134" t="s">
        <v>1879</v>
      </c>
      <c r="F1007" s="134" t="s">
        <v>1880</v>
      </c>
      <c r="G1007" s="135" t="s">
        <v>1881</v>
      </c>
      <c r="O1007" s="142" t="s">
        <v>1896</v>
      </c>
      <c r="AF1007" s="114" t="s">
        <v>1897</v>
      </c>
      <c r="AG1007" s="1731" t="s">
        <v>1898</v>
      </c>
      <c r="AH1007" s="1732"/>
      <c r="AI1007" s="1733"/>
    </row>
    <row r="1008" spans="1:36" x14ac:dyDescent="0.3">
      <c r="A1008" s="1712" t="s">
        <v>1882</v>
      </c>
      <c r="B1008" s="1713"/>
      <c r="C1008" s="1713"/>
      <c r="D1008" s="1713"/>
      <c r="E1008" s="1713"/>
      <c r="F1008" s="1713"/>
      <c r="G1008" s="1714"/>
      <c r="O1008" s="1695" t="s">
        <v>826</v>
      </c>
      <c r="P1008" s="1696"/>
      <c r="Q1008" s="1696"/>
      <c r="R1008" s="1696"/>
      <c r="S1008" s="1697"/>
      <c r="AF1008" s="114" t="s">
        <v>1899</v>
      </c>
      <c r="AG1008" s="111" t="s">
        <v>1900</v>
      </c>
      <c r="AH1008" s="115" t="s">
        <v>1901</v>
      </c>
      <c r="AI1008" s="116" t="s">
        <v>1902</v>
      </c>
    </row>
    <row r="1009" spans="1:35" x14ac:dyDescent="0.3">
      <c r="A1009" s="114" t="s">
        <v>1883</v>
      </c>
      <c r="B1009" s="111" t="s">
        <v>1903</v>
      </c>
      <c r="C1009" s="111" t="s">
        <v>1904</v>
      </c>
      <c r="D1009" s="111" t="s">
        <v>1905</v>
      </c>
      <c r="E1009" s="111" t="s">
        <v>1906</v>
      </c>
      <c r="F1009" s="111" t="s">
        <v>1907</v>
      </c>
      <c r="G1009" s="112" t="s">
        <v>1908</v>
      </c>
      <c r="O1009" s="1698" t="s">
        <v>977</v>
      </c>
      <c r="P1009" s="1699" t="s">
        <v>820</v>
      </c>
      <c r="Q1009" s="1701"/>
      <c r="R1009" s="1699" t="s">
        <v>787</v>
      </c>
      <c r="S1009" s="1702"/>
      <c r="AF1009" s="114" t="s">
        <v>1909</v>
      </c>
      <c r="AG1009" s="111" t="s">
        <v>1910</v>
      </c>
      <c r="AH1009" s="115" t="s">
        <v>1910</v>
      </c>
      <c r="AI1009" s="116" t="s">
        <v>1910</v>
      </c>
    </row>
    <row r="1010" spans="1:35" x14ac:dyDescent="0.3">
      <c r="A1010" s="114" t="s">
        <v>1886</v>
      </c>
      <c r="B1010" s="111" t="s">
        <v>1911</v>
      </c>
      <c r="C1010" s="111" t="s">
        <v>1420</v>
      </c>
      <c r="D1010" s="111" t="s">
        <v>1420</v>
      </c>
      <c r="E1010" s="111" t="s">
        <v>1912</v>
      </c>
      <c r="F1010" s="111" t="s">
        <v>1913</v>
      </c>
      <c r="G1010" s="112" t="s">
        <v>1914</v>
      </c>
      <c r="O1010" s="1690"/>
      <c r="P1010" s="134" t="s">
        <v>1915</v>
      </c>
      <c r="Q1010" s="134" t="s">
        <v>1916</v>
      </c>
      <c r="R1010" s="134" t="s">
        <v>1915</v>
      </c>
      <c r="S1010" s="135" t="s">
        <v>1916</v>
      </c>
      <c r="AF1010" s="1720" t="s">
        <v>1917</v>
      </c>
      <c r="AG1010" s="202" t="s">
        <v>1918</v>
      </c>
      <c r="AH1010" s="202" t="s">
        <v>1919</v>
      </c>
      <c r="AI1010" s="188" t="s">
        <v>1920</v>
      </c>
    </row>
    <row r="1011" spans="1:35" x14ac:dyDescent="0.3">
      <c r="A1011" s="162" t="s">
        <v>774</v>
      </c>
      <c r="B1011" s="111" t="s">
        <v>1921</v>
      </c>
      <c r="C1011" s="111" t="s">
        <v>1904</v>
      </c>
      <c r="D1011" s="111" t="s">
        <v>1905</v>
      </c>
      <c r="E1011" s="111" t="s">
        <v>1922</v>
      </c>
      <c r="F1011" s="111" t="s">
        <v>1923</v>
      </c>
      <c r="G1011" s="112" t="s">
        <v>1924</v>
      </c>
      <c r="O1011" s="162" t="s">
        <v>1879</v>
      </c>
      <c r="P1011" s="117">
        <v>2363583</v>
      </c>
      <c r="Q1011" s="117">
        <v>-2363583</v>
      </c>
      <c r="R1011" s="117">
        <v>3153068</v>
      </c>
      <c r="S1011" s="118">
        <v>-3153068</v>
      </c>
      <c r="AF1011" s="1734"/>
      <c r="AG1011" s="203" t="s">
        <v>1925</v>
      </c>
      <c r="AH1011" s="203" t="s">
        <v>1926</v>
      </c>
      <c r="AI1011" s="190" t="s">
        <v>1927</v>
      </c>
    </row>
    <row r="1012" spans="1:35" x14ac:dyDescent="0.3">
      <c r="A1012" s="1703" t="s">
        <v>1888</v>
      </c>
      <c r="B1012" s="1704"/>
      <c r="C1012" s="1704"/>
      <c r="D1012" s="1704"/>
      <c r="E1012" s="1704"/>
      <c r="F1012" s="1704"/>
      <c r="G1012" s="1727"/>
      <c r="O1012" s="162" t="s">
        <v>1880</v>
      </c>
      <c r="P1012" s="117">
        <v>-1591</v>
      </c>
      <c r="Q1012" s="117">
        <v>1591</v>
      </c>
      <c r="R1012" s="111">
        <v>-111</v>
      </c>
      <c r="S1012" s="112">
        <v>111</v>
      </c>
      <c r="AF1012" s="1720" t="s">
        <v>1928</v>
      </c>
      <c r="AG1012" s="204" t="s">
        <v>1929</v>
      </c>
      <c r="AH1012" s="204" t="s">
        <v>1930</v>
      </c>
      <c r="AI1012" s="174" t="s">
        <v>1931</v>
      </c>
    </row>
    <row r="1013" spans="1:35" x14ac:dyDescent="0.3">
      <c r="A1013" s="125" t="s">
        <v>1892</v>
      </c>
      <c r="B1013" s="136" t="s">
        <v>1932</v>
      </c>
      <c r="C1013" s="136" t="s">
        <v>1933</v>
      </c>
      <c r="D1013" s="136" t="s">
        <v>1934</v>
      </c>
      <c r="E1013" s="136" t="s">
        <v>1935</v>
      </c>
      <c r="F1013" s="136" t="s">
        <v>1936</v>
      </c>
      <c r="G1013" s="137" t="s">
        <v>1937</v>
      </c>
      <c r="O1013" s="162" t="s">
        <v>1881</v>
      </c>
      <c r="P1013" s="117">
        <v>467888</v>
      </c>
      <c r="Q1013" s="117">
        <v>-467888</v>
      </c>
      <c r="R1013" s="117">
        <v>136683</v>
      </c>
      <c r="S1013" s="118">
        <v>-136683</v>
      </c>
      <c r="AF1013" s="1722"/>
      <c r="AG1013" s="205" t="s">
        <v>1938</v>
      </c>
      <c r="AH1013" s="205" t="s">
        <v>1938</v>
      </c>
      <c r="AI1013" s="176" t="s">
        <v>1938</v>
      </c>
    </row>
    <row r="1014" spans="1:35" ht="22.5" x14ac:dyDescent="0.3">
      <c r="O1014" s="146" t="s">
        <v>774</v>
      </c>
      <c r="P1014" s="130">
        <v>2829880</v>
      </c>
      <c r="Q1014" s="130">
        <v>-2829880</v>
      </c>
      <c r="R1014" s="130">
        <v>3289640</v>
      </c>
      <c r="S1014" s="131">
        <v>-3289640</v>
      </c>
      <c r="AF1014" s="142" t="s">
        <v>1939</v>
      </c>
    </row>
    <row r="1015" spans="1:35" ht="33.75" x14ac:dyDescent="0.3">
      <c r="A1015" s="142" t="s">
        <v>1896</v>
      </c>
      <c r="O1015" s="143"/>
      <c r="AF1015" s="142" t="s">
        <v>1940</v>
      </c>
    </row>
    <row r="1016" spans="1:35" x14ac:dyDescent="0.3">
      <c r="A1016" s="1695" t="s">
        <v>826</v>
      </c>
      <c r="B1016" s="1696"/>
      <c r="C1016" s="1696"/>
      <c r="D1016" s="1696"/>
      <c r="E1016" s="1697"/>
      <c r="O1016" s="142" t="s">
        <v>1941</v>
      </c>
    </row>
    <row r="1017" spans="1:35" ht="22.5" x14ac:dyDescent="0.3">
      <c r="A1017" s="1698" t="s">
        <v>977</v>
      </c>
      <c r="B1017" s="1699" t="s">
        <v>820</v>
      </c>
      <c r="C1017" s="1701"/>
      <c r="D1017" s="1699" t="s">
        <v>787</v>
      </c>
      <c r="E1017" s="1702"/>
      <c r="O1017" s="143"/>
      <c r="AF1017" s="142" t="s">
        <v>1942</v>
      </c>
    </row>
    <row r="1018" spans="1:35" ht="22.5" x14ac:dyDescent="0.3">
      <c r="A1018" s="1690"/>
      <c r="B1018" s="134" t="s">
        <v>1915</v>
      </c>
      <c r="C1018" s="134" t="s">
        <v>1916</v>
      </c>
      <c r="D1018" s="134" t="s">
        <v>1915</v>
      </c>
      <c r="E1018" s="135" t="s">
        <v>1916</v>
      </c>
      <c r="O1018" s="142" t="s">
        <v>1943</v>
      </c>
      <c r="AF1018" s="1695" t="s">
        <v>976</v>
      </c>
      <c r="AG1018" s="1696"/>
      <c r="AH1018" s="1697"/>
    </row>
    <row r="1019" spans="1:35" x14ac:dyDescent="0.3">
      <c r="A1019" s="162" t="s">
        <v>1879</v>
      </c>
      <c r="B1019" s="111" t="s">
        <v>1944</v>
      </c>
      <c r="C1019" s="117">
        <v>-3153068</v>
      </c>
      <c r="D1019" s="111" t="s">
        <v>1945</v>
      </c>
      <c r="E1019" s="118">
        <v>-2349222</v>
      </c>
      <c r="O1019" s="1695" t="s">
        <v>826</v>
      </c>
      <c r="P1019" s="1696"/>
      <c r="Q1019" s="1697"/>
      <c r="AF1019" s="161" t="s">
        <v>977</v>
      </c>
      <c r="AG1019" s="134" t="s">
        <v>829</v>
      </c>
      <c r="AH1019" s="135" t="s">
        <v>1001</v>
      </c>
    </row>
    <row r="1020" spans="1:35" x14ac:dyDescent="0.3">
      <c r="A1020" s="162" t="s">
        <v>1880</v>
      </c>
      <c r="B1020" s="111">
        <v>-111</v>
      </c>
      <c r="C1020" s="111" t="s">
        <v>1946</v>
      </c>
      <c r="D1020" s="111" t="s">
        <v>1947</v>
      </c>
      <c r="E1020" s="118">
        <v>-1020</v>
      </c>
      <c r="O1020" s="161" t="s">
        <v>763</v>
      </c>
      <c r="P1020" s="134" t="s">
        <v>820</v>
      </c>
      <c r="Q1020" s="135" t="s">
        <v>787</v>
      </c>
      <c r="AF1020" s="109" t="s">
        <v>1948</v>
      </c>
      <c r="AG1020" s="117">
        <v>1444251</v>
      </c>
      <c r="AH1020" s="118">
        <v>1298944</v>
      </c>
    </row>
    <row r="1021" spans="1:35" x14ac:dyDescent="0.3">
      <c r="A1021" s="162" t="s">
        <v>1881</v>
      </c>
      <c r="B1021" s="111" t="s">
        <v>1949</v>
      </c>
      <c r="C1021" s="117">
        <v>-136683</v>
      </c>
      <c r="D1021" s="111" t="s">
        <v>1950</v>
      </c>
      <c r="E1021" s="118">
        <v>-619501</v>
      </c>
      <c r="O1021" s="1712" t="s">
        <v>1951</v>
      </c>
      <c r="P1021" s="1713"/>
      <c r="Q1021" s="1714"/>
      <c r="AF1021" s="109" t="s">
        <v>1952</v>
      </c>
      <c r="AG1021" s="119">
        <v>-56134</v>
      </c>
      <c r="AH1021" s="120">
        <v>268216</v>
      </c>
    </row>
    <row r="1022" spans="1:35" x14ac:dyDescent="0.3">
      <c r="A1022" s="146" t="s">
        <v>774</v>
      </c>
      <c r="B1022" s="123" t="s">
        <v>1953</v>
      </c>
      <c r="C1022" s="130">
        <v>-3289640</v>
      </c>
      <c r="D1022" s="123" t="s">
        <v>1954</v>
      </c>
      <c r="E1022" s="131">
        <v>-2969743</v>
      </c>
      <c r="O1022" s="121" t="s">
        <v>1955</v>
      </c>
      <c r="P1022" s="130">
        <v>132327717</v>
      </c>
      <c r="Q1022" s="131">
        <v>97271207</v>
      </c>
      <c r="AF1022" s="109" t="s">
        <v>1956</v>
      </c>
      <c r="AG1022" s="119">
        <v>-329625</v>
      </c>
      <c r="AH1022" s="120">
        <v>-118554</v>
      </c>
    </row>
    <row r="1023" spans="1:35" x14ac:dyDescent="0.3">
      <c r="A1023" s="143"/>
      <c r="O1023" s="143"/>
      <c r="AF1023" s="109" t="s">
        <v>1957</v>
      </c>
      <c r="AG1023" s="119">
        <v>1058492</v>
      </c>
      <c r="AH1023" s="120">
        <v>1448606</v>
      </c>
    </row>
    <row r="1024" spans="1:35" ht="45" x14ac:dyDescent="0.3">
      <c r="A1024" s="142" t="s">
        <v>1941</v>
      </c>
      <c r="O1024" s="142" t="s">
        <v>1958</v>
      </c>
      <c r="AF1024" s="125" t="s">
        <v>1959</v>
      </c>
      <c r="AG1024" s="126">
        <v>50070</v>
      </c>
      <c r="AH1024" s="127">
        <v>310189</v>
      </c>
    </row>
    <row r="1025" spans="1:35" ht="22.5" x14ac:dyDescent="0.3">
      <c r="A1025" s="143"/>
      <c r="AF1025" s="142" t="s">
        <v>1960</v>
      </c>
    </row>
    <row r="1026" spans="1:35" ht="22.5" x14ac:dyDescent="0.3">
      <c r="A1026" s="142" t="s">
        <v>1943</v>
      </c>
      <c r="O1026" s="142" t="s">
        <v>1961</v>
      </c>
      <c r="AF1026" s="143"/>
    </row>
    <row r="1027" spans="1:35" ht="33.75" x14ac:dyDescent="0.3">
      <c r="A1027" s="1695" t="s">
        <v>826</v>
      </c>
      <c r="B1027" s="1696"/>
      <c r="C1027" s="1697"/>
      <c r="O1027" s="143"/>
      <c r="AF1027" s="142" t="s">
        <v>1962</v>
      </c>
    </row>
    <row r="1028" spans="1:35" ht="56.25" x14ac:dyDescent="0.3">
      <c r="A1028" s="161" t="s">
        <v>788</v>
      </c>
      <c r="B1028" s="134" t="s">
        <v>820</v>
      </c>
      <c r="C1028" s="135" t="s">
        <v>787</v>
      </c>
      <c r="O1028" s="142" t="s">
        <v>1963</v>
      </c>
      <c r="AF1028" s="1695" t="s">
        <v>1569</v>
      </c>
      <c r="AG1028" s="1696"/>
      <c r="AH1028" s="1696"/>
      <c r="AI1028" s="1697"/>
    </row>
    <row r="1029" spans="1:35" x14ac:dyDescent="0.3">
      <c r="A1029" s="1712" t="s">
        <v>1951</v>
      </c>
      <c r="B1029" s="1713"/>
      <c r="C1029" s="1714"/>
      <c r="AF1029" s="161" t="s">
        <v>977</v>
      </c>
      <c r="AG1029" s="134" t="s">
        <v>1889</v>
      </c>
      <c r="AH1029" s="134" t="s">
        <v>1890</v>
      </c>
      <c r="AI1029" s="135" t="s">
        <v>1891</v>
      </c>
    </row>
    <row r="1030" spans="1:35" x14ac:dyDescent="0.3">
      <c r="A1030" s="109" t="s">
        <v>1955</v>
      </c>
      <c r="B1030" s="111" t="s">
        <v>1730</v>
      </c>
      <c r="C1030" s="112" t="s">
        <v>1964</v>
      </c>
      <c r="O1030" s="142" t="s">
        <v>1965</v>
      </c>
      <c r="AF1030" s="114" t="s">
        <v>1966</v>
      </c>
      <c r="AG1030" s="206">
        <v>1.7299999999999999E-2</v>
      </c>
      <c r="AH1030" s="206">
        <v>1.77E-2</v>
      </c>
      <c r="AI1030" s="207">
        <v>1.8200000000000001E-2</v>
      </c>
    </row>
    <row r="1031" spans="1:35" x14ac:dyDescent="0.3">
      <c r="A1031" s="177" t="s">
        <v>774</v>
      </c>
      <c r="B1031" s="123" t="s">
        <v>1730</v>
      </c>
      <c r="C1031" s="124" t="s">
        <v>1967</v>
      </c>
      <c r="O1031" s="1695" t="s">
        <v>826</v>
      </c>
      <c r="P1031" s="1696"/>
      <c r="Q1031" s="1697"/>
      <c r="AF1031" s="114" t="s">
        <v>1968</v>
      </c>
      <c r="AG1031" s="117">
        <v>8950</v>
      </c>
      <c r="AH1031" s="117">
        <v>8950</v>
      </c>
      <c r="AI1031" s="118">
        <v>8950</v>
      </c>
    </row>
    <row r="1032" spans="1:35" x14ac:dyDescent="0.3">
      <c r="A1032" s="143"/>
      <c r="O1032" s="161" t="s">
        <v>763</v>
      </c>
      <c r="P1032" s="134" t="s">
        <v>820</v>
      </c>
      <c r="Q1032" s="135" t="s">
        <v>787</v>
      </c>
      <c r="AF1032" s="114" t="s">
        <v>1969</v>
      </c>
      <c r="AG1032" s="206">
        <v>0.32340000000000002</v>
      </c>
      <c r="AH1032" s="206">
        <v>0.32340000000000002</v>
      </c>
      <c r="AI1032" s="207">
        <v>0.32340000000000002</v>
      </c>
    </row>
    <row r="1033" spans="1:35" ht="45" x14ac:dyDescent="0.3">
      <c r="A1033" s="142" t="s">
        <v>1958</v>
      </c>
      <c r="O1033" s="109" t="s">
        <v>1970</v>
      </c>
      <c r="P1033" s="117">
        <v>175265355</v>
      </c>
      <c r="Q1033" s="118">
        <v>76642040</v>
      </c>
      <c r="AF1033" s="114" t="s">
        <v>1971</v>
      </c>
      <c r="AG1033" s="206">
        <v>0</v>
      </c>
      <c r="AH1033" s="206">
        <v>0</v>
      </c>
      <c r="AI1033" s="207">
        <v>0</v>
      </c>
    </row>
    <row r="1034" spans="1:35" x14ac:dyDescent="0.3">
      <c r="O1034" s="109" t="s">
        <v>1972</v>
      </c>
      <c r="P1034" s="117">
        <v>79639214</v>
      </c>
      <c r="Q1034" s="118">
        <v>95801399</v>
      </c>
      <c r="AF1034" s="114" t="s">
        <v>1909</v>
      </c>
      <c r="AG1034" s="117">
        <v>9160</v>
      </c>
      <c r="AH1034" s="117">
        <v>9160</v>
      </c>
      <c r="AI1034" s="118">
        <v>9160</v>
      </c>
    </row>
    <row r="1035" spans="1:35" x14ac:dyDescent="0.3">
      <c r="A1035" s="142" t="s">
        <v>1961</v>
      </c>
      <c r="O1035" s="121" t="s">
        <v>1973</v>
      </c>
      <c r="P1035" s="208">
        <v>2.2006999999999999</v>
      </c>
      <c r="Q1035" s="209">
        <v>0.8</v>
      </c>
      <c r="AF1035" s="125" t="s">
        <v>1974</v>
      </c>
      <c r="AG1035" s="130">
        <v>1976</v>
      </c>
      <c r="AH1035" s="130">
        <v>2189</v>
      </c>
      <c r="AI1035" s="131">
        <v>2356</v>
      </c>
    </row>
    <row r="1036" spans="1:35" x14ac:dyDescent="0.3">
      <c r="A1036" s="143"/>
    </row>
    <row r="1037" spans="1:35" ht="56.25" x14ac:dyDescent="0.3">
      <c r="A1037" s="142" t="s">
        <v>1963</v>
      </c>
    </row>
    <row r="1038" spans="1:35" x14ac:dyDescent="0.3">
      <c r="O1038" s="142" t="s">
        <v>1975</v>
      </c>
      <c r="AF1038" s="142" t="s">
        <v>1976</v>
      </c>
    </row>
    <row r="1039" spans="1:35" x14ac:dyDescent="0.3">
      <c r="A1039" s="142" t="s">
        <v>1965</v>
      </c>
      <c r="O1039" s="143"/>
      <c r="AF1039" s="143"/>
    </row>
    <row r="1040" spans="1:35" ht="22.5" x14ac:dyDescent="0.3">
      <c r="A1040" s="1695" t="s">
        <v>826</v>
      </c>
      <c r="B1040" s="1696"/>
      <c r="C1040" s="1697"/>
      <c r="O1040" s="142" t="s">
        <v>1977</v>
      </c>
      <c r="AF1040" s="142" t="s">
        <v>1978</v>
      </c>
    </row>
    <row r="1041" spans="1:36" x14ac:dyDescent="0.3">
      <c r="A1041" s="161" t="s">
        <v>788</v>
      </c>
      <c r="B1041" s="134" t="s">
        <v>820</v>
      </c>
      <c r="C1041" s="135" t="s">
        <v>787</v>
      </c>
      <c r="O1041" s="128"/>
      <c r="AF1041" s="1695" t="s">
        <v>976</v>
      </c>
      <c r="AG1041" s="1696"/>
      <c r="AH1041" s="1696"/>
      <c r="AI1041" s="1696"/>
      <c r="AJ1041" s="1697"/>
    </row>
    <row r="1042" spans="1:36" x14ac:dyDescent="0.3">
      <c r="A1042" s="109" t="s">
        <v>1970</v>
      </c>
      <c r="B1042" s="111" t="s">
        <v>1979</v>
      </c>
      <c r="C1042" s="112" t="s">
        <v>1980</v>
      </c>
      <c r="O1042" s="128"/>
      <c r="AF1042" s="1698" t="s">
        <v>977</v>
      </c>
      <c r="AG1042" s="1699" t="s">
        <v>829</v>
      </c>
      <c r="AH1042" s="1701"/>
      <c r="AI1042" s="1699" t="s">
        <v>1001</v>
      </c>
      <c r="AJ1042" s="1702"/>
    </row>
    <row r="1043" spans="1:36" x14ac:dyDescent="0.15">
      <c r="A1043" s="109" t="s">
        <v>1972</v>
      </c>
      <c r="B1043" s="111" t="s">
        <v>1981</v>
      </c>
      <c r="C1043" s="112" t="s">
        <v>1982</v>
      </c>
      <c r="O1043" s="1728" t="s">
        <v>826</v>
      </c>
      <c r="P1043" s="1729"/>
      <c r="Q1043" s="1730"/>
      <c r="AF1043" s="1690"/>
      <c r="AG1043" s="134" t="s">
        <v>400</v>
      </c>
      <c r="AH1043" s="134" t="s">
        <v>401</v>
      </c>
      <c r="AI1043" s="134" t="s">
        <v>400</v>
      </c>
      <c r="AJ1043" s="135" t="s">
        <v>401</v>
      </c>
    </row>
    <row r="1044" spans="1:36" x14ac:dyDescent="0.3">
      <c r="A1044" s="121" t="s">
        <v>1973</v>
      </c>
      <c r="B1044" s="208">
        <v>0.8</v>
      </c>
      <c r="C1044" s="209">
        <v>0.4551</v>
      </c>
      <c r="O1044" s="161" t="s">
        <v>763</v>
      </c>
      <c r="P1044" s="134" t="s">
        <v>820</v>
      </c>
      <c r="Q1044" s="135" t="s">
        <v>787</v>
      </c>
      <c r="AF1044" s="109" t="s">
        <v>1647</v>
      </c>
      <c r="AG1044" s="119">
        <v>4737045</v>
      </c>
      <c r="AH1044" s="119">
        <v>13954156</v>
      </c>
      <c r="AI1044" s="119">
        <v>3925700</v>
      </c>
      <c r="AJ1044" s="120">
        <v>11711280</v>
      </c>
    </row>
    <row r="1045" spans="1:36" x14ac:dyDescent="0.3">
      <c r="O1045" s="125" t="s">
        <v>1983</v>
      </c>
      <c r="P1045" s="130">
        <v>132018645</v>
      </c>
      <c r="Q1045" s="131">
        <v>97271207</v>
      </c>
      <c r="AF1045" s="109" t="s">
        <v>1984</v>
      </c>
      <c r="AG1045" s="119">
        <v>478744</v>
      </c>
      <c r="AH1045" s="119">
        <v>1438115</v>
      </c>
      <c r="AI1045" s="119">
        <v>443796</v>
      </c>
      <c r="AJ1045" s="120">
        <v>1327210</v>
      </c>
    </row>
    <row r="1046" spans="1:36" x14ac:dyDescent="0.3">
      <c r="O1046" s="143"/>
      <c r="AF1046" s="109" t="s">
        <v>1656</v>
      </c>
      <c r="AG1046" s="115">
        <v>-492</v>
      </c>
      <c r="AH1046" s="119">
        <v>-56134</v>
      </c>
      <c r="AI1046" s="119">
        <v>74925</v>
      </c>
      <c r="AJ1046" s="120">
        <v>268216</v>
      </c>
    </row>
    <row r="1047" spans="1:36" x14ac:dyDescent="0.3">
      <c r="A1047" s="142" t="s">
        <v>1975</v>
      </c>
      <c r="O1047" s="143"/>
      <c r="AF1047" s="109" t="s">
        <v>1659</v>
      </c>
      <c r="AG1047" s="119">
        <v>890968</v>
      </c>
      <c r="AH1047" s="119">
        <v>2623939</v>
      </c>
      <c r="AI1047" s="119">
        <v>743971</v>
      </c>
      <c r="AJ1047" s="120">
        <v>2138531</v>
      </c>
    </row>
    <row r="1048" spans="1:36" x14ac:dyDescent="0.3">
      <c r="A1048" s="143"/>
      <c r="O1048" s="142" t="s">
        <v>1985</v>
      </c>
      <c r="AF1048" s="109" t="s">
        <v>1986</v>
      </c>
      <c r="AG1048" s="119">
        <v>70222</v>
      </c>
      <c r="AH1048" s="119">
        <v>159873</v>
      </c>
      <c r="AI1048" s="119">
        <v>28072</v>
      </c>
      <c r="AJ1048" s="120">
        <v>76144</v>
      </c>
    </row>
    <row r="1049" spans="1:36" ht="22.5" x14ac:dyDescent="0.3">
      <c r="A1049" s="142" t="s">
        <v>1977</v>
      </c>
      <c r="O1049" s="143"/>
      <c r="AF1049" s="109" t="s">
        <v>1987</v>
      </c>
      <c r="AG1049" s="119">
        <v>84131</v>
      </c>
      <c r="AH1049" s="119">
        <v>235724</v>
      </c>
      <c r="AI1049" s="119">
        <v>80205</v>
      </c>
      <c r="AJ1049" s="120">
        <v>229342</v>
      </c>
    </row>
    <row r="1050" spans="1:36" ht="56.25" x14ac:dyDescent="0.3">
      <c r="A1050" s="128"/>
      <c r="O1050" s="142" t="s">
        <v>1204</v>
      </c>
      <c r="AF1050" s="109" t="s">
        <v>1988</v>
      </c>
      <c r="AG1050" s="119">
        <v>873843</v>
      </c>
      <c r="AH1050" s="119">
        <v>2701328</v>
      </c>
      <c r="AI1050" s="119">
        <v>801837</v>
      </c>
      <c r="AJ1050" s="120">
        <v>2366406</v>
      </c>
    </row>
    <row r="1051" spans="1:36" x14ac:dyDescent="0.3">
      <c r="A1051" s="128"/>
      <c r="AF1051" s="109" t="s">
        <v>1989</v>
      </c>
      <c r="AG1051" s="119">
        <v>884938</v>
      </c>
      <c r="AH1051" s="119">
        <v>2714239</v>
      </c>
      <c r="AI1051" s="119">
        <v>954207</v>
      </c>
      <c r="AJ1051" s="120">
        <v>2889771</v>
      </c>
    </row>
    <row r="1052" spans="1:36" ht="45" x14ac:dyDescent="0.15">
      <c r="A1052" s="1728" t="s">
        <v>826</v>
      </c>
      <c r="B1052" s="1729"/>
      <c r="C1052" s="1730"/>
      <c r="O1052" s="142" t="s">
        <v>1990</v>
      </c>
      <c r="AF1052" s="109" t="s">
        <v>1991</v>
      </c>
      <c r="AG1052" s="119">
        <v>2406874</v>
      </c>
      <c r="AH1052" s="119">
        <v>4562868</v>
      </c>
      <c r="AI1052" s="119">
        <v>1163675</v>
      </c>
      <c r="AJ1052" s="120">
        <v>2442858</v>
      </c>
    </row>
    <row r="1053" spans="1:36" x14ac:dyDescent="0.3">
      <c r="A1053" s="161" t="s">
        <v>788</v>
      </c>
      <c r="B1053" s="134" t="s">
        <v>820</v>
      </c>
      <c r="C1053" s="135" t="s">
        <v>787</v>
      </c>
      <c r="O1053" s="128"/>
      <c r="AF1053" s="109" t="s">
        <v>1992</v>
      </c>
      <c r="AG1053" s="119">
        <v>57870</v>
      </c>
      <c r="AH1053" s="119">
        <v>206816</v>
      </c>
      <c r="AI1053" s="119">
        <v>84139</v>
      </c>
      <c r="AJ1053" s="120">
        <v>233094</v>
      </c>
    </row>
    <row r="1054" spans="1:36" x14ac:dyDescent="0.3">
      <c r="A1054" s="114" t="s">
        <v>1993</v>
      </c>
      <c r="B1054" s="111" t="s">
        <v>1420</v>
      </c>
      <c r="C1054" s="112" t="s">
        <v>1994</v>
      </c>
      <c r="O1054" s="1695" t="s">
        <v>826</v>
      </c>
      <c r="P1054" s="1696"/>
      <c r="Q1054" s="1696"/>
      <c r="R1054" s="1696"/>
      <c r="S1054" s="1696"/>
      <c r="T1054" s="1696"/>
      <c r="U1054" s="1697"/>
      <c r="AF1054" s="109" t="s">
        <v>1995</v>
      </c>
      <c r="AG1054" s="119">
        <v>4878112</v>
      </c>
      <c r="AH1054" s="119">
        <v>13233327</v>
      </c>
      <c r="AI1054" s="119">
        <v>3137410</v>
      </c>
      <c r="AJ1054" s="120">
        <v>9121612</v>
      </c>
    </row>
    <row r="1055" spans="1:36" x14ac:dyDescent="0.3">
      <c r="A1055" s="114" t="s">
        <v>1983</v>
      </c>
      <c r="B1055" s="111" t="s">
        <v>1730</v>
      </c>
      <c r="C1055" s="112" t="s">
        <v>1731</v>
      </c>
      <c r="O1055" s="1698" t="s">
        <v>763</v>
      </c>
      <c r="P1055" s="1699" t="s">
        <v>820</v>
      </c>
      <c r="Q1055" s="1700"/>
      <c r="R1055" s="1701"/>
      <c r="S1055" s="1699" t="s">
        <v>787</v>
      </c>
      <c r="T1055" s="1700"/>
      <c r="U1055" s="1702"/>
      <c r="AF1055" s="109" t="s">
        <v>1996</v>
      </c>
      <c r="AG1055" s="119">
        <v>515844</v>
      </c>
      <c r="AH1055" s="119">
        <v>1685255</v>
      </c>
      <c r="AI1055" s="119">
        <v>537223</v>
      </c>
      <c r="AJ1055" s="120">
        <v>1641055</v>
      </c>
    </row>
    <row r="1056" spans="1:36" x14ac:dyDescent="0.3">
      <c r="A1056" s="146" t="s">
        <v>774</v>
      </c>
      <c r="B1056" s="123" t="s">
        <v>1730</v>
      </c>
      <c r="C1056" s="137" t="s">
        <v>1997</v>
      </c>
      <c r="O1056" s="1690"/>
      <c r="P1056" s="134" t="s">
        <v>1209</v>
      </c>
      <c r="Q1056" s="134" t="s">
        <v>1210</v>
      </c>
      <c r="R1056" s="134" t="s">
        <v>1211</v>
      </c>
      <c r="S1056" s="134" t="s">
        <v>1209</v>
      </c>
      <c r="T1056" s="134" t="s">
        <v>1210</v>
      </c>
      <c r="U1056" s="135" t="s">
        <v>1211</v>
      </c>
      <c r="AF1056" s="109" t="s">
        <v>1998</v>
      </c>
      <c r="AG1056" s="119">
        <v>70797</v>
      </c>
      <c r="AH1056" s="119">
        <v>199658</v>
      </c>
      <c r="AI1056" s="119">
        <v>58264</v>
      </c>
      <c r="AJ1056" s="120">
        <v>198477</v>
      </c>
    </row>
    <row r="1057" spans="1:36" x14ac:dyDescent="0.3">
      <c r="O1057" s="1712" t="s">
        <v>1213</v>
      </c>
      <c r="P1057" s="1713"/>
      <c r="Q1057" s="1713"/>
      <c r="R1057" s="1713"/>
      <c r="S1057" s="1713"/>
      <c r="T1057" s="1713"/>
      <c r="U1057" s="1714"/>
      <c r="AF1057" s="109" t="s">
        <v>1999</v>
      </c>
      <c r="AG1057" s="119">
        <v>77824</v>
      </c>
      <c r="AH1057" s="119">
        <v>238602</v>
      </c>
      <c r="AI1057" s="119">
        <v>42347</v>
      </c>
      <c r="AJ1057" s="120">
        <v>114113</v>
      </c>
    </row>
    <row r="1058" spans="1:36" x14ac:dyDescent="0.3">
      <c r="O1058" s="114" t="s">
        <v>1077</v>
      </c>
      <c r="P1058" s="117">
        <v>19936987</v>
      </c>
      <c r="Q1058" s="117">
        <v>-993467</v>
      </c>
      <c r="R1058" s="117">
        <v>18943520</v>
      </c>
      <c r="S1058" s="117">
        <v>23430714</v>
      </c>
      <c r="T1058" s="117">
        <v>-1403630</v>
      </c>
      <c r="U1058" s="118">
        <v>22027084</v>
      </c>
      <c r="AF1058" s="109" t="s">
        <v>2000</v>
      </c>
      <c r="AG1058" s="119">
        <v>144068</v>
      </c>
      <c r="AH1058" s="119">
        <v>483470</v>
      </c>
      <c r="AI1058" s="119">
        <v>26286</v>
      </c>
      <c r="AJ1058" s="120">
        <v>106400</v>
      </c>
    </row>
    <row r="1059" spans="1:36" x14ac:dyDescent="0.3">
      <c r="A1059" s="142" t="s">
        <v>2001</v>
      </c>
      <c r="O1059" s="114" t="s">
        <v>1215</v>
      </c>
      <c r="P1059" s="117">
        <v>29951221</v>
      </c>
      <c r="Q1059" s="117">
        <v>-5360000</v>
      </c>
      <c r="R1059" s="117">
        <v>24591221</v>
      </c>
      <c r="S1059" s="117">
        <v>23124644</v>
      </c>
      <c r="T1059" s="117">
        <v>-4200000</v>
      </c>
      <c r="U1059" s="118">
        <v>18924644</v>
      </c>
      <c r="AF1059" s="109" t="s">
        <v>2002</v>
      </c>
      <c r="AG1059" s="119">
        <v>50253</v>
      </c>
      <c r="AH1059" s="119">
        <v>167616</v>
      </c>
      <c r="AI1059" s="119">
        <v>64520</v>
      </c>
      <c r="AJ1059" s="120">
        <v>184410</v>
      </c>
    </row>
    <row r="1060" spans="1:36" x14ac:dyDescent="0.3">
      <c r="A1060" s="143"/>
      <c r="O1060" s="114" t="s">
        <v>1216</v>
      </c>
      <c r="P1060" s="117">
        <v>106478</v>
      </c>
      <c r="Q1060" s="111" t="s">
        <v>199</v>
      </c>
      <c r="R1060" s="117">
        <v>106478</v>
      </c>
      <c r="S1060" s="117">
        <v>6041</v>
      </c>
      <c r="T1060" s="111" t="s">
        <v>199</v>
      </c>
      <c r="U1060" s="118">
        <v>6041</v>
      </c>
      <c r="AF1060" s="109" t="s">
        <v>2003</v>
      </c>
      <c r="AG1060" s="119">
        <v>3367</v>
      </c>
      <c r="AH1060" s="119">
        <v>11148</v>
      </c>
      <c r="AI1060" s="119">
        <v>-15660</v>
      </c>
      <c r="AJ1060" s="120">
        <v>-222716</v>
      </c>
    </row>
    <row r="1061" spans="1:36" ht="22.5" x14ac:dyDescent="0.3">
      <c r="A1061" s="142" t="s">
        <v>2004</v>
      </c>
      <c r="O1061" s="114" t="s">
        <v>1218</v>
      </c>
      <c r="P1061" s="117">
        <v>193509</v>
      </c>
      <c r="Q1061" s="111" t="s">
        <v>199</v>
      </c>
      <c r="R1061" s="117">
        <v>193509</v>
      </c>
      <c r="S1061" s="111" t="s">
        <v>199</v>
      </c>
      <c r="T1061" s="111" t="s">
        <v>199</v>
      </c>
      <c r="U1061" s="112" t="s">
        <v>199</v>
      </c>
      <c r="AF1061" s="109" t="s">
        <v>71</v>
      </c>
      <c r="AG1061" s="119">
        <v>637448</v>
      </c>
      <c r="AH1061" s="119">
        <v>1936137</v>
      </c>
      <c r="AI1061" s="119">
        <v>533117</v>
      </c>
      <c r="AJ1061" s="120">
        <v>1688224</v>
      </c>
    </row>
    <row r="1062" spans="1:36" x14ac:dyDescent="0.3">
      <c r="O1062" s="170" t="s">
        <v>980</v>
      </c>
      <c r="P1062" s="117">
        <v>50188195</v>
      </c>
      <c r="Q1062" s="117">
        <v>-6353467</v>
      </c>
      <c r="R1062" s="117">
        <v>43834728</v>
      </c>
      <c r="S1062" s="117">
        <v>46561399</v>
      </c>
      <c r="T1062" s="117">
        <v>-5603630</v>
      </c>
      <c r="U1062" s="118">
        <v>40957769</v>
      </c>
      <c r="AF1062" s="177" t="s">
        <v>774</v>
      </c>
      <c r="AG1062" s="126">
        <v>16861856</v>
      </c>
      <c r="AH1062" s="126">
        <v>46496137</v>
      </c>
      <c r="AI1062" s="126">
        <v>12684034</v>
      </c>
      <c r="AJ1062" s="127">
        <v>36514427</v>
      </c>
    </row>
    <row r="1063" spans="1:36" x14ac:dyDescent="0.3">
      <c r="O1063" s="1712" t="s">
        <v>1220</v>
      </c>
      <c r="P1063" s="1713"/>
      <c r="Q1063" s="1713"/>
      <c r="R1063" s="1713"/>
      <c r="S1063" s="1713"/>
      <c r="T1063" s="1713"/>
      <c r="U1063" s="1714"/>
      <c r="AF1063" s="143"/>
    </row>
    <row r="1064" spans="1:36" x14ac:dyDescent="0.3">
      <c r="A1064" s="142" t="s">
        <v>2005</v>
      </c>
      <c r="O1064" s="114" t="s">
        <v>1218</v>
      </c>
      <c r="P1064" s="117">
        <v>2257319</v>
      </c>
      <c r="Q1064" s="111" t="s">
        <v>199</v>
      </c>
      <c r="R1064" s="117">
        <v>2257319</v>
      </c>
      <c r="S1064" s="117">
        <v>1650396</v>
      </c>
      <c r="T1064" s="111" t="s">
        <v>199</v>
      </c>
      <c r="U1064" s="118">
        <v>1650396</v>
      </c>
      <c r="AF1064" s="143"/>
    </row>
    <row r="1065" spans="1:36" x14ac:dyDescent="0.3">
      <c r="A1065" s="1695" t="s">
        <v>976</v>
      </c>
      <c r="B1065" s="1696"/>
      <c r="C1065" s="1696"/>
      <c r="D1065" s="1696"/>
      <c r="E1065" s="1697"/>
      <c r="O1065" s="162" t="s">
        <v>980</v>
      </c>
      <c r="P1065" s="117">
        <v>2257319</v>
      </c>
      <c r="Q1065" s="111" t="s">
        <v>199</v>
      </c>
      <c r="R1065" s="117">
        <v>2257319</v>
      </c>
      <c r="S1065" s="117">
        <v>1650396</v>
      </c>
      <c r="T1065" s="111" t="s">
        <v>199</v>
      </c>
      <c r="U1065" s="118">
        <v>1650396</v>
      </c>
      <c r="AF1065" s="142" t="s">
        <v>2006</v>
      </c>
    </row>
    <row r="1066" spans="1:36" x14ac:dyDescent="0.3">
      <c r="A1066" s="1698" t="s">
        <v>1237</v>
      </c>
      <c r="B1066" s="1716" t="s">
        <v>1238</v>
      </c>
      <c r="C1066" s="1716" t="s">
        <v>1239</v>
      </c>
      <c r="D1066" s="1699" t="s">
        <v>1240</v>
      </c>
      <c r="E1066" s="1702"/>
      <c r="O1066" s="177" t="s">
        <v>774</v>
      </c>
      <c r="P1066" s="130">
        <v>52445514</v>
      </c>
      <c r="Q1066" s="130">
        <v>-6353467</v>
      </c>
      <c r="R1066" s="130">
        <v>46092047</v>
      </c>
      <c r="S1066" s="130">
        <v>48211795</v>
      </c>
      <c r="T1066" s="130">
        <v>-5603630</v>
      </c>
      <c r="U1066" s="131">
        <v>42608165</v>
      </c>
      <c r="AF1066" s="143"/>
    </row>
    <row r="1067" spans="1:36" x14ac:dyDescent="0.3">
      <c r="A1067" s="1690"/>
      <c r="B1067" s="1692"/>
      <c r="C1067" s="1692"/>
      <c r="D1067" s="134" t="s">
        <v>2007</v>
      </c>
      <c r="E1067" s="135" t="s">
        <v>2008</v>
      </c>
      <c r="AF1067" s="142" t="s">
        <v>2009</v>
      </c>
    </row>
    <row r="1068" spans="1:36" ht="22.5" x14ac:dyDescent="0.3">
      <c r="A1068" s="109" t="s">
        <v>1243</v>
      </c>
      <c r="B1068" s="111" t="s">
        <v>2010</v>
      </c>
      <c r="C1068" s="111" t="s">
        <v>2011</v>
      </c>
      <c r="D1068" s="111" t="s">
        <v>2012</v>
      </c>
      <c r="E1068" s="118">
        <v>-7972135</v>
      </c>
      <c r="O1068" s="142" t="s">
        <v>2013</v>
      </c>
      <c r="AF1068" s="1752" t="s">
        <v>976</v>
      </c>
      <c r="AG1068" s="1753"/>
      <c r="AH1068" s="1753"/>
      <c r="AI1068" s="1753"/>
      <c r="AJ1068" s="1754"/>
    </row>
    <row r="1069" spans="1:36" x14ac:dyDescent="0.3">
      <c r="A1069" s="109" t="s">
        <v>1245</v>
      </c>
      <c r="B1069" s="111" t="s">
        <v>2014</v>
      </c>
      <c r="C1069" s="111" t="s">
        <v>2015</v>
      </c>
      <c r="D1069" s="111" t="s">
        <v>2016</v>
      </c>
      <c r="E1069" s="118">
        <v>-1878678</v>
      </c>
      <c r="O1069" s="1695" t="s">
        <v>826</v>
      </c>
      <c r="P1069" s="1696"/>
      <c r="Q1069" s="1697"/>
      <c r="AF1069" s="1771" t="s">
        <v>977</v>
      </c>
      <c r="AG1069" s="1772" t="s">
        <v>829</v>
      </c>
      <c r="AH1069" s="1773"/>
      <c r="AI1069" s="1772" t="s">
        <v>1001</v>
      </c>
      <c r="AJ1069" s="1774"/>
    </row>
    <row r="1070" spans="1:36" x14ac:dyDescent="0.3">
      <c r="A1070" s="109" t="s">
        <v>1246</v>
      </c>
      <c r="B1070" s="111" t="s">
        <v>2017</v>
      </c>
      <c r="C1070" s="111" t="s">
        <v>2018</v>
      </c>
      <c r="D1070" s="117">
        <v>-542575</v>
      </c>
      <c r="E1070" s="118">
        <v>-818267</v>
      </c>
      <c r="O1070" s="161" t="s">
        <v>763</v>
      </c>
      <c r="P1070" s="134" t="s">
        <v>789</v>
      </c>
      <c r="Q1070" s="135" t="s">
        <v>1772</v>
      </c>
      <c r="AF1070" s="1746"/>
      <c r="AG1070" s="156" t="s">
        <v>400</v>
      </c>
      <c r="AH1070" s="156" t="s">
        <v>2019</v>
      </c>
      <c r="AI1070" s="156" t="s">
        <v>400</v>
      </c>
      <c r="AJ1070" s="157" t="s">
        <v>2019</v>
      </c>
    </row>
    <row r="1071" spans="1:36" x14ac:dyDescent="0.3">
      <c r="A1071" s="109" t="s">
        <v>1248</v>
      </c>
      <c r="B1071" s="111" t="s">
        <v>2020</v>
      </c>
      <c r="C1071" s="111" t="s">
        <v>2021</v>
      </c>
      <c r="D1071" s="111" t="s">
        <v>2022</v>
      </c>
      <c r="E1071" s="118">
        <v>-6904841</v>
      </c>
      <c r="O1071" s="114" t="s">
        <v>2023</v>
      </c>
      <c r="P1071" s="117">
        <v>5603630</v>
      </c>
      <c r="Q1071" s="118">
        <v>1846789</v>
      </c>
      <c r="AF1071" s="114" t="s">
        <v>2024</v>
      </c>
      <c r="AG1071" s="119">
        <v>739934</v>
      </c>
      <c r="AH1071" s="119">
        <v>1666987</v>
      </c>
      <c r="AI1071" s="119">
        <v>214000</v>
      </c>
      <c r="AJ1071" s="120">
        <v>371300</v>
      </c>
    </row>
    <row r="1072" spans="1:36" x14ac:dyDescent="0.3">
      <c r="A1072" s="146" t="s">
        <v>774</v>
      </c>
      <c r="B1072" s="123" t="s">
        <v>2025</v>
      </c>
      <c r="C1072" s="136" t="s">
        <v>2026</v>
      </c>
      <c r="D1072" s="136" t="s">
        <v>2027</v>
      </c>
      <c r="E1072" s="127">
        <v>-17573921</v>
      </c>
      <c r="O1072" s="114" t="s">
        <v>1777</v>
      </c>
      <c r="P1072" s="117">
        <v>749837</v>
      </c>
      <c r="Q1072" s="118">
        <v>4171017</v>
      </c>
      <c r="AF1072" s="114" t="s">
        <v>2028</v>
      </c>
      <c r="AG1072" s="119">
        <v>457557</v>
      </c>
      <c r="AH1072" s="119">
        <v>1123155</v>
      </c>
      <c r="AI1072" s="119">
        <v>827005</v>
      </c>
      <c r="AJ1072" s="120">
        <v>964003</v>
      </c>
    </row>
    <row r="1073" spans="1:36" x14ac:dyDescent="0.3">
      <c r="A1073" s="143"/>
      <c r="O1073" s="114" t="s">
        <v>1778</v>
      </c>
      <c r="P1073" s="111" t="s">
        <v>199</v>
      </c>
      <c r="Q1073" s="118">
        <v>-389627</v>
      </c>
      <c r="AF1073" s="114" t="s">
        <v>2029</v>
      </c>
      <c r="AG1073" s="119">
        <v>761583</v>
      </c>
      <c r="AH1073" s="119">
        <v>1557307</v>
      </c>
      <c r="AI1073" s="119">
        <v>940795</v>
      </c>
      <c r="AJ1073" s="120">
        <v>2134419</v>
      </c>
    </row>
    <row r="1074" spans="1:36" x14ac:dyDescent="0.3">
      <c r="A1074" s="142" t="s">
        <v>1100</v>
      </c>
      <c r="O1074" s="114" t="s">
        <v>1780</v>
      </c>
      <c r="P1074" s="111" t="s">
        <v>199</v>
      </c>
      <c r="Q1074" s="118">
        <v>-24549</v>
      </c>
      <c r="AF1074" s="114" t="s">
        <v>2030</v>
      </c>
      <c r="AG1074" s="115" t="s">
        <v>199</v>
      </c>
      <c r="AH1074" s="115" t="s">
        <v>199</v>
      </c>
      <c r="AI1074" s="115" t="s">
        <v>199</v>
      </c>
      <c r="AJ1074" s="116" t="s">
        <v>199</v>
      </c>
    </row>
    <row r="1075" spans="1:36" x14ac:dyDescent="0.3">
      <c r="A1075" s="1695" t="s">
        <v>976</v>
      </c>
      <c r="B1075" s="1696"/>
      <c r="C1075" s="1696"/>
      <c r="D1075" s="1696"/>
      <c r="E1075" s="1697"/>
      <c r="O1075" s="125" t="s">
        <v>2031</v>
      </c>
      <c r="P1075" s="130">
        <v>6353467</v>
      </c>
      <c r="Q1075" s="131">
        <v>5603630</v>
      </c>
      <c r="AF1075" s="114" t="s">
        <v>2032</v>
      </c>
      <c r="AG1075" s="119">
        <v>8348968</v>
      </c>
      <c r="AH1075" s="119">
        <v>41363015</v>
      </c>
      <c r="AI1075" s="115" t="s">
        <v>199</v>
      </c>
      <c r="AJ1075" s="116" t="s">
        <v>199</v>
      </c>
    </row>
    <row r="1076" spans="1:36" x14ac:dyDescent="0.3">
      <c r="A1076" s="1698" t="s">
        <v>1237</v>
      </c>
      <c r="B1076" s="1716" t="s">
        <v>1238</v>
      </c>
      <c r="C1076" s="1716" t="s">
        <v>1239</v>
      </c>
      <c r="D1076" s="1699" t="s">
        <v>1240</v>
      </c>
      <c r="E1076" s="1702"/>
      <c r="AF1076" s="114" t="s">
        <v>2033</v>
      </c>
      <c r="AG1076" s="115" t="s">
        <v>199</v>
      </c>
      <c r="AH1076" s="119">
        <v>3510626</v>
      </c>
      <c r="AI1076" s="115" t="s">
        <v>199</v>
      </c>
      <c r="AJ1076" s="116" t="s">
        <v>199</v>
      </c>
    </row>
    <row r="1077" spans="1:36" ht="22.5" x14ac:dyDescent="0.3">
      <c r="A1077" s="1690"/>
      <c r="B1077" s="1692"/>
      <c r="C1077" s="1692"/>
      <c r="D1077" s="134" t="s">
        <v>2034</v>
      </c>
      <c r="E1077" s="135" t="s">
        <v>2035</v>
      </c>
      <c r="O1077" s="142" t="s">
        <v>2036</v>
      </c>
      <c r="AF1077" s="146" t="s">
        <v>774</v>
      </c>
      <c r="AG1077" s="126">
        <v>10308042</v>
      </c>
      <c r="AH1077" s="126">
        <v>49221090</v>
      </c>
      <c r="AI1077" s="126">
        <v>1981800</v>
      </c>
      <c r="AJ1077" s="127">
        <v>3469722</v>
      </c>
    </row>
    <row r="1078" spans="1:36" x14ac:dyDescent="0.3">
      <c r="A1078" s="109" t="s">
        <v>1243</v>
      </c>
      <c r="B1078" s="111" t="s">
        <v>2037</v>
      </c>
      <c r="C1078" s="111" t="s">
        <v>2038</v>
      </c>
      <c r="D1078" s="117">
        <v>-3590559</v>
      </c>
      <c r="E1078" s="118">
        <v>-8960596</v>
      </c>
      <c r="O1078" s="143"/>
      <c r="AF1078" s="143"/>
    </row>
    <row r="1079" spans="1:36" x14ac:dyDescent="0.3">
      <c r="A1079" s="109" t="s">
        <v>1245</v>
      </c>
      <c r="B1079" s="111" t="s">
        <v>2039</v>
      </c>
      <c r="C1079" s="111" t="s">
        <v>2040</v>
      </c>
      <c r="D1079" s="117">
        <v>-2093822</v>
      </c>
      <c r="E1079" s="118">
        <v>-2264960</v>
      </c>
      <c r="O1079" s="142" t="s">
        <v>1835</v>
      </c>
      <c r="AF1079" s="142" t="s">
        <v>2041</v>
      </c>
    </row>
    <row r="1080" spans="1:36" x14ac:dyDescent="0.3">
      <c r="A1080" s="109" t="s">
        <v>1246</v>
      </c>
      <c r="B1080" s="111" t="s">
        <v>2042</v>
      </c>
      <c r="C1080" s="111" t="s">
        <v>2043</v>
      </c>
      <c r="D1080" s="117">
        <v>-119544</v>
      </c>
      <c r="E1080" s="118">
        <v>-539344</v>
      </c>
      <c r="O1080" s="128"/>
      <c r="AF1080" s="1752" t="s">
        <v>976</v>
      </c>
      <c r="AG1080" s="1753"/>
      <c r="AH1080" s="1753"/>
      <c r="AI1080" s="1753"/>
      <c r="AJ1080" s="1754"/>
    </row>
    <row r="1081" spans="1:36" x14ac:dyDescent="0.15">
      <c r="A1081" s="109" t="s">
        <v>1248</v>
      </c>
      <c r="B1081" s="111" t="s">
        <v>2044</v>
      </c>
      <c r="C1081" s="111" t="s">
        <v>2045</v>
      </c>
      <c r="D1081" s="117">
        <v>-5259919</v>
      </c>
      <c r="E1081" s="118">
        <v>-7967176</v>
      </c>
      <c r="O1081" s="1728" t="s">
        <v>826</v>
      </c>
      <c r="P1081" s="1729"/>
      <c r="Q1081" s="1729"/>
      <c r="R1081" s="1729"/>
      <c r="S1081" s="1730"/>
      <c r="AF1081" s="1771" t="s">
        <v>977</v>
      </c>
      <c r="AG1081" s="1772" t="s">
        <v>829</v>
      </c>
      <c r="AH1081" s="1773"/>
      <c r="AI1081" s="1772" t="s">
        <v>1001</v>
      </c>
      <c r="AJ1081" s="1774"/>
    </row>
    <row r="1082" spans="1:36" x14ac:dyDescent="0.3">
      <c r="A1082" s="146" t="s">
        <v>774</v>
      </c>
      <c r="B1082" s="123" t="s">
        <v>2046</v>
      </c>
      <c r="C1082" s="136" t="s">
        <v>2047</v>
      </c>
      <c r="D1082" s="126">
        <v>-11063844</v>
      </c>
      <c r="E1082" s="127">
        <v>-19732076</v>
      </c>
      <c r="O1082" s="161" t="s">
        <v>977</v>
      </c>
      <c r="P1082" s="134" t="s">
        <v>1787</v>
      </c>
      <c r="Q1082" s="134" t="s">
        <v>1788</v>
      </c>
      <c r="R1082" s="134" t="s">
        <v>1789</v>
      </c>
      <c r="S1082" s="135" t="s">
        <v>1790</v>
      </c>
      <c r="AF1082" s="1746"/>
      <c r="AG1082" s="156" t="s">
        <v>400</v>
      </c>
      <c r="AH1082" s="156" t="s">
        <v>2019</v>
      </c>
      <c r="AI1082" s="156" t="s">
        <v>400</v>
      </c>
      <c r="AJ1082" s="157" t="s">
        <v>2019</v>
      </c>
    </row>
    <row r="1083" spans="1:36" x14ac:dyDescent="0.3">
      <c r="A1083" s="143"/>
      <c r="O1083" s="109" t="s">
        <v>1793</v>
      </c>
      <c r="P1083" s="158" t="s">
        <v>2048</v>
      </c>
      <c r="Q1083" s="117">
        <v>18814492</v>
      </c>
      <c r="R1083" s="117">
        <v>-38266</v>
      </c>
      <c r="S1083" s="118">
        <v>18776226</v>
      </c>
      <c r="AF1083" s="114" t="s">
        <v>2049</v>
      </c>
      <c r="AG1083" s="119">
        <v>62837</v>
      </c>
      <c r="AH1083" s="119">
        <v>195958</v>
      </c>
      <c r="AI1083" s="119">
        <v>74522</v>
      </c>
      <c r="AJ1083" s="120">
        <v>230446</v>
      </c>
    </row>
    <row r="1084" spans="1:36" ht="22.5" x14ac:dyDescent="0.3">
      <c r="A1084" s="142" t="s">
        <v>2050</v>
      </c>
      <c r="O1084" s="109" t="s">
        <v>1798</v>
      </c>
      <c r="P1084" s="158" t="s">
        <v>2051</v>
      </c>
      <c r="Q1084" s="117">
        <v>100466</v>
      </c>
      <c r="R1084" s="111">
        <v>-328</v>
      </c>
      <c r="S1084" s="118">
        <v>100138</v>
      </c>
      <c r="AF1084" s="114" t="s">
        <v>2052</v>
      </c>
      <c r="AG1084" s="119">
        <v>79164</v>
      </c>
      <c r="AH1084" s="119">
        <v>123294</v>
      </c>
      <c r="AI1084" s="119">
        <v>12547</v>
      </c>
      <c r="AJ1084" s="120">
        <v>133996</v>
      </c>
    </row>
    <row r="1085" spans="1:36" x14ac:dyDescent="0.15">
      <c r="A1085" s="1728" t="s">
        <v>826</v>
      </c>
      <c r="B1085" s="1729"/>
      <c r="C1085" s="1730"/>
      <c r="O1085" s="109" t="s">
        <v>1803</v>
      </c>
      <c r="P1085" s="158" t="s">
        <v>2053</v>
      </c>
      <c r="Q1085" s="117">
        <v>5107</v>
      </c>
      <c r="R1085" s="111" t="s">
        <v>199</v>
      </c>
      <c r="S1085" s="118">
        <v>5107</v>
      </c>
      <c r="AF1085" s="114" t="s">
        <v>2054</v>
      </c>
      <c r="AG1085" s="119">
        <v>-79704</v>
      </c>
      <c r="AH1085" s="119">
        <v>103357</v>
      </c>
      <c r="AI1085" s="119">
        <v>-65310</v>
      </c>
      <c r="AJ1085" s="120">
        <v>5164</v>
      </c>
    </row>
    <row r="1086" spans="1:36" x14ac:dyDescent="0.15">
      <c r="A1086" s="161" t="s">
        <v>977</v>
      </c>
      <c r="B1086" s="210" t="s">
        <v>789</v>
      </c>
      <c r="C1086" s="149" t="s">
        <v>843</v>
      </c>
      <c r="O1086" s="109" t="s">
        <v>1805</v>
      </c>
      <c r="P1086" s="158" t="s">
        <v>2053</v>
      </c>
      <c r="Q1086" s="117">
        <v>39525</v>
      </c>
      <c r="R1086" s="111" t="s">
        <v>199</v>
      </c>
      <c r="S1086" s="118">
        <v>39525</v>
      </c>
      <c r="AF1086" s="114" t="s">
        <v>2055</v>
      </c>
      <c r="AG1086" s="119">
        <v>-255100</v>
      </c>
      <c r="AH1086" s="119">
        <v>2394018</v>
      </c>
      <c r="AI1086" s="115" t="s">
        <v>199</v>
      </c>
      <c r="AJ1086" s="116" t="s">
        <v>199</v>
      </c>
    </row>
    <row r="1087" spans="1:36" x14ac:dyDescent="0.3">
      <c r="A1087" s="109" t="s">
        <v>2056</v>
      </c>
      <c r="B1087" s="117">
        <v>-2123496</v>
      </c>
      <c r="C1087" s="112" t="s">
        <v>2057</v>
      </c>
      <c r="O1087" s="109" t="s">
        <v>1809</v>
      </c>
      <c r="P1087" s="196">
        <v>0.97699999999999998</v>
      </c>
      <c r="Q1087" s="117">
        <v>977397</v>
      </c>
      <c r="R1087" s="117">
        <v>-954873</v>
      </c>
      <c r="S1087" s="118">
        <v>22524</v>
      </c>
      <c r="AF1087" s="114" t="s">
        <v>2058</v>
      </c>
      <c r="AG1087" s="115" t="s">
        <v>199</v>
      </c>
      <c r="AH1087" s="115" t="s">
        <v>199</v>
      </c>
      <c r="AI1087" s="119">
        <v>-10604818</v>
      </c>
      <c r="AJ1087" s="120">
        <v>7995295</v>
      </c>
    </row>
    <row r="1088" spans="1:36" x14ac:dyDescent="0.3">
      <c r="A1088" s="121" t="s">
        <v>2059</v>
      </c>
      <c r="B1088" s="123" t="s">
        <v>2060</v>
      </c>
      <c r="C1088" s="124" t="s">
        <v>2061</v>
      </c>
      <c r="O1088" s="146" t="s">
        <v>774</v>
      </c>
      <c r="P1088" s="159"/>
      <c r="Q1088" s="130">
        <v>19936987</v>
      </c>
      <c r="R1088" s="130">
        <v>-993467</v>
      </c>
      <c r="S1088" s="131">
        <v>18943520</v>
      </c>
      <c r="AF1088" s="146" t="s">
        <v>774</v>
      </c>
      <c r="AG1088" s="126">
        <v>-192802</v>
      </c>
      <c r="AH1088" s="126">
        <v>2816627</v>
      </c>
      <c r="AI1088" s="126">
        <v>-10583059</v>
      </c>
      <c r="AJ1088" s="127">
        <v>8364901</v>
      </c>
    </row>
    <row r="1089" spans="1:36" x14ac:dyDescent="0.3">
      <c r="A1089" s="142" t="s">
        <v>2062</v>
      </c>
    </row>
    <row r="1090" spans="1:36" x14ac:dyDescent="0.3">
      <c r="A1090" s="143"/>
      <c r="O1090" s="142" t="s">
        <v>1100</v>
      </c>
    </row>
    <row r="1091" spans="1:36" x14ac:dyDescent="0.3">
      <c r="A1091" s="143"/>
      <c r="O1091" s="128"/>
      <c r="AF1091" s="142" t="s">
        <v>2063</v>
      </c>
    </row>
    <row r="1092" spans="1:36" x14ac:dyDescent="0.15">
      <c r="A1092" s="142" t="s">
        <v>2064</v>
      </c>
      <c r="O1092" s="1728" t="s">
        <v>826</v>
      </c>
      <c r="P1092" s="1729"/>
      <c r="Q1092" s="1729"/>
      <c r="R1092" s="1729"/>
      <c r="S1092" s="1730"/>
      <c r="AF1092" s="143"/>
    </row>
    <row r="1093" spans="1:36" x14ac:dyDescent="0.3">
      <c r="A1093" s="143"/>
      <c r="O1093" s="161" t="s">
        <v>977</v>
      </c>
      <c r="P1093" s="134" t="s">
        <v>1787</v>
      </c>
      <c r="Q1093" s="134" t="s">
        <v>1788</v>
      </c>
      <c r="R1093" s="134" t="s">
        <v>1789</v>
      </c>
      <c r="S1093" s="135" t="s">
        <v>1790</v>
      </c>
      <c r="AF1093" s="142" t="s">
        <v>2065</v>
      </c>
    </row>
    <row r="1094" spans="1:36" x14ac:dyDescent="0.3">
      <c r="A1094" s="142" t="s">
        <v>2066</v>
      </c>
      <c r="O1094" s="109" t="s">
        <v>1793</v>
      </c>
      <c r="P1094" s="158" t="s">
        <v>2067</v>
      </c>
      <c r="Q1094" s="117">
        <v>21746123</v>
      </c>
      <c r="R1094" s="117">
        <v>-178669</v>
      </c>
      <c r="S1094" s="118">
        <v>21567454</v>
      </c>
      <c r="AF1094" s="1695" t="s">
        <v>976</v>
      </c>
      <c r="AG1094" s="1696"/>
      <c r="AH1094" s="1696"/>
      <c r="AI1094" s="1696"/>
      <c r="AJ1094" s="1697"/>
    </row>
    <row r="1095" spans="1:36" x14ac:dyDescent="0.3">
      <c r="A1095" s="1695" t="s">
        <v>826</v>
      </c>
      <c r="B1095" s="1696"/>
      <c r="C1095" s="1697"/>
      <c r="O1095" s="109" t="s">
        <v>1798</v>
      </c>
      <c r="P1095" s="158" t="s">
        <v>2068</v>
      </c>
      <c r="Q1095" s="117">
        <v>494170</v>
      </c>
      <c r="R1095" s="117">
        <v>-44084</v>
      </c>
      <c r="S1095" s="118">
        <v>450086</v>
      </c>
      <c r="AF1095" s="1698" t="s">
        <v>977</v>
      </c>
      <c r="AG1095" s="1699" t="s">
        <v>829</v>
      </c>
      <c r="AH1095" s="1701"/>
      <c r="AI1095" s="1699" t="s">
        <v>1001</v>
      </c>
      <c r="AJ1095" s="1702"/>
    </row>
    <row r="1096" spans="1:36" x14ac:dyDescent="0.3">
      <c r="A1096" s="161" t="s">
        <v>788</v>
      </c>
      <c r="B1096" s="134" t="s">
        <v>820</v>
      </c>
      <c r="C1096" s="135" t="s">
        <v>787</v>
      </c>
      <c r="O1096" s="109" t="s">
        <v>1803</v>
      </c>
      <c r="P1096" s="158" t="s">
        <v>2053</v>
      </c>
      <c r="Q1096" s="117">
        <v>4064</v>
      </c>
      <c r="R1096" s="111" t="s">
        <v>199</v>
      </c>
      <c r="S1096" s="118">
        <v>4064</v>
      </c>
      <c r="AF1096" s="1690"/>
      <c r="AG1096" s="134" t="s">
        <v>400</v>
      </c>
      <c r="AH1096" s="134" t="s">
        <v>401</v>
      </c>
      <c r="AI1096" s="134" t="s">
        <v>400</v>
      </c>
      <c r="AJ1096" s="135" t="s">
        <v>401</v>
      </c>
    </row>
    <row r="1097" spans="1:36" x14ac:dyDescent="0.3">
      <c r="A1097" s="1703" t="s">
        <v>1263</v>
      </c>
      <c r="B1097" s="1704"/>
      <c r="C1097" s="1727"/>
      <c r="O1097" s="109" t="s">
        <v>1805</v>
      </c>
      <c r="P1097" s="196">
        <v>0.82130000000000003</v>
      </c>
      <c r="Q1097" s="117">
        <v>30242</v>
      </c>
      <c r="R1097" s="117">
        <v>-24837</v>
      </c>
      <c r="S1097" s="118">
        <v>5405</v>
      </c>
      <c r="AF1097" s="114" t="s">
        <v>2069</v>
      </c>
      <c r="AG1097" s="115" t="s">
        <v>199</v>
      </c>
      <c r="AH1097" s="119">
        <v>63636</v>
      </c>
      <c r="AI1097" s="115" t="s">
        <v>199</v>
      </c>
      <c r="AJ1097" s="120">
        <v>5241</v>
      </c>
    </row>
    <row r="1098" spans="1:36" x14ac:dyDescent="0.15">
      <c r="A1098" s="114" t="s">
        <v>1265</v>
      </c>
      <c r="B1098" s="179" t="s">
        <v>2070</v>
      </c>
      <c r="C1098" s="185" t="s">
        <v>2071</v>
      </c>
      <c r="O1098" s="109" t="s">
        <v>1809</v>
      </c>
      <c r="P1098" s="196">
        <v>0.99990000000000001</v>
      </c>
      <c r="Q1098" s="117">
        <v>1156115</v>
      </c>
      <c r="R1098" s="117">
        <v>-1156040</v>
      </c>
      <c r="S1098" s="112">
        <v>75</v>
      </c>
      <c r="AF1098" s="114" t="s">
        <v>2072</v>
      </c>
      <c r="AG1098" s="119">
        <v>9749</v>
      </c>
      <c r="AH1098" s="119">
        <v>225477</v>
      </c>
      <c r="AI1098" s="119">
        <v>22549</v>
      </c>
      <c r="AJ1098" s="120">
        <v>49737</v>
      </c>
    </row>
    <row r="1099" spans="1:36" x14ac:dyDescent="0.15">
      <c r="A1099" s="114" t="s">
        <v>1267</v>
      </c>
      <c r="B1099" s="179" t="s">
        <v>2073</v>
      </c>
      <c r="C1099" s="185" t="s">
        <v>2074</v>
      </c>
      <c r="O1099" s="146" t="s">
        <v>774</v>
      </c>
      <c r="P1099" s="159"/>
      <c r="Q1099" s="130">
        <v>23430714</v>
      </c>
      <c r="R1099" s="130">
        <v>-1403630</v>
      </c>
      <c r="S1099" s="131">
        <v>22027084</v>
      </c>
      <c r="AF1099" s="114" t="s">
        <v>2075</v>
      </c>
      <c r="AG1099" s="119">
        <v>800694</v>
      </c>
      <c r="AH1099" s="119">
        <v>816499</v>
      </c>
      <c r="AI1099" s="115" t="s">
        <v>199</v>
      </c>
      <c r="AJ1099" s="116" t="s">
        <v>199</v>
      </c>
    </row>
    <row r="1100" spans="1:36" x14ac:dyDescent="0.15">
      <c r="A1100" s="114" t="s">
        <v>2076</v>
      </c>
      <c r="B1100" s="179" t="s">
        <v>2077</v>
      </c>
      <c r="C1100" s="185" t="s">
        <v>2078</v>
      </c>
      <c r="AF1100" s="114" t="s">
        <v>2079</v>
      </c>
      <c r="AG1100" s="115" t="s">
        <v>199</v>
      </c>
      <c r="AH1100" s="119">
        <v>61773</v>
      </c>
      <c r="AI1100" s="115" t="s">
        <v>199</v>
      </c>
      <c r="AJ1100" s="116" t="s">
        <v>199</v>
      </c>
    </row>
    <row r="1101" spans="1:36" x14ac:dyDescent="0.15">
      <c r="A1101" s="114" t="s">
        <v>2080</v>
      </c>
      <c r="B1101" s="179" t="s">
        <v>2081</v>
      </c>
      <c r="C1101" s="185" t="s">
        <v>2082</v>
      </c>
      <c r="O1101" s="142" t="s">
        <v>2083</v>
      </c>
      <c r="AF1101" s="146" t="s">
        <v>774</v>
      </c>
      <c r="AG1101" s="126">
        <v>810443</v>
      </c>
      <c r="AH1101" s="126">
        <v>1167385</v>
      </c>
      <c r="AI1101" s="126">
        <v>22549</v>
      </c>
      <c r="AJ1101" s="127">
        <v>54978</v>
      </c>
    </row>
    <row r="1102" spans="1:36" x14ac:dyDescent="0.15">
      <c r="A1102" s="162" t="s">
        <v>980</v>
      </c>
      <c r="B1102" s="179" t="s">
        <v>2084</v>
      </c>
      <c r="C1102" s="185" t="s">
        <v>2085</v>
      </c>
      <c r="O1102" s="143"/>
      <c r="AF1102" s="143"/>
    </row>
    <row r="1103" spans="1:36" ht="22.5" x14ac:dyDescent="0.3">
      <c r="A1103" s="1703" t="s">
        <v>2086</v>
      </c>
      <c r="B1103" s="1704"/>
      <c r="C1103" s="1727"/>
      <c r="O1103" s="142" t="s">
        <v>2087</v>
      </c>
      <c r="AF1103" s="142" t="s">
        <v>2088</v>
      </c>
    </row>
    <row r="1104" spans="1:36" x14ac:dyDescent="0.15">
      <c r="A1104" s="114" t="s">
        <v>2089</v>
      </c>
      <c r="B1104" s="179" t="s">
        <v>1420</v>
      </c>
      <c r="C1104" s="185" t="s">
        <v>2090</v>
      </c>
      <c r="AF1104" s="1695" t="s">
        <v>976</v>
      </c>
      <c r="AG1104" s="1696"/>
      <c r="AH1104" s="1696"/>
      <c r="AI1104" s="1696"/>
      <c r="AJ1104" s="1697"/>
    </row>
    <row r="1105" spans="1:36" x14ac:dyDescent="0.15">
      <c r="A1105" s="114" t="s">
        <v>2091</v>
      </c>
      <c r="B1105" s="179" t="s">
        <v>1420</v>
      </c>
      <c r="C1105" s="185" t="s">
        <v>2092</v>
      </c>
      <c r="O1105" s="142" t="s">
        <v>2005</v>
      </c>
      <c r="AF1105" s="1698" t="s">
        <v>977</v>
      </c>
      <c r="AG1105" s="1699" t="s">
        <v>829</v>
      </c>
      <c r="AH1105" s="1701"/>
      <c r="AI1105" s="1699" t="s">
        <v>1001</v>
      </c>
      <c r="AJ1105" s="1702"/>
    </row>
    <row r="1106" spans="1:36" x14ac:dyDescent="0.15">
      <c r="A1106" s="162" t="s">
        <v>980</v>
      </c>
      <c r="B1106" s="179" t="s">
        <v>1420</v>
      </c>
      <c r="C1106" s="185" t="s">
        <v>2093</v>
      </c>
      <c r="O1106" s="1695" t="s">
        <v>826</v>
      </c>
      <c r="P1106" s="1696"/>
      <c r="Q1106" s="1696"/>
      <c r="R1106" s="1696"/>
      <c r="S1106" s="1697"/>
      <c r="AF1106" s="1690"/>
      <c r="AG1106" s="134" t="s">
        <v>400</v>
      </c>
      <c r="AH1106" s="134" t="s">
        <v>401</v>
      </c>
      <c r="AI1106" s="134" t="s">
        <v>400</v>
      </c>
      <c r="AJ1106" s="135" t="s">
        <v>401</v>
      </c>
    </row>
    <row r="1107" spans="1:36" x14ac:dyDescent="0.15">
      <c r="A1107" s="146" t="s">
        <v>774</v>
      </c>
      <c r="B1107" s="181" t="s">
        <v>2084</v>
      </c>
      <c r="C1107" s="137" t="s">
        <v>2094</v>
      </c>
      <c r="O1107" s="1698" t="s">
        <v>1237</v>
      </c>
      <c r="P1107" s="1716" t="s">
        <v>1238</v>
      </c>
      <c r="Q1107" s="1716" t="s">
        <v>1239</v>
      </c>
      <c r="R1107" s="1699" t="s">
        <v>1240</v>
      </c>
      <c r="S1107" s="1702"/>
      <c r="AF1107" s="114" t="s">
        <v>2095</v>
      </c>
      <c r="AG1107" s="119">
        <v>62881</v>
      </c>
      <c r="AH1107" s="119">
        <v>62881</v>
      </c>
      <c r="AI1107" s="115" t="s">
        <v>2096</v>
      </c>
      <c r="AJ1107" s="116" t="s">
        <v>2097</v>
      </c>
    </row>
    <row r="1108" spans="1:36" x14ac:dyDescent="0.3">
      <c r="O1108" s="1690"/>
      <c r="P1108" s="1692"/>
      <c r="Q1108" s="1692"/>
      <c r="R1108" s="134" t="s">
        <v>1241</v>
      </c>
      <c r="S1108" s="135" t="s">
        <v>1242</v>
      </c>
      <c r="AF1108" s="114" t="s">
        <v>2098</v>
      </c>
      <c r="AG1108" s="119">
        <v>242687</v>
      </c>
      <c r="AH1108" s="119">
        <v>242687</v>
      </c>
      <c r="AI1108" s="115" t="s">
        <v>2099</v>
      </c>
      <c r="AJ1108" s="116" t="s">
        <v>2099</v>
      </c>
    </row>
    <row r="1109" spans="1:36" x14ac:dyDescent="0.3">
      <c r="O1109" s="109" t="s">
        <v>1243</v>
      </c>
      <c r="P1109" s="219">
        <v>9552030</v>
      </c>
      <c r="Q1109" s="219">
        <v>3593638</v>
      </c>
      <c r="R1109" s="219">
        <v>1957082</v>
      </c>
      <c r="S1109" s="220">
        <v>-5958392</v>
      </c>
      <c r="AF1109" s="114" t="s">
        <v>2100</v>
      </c>
      <c r="AG1109" s="115" t="s">
        <v>199</v>
      </c>
      <c r="AH1109" s="115" t="s">
        <v>199</v>
      </c>
      <c r="AI1109" s="119">
        <v>6082</v>
      </c>
      <c r="AJ1109" s="120">
        <v>6082</v>
      </c>
    </row>
    <row r="1110" spans="1:36" x14ac:dyDescent="0.3">
      <c r="A1110" s="142" t="s">
        <v>1330</v>
      </c>
      <c r="O1110" s="109" t="s">
        <v>1245</v>
      </c>
      <c r="P1110" s="219">
        <v>2308843</v>
      </c>
      <c r="Q1110" s="219">
        <v>1288548</v>
      </c>
      <c r="R1110" s="219">
        <v>459822</v>
      </c>
      <c r="S1110" s="220">
        <v>-1020296</v>
      </c>
      <c r="AF1110" s="114" t="s">
        <v>2101</v>
      </c>
      <c r="AG1110" s="115">
        <v>217</v>
      </c>
      <c r="AH1110" s="115">
        <v>217</v>
      </c>
      <c r="AI1110" s="115" t="s">
        <v>199</v>
      </c>
      <c r="AJ1110" s="116" t="s">
        <v>199</v>
      </c>
    </row>
    <row r="1111" spans="1:36" x14ac:dyDescent="0.3">
      <c r="A1111" s="143"/>
      <c r="O1111" s="109" t="s">
        <v>1246</v>
      </c>
      <c r="P1111" s="219">
        <v>1086078</v>
      </c>
      <c r="Q1111" s="219">
        <v>684525</v>
      </c>
      <c r="R1111" s="219">
        <v>822174</v>
      </c>
      <c r="S1111" s="220">
        <v>-401553</v>
      </c>
      <c r="AF1111" s="114" t="s">
        <v>2102</v>
      </c>
      <c r="AG1111" s="115">
        <v>247</v>
      </c>
      <c r="AH1111" s="119">
        <v>24877</v>
      </c>
      <c r="AI1111" s="119">
        <v>1034</v>
      </c>
      <c r="AJ1111" s="120">
        <v>1279</v>
      </c>
    </row>
    <row r="1112" spans="1:36" x14ac:dyDescent="0.3">
      <c r="A1112" s="142" t="s">
        <v>2103</v>
      </c>
      <c r="O1112" s="109" t="s">
        <v>1248</v>
      </c>
      <c r="P1112" s="219">
        <v>7634990</v>
      </c>
      <c r="Q1112" s="219">
        <v>2091732</v>
      </c>
      <c r="R1112" s="219">
        <v>1369192</v>
      </c>
      <c r="S1112" s="220">
        <v>-5543257</v>
      </c>
      <c r="AF1112" s="114" t="s">
        <v>2104</v>
      </c>
      <c r="AG1112" s="115" t="s">
        <v>199</v>
      </c>
      <c r="AH1112" s="115" t="s">
        <v>199</v>
      </c>
      <c r="AI1112" s="115">
        <v>421</v>
      </c>
      <c r="AJ1112" s="120">
        <v>1459</v>
      </c>
    </row>
    <row r="1113" spans="1:36" x14ac:dyDescent="0.3">
      <c r="A1113" s="142"/>
      <c r="O1113" s="146" t="s">
        <v>774</v>
      </c>
      <c r="P1113" s="221">
        <v>20581941</v>
      </c>
      <c r="Q1113" s="233">
        <v>7658443</v>
      </c>
      <c r="R1113" s="233">
        <v>4608270</v>
      </c>
      <c r="S1113" s="234">
        <v>-12923498</v>
      </c>
      <c r="AF1113" s="114" t="s">
        <v>2105</v>
      </c>
      <c r="AG1113" s="115" t="s">
        <v>199</v>
      </c>
      <c r="AH1113" s="115" t="s">
        <v>199</v>
      </c>
      <c r="AI1113" s="119">
        <v>523004</v>
      </c>
      <c r="AJ1113" s="120">
        <v>523004</v>
      </c>
    </row>
    <row r="1114" spans="1:36" x14ac:dyDescent="0.3">
      <c r="A1114" s="142" t="s">
        <v>2106</v>
      </c>
      <c r="O1114" s="143"/>
      <c r="AF1114" s="146" t="s">
        <v>2107</v>
      </c>
      <c r="AG1114" s="126">
        <v>306032</v>
      </c>
      <c r="AH1114" s="126">
        <v>330662</v>
      </c>
      <c r="AI1114" s="126">
        <v>530541</v>
      </c>
      <c r="AJ1114" s="127">
        <v>531824</v>
      </c>
    </row>
    <row r="1115" spans="1:36" x14ac:dyDescent="0.3">
      <c r="A1115" s="128"/>
      <c r="O1115" s="142" t="s">
        <v>1100</v>
      </c>
    </row>
    <row r="1116" spans="1:36" x14ac:dyDescent="0.3">
      <c r="A1116" s="128"/>
      <c r="O1116" s="1695" t="s">
        <v>826</v>
      </c>
      <c r="P1116" s="1696"/>
      <c r="Q1116" s="1696"/>
      <c r="R1116" s="1696"/>
      <c r="S1116" s="1697"/>
      <c r="AF1116" s="142" t="s">
        <v>2108</v>
      </c>
    </row>
    <row r="1117" spans="1:36" x14ac:dyDescent="0.3">
      <c r="A1117" s="1695" t="s">
        <v>826</v>
      </c>
      <c r="B1117" s="1696"/>
      <c r="C1117" s="1696"/>
      <c r="D1117" s="1696"/>
      <c r="E1117" s="1697"/>
      <c r="O1117" s="1698" t="s">
        <v>1237</v>
      </c>
      <c r="P1117" s="1716" t="s">
        <v>1238</v>
      </c>
      <c r="Q1117" s="1716" t="s">
        <v>1239</v>
      </c>
      <c r="R1117" s="1699" t="s">
        <v>1240</v>
      </c>
      <c r="S1117" s="1702"/>
      <c r="AF1117" s="143"/>
    </row>
    <row r="1118" spans="1:36" ht="22.5" x14ac:dyDescent="0.3">
      <c r="A1118" s="161" t="s">
        <v>977</v>
      </c>
      <c r="B1118" s="134" t="s">
        <v>1295</v>
      </c>
      <c r="C1118" s="134" t="s">
        <v>1337</v>
      </c>
      <c r="D1118" s="134" t="s">
        <v>1338</v>
      </c>
      <c r="E1118" s="135" t="s">
        <v>1061</v>
      </c>
      <c r="O1118" s="1690"/>
      <c r="P1118" s="1692"/>
      <c r="Q1118" s="1692"/>
      <c r="R1118" s="134" t="s">
        <v>1241</v>
      </c>
      <c r="S1118" s="135" t="s">
        <v>1242</v>
      </c>
      <c r="AF1118" s="142" t="s">
        <v>2109</v>
      </c>
    </row>
    <row r="1119" spans="1:36" x14ac:dyDescent="0.3">
      <c r="A1119" s="114" t="s">
        <v>1138</v>
      </c>
      <c r="B1119" s="115" t="s">
        <v>2110</v>
      </c>
      <c r="C1119" s="119">
        <v>-24297</v>
      </c>
      <c r="D1119" s="115" t="s">
        <v>1420</v>
      </c>
      <c r="E1119" s="116" t="s">
        <v>2111</v>
      </c>
      <c r="O1119" s="109" t="s">
        <v>1243</v>
      </c>
      <c r="P1119" s="117">
        <v>9553713</v>
      </c>
      <c r="Q1119" s="117">
        <v>1581578</v>
      </c>
      <c r="R1119" s="117">
        <v>936636</v>
      </c>
      <c r="S1119" s="118">
        <v>-7972135</v>
      </c>
    </row>
    <row r="1120" spans="1:36" x14ac:dyDescent="0.3">
      <c r="A1120" s="114" t="s">
        <v>1142</v>
      </c>
      <c r="B1120" s="115" t="s">
        <v>2112</v>
      </c>
      <c r="C1120" s="119">
        <v>-2329952</v>
      </c>
      <c r="D1120" s="119">
        <v>-202939</v>
      </c>
      <c r="E1120" s="116" t="s">
        <v>2113</v>
      </c>
      <c r="O1120" s="109" t="s">
        <v>1245</v>
      </c>
      <c r="P1120" s="117">
        <v>2835909</v>
      </c>
      <c r="Q1120" s="117">
        <v>957231</v>
      </c>
      <c r="R1120" s="117">
        <v>649332</v>
      </c>
      <c r="S1120" s="118">
        <v>-1878678</v>
      </c>
      <c r="AF1120" s="143"/>
    </row>
    <row r="1121" spans="1:36" x14ac:dyDescent="0.3">
      <c r="A1121" s="114" t="s">
        <v>1146</v>
      </c>
      <c r="B1121" s="115" t="s">
        <v>2114</v>
      </c>
      <c r="C1121" s="119">
        <v>-128878</v>
      </c>
      <c r="D1121" s="119">
        <v>-19482</v>
      </c>
      <c r="E1121" s="116" t="s">
        <v>2115</v>
      </c>
      <c r="O1121" s="109" t="s">
        <v>1246</v>
      </c>
      <c r="P1121" s="117">
        <v>1157115</v>
      </c>
      <c r="Q1121" s="117">
        <v>338848</v>
      </c>
      <c r="R1121" s="117">
        <v>-542575</v>
      </c>
      <c r="S1121" s="118">
        <v>-818267</v>
      </c>
      <c r="AF1121" s="143"/>
    </row>
    <row r="1122" spans="1:36" x14ac:dyDescent="0.3">
      <c r="A1122" s="114" t="s">
        <v>1152</v>
      </c>
      <c r="B1122" s="115" t="s">
        <v>2116</v>
      </c>
      <c r="C1122" s="119">
        <v>-452165</v>
      </c>
      <c r="D1122" s="115">
        <v>-524</v>
      </c>
      <c r="E1122" s="116" t="s">
        <v>2117</v>
      </c>
      <c r="O1122" s="109" t="s">
        <v>1248</v>
      </c>
      <c r="P1122" s="117">
        <v>8663382</v>
      </c>
      <c r="Q1122" s="117">
        <v>1758541</v>
      </c>
      <c r="R1122" s="117">
        <v>1080103</v>
      </c>
      <c r="S1122" s="118">
        <v>-6904841</v>
      </c>
      <c r="AF1122" s="142" t="s">
        <v>2118</v>
      </c>
    </row>
    <row r="1123" spans="1:36" x14ac:dyDescent="0.3">
      <c r="A1123" s="114" t="s">
        <v>1154</v>
      </c>
      <c r="B1123" s="115" t="s">
        <v>2119</v>
      </c>
      <c r="C1123" s="119">
        <v>-2440259</v>
      </c>
      <c r="D1123" s="119">
        <v>-540095</v>
      </c>
      <c r="E1123" s="116" t="s">
        <v>2120</v>
      </c>
      <c r="O1123" s="146" t="s">
        <v>774</v>
      </c>
      <c r="P1123" s="130">
        <v>22210119</v>
      </c>
      <c r="Q1123" s="126">
        <v>4636198</v>
      </c>
      <c r="R1123" s="126">
        <v>2123496</v>
      </c>
      <c r="S1123" s="127">
        <v>-17573921</v>
      </c>
      <c r="AF1123" s="143"/>
    </row>
    <row r="1124" spans="1:36" x14ac:dyDescent="0.3">
      <c r="A1124" s="114" t="s">
        <v>1342</v>
      </c>
      <c r="B1124" s="115" t="s">
        <v>2121</v>
      </c>
      <c r="C1124" s="119">
        <v>-4241326</v>
      </c>
      <c r="D1124" s="115" t="s">
        <v>1420</v>
      </c>
      <c r="E1124" s="116" t="s">
        <v>2122</v>
      </c>
      <c r="O1124" s="143"/>
      <c r="AF1124" s="142" t="s">
        <v>2123</v>
      </c>
    </row>
    <row r="1125" spans="1:36" ht="33.75" x14ac:dyDescent="0.3">
      <c r="A1125" s="114" t="s">
        <v>1156</v>
      </c>
      <c r="B1125" s="115" t="s">
        <v>2124</v>
      </c>
      <c r="C1125" s="119">
        <v>-1300725</v>
      </c>
      <c r="D1125" s="119">
        <v>-1702497</v>
      </c>
      <c r="E1125" s="116" t="s">
        <v>2125</v>
      </c>
      <c r="O1125" s="142" t="s">
        <v>2126</v>
      </c>
    </row>
    <row r="1126" spans="1:36" x14ac:dyDescent="0.3">
      <c r="A1126" s="114" t="s">
        <v>1344</v>
      </c>
      <c r="B1126" s="115" t="s">
        <v>2127</v>
      </c>
      <c r="C1126" s="115" t="s">
        <v>1420</v>
      </c>
      <c r="D1126" s="115" t="s">
        <v>1420</v>
      </c>
      <c r="E1126" s="116" t="s">
        <v>2127</v>
      </c>
      <c r="O1126" s="143"/>
      <c r="AF1126" s="1695" t="s">
        <v>2128</v>
      </c>
      <c r="AG1126" s="1696"/>
      <c r="AH1126" s="1696"/>
      <c r="AI1126" s="1696"/>
      <c r="AJ1126" s="1697"/>
    </row>
    <row r="1127" spans="1:36" x14ac:dyDescent="0.3">
      <c r="A1127" s="146" t="s">
        <v>774</v>
      </c>
      <c r="B1127" s="136" t="s">
        <v>2129</v>
      </c>
      <c r="C1127" s="126">
        <v>-10917602</v>
      </c>
      <c r="D1127" s="126">
        <v>-2465537</v>
      </c>
      <c r="E1127" s="137" t="s">
        <v>2130</v>
      </c>
      <c r="O1127" s="143"/>
      <c r="AF1127" s="1698" t="s">
        <v>977</v>
      </c>
      <c r="AG1127" s="1699" t="s">
        <v>829</v>
      </c>
      <c r="AH1127" s="1701"/>
      <c r="AI1127" s="1699" t="s">
        <v>1001</v>
      </c>
      <c r="AJ1127" s="1702"/>
    </row>
    <row r="1128" spans="1:36" x14ac:dyDescent="0.3">
      <c r="A1128" s="143"/>
      <c r="O1128" s="142" t="s">
        <v>2131</v>
      </c>
      <c r="AF1128" s="1690"/>
      <c r="AG1128" s="134" t="s">
        <v>400</v>
      </c>
      <c r="AH1128" s="134" t="s">
        <v>401</v>
      </c>
      <c r="AI1128" s="134" t="s">
        <v>400</v>
      </c>
      <c r="AJ1128" s="135" t="s">
        <v>401</v>
      </c>
    </row>
    <row r="1129" spans="1:36" x14ac:dyDescent="0.3">
      <c r="A1129" s="142" t="s">
        <v>1347</v>
      </c>
      <c r="O1129" s="143"/>
      <c r="AF1129" s="109" t="s">
        <v>2132</v>
      </c>
      <c r="AG1129" s="119">
        <v>9829845832</v>
      </c>
      <c r="AH1129" s="119">
        <v>45728662407</v>
      </c>
      <c r="AI1129" s="119">
        <v>13778800869</v>
      </c>
      <c r="AJ1129" s="120">
        <v>-1122736577</v>
      </c>
    </row>
    <row r="1130" spans="1:36" x14ac:dyDescent="0.3">
      <c r="A1130" s="1695" t="s">
        <v>826</v>
      </c>
      <c r="B1130" s="1696"/>
      <c r="C1130" s="1696"/>
      <c r="D1130" s="1696"/>
      <c r="E1130" s="1697"/>
      <c r="O1130" s="142" t="s">
        <v>2066</v>
      </c>
      <c r="AF1130" s="109" t="s">
        <v>2133</v>
      </c>
      <c r="AG1130" s="119">
        <v>56859847</v>
      </c>
      <c r="AH1130" s="119">
        <v>56859847</v>
      </c>
      <c r="AI1130" s="119">
        <v>56859047</v>
      </c>
      <c r="AJ1130" s="120">
        <v>56859047</v>
      </c>
    </row>
    <row r="1131" spans="1:36" x14ac:dyDescent="0.3">
      <c r="A1131" s="161" t="s">
        <v>977</v>
      </c>
      <c r="B1131" s="134" t="s">
        <v>1295</v>
      </c>
      <c r="C1131" s="134" t="s">
        <v>1337</v>
      </c>
      <c r="D1131" s="134" t="s">
        <v>1338</v>
      </c>
      <c r="E1131" s="135" t="s">
        <v>1061</v>
      </c>
      <c r="O1131" s="1695" t="s">
        <v>826</v>
      </c>
      <c r="P1131" s="1696"/>
      <c r="Q1131" s="1697"/>
      <c r="AF1131" s="121" t="s">
        <v>2134</v>
      </c>
      <c r="AG1131" s="136">
        <v>173</v>
      </c>
      <c r="AH1131" s="136">
        <v>804</v>
      </c>
      <c r="AI1131" s="136">
        <v>242</v>
      </c>
      <c r="AJ1131" s="137">
        <v>-20</v>
      </c>
    </row>
    <row r="1132" spans="1:36" ht="22.5" x14ac:dyDescent="0.3">
      <c r="A1132" s="114" t="s">
        <v>1138</v>
      </c>
      <c r="B1132" s="115" t="s">
        <v>2110</v>
      </c>
      <c r="C1132" s="119">
        <v>-22424</v>
      </c>
      <c r="D1132" s="115" t="s">
        <v>1420</v>
      </c>
      <c r="E1132" s="116" t="s">
        <v>2135</v>
      </c>
      <c r="O1132" s="161" t="s">
        <v>763</v>
      </c>
      <c r="P1132" s="134" t="s">
        <v>820</v>
      </c>
      <c r="Q1132" s="135" t="s">
        <v>787</v>
      </c>
      <c r="AF1132" s="142" t="s">
        <v>2136</v>
      </c>
    </row>
    <row r="1133" spans="1:36" x14ac:dyDescent="0.3">
      <c r="A1133" s="114" t="s">
        <v>1142</v>
      </c>
      <c r="B1133" s="115" t="s">
        <v>2137</v>
      </c>
      <c r="C1133" s="119">
        <v>-3036886</v>
      </c>
      <c r="D1133" s="119">
        <v>-257564</v>
      </c>
      <c r="E1133" s="116" t="s">
        <v>2138</v>
      </c>
      <c r="O1133" s="1703" t="s">
        <v>1263</v>
      </c>
      <c r="P1133" s="1704"/>
      <c r="Q1133" s="1727"/>
    </row>
    <row r="1134" spans="1:36" x14ac:dyDescent="0.15">
      <c r="A1134" s="114" t="s">
        <v>1146</v>
      </c>
      <c r="B1134" s="115" t="s">
        <v>2114</v>
      </c>
      <c r="C1134" s="119">
        <v>-107784</v>
      </c>
      <c r="D1134" s="119">
        <v>-19482</v>
      </c>
      <c r="E1134" s="116" t="s">
        <v>2139</v>
      </c>
      <c r="O1134" s="114" t="s">
        <v>1265</v>
      </c>
      <c r="P1134" s="183">
        <v>12701376</v>
      </c>
      <c r="Q1134" s="180">
        <v>1753431</v>
      </c>
      <c r="AF1134" s="142" t="s">
        <v>2140</v>
      </c>
    </row>
    <row r="1135" spans="1:36" x14ac:dyDescent="0.15">
      <c r="A1135" s="114" t="s">
        <v>1152</v>
      </c>
      <c r="B1135" s="115" t="s">
        <v>2141</v>
      </c>
      <c r="C1135" s="119">
        <v>-433497</v>
      </c>
      <c r="D1135" s="115">
        <v>-524</v>
      </c>
      <c r="E1135" s="116" t="s">
        <v>2142</v>
      </c>
      <c r="O1135" s="114" t="s">
        <v>1267</v>
      </c>
      <c r="P1135" s="183">
        <v>2471738</v>
      </c>
      <c r="Q1135" s="180">
        <v>1203258</v>
      </c>
      <c r="AF1135" s="1752" t="s">
        <v>2128</v>
      </c>
      <c r="AG1135" s="1753"/>
      <c r="AH1135" s="1754"/>
    </row>
    <row r="1136" spans="1:36" x14ac:dyDescent="0.15">
      <c r="A1136" s="114" t="s">
        <v>1154</v>
      </c>
      <c r="B1136" s="115" t="s">
        <v>2143</v>
      </c>
      <c r="C1136" s="119">
        <v>-1998291</v>
      </c>
      <c r="D1136" s="119">
        <v>-540095</v>
      </c>
      <c r="E1136" s="116" t="s">
        <v>2144</v>
      </c>
      <c r="O1136" s="114" t="s">
        <v>2076</v>
      </c>
      <c r="P1136" s="183">
        <v>86198</v>
      </c>
      <c r="Q1136" s="180">
        <v>93286</v>
      </c>
      <c r="AF1136" s="194" t="s">
        <v>977</v>
      </c>
      <c r="AG1136" s="156" t="s">
        <v>400</v>
      </c>
      <c r="AH1136" s="157" t="s">
        <v>401</v>
      </c>
    </row>
    <row r="1137" spans="1:34" x14ac:dyDescent="0.15">
      <c r="A1137" s="114" t="s">
        <v>1342</v>
      </c>
      <c r="B1137" s="115" t="s">
        <v>2145</v>
      </c>
      <c r="C1137" s="119">
        <v>-2466197</v>
      </c>
      <c r="D1137" s="115" t="s">
        <v>1420</v>
      </c>
      <c r="E1137" s="116" t="s">
        <v>2146</v>
      </c>
      <c r="O1137" s="114" t="s">
        <v>2080</v>
      </c>
      <c r="P1137" s="179" t="s">
        <v>199</v>
      </c>
      <c r="Q1137" s="180">
        <v>136473</v>
      </c>
      <c r="AF1137" s="109" t="s">
        <v>2147</v>
      </c>
      <c r="AG1137" s="119">
        <v>1480877762</v>
      </c>
      <c r="AH1137" s="120">
        <v>4365647465</v>
      </c>
    </row>
    <row r="1138" spans="1:34" x14ac:dyDescent="0.15">
      <c r="A1138" s="114" t="s">
        <v>1156</v>
      </c>
      <c r="B1138" s="115" t="s">
        <v>2148</v>
      </c>
      <c r="C1138" s="119">
        <v>-1284391</v>
      </c>
      <c r="D1138" s="119">
        <v>-1702497</v>
      </c>
      <c r="E1138" s="116" t="s">
        <v>2149</v>
      </c>
      <c r="O1138" s="146" t="s">
        <v>774</v>
      </c>
      <c r="P1138" s="184">
        <v>15259312</v>
      </c>
      <c r="Q1138" s="127">
        <v>3186448</v>
      </c>
      <c r="AF1138" s="109" t="s">
        <v>2150</v>
      </c>
      <c r="AG1138" s="119">
        <v>75621573</v>
      </c>
      <c r="AH1138" s="120">
        <v>75621573</v>
      </c>
    </row>
    <row r="1139" spans="1:34" x14ac:dyDescent="0.3">
      <c r="A1139" s="146" t="s">
        <v>774</v>
      </c>
      <c r="B1139" s="136" t="s">
        <v>2151</v>
      </c>
      <c r="C1139" s="126">
        <v>-9349470</v>
      </c>
      <c r="D1139" s="126">
        <v>-2520162</v>
      </c>
      <c r="E1139" s="137" t="s">
        <v>2152</v>
      </c>
      <c r="O1139" s="143"/>
      <c r="AF1139" s="121" t="s">
        <v>2153</v>
      </c>
      <c r="AG1139" s="136">
        <v>20</v>
      </c>
      <c r="AH1139" s="137">
        <v>58</v>
      </c>
    </row>
    <row r="1140" spans="1:34" ht="22.5" x14ac:dyDescent="0.3">
      <c r="O1140" s="143"/>
      <c r="AF1140" s="142" t="s">
        <v>2154</v>
      </c>
    </row>
    <row r="1141" spans="1:34" ht="22.5" x14ac:dyDescent="0.3">
      <c r="A1141" s="142" t="s">
        <v>2155</v>
      </c>
      <c r="O1141" s="142" t="s">
        <v>2156</v>
      </c>
    </row>
    <row r="1142" spans="1:34" x14ac:dyDescent="0.3">
      <c r="A1142" s="143"/>
      <c r="AF1142" s="142" t="s">
        <v>2157</v>
      </c>
    </row>
    <row r="1143" spans="1:34" x14ac:dyDescent="0.3">
      <c r="A1143" s="142" t="s">
        <v>840</v>
      </c>
      <c r="O1143" s="142" t="s">
        <v>2158</v>
      </c>
      <c r="AF1143" s="1752" t="s">
        <v>1569</v>
      </c>
      <c r="AG1143" s="1753"/>
      <c r="AH1143" s="1754"/>
    </row>
    <row r="1144" spans="1:34" x14ac:dyDescent="0.3">
      <c r="A1144" s="128"/>
      <c r="O1144" s="128"/>
      <c r="AF1144" s="194" t="s">
        <v>977</v>
      </c>
      <c r="AG1144" s="156" t="s">
        <v>400</v>
      </c>
      <c r="AH1144" s="157" t="s">
        <v>401</v>
      </c>
    </row>
    <row r="1145" spans="1:34" x14ac:dyDescent="0.3">
      <c r="A1145" s="1695" t="s">
        <v>826</v>
      </c>
      <c r="B1145" s="1696"/>
      <c r="C1145" s="1696"/>
      <c r="D1145" s="1696"/>
      <c r="E1145" s="1696"/>
      <c r="F1145" s="1696"/>
      <c r="G1145" s="1696"/>
      <c r="H1145" s="1696"/>
      <c r="I1145" s="1696"/>
      <c r="J1145" s="1697"/>
      <c r="O1145" s="1745" t="s">
        <v>780</v>
      </c>
      <c r="P1145" s="1747" t="s">
        <v>817</v>
      </c>
      <c r="Q1145" s="1747" t="s">
        <v>782</v>
      </c>
      <c r="R1145" s="1747" t="s">
        <v>818</v>
      </c>
      <c r="S1145" s="1747" t="s">
        <v>784</v>
      </c>
      <c r="T1145" s="1749" t="s">
        <v>785</v>
      </c>
      <c r="U1145" s="1750"/>
      <c r="AF1145" s="109" t="s">
        <v>2159</v>
      </c>
      <c r="AG1145" s="115" t="s">
        <v>2160</v>
      </c>
      <c r="AH1145" s="116" t="s">
        <v>2161</v>
      </c>
    </row>
    <row r="1146" spans="1:34" x14ac:dyDescent="0.3">
      <c r="A1146" s="161" t="s">
        <v>788</v>
      </c>
      <c r="B1146" s="134" t="s">
        <v>1138</v>
      </c>
      <c r="C1146" s="134" t="s">
        <v>1142</v>
      </c>
      <c r="D1146" s="134" t="s">
        <v>1146</v>
      </c>
      <c r="E1146" s="134" t="s">
        <v>1152</v>
      </c>
      <c r="F1146" s="134" t="s">
        <v>1154</v>
      </c>
      <c r="G1146" s="134" t="s">
        <v>1342</v>
      </c>
      <c r="H1146" s="134" t="s">
        <v>1156</v>
      </c>
      <c r="I1146" s="134" t="s">
        <v>1344</v>
      </c>
      <c r="J1146" s="135" t="s">
        <v>1359</v>
      </c>
      <c r="O1146" s="1746"/>
      <c r="P1146" s="1748"/>
      <c r="Q1146" s="1748"/>
      <c r="R1146" s="1748"/>
      <c r="S1146" s="1748"/>
      <c r="T1146" s="156" t="s">
        <v>820</v>
      </c>
      <c r="U1146" s="157" t="s">
        <v>787</v>
      </c>
      <c r="AF1146" s="109" t="s">
        <v>2162</v>
      </c>
      <c r="AG1146" s="119">
        <v>-8348968070</v>
      </c>
      <c r="AH1146" s="120">
        <v>-41363014942</v>
      </c>
    </row>
    <row r="1147" spans="1:34" x14ac:dyDescent="0.3">
      <c r="A1147" s="114" t="s">
        <v>2163</v>
      </c>
      <c r="B1147" s="115" t="s">
        <v>2135</v>
      </c>
      <c r="C1147" s="115" t="s">
        <v>2138</v>
      </c>
      <c r="D1147" s="115" t="s">
        <v>2139</v>
      </c>
      <c r="E1147" s="115" t="s">
        <v>2142</v>
      </c>
      <c r="F1147" s="115" t="s">
        <v>2144</v>
      </c>
      <c r="G1147" s="115" t="s">
        <v>2146</v>
      </c>
      <c r="H1147" s="115" t="s">
        <v>2149</v>
      </c>
      <c r="I1147" s="115" t="s">
        <v>1420</v>
      </c>
      <c r="J1147" s="116" t="s">
        <v>2152</v>
      </c>
      <c r="O1147" s="1703" t="s">
        <v>2164</v>
      </c>
      <c r="P1147" s="1704"/>
      <c r="Q1147" s="1704"/>
      <c r="R1147" s="1704"/>
      <c r="S1147" s="1704"/>
      <c r="T1147" s="1704"/>
      <c r="U1147" s="1727"/>
      <c r="AF1147" s="121" t="s">
        <v>2165</v>
      </c>
      <c r="AG1147" s="136" t="s">
        <v>2166</v>
      </c>
      <c r="AH1147" s="137" t="s">
        <v>2167</v>
      </c>
    </row>
    <row r="1148" spans="1:34" ht="22.5" x14ac:dyDescent="0.3">
      <c r="A1148" s="114" t="s">
        <v>2168</v>
      </c>
      <c r="B1148" s="115" t="s">
        <v>1420</v>
      </c>
      <c r="C1148" s="115" t="s">
        <v>2169</v>
      </c>
      <c r="D1148" s="115" t="s">
        <v>1420</v>
      </c>
      <c r="E1148" s="115" t="s">
        <v>1420</v>
      </c>
      <c r="F1148" s="115" t="s">
        <v>2170</v>
      </c>
      <c r="G1148" s="115" t="s">
        <v>2171</v>
      </c>
      <c r="H1148" s="115" t="s">
        <v>1420</v>
      </c>
      <c r="I1148" s="115" t="s">
        <v>2172</v>
      </c>
      <c r="J1148" s="116" t="s">
        <v>2173</v>
      </c>
      <c r="O1148" s="125" t="s">
        <v>822</v>
      </c>
      <c r="P1148" s="122" t="s">
        <v>1282</v>
      </c>
      <c r="Q1148" s="159" t="s">
        <v>804</v>
      </c>
      <c r="R1148" s="122" t="s">
        <v>2174</v>
      </c>
      <c r="S1148" s="159" t="s">
        <v>795</v>
      </c>
      <c r="T1148" s="147">
        <v>8.8599999999999998E-2</v>
      </c>
      <c r="U1148" s="137" t="s">
        <v>199</v>
      </c>
      <c r="AF1148" s="142" t="s">
        <v>2154</v>
      </c>
    </row>
    <row r="1149" spans="1:34" ht="56.25" x14ac:dyDescent="0.3">
      <c r="A1149" s="114" t="s">
        <v>2175</v>
      </c>
      <c r="B1149" s="115" t="s">
        <v>1420</v>
      </c>
      <c r="C1149" s="115">
        <v>-139</v>
      </c>
      <c r="D1149" s="115" t="s">
        <v>1420</v>
      </c>
      <c r="E1149" s="115" t="s">
        <v>1420</v>
      </c>
      <c r="F1149" s="115">
        <v>-598</v>
      </c>
      <c r="G1149" s="119">
        <v>-458939</v>
      </c>
      <c r="H1149" s="115">
        <v>-1</v>
      </c>
      <c r="I1149" s="115" t="s">
        <v>1420</v>
      </c>
      <c r="J1149" s="120">
        <v>-459677</v>
      </c>
      <c r="O1149" s="142" t="s">
        <v>2176</v>
      </c>
    </row>
    <row r="1150" spans="1:34" ht="33.75" x14ac:dyDescent="0.3">
      <c r="A1150" s="114" t="s">
        <v>1988</v>
      </c>
      <c r="B1150" s="119">
        <v>-1873</v>
      </c>
      <c r="C1150" s="119">
        <v>-454845</v>
      </c>
      <c r="D1150" s="119">
        <v>-21094</v>
      </c>
      <c r="E1150" s="119">
        <v>-18667</v>
      </c>
      <c r="F1150" s="119">
        <v>-448460</v>
      </c>
      <c r="G1150" s="119">
        <v>-2335859</v>
      </c>
      <c r="H1150" s="119">
        <v>-26533</v>
      </c>
      <c r="I1150" s="115" t="s">
        <v>1420</v>
      </c>
      <c r="J1150" s="120">
        <v>-3307331</v>
      </c>
      <c r="O1150" s="143"/>
      <c r="AF1150" s="142" t="s">
        <v>2177</v>
      </c>
    </row>
    <row r="1151" spans="1:34" x14ac:dyDescent="0.3">
      <c r="A1151" s="114" t="s">
        <v>2178</v>
      </c>
      <c r="B1151" s="115" t="s">
        <v>1420</v>
      </c>
      <c r="C1151" s="115" t="s">
        <v>2179</v>
      </c>
      <c r="D1151" s="115" t="s">
        <v>1420</v>
      </c>
      <c r="E1151" s="115" t="s">
        <v>1420</v>
      </c>
      <c r="F1151" s="115" t="s">
        <v>1420</v>
      </c>
      <c r="G1151" s="115" t="s">
        <v>1420</v>
      </c>
      <c r="H1151" s="115" t="s">
        <v>1420</v>
      </c>
      <c r="I1151" s="119">
        <v>-175371</v>
      </c>
      <c r="J1151" s="116" t="s">
        <v>1420</v>
      </c>
      <c r="O1151" s="142" t="s">
        <v>2180</v>
      </c>
      <c r="AF1151" s="1752" t="s">
        <v>2181</v>
      </c>
      <c r="AG1151" s="1753"/>
      <c r="AH1151" s="1754"/>
    </row>
    <row r="1152" spans="1:34" x14ac:dyDescent="0.15">
      <c r="A1152" s="114" t="s">
        <v>2182</v>
      </c>
      <c r="B1152" s="115" t="s">
        <v>1420</v>
      </c>
      <c r="C1152" s="115" t="s">
        <v>1420</v>
      </c>
      <c r="D1152" s="115" t="s">
        <v>1420</v>
      </c>
      <c r="E1152" s="115" t="s">
        <v>1420</v>
      </c>
      <c r="F1152" s="115" t="s">
        <v>1420</v>
      </c>
      <c r="G1152" s="115" t="s">
        <v>2183</v>
      </c>
      <c r="H1152" s="115" t="s">
        <v>1420</v>
      </c>
      <c r="I1152" s="115" t="s">
        <v>1752</v>
      </c>
      <c r="J1152" s="116" t="s">
        <v>2183</v>
      </c>
      <c r="O1152" s="1728" t="s">
        <v>826</v>
      </c>
      <c r="P1152" s="1729"/>
      <c r="Q1152" s="1729"/>
      <c r="R1152" s="1730"/>
      <c r="AF1152" s="194" t="s">
        <v>977</v>
      </c>
      <c r="AG1152" s="156" t="s">
        <v>400</v>
      </c>
      <c r="AH1152" s="157" t="s">
        <v>401</v>
      </c>
    </row>
    <row r="1153" spans="1:34" x14ac:dyDescent="0.3">
      <c r="A1153" s="114" t="s">
        <v>2184</v>
      </c>
      <c r="B1153" s="115" t="s">
        <v>1420</v>
      </c>
      <c r="C1153" s="115" t="s">
        <v>1420</v>
      </c>
      <c r="D1153" s="115" t="s">
        <v>1420</v>
      </c>
      <c r="E1153" s="115" t="s">
        <v>1420</v>
      </c>
      <c r="F1153" s="115" t="s">
        <v>2185</v>
      </c>
      <c r="G1153" s="119">
        <v>-1453</v>
      </c>
      <c r="H1153" s="115" t="s">
        <v>1420</v>
      </c>
      <c r="I1153" s="115" t="s">
        <v>1420</v>
      </c>
      <c r="J1153" s="120">
        <v>-1417</v>
      </c>
      <c r="O1153" s="161" t="s">
        <v>874</v>
      </c>
      <c r="P1153" s="134" t="s">
        <v>1295</v>
      </c>
      <c r="Q1153" s="134" t="s">
        <v>1296</v>
      </c>
      <c r="R1153" s="135" t="s">
        <v>1061</v>
      </c>
      <c r="AF1153" s="109" t="s">
        <v>2186</v>
      </c>
      <c r="AG1153" s="119">
        <v>56859847</v>
      </c>
      <c r="AH1153" s="120">
        <v>56859847</v>
      </c>
    </row>
    <row r="1154" spans="1:34" x14ac:dyDescent="0.3">
      <c r="A1154" s="125" t="s">
        <v>2187</v>
      </c>
      <c r="B1154" s="136" t="s">
        <v>2111</v>
      </c>
      <c r="C1154" s="136" t="s">
        <v>2113</v>
      </c>
      <c r="D1154" s="136" t="s">
        <v>2115</v>
      </c>
      <c r="E1154" s="136" t="s">
        <v>2117</v>
      </c>
      <c r="F1154" s="136" t="s">
        <v>2120</v>
      </c>
      <c r="G1154" s="136" t="s">
        <v>2122</v>
      </c>
      <c r="H1154" s="136" t="s">
        <v>2125</v>
      </c>
      <c r="I1154" s="136" t="s">
        <v>2127</v>
      </c>
      <c r="J1154" s="127">
        <v>7654582</v>
      </c>
      <c r="O1154" s="146" t="s">
        <v>2188</v>
      </c>
      <c r="P1154" s="130">
        <v>251230</v>
      </c>
      <c r="Q1154" s="130">
        <v>15402</v>
      </c>
      <c r="R1154" s="131">
        <v>275387</v>
      </c>
      <c r="AF1154" s="1712" t="s">
        <v>2189</v>
      </c>
      <c r="AG1154" s="1713"/>
      <c r="AH1154" s="1714"/>
    </row>
    <row r="1155" spans="1:34" ht="33.75" x14ac:dyDescent="0.3">
      <c r="A1155" s="142" t="s">
        <v>2190</v>
      </c>
      <c r="O1155" s="142" t="s">
        <v>2191</v>
      </c>
      <c r="AF1155" s="109" t="s">
        <v>2192</v>
      </c>
      <c r="AG1155" s="119">
        <v>18761726</v>
      </c>
      <c r="AH1155" s="120">
        <v>18761726</v>
      </c>
    </row>
    <row r="1156" spans="1:34" x14ac:dyDescent="0.3">
      <c r="A1156" s="143"/>
      <c r="O1156" s="143"/>
      <c r="AF1156" s="121" t="s">
        <v>2193</v>
      </c>
      <c r="AG1156" s="126">
        <v>75621573</v>
      </c>
      <c r="AH1156" s="127">
        <v>75621573</v>
      </c>
    </row>
    <row r="1157" spans="1:34" ht="22.5" x14ac:dyDescent="0.3">
      <c r="A1157" s="142" t="s">
        <v>841</v>
      </c>
      <c r="O1157" s="142" t="s">
        <v>2194</v>
      </c>
      <c r="AF1157" s="142" t="s">
        <v>2154</v>
      </c>
    </row>
    <row r="1158" spans="1:34" x14ac:dyDescent="0.15">
      <c r="A1158" s="1695" t="s">
        <v>826</v>
      </c>
      <c r="B1158" s="1696"/>
      <c r="C1158" s="1696"/>
      <c r="D1158" s="1696"/>
      <c r="E1158" s="1696"/>
      <c r="F1158" s="1696"/>
      <c r="G1158" s="1696"/>
      <c r="H1158" s="1696"/>
      <c r="I1158" s="1697"/>
      <c r="O1158" s="1728" t="s">
        <v>826</v>
      </c>
      <c r="P1158" s="1729"/>
      <c r="Q1158" s="1729"/>
      <c r="R1158" s="1729"/>
      <c r="S1158" s="1729"/>
      <c r="T1158" s="1729"/>
      <c r="U1158" s="1730"/>
    </row>
    <row r="1159" spans="1:34" x14ac:dyDescent="0.3">
      <c r="A1159" s="161" t="s">
        <v>788</v>
      </c>
      <c r="B1159" s="134" t="s">
        <v>1138</v>
      </c>
      <c r="C1159" s="134" t="s">
        <v>1142</v>
      </c>
      <c r="D1159" s="134" t="s">
        <v>1146</v>
      </c>
      <c r="E1159" s="134" t="s">
        <v>1152</v>
      </c>
      <c r="F1159" s="134" t="s">
        <v>1154</v>
      </c>
      <c r="G1159" s="134" t="s">
        <v>1342</v>
      </c>
      <c r="H1159" s="134" t="s">
        <v>1156</v>
      </c>
      <c r="I1159" s="135" t="s">
        <v>1359</v>
      </c>
      <c r="O1159" s="161" t="s">
        <v>874</v>
      </c>
      <c r="P1159" s="134" t="s">
        <v>269</v>
      </c>
      <c r="Q1159" s="134" t="s">
        <v>320</v>
      </c>
      <c r="R1159" s="134" t="s">
        <v>361</v>
      </c>
      <c r="S1159" s="134" t="s">
        <v>832</v>
      </c>
      <c r="T1159" s="134" t="s">
        <v>1310</v>
      </c>
      <c r="U1159" s="135" t="s">
        <v>472</v>
      </c>
      <c r="AF1159" s="142" t="s">
        <v>2195</v>
      </c>
    </row>
    <row r="1160" spans="1:34" x14ac:dyDescent="0.3">
      <c r="A1160" s="114" t="s">
        <v>2163</v>
      </c>
      <c r="B1160" s="115" t="s">
        <v>2196</v>
      </c>
      <c r="C1160" s="115" t="s">
        <v>2197</v>
      </c>
      <c r="D1160" s="115" t="s">
        <v>2198</v>
      </c>
      <c r="E1160" s="115" t="s">
        <v>2199</v>
      </c>
      <c r="F1160" s="115" t="s">
        <v>2200</v>
      </c>
      <c r="G1160" s="115" t="s">
        <v>1420</v>
      </c>
      <c r="H1160" s="115" t="s">
        <v>2201</v>
      </c>
      <c r="I1160" s="116" t="s">
        <v>2202</v>
      </c>
      <c r="O1160" s="146" t="s">
        <v>1282</v>
      </c>
      <c r="P1160" s="130">
        <v>6215931</v>
      </c>
      <c r="Q1160" s="130">
        <v>6100837</v>
      </c>
      <c r="R1160" s="130">
        <v>115094</v>
      </c>
      <c r="S1160" s="130">
        <v>7981656</v>
      </c>
      <c r="T1160" s="130">
        <v>248574</v>
      </c>
      <c r="U1160" s="131">
        <v>248574</v>
      </c>
      <c r="AF1160" s="106" t="s">
        <v>1237</v>
      </c>
      <c r="AG1160" s="107" t="s">
        <v>2203</v>
      </c>
      <c r="AH1160" s="108" t="s">
        <v>2204</v>
      </c>
    </row>
    <row r="1161" spans="1:34" x14ac:dyDescent="0.3">
      <c r="A1161" s="114" t="s">
        <v>2205</v>
      </c>
      <c r="B1161" s="115" t="s">
        <v>1420</v>
      </c>
      <c r="C1161" s="115" t="s">
        <v>1420</v>
      </c>
      <c r="D1161" s="115" t="s">
        <v>1420</v>
      </c>
      <c r="E1161" s="115" t="s">
        <v>1420</v>
      </c>
      <c r="F1161" s="115" t="s">
        <v>1420</v>
      </c>
      <c r="G1161" s="115" t="s">
        <v>2206</v>
      </c>
      <c r="H1161" s="115" t="s">
        <v>1420</v>
      </c>
      <c r="I1161" s="116" t="s">
        <v>2206</v>
      </c>
      <c r="O1161" s="142" t="s">
        <v>2207</v>
      </c>
      <c r="AF1161" s="109" t="s">
        <v>1565</v>
      </c>
      <c r="AG1161" s="150" t="s">
        <v>2208</v>
      </c>
      <c r="AH1161" s="186" t="s">
        <v>2209</v>
      </c>
    </row>
    <row r="1162" spans="1:34" x14ac:dyDescent="0.3">
      <c r="A1162" s="114" t="s">
        <v>2168</v>
      </c>
      <c r="B1162" s="115" t="s">
        <v>2210</v>
      </c>
      <c r="C1162" s="115" t="s">
        <v>2211</v>
      </c>
      <c r="D1162" s="115" t="s">
        <v>2212</v>
      </c>
      <c r="E1162" s="115" t="s">
        <v>1420</v>
      </c>
      <c r="F1162" s="119">
        <v>671520</v>
      </c>
      <c r="G1162" s="115" t="s">
        <v>2213</v>
      </c>
      <c r="H1162" s="115" t="s">
        <v>2214</v>
      </c>
      <c r="I1162" s="116" t="s">
        <v>2215</v>
      </c>
      <c r="O1162" s="143"/>
      <c r="AF1162" s="109" t="s">
        <v>2216</v>
      </c>
      <c r="AG1162" s="150" t="s">
        <v>2217</v>
      </c>
      <c r="AH1162" s="186" t="s">
        <v>1900</v>
      </c>
    </row>
    <row r="1163" spans="1:34" x14ac:dyDescent="0.3">
      <c r="A1163" s="114" t="s">
        <v>2175</v>
      </c>
      <c r="B1163" s="115" t="s">
        <v>1420</v>
      </c>
      <c r="C1163" s="115" t="s">
        <v>1420</v>
      </c>
      <c r="D1163" s="115" t="s">
        <v>1420</v>
      </c>
      <c r="E1163" s="115" t="s">
        <v>2218</v>
      </c>
      <c r="F1163" s="119">
        <v>-31086</v>
      </c>
      <c r="G1163" s="119">
        <v>-107452</v>
      </c>
      <c r="H1163" s="119">
        <v>-15973</v>
      </c>
      <c r="I1163" s="120">
        <v>-154511</v>
      </c>
      <c r="O1163" s="142" t="s">
        <v>2219</v>
      </c>
      <c r="AF1163" s="109" t="s">
        <v>2216</v>
      </c>
      <c r="AG1163" s="150" t="s">
        <v>2220</v>
      </c>
      <c r="AH1163" s="186" t="s">
        <v>1901</v>
      </c>
    </row>
    <row r="1164" spans="1:34" x14ac:dyDescent="0.15">
      <c r="A1164" s="114" t="s">
        <v>1988</v>
      </c>
      <c r="B1164" s="115">
        <v>-335</v>
      </c>
      <c r="C1164" s="119">
        <v>-616908</v>
      </c>
      <c r="D1164" s="119">
        <v>-26602</v>
      </c>
      <c r="E1164" s="119">
        <v>-20419</v>
      </c>
      <c r="F1164" s="119">
        <v>-404837</v>
      </c>
      <c r="G1164" s="119">
        <v>-2508589</v>
      </c>
      <c r="H1164" s="119">
        <v>-53201</v>
      </c>
      <c r="I1164" s="120">
        <v>-3630891</v>
      </c>
      <c r="O1164" s="1728" t="s">
        <v>826</v>
      </c>
      <c r="P1164" s="1729"/>
      <c r="Q1164" s="1729"/>
      <c r="R1164" s="1729"/>
      <c r="S1164" s="1729"/>
      <c r="T1164" s="1729"/>
      <c r="U1164" s="1730"/>
      <c r="AF1164" s="121" t="s">
        <v>2216</v>
      </c>
      <c r="AG1164" s="153" t="s">
        <v>2221</v>
      </c>
      <c r="AH1164" s="160" t="s">
        <v>1902</v>
      </c>
    </row>
    <row r="1165" spans="1:34" x14ac:dyDescent="0.3">
      <c r="A1165" s="114" t="s">
        <v>2222</v>
      </c>
      <c r="B1165" s="115" t="s">
        <v>1420</v>
      </c>
      <c r="C1165" s="119">
        <v>-127468</v>
      </c>
      <c r="D1165" s="115" t="s">
        <v>1420</v>
      </c>
      <c r="E1165" s="115" t="s">
        <v>1420</v>
      </c>
      <c r="F1165" s="115" t="s">
        <v>1420</v>
      </c>
      <c r="G1165" s="115" t="s">
        <v>1420</v>
      </c>
      <c r="H1165" s="115" t="s">
        <v>1420</v>
      </c>
      <c r="I1165" s="120">
        <v>-127468</v>
      </c>
      <c r="O1165" s="1698" t="s">
        <v>874</v>
      </c>
      <c r="P1165" s="1716" t="s">
        <v>1120</v>
      </c>
      <c r="Q1165" s="1716" t="s">
        <v>1321</v>
      </c>
      <c r="R1165" s="1716" t="s">
        <v>1322</v>
      </c>
      <c r="S1165" s="163" t="s">
        <v>2223</v>
      </c>
      <c r="T1165" s="1716" t="s">
        <v>2224</v>
      </c>
      <c r="U1165" s="1718" t="s">
        <v>1127</v>
      </c>
      <c r="AF1165" s="142" t="s">
        <v>2225</v>
      </c>
    </row>
    <row r="1166" spans="1:34" x14ac:dyDescent="0.3">
      <c r="A1166" s="114" t="s">
        <v>2226</v>
      </c>
      <c r="B1166" s="115" t="s">
        <v>1420</v>
      </c>
      <c r="C1166" s="115" t="s">
        <v>1420</v>
      </c>
      <c r="D1166" s="115" t="s">
        <v>2227</v>
      </c>
      <c r="E1166" s="115" t="s">
        <v>1420</v>
      </c>
      <c r="F1166" s="115" t="s">
        <v>1420</v>
      </c>
      <c r="G1166" s="115" t="s">
        <v>1420</v>
      </c>
      <c r="H1166" s="115" t="s">
        <v>1420</v>
      </c>
      <c r="I1166" s="116" t="s">
        <v>2227</v>
      </c>
      <c r="O1166" s="1690"/>
      <c r="P1166" s="1692"/>
      <c r="Q1166" s="1692"/>
      <c r="R1166" s="1692"/>
      <c r="S1166" s="139" t="s">
        <v>2228</v>
      </c>
      <c r="T1166" s="1692"/>
      <c r="U1166" s="1694"/>
    </row>
    <row r="1167" spans="1:34" x14ac:dyDescent="0.3">
      <c r="A1167" s="114" t="s">
        <v>2229</v>
      </c>
      <c r="B1167" s="115" t="s">
        <v>1420</v>
      </c>
      <c r="C1167" s="115" t="s">
        <v>1420</v>
      </c>
      <c r="D1167" s="115" t="s">
        <v>1420</v>
      </c>
      <c r="E1167" s="115" t="s">
        <v>1420</v>
      </c>
      <c r="F1167" s="115" t="s">
        <v>2230</v>
      </c>
      <c r="G1167" s="115" t="s">
        <v>2231</v>
      </c>
      <c r="H1167" s="115" t="s">
        <v>1420</v>
      </c>
      <c r="I1167" s="116" t="s">
        <v>2232</v>
      </c>
      <c r="O1167" s="146" t="s">
        <v>2233</v>
      </c>
      <c r="P1167" s="123" t="s">
        <v>199</v>
      </c>
      <c r="Q1167" s="130">
        <v>251230</v>
      </c>
      <c r="R1167" s="130">
        <v>24157</v>
      </c>
      <c r="S1167" s="123" t="s">
        <v>199</v>
      </c>
      <c r="T1167" s="123" t="s">
        <v>199</v>
      </c>
      <c r="U1167" s="131">
        <v>275387</v>
      </c>
      <c r="AF1167" s="143"/>
    </row>
    <row r="1168" spans="1:34" x14ac:dyDescent="0.3">
      <c r="A1168" s="125" t="s">
        <v>2187</v>
      </c>
      <c r="B1168" s="136" t="s">
        <v>2135</v>
      </c>
      <c r="C1168" s="136" t="s">
        <v>2138</v>
      </c>
      <c r="D1168" s="136" t="s">
        <v>2139</v>
      </c>
      <c r="E1168" s="136" t="s">
        <v>2142</v>
      </c>
      <c r="F1168" s="136" t="s">
        <v>2144</v>
      </c>
      <c r="G1168" s="136" t="s">
        <v>2146</v>
      </c>
      <c r="H1168" s="136" t="s">
        <v>2149</v>
      </c>
      <c r="I1168" s="137" t="s">
        <v>2152</v>
      </c>
      <c r="AF1168" s="142" t="s">
        <v>2234</v>
      </c>
    </row>
    <row r="1169" spans="1:34" ht="33.75" x14ac:dyDescent="0.3">
      <c r="A1169" s="142" t="s">
        <v>2235</v>
      </c>
    </row>
    <row r="1170" spans="1:34" ht="45" x14ac:dyDescent="0.3">
      <c r="A1170" s="142" t="s">
        <v>2236</v>
      </c>
      <c r="O1170" s="142" t="s">
        <v>2237</v>
      </c>
      <c r="AF1170" s="142" t="s">
        <v>2238</v>
      </c>
    </row>
    <row r="1171" spans="1:34" x14ac:dyDescent="0.3">
      <c r="O1171" s="143"/>
      <c r="AF1171" s="143"/>
    </row>
    <row r="1172" spans="1:34" ht="33.75" x14ac:dyDescent="0.3">
      <c r="O1172" s="142" t="s">
        <v>2103</v>
      </c>
      <c r="AF1172" s="142" t="s">
        <v>2239</v>
      </c>
    </row>
    <row r="1173" spans="1:34" x14ac:dyDescent="0.3">
      <c r="A1173" s="142" t="s">
        <v>1381</v>
      </c>
      <c r="O1173" s="142"/>
      <c r="AF1173" s="143"/>
    </row>
    <row r="1174" spans="1:34" x14ac:dyDescent="0.3">
      <c r="A1174" s="143"/>
      <c r="O1174" s="142" t="s">
        <v>2106</v>
      </c>
      <c r="AF1174" s="142" t="s">
        <v>2240</v>
      </c>
    </row>
    <row r="1175" spans="1:34" ht="56.25" x14ac:dyDescent="0.3">
      <c r="A1175" s="142" t="s">
        <v>2241</v>
      </c>
      <c r="O1175" s="128"/>
      <c r="AF1175" s="142" t="s">
        <v>2242</v>
      </c>
    </row>
    <row r="1176" spans="1:34" x14ac:dyDescent="0.3">
      <c r="A1176" s="143"/>
      <c r="O1176" s="128"/>
      <c r="AF1176" s="143"/>
    </row>
    <row r="1177" spans="1:34" x14ac:dyDescent="0.3">
      <c r="A1177" s="142" t="s">
        <v>1835</v>
      </c>
      <c r="O1177" s="1695" t="s">
        <v>826</v>
      </c>
      <c r="P1177" s="1696"/>
      <c r="Q1177" s="1696"/>
      <c r="R1177" s="1696"/>
      <c r="S1177" s="1697"/>
      <c r="AF1177" s="143"/>
    </row>
    <row r="1178" spans="1:34" x14ac:dyDescent="0.3">
      <c r="A1178" s="128"/>
      <c r="O1178" s="161" t="s">
        <v>977</v>
      </c>
      <c r="P1178" s="134" t="s">
        <v>1295</v>
      </c>
      <c r="Q1178" s="134" t="s">
        <v>1337</v>
      </c>
      <c r="R1178" s="134" t="s">
        <v>1338</v>
      </c>
      <c r="S1178" s="135" t="s">
        <v>1061</v>
      </c>
      <c r="AF1178" s="142" t="s">
        <v>2243</v>
      </c>
    </row>
    <row r="1179" spans="1:34" x14ac:dyDescent="0.3">
      <c r="A1179" s="128"/>
      <c r="O1179" s="114" t="s">
        <v>1138</v>
      </c>
      <c r="P1179" s="119">
        <v>31456</v>
      </c>
      <c r="Q1179" s="119">
        <v>-26169</v>
      </c>
      <c r="R1179" s="115" t="s">
        <v>199</v>
      </c>
      <c r="S1179" s="120">
        <v>5287</v>
      </c>
    </row>
    <row r="1180" spans="1:34" ht="22.5" x14ac:dyDescent="0.3">
      <c r="A1180" s="1695" t="s">
        <v>826</v>
      </c>
      <c r="B1180" s="1696"/>
      <c r="C1180" s="1696"/>
      <c r="D1180" s="1696"/>
      <c r="E1180" s="1697"/>
      <c r="O1180" s="114" t="s">
        <v>1142</v>
      </c>
      <c r="P1180" s="119">
        <v>3117546</v>
      </c>
      <c r="Q1180" s="119">
        <v>-2095258</v>
      </c>
      <c r="R1180" s="119">
        <v>-202939</v>
      </c>
      <c r="S1180" s="120">
        <v>819349</v>
      </c>
      <c r="AF1180" s="142" t="s">
        <v>2244</v>
      </c>
    </row>
    <row r="1181" spans="1:34" x14ac:dyDescent="0.3">
      <c r="A1181" s="161" t="s">
        <v>977</v>
      </c>
      <c r="B1181" s="134" t="s">
        <v>1295</v>
      </c>
      <c r="C1181" s="134" t="s">
        <v>1337</v>
      </c>
      <c r="D1181" s="134" t="s">
        <v>1338</v>
      </c>
      <c r="E1181" s="135" t="s">
        <v>1790</v>
      </c>
      <c r="O1181" s="114" t="s">
        <v>1146</v>
      </c>
      <c r="P1181" s="119">
        <v>209637</v>
      </c>
      <c r="Q1181" s="119">
        <v>-148228</v>
      </c>
      <c r="R1181" s="119">
        <v>-19482</v>
      </c>
      <c r="S1181" s="120">
        <v>41927</v>
      </c>
      <c r="AF1181" s="1689" t="s">
        <v>2245</v>
      </c>
      <c r="AG1181" s="1685" t="s">
        <v>2246</v>
      </c>
      <c r="AH1181" s="1687"/>
    </row>
    <row r="1182" spans="1:34" x14ac:dyDescent="0.3">
      <c r="A1182" s="114" t="s">
        <v>1167</v>
      </c>
      <c r="B1182" s="231" t="s">
        <v>2247</v>
      </c>
      <c r="C1182" s="231">
        <v>-9006282</v>
      </c>
      <c r="D1182" s="231">
        <v>-2614667</v>
      </c>
      <c r="E1182" s="232" t="s">
        <v>2248</v>
      </c>
      <c r="O1182" s="114" t="s">
        <v>1152</v>
      </c>
      <c r="P1182" s="119">
        <v>498470</v>
      </c>
      <c r="Q1182" s="119">
        <v>-469135</v>
      </c>
      <c r="R1182" s="115">
        <v>-524</v>
      </c>
      <c r="S1182" s="120">
        <v>28811</v>
      </c>
      <c r="AF1182" s="1690"/>
      <c r="AG1182" s="134" t="s">
        <v>829</v>
      </c>
      <c r="AH1182" s="135" t="s">
        <v>843</v>
      </c>
    </row>
    <row r="1183" spans="1:34" x14ac:dyDescent="0.3">
      <c r="A1183" s="114" t="s">
        <v>1169</v>
      </c>
      <c r="B1183" s="231" t="s">
        <v>2249</v>
      </c>
      <c r="C1183" s="231">
        <v>-718521</v>
      </c>
      <c r="D1183" s="231" t="s">
        <v>1420</v>
      </c>
      <c r="E1183" s="232" t="s">
        <v>2250</v>
      </c>
      <c r="O1183" s="114" t="s">
        <v>1154</v>
      </c>
      <c r="P1183" s="119">
        <v>4844074</v>
      </c>
      <c r="Q1183" s="119">
        <v>-2648234</v>
      </c>
      <c r="R1183" s="119">
        <v>-506894</v>
      </c>
      <c r="S1183" s="120">
        <v>1688946</v>
      </c>
      <c r="AF1183" s="162" t="s">
        <v>2251</v>
      </c>
      <c r="AG1183" s="110" t="s">
        <v>2252</v>
      </c>
      <c r="AH1183" s="167" t="s">
        <v>2252</v>
      </c>
    </row>
    <row r="1184" spans="1:34" x14ac:dyDescent="0.3">
      <c r="A1184" s="114" t="s">
        <v>1172</v>
      </c>
      <c r="B1184" s="231" t="s">
        <v>2253</v>
      </c>
      <c r="C1184" s="231">
        <v>-4412863</v>
      </c>
      <c r="D1184" s="231">
        <v>-5190041</v>
      </c>
      <c r="E1184" s="232" t="s">
        <v>2254</v>
      </c>
      <c r="O1184" s="114" t="s">
        <v>1342</v>
      </c>
      <c r="P1184" s="119">
        <v>10198146</v>
      </c>
      <c r="Q1184" s="119">
        <v>-6429957</v>
      </c>
      <c r="R1184" s="115" t="s">
        <v>199</v>
      </c>
      <c r="S1184" s="120">
        <v>3768189</v>
      </c>
      <c r="AF1184" s="162" t="s">
        <v>2255</v>
      </c>
      <c r="AG1184" s="110" t="s">
        <v>2256</v>
      </c>
      <c r="AH1184" s="167" t="s">
        <v>2256</v>
      </c>
    </row>
    <row r="1185" spans="1:37" x14ac:dyDescent="0.3">
      <c r="A1185" s="114" t="s">
        <v>1388</v>
      </c>
      <c r="B1185" s="231" t="s">
        <v>2257</v>
      </c>
      <c r="C1185" s="231" t="s">
        <v>1420</v>
      </c>
      <c r="D1185" s="231" t="s">
        <v>1420</v>
      </c>
      <c r="E1185" s="232" t="s">
        <v>2257</v>
      </c>
      <c r="O1185" s="114" t="s">
        <v>1156</v>
      </c>
      <c r="P1185" s="119">
        <v>3364550</v>
      </c>
      <c r="Q1185" s="119">
        <v>-1323458</v>
      </c>
      <c r="R1185" s="119">
        <v>-1702497</v>
      </c>
      <c r="S1185" s="120">
        <v>338595</v>
      </c>
      <c r="AF1185" s="162" t="s">
        <v>2258</v>
      </c>
      <c r="AG1185" s="110" t="s">
        <v>2259</v>
      </c>
      <c r="AH1185" s="167" t="s">
        <v>2259</v>
      </c>
    </row>
    <row r="1186" spans="1:37" x14ac:dyDescent="0.3">
      <c r="A1186" s="228" t="s">
        <v>1174</v>
      </c>
      <c r="B1186" s="236" t="s">
        <v>2260</v>
      </c>
      <c r="C1186" s="236">
        <v>-13262221</v>
      </c>
      <c r="D1186" s="236" t="s">
        <v>1420</v>
      </c>
      <c r="E1186" s="237" t="s">
        <v>2261</v>
      </c>
      <c r="O1186" s="114" t="s">
        <v>1344</v>
      </c>
      <c r="P1186" s="119">
        <v>61141</v>
      </c>
      <c r="Q1186" s="115" t="s">
        <v>199</v>
      </c>
      <c r="R1186" s="115" t="s">
        <v>199</v>
      </c>
      <c r="S1186" s="120">
        <v>61141</v>
      </c>
      <c r="AF1186" s="162" t="s">
        <v>2262</v>
      </c>
      <c r="AG1186" s="110" t="s">
        <v>2263</v>
      </c>
      <c r="AH1186" s="167" t="s">
        <v>1312</v>
      </c>
    </row>
    <row r="1187" spans="1:37" x14ac:dyDescent="0.3">
      <c r="A1187" s="114" t="s">
        <v>1390</v>
      </c>
      <c r="B1187" s="231" t="s">
        <v>2264</v>
      </c>
      <c r="C1187" s="231" t="s">
        <v>1420</v>
      </c>
      <c r="D1187" s="231">
        <v>-34373189</v>
      </c>
      <c r="E1187" s="232" t="s">
        <v>2265</v>
      </c>
      <c r="O1187" s="146" t="s">
        <v>774</v>
      </c>
      <c r="P1187" s="126">
        <v>22325020</v>
      </c>
      <c r="Q1187" s="126">
        <v>-13140439</v>
      </c>
      <c r="R1187" s="126">
        <v>-2432336</v>
      </c>
      <c r="S1187" s="127">
        <v>6752245</v>
      </c>
      <c r="AF1187" s="1706" t="s">
        <v>71</v>
      </c>
      <c r="AG1187" s="110" t="s">
        <v>2266</v>
      </c>
      <c r="AH1187" s="167" t="s">
        <v>2266</v>
      </c>
    </row>
    <row r="1188" spans="1:37" x14ac:dyDescent="0.3">
      <c r="A1188" s="146" t="s">
        <v>774</v>
      </c>
      <c r="B1188" s="233" t="s">
        <v>2267</v>
      </c>
      <c r="C1188" s="233">
        <v>-27399887</v>
      </c>
      <c r="D1188" s="233">
        <v>-42177897</v>
      </c>
      <c r="E1188" s="234" t="s">
        <v>2268</v>
      </c>
      <c r="O1188" s="143"/>
      <c r="AF1188" s="1744"/>
      <c r="AG1188" s="110" t="s">
        <v>2269</v>
      </c>
      <c r="AH1188" s="167" t="s">
        <v>2269</v>
      </c>
    </row>
    <row r="1189" spans="1:37" x14ac:dyDescent="0.3">
      <c r="A1189" s="143"/>
      <c r="O1189" s="142" t="s">
        <v>1347</v>
      </c>
      <c r="AF1189" s="1708"/>
      <c r="AG1189" s="122" t="s">
        <v>2270</v>
      </c>
      <c r="AH1189" s="168" t="s">
        <v>2270</v>
      </c>
    </row>
    <row r="1190" spans="1:37" ht="33.75" x14ac:dyDescent="0.3">
      <c r="A1190" s="142" t="s">
        <v>1347</v>
      </c>
      <c r="O1190" s="1695" t="s">
        <v>826</v>
      </c>
      <c r="P1190" s="1696"/>
      <c r="Q1190" s="1696"/>
      <c r="R1190" s="1696"/>
      <c r="S1190" s="1697"/>
      <c r="AF1190" s="142" t="s">
        <v>2271</v>
      </c>
    </row>
    <row r="1191" spans="1:37" ht="45" x14ac:dyDescent="0.3">
      <c r="A1191" s="1695" t="s">
        <v>826</v>
      </c>
      <c r="B1191" s="1696"/>
      <c r="C1191" s="1696"/>
      <c r="D1191" s="1696"/>
      <c r="E1191" s="1697"/>
      <c r="O1191" s="161" t="s">
        <v>977</v>
      </c>
      <c r="P1191" s="134" t="s">
        <v>1295</v>
      </c>
      <c r="Q1191" s="134" t="s">
        <v>1337</v>
      </c>
      <c r="R1191" s="134" t="s">
        <v>1338</v>
      </c>
      <c r="S1191" s="135" t="s">
        <v>1061</v>
      </c>
      <c r="AF1191" s="142" t="s">
        <v>2272</v>
      </c>
    </row>
    <row r="1192" spans="1:37" x14ac:dyDescent="0.3">
      <c r="A1192" s="161" t="s">
        <v>977</v>
      </c>
      <c r="B1192" s="134" t="s">
        <v>1295</v>
      </c>
      <c r="C1192" s="134" t="s">
        <v>1337</v>
      </c>
      <c r="D1192" s="134" t="s">
        <v>1338</v>
      </c>
      <c r="E1192" s="135" t="s">
        <v>1790</v>
      </c>
      <c r="O1192" s="114" t="s">
        <v>1138</v>
      </c>
      <c r="P1192" s="119">
        <v>31456</v>
      </c>
      <c r="Q1192" s="119">
        <v>-24297</v>
      </c>
      <c r="R1192" s="115" t="s">
        <v>199</v>
      </c>
      <c r="S1192" s="120">
        <v>7159</v>
      </c>
    </row>
    <row r="1193" spans="1:37" ht="22.5" x14ac:dyDescent="0.3">
      <c r="A1193" s="114" t="s">
        <v>1167</v>
      </c>
      <c r="B1193" s="115" t="s">
        <v>2273</v>
      </c>
      <c r="C1193" s="119">
        <v>-8311666</v>
      </c>
      <c r="D1193" s="119">
        <v>-2107185</v>
      </c>
      <c r="E1193" s="116" t="s">
        <v>2274</v>
      </c>
      <c r="O1193" s="114" t="s">
        <v>1142</v>
      </c>
      <c r="P1193" s="119">
        <v>3004319</v>
      </c>
      <c r="Q1193" s="119">
        <v>-2329952</v>
      </c>
      <c r="R1193" s="119">
        <v>-202939</v>
      </c>
      <c r="S1193" s="120">
        <v>471428</v>
      </c>
      <c r="AF1193" s="142" t="s">
        <v>2275</v>
      </c>
    </row>
    <row r="1194" spans="1:37" x14ac:dyDescent="0.3">
      <c r="A1194" s="114" t="s">
        <v>1169</v>
      </c>
      <c r="B1194" s="115" t="s">
        <v>2276</v>
      </c>
      <c r="C1194" s="119">
        <v>-684600</v>
      </c>
      <c r="D1194" s="115" t="s">
        <v>1420</v>
      </c>
      <c r="E1194" s="116" t="s">
        <v>2277</v>
      </c>
      <c r="O1194" s="114" t="s">
        <v>1146</v>
      </c>
      <c r="P1194" s="119">
        <v>209637</v>
      </c>
      <c r="Q1194" s="119">
        <v>-128878</v>
      </c>
      <c r="R1194" s="119">
        <v>-19482</v>
      </c>
      <c r="S1194" s="120">
        <v>61277</v>
      </c>
      <c r="AF1194" s="143"/>
    </row>
    <row r="1195" spans="1:37" x14ac:dyDescent="0.3">
      <c r="A1195" s="114" t="s">
        <v>1172</v>
      </c>
      <c r="B1195" s="115" t="s">
        <v>2278</v>
      </c>
      <c r="C1195" s="119">
        <v>-8518057</v>
      </c>
      <c r="D1195" s="119">
        <v>-5553041</v>
      </c>
      <c r="E1195" s="116" t="s">
        <v>2279</v>
      </c>
      <c r="O1195" s="114" t="s">
        <v>1152</v>
      </c>
      <c r="P1195" s="119">
        <v>480330</v>
      </c>
      <c r="Q1195" s="119">
        <v>-452165</v>
      </c>
      <c r="R1195" s="115">
        <v>-524</v>
      </c>
      <c r="S1195" s="120">
        <v>27641</v>
      </c>
      <c r="AF1195" s="142" t="s">
        <v>824</v>
      </c>
    </row>
    <row r="1196" spans="1:37" x14ac:dyDescent="0.3">
      <c r="A1196" s="114" t="s">
        <v>1174</v>
      </c>
      <c r="B1196" s="115" t="s">
        <v>2280</v>
      </c>
      <c r="C1196" s="119">
        <v>-11022948</v>
      </c>
      <c r="D1196" s="115" t="s">
        <v>1420</v>
      </c>
      <c r="E1196" s="116" t="s">
        <v>2281</v>
      </c>
      <c r="O1196" s="114" t="s">
        <v>1154</v>
      </c>
      <c r="P1196" s="119">
        <v>4516483</v>
      </c>
      <c r="Q1196" s="119">
        <v>-2440259</v>
      </c>
      <c r="R1196" s="119">
        <v>-540095</v>
      </c>
      <c r="S1196" s="120">
        <v>1536129</v>
      </c>
    </row>
    <row r="1197" spans="1:37" x14ac:dyDescent="0.3">
      <c r="A1197" s="114" t="s">
        <v>1390</v>
      </c>
      <c r="B1197" s="115" t="s">
        <v>2282</v>
      </c>
      <c r="C1197" s="115" t="s">
        <v>1420</v>
      </c>
      <c r="D1197" s="119">
        <v>-34064506</v>
      </c>
      <c r="E1197" s="116" t="s">
        <v>2283</v>
      </c>
      <c r="O1197" s="114" t="s">
        <v>1342</v>
      </c>
      <c r="P1197" s="119">
        <v>9663212</v>
      </c>
      <c r="Q1197" s="119">
        <v>-4241326</v>
      </c>
      <c r="R1197" s="115" t="s">
        <v>199</v>
      </c>
      <c r="S1197" s="120">
        <v>5421886</v>
      </c>
      <c r="AF1197" s="1695" t="s">
        <v>976</v>
      </c>
      <c r="AG1197" s="1696"/>
      <c r="AH1197" s="1696"/>
      <c r="AI1197" s="1696"/>
      <c r="AJ1197" s="1696"/>
      <c r="AK1197" s="1697"/>
    </row>
    <row r="1198" spans="1:37" x14ac:dyDescent="0.3">
      <c r="A1198" s="146" t="s">
        <v>774</v>
      </c>
      <c r="B1198" s="136" t="s">
        <v>2284</v>
      </c>
      <c r="C1198" s="126">
        <v>-28537271</v>
      </c>
      <c r="D1198" s="126">
        <v>-41724732</v>
      </c>
      <c r="E1198" s="137" t="s">
        <v>2285</v>
      </c>
      <c r="O1198" s="114" t="s">
        <v>1156</v>
      </c>
      <c r="P1198" s="119">
        <v>3029894</v>
      </c>
      <c r="Q1198" s="119">
        <v>-1300725</v>
      </c>
      <c r="R1198" s="119">
        <v>-1702497</v>
      </c>
      <c r="S1198" s="120">
        <v>26672</v>
      </c>
      <c r="AF1198" s="161" t="s">
        <v>2245</v>
      </c>
      <c r="AG1198" s="134" t="s">
        <v>2246</v>
      </c>
      <c r="AH1198" s="134" t="s">
        <v>832</v>
      </c>
      <c r="AI1198" s="134" t="s">
        <v>2286</v>
      </c>
      <c r="AJ1198" s="134" t="s">
        <v>2287</v>
      </c>
      <c r="AK1198" s="135" t="s">
        <v>2288</v>
      </c>
    </row>
    <row r="1199" spans="1:37" x14ac:dyDescent="0.3">
      <c r="O1199" s="114" t="s">
        <v>1344</v>
      </c>
      <c r="P1199" s="119">
        <v>102390</v>
      </c>
      <c r="Q1199" s="115" t="s">
        <v>199</v>
      </c>
      <c r="R1199" s="115" t="s">
        <v>199</v>
      </c>
      <c r="S1199" s="120">
        <v>102390</v>
      </c>
      <c r="AF1199" s="162" t="s">
        <v>2251</v>
      </c>
      <c r="AG1199" s="110" t="s">
        <v>2252</v>
      </c>
      <c r="AH1199" s="115" t="s">
        <v>199</v>
      </c>
      <c r="AI1199" s="115" t="s">
        <v>199</v>
      </c>
      <c r="AJ1199" s="115" t="s">
        <v>199</v>
      </c>
      <c r="AK1199" s="120">
        <v>43560</v>
      </c>
    </row>
    <row r="1200" spans="1:37" ht="22.5" x14ac:dyDescent="0.3">
      <c r="A1200" s="142" t="s">
        <v>2289</v>
      </c>
      <c r="O1200" s="146" t="s">
        <v>774</v>
      </c>
      <c r="P1200" s="126">
        <v>21037721</v>
      </c>
      <c r="Q1200" s="126">
        <v>-10917602</v>
      </c>
      <c r="R1200" s="126">
        <v>-2465537</v>
      </c>
      <c r="S1200" s="127">
        <v>7654582</v>
      </c>
      <c r="AF1200" s="162" t="s">
        <v>2258</v>
      </c>
      <c r="AG1200" s="110" t="s">
        <v>2290</v>
      </c>
      <c r="AH1200" s="119">
        <v>14221946</v>
      </c>
      <c r="AI1200" s="119">
        <v>14980867</v>
      </c>
      <c r="AJ1200" s="115" t="s">
        <v>199</v>
      </c>
      <c r="AK1200" s="116" t="s">
        <v>199</v>
      </c>
    </row>
    <row r="1201" spans="1:37" x14ac:dyDescent="0.3">
      <c r="A1201" s="143"/>
      <c r="AF1201" s="162" t="s">
        <v>2262</v>
      </c>
      <c r="AG1201" s="110" t="s">
        <v>1312</v>
      </c>
      <c r="AH1201" s="119">
        <v>1719</v>
      </c>
      <c r="AI1201" s="119">
        <v>396513</v>
      </c>
      <c r="AJ1201" s="115" t="s">
        <v>199</v>
      </c>
      <c r="AK1201" s="116" t="s">
        <v>199</v>
      </c>
    </row>
    <row r="1202" spans="1:37" ht="22.5" x14ac:dyDescent="0.3">
      <c r="A1202" s="142" t="s">
        <v>840</v>
      </c>
      <c r="O1202" s="142" t="s">
        <v>2155</v>
      </c>
      <c r="AF1202" s="1706" t="s">
        <v>71</v>
      </c>
      <c r="AG1202" s="113" t="s">
        <v>2291</v>
      </c>
      <c r="AH1202" s="119">
        <v>64548036</v>
      </c>
      <c r="AI1202" s="119">
        <v>1064</v>
      </c>
      <c r="AJ1202" s="115" t="s">
        <v>199</v>
      </c>
      <c r="AK1202" s="120">
        <v>4555610</v>
      </c>
    </row>
    <row r="1203" spans="1:37" x14ac:dyDescent="0.3">
      <c r="O1203" s="143"/>
      <c r="AF1203" s="1744"/>
      <c r="AG1203" s="113" t="s">
        <v>2292</v>
      </c>
      <c r="AH1203" s="119">
        <v>118542</v>
      </c>
      <c r="AI1203" s="115" t="s">
        <v>199</v>
      </c>
      <c r="AJ1203" s="115" t="s">
        <v>199</v>
      </c>
      <c r="AK1203" s="120">
        <v>696943</v>
      </c>
    </row>
    <row r="1204" spans="1:37" x14ac:dyDescent="0.3">
      <c r="A1204" s="1695" t="s">
        <v>826</v>
      </c>
      <c r="B1204" s="1696"/>
      <c r="C1204" s="1696"/>
      <c r="D1204" s="1696"/>
      <c r="E1204" s="1696"/>
      <c r="F1204" s="1696"/>
      <c r="G1204" s="1696"/>
      <c r="H1204" s="1697"/>
      <c r="O1204" s="142" t="s">
        <v>840</v>
      </c>
      <c r="AF1204" s="1744"/>
      <c r="AG1204" s="113" t="s">
        <v>2293</v>
      </c>
      <c r="AH1204" s="119">
        <v>500801</v>
      </c>
      <c r="AI1204" s="115" t="s">
        <v>199</v>
      </c>
      <c r="AJ1204" s="115" t="s">
        <v>199</v>
      </c>
      <c r="AK1204" s="120">
        <v>828423</v>
      </c>
    </row>
    <row r="1205" spans="1:37" x14ac:dyDescent="0.3">
      <c r="A1205" s="161" t="s">
        <v>977</v>
      </c>
      <c r="B1205" s="134" t="s">
        <v>1167</v>
      </c>
      <c r="C1205" s="134" t="s">
        <v>1169</v>
      </c>
      <c r="D1205" s="134" t="s">
        <v>1172</v>
      </c>
      <c r="E1205" s="134" t="s">
        <v>1388</v>
      </c>
      <c r="F1205" s="134" t="s">
        <v>1174</v>
      </c>
      <c r="G1205" s="134" t="s">
        <v>1390</v>
      </c>
      <c r="H1205" s="135" t="s">
        <v>1359</v>
      </c>
      <c r="O1205" s="128"/>
      <c r="AF1205" s="1744"/>
      <c r="AG1205" s="113" t="s">
        <v>2294</v>
      </c>
      <c r="AH1205" s="115" t="s">
        <v>199</v>
      </c>
      <c r="AI1205" s="115" t="s">
        <v>199</v>
      </c>
      <c r="AJ1205" s="115" t="s">
        <v>199</v>
      </c>
      <c r="AK1205" s="120">
        <v>504685</v>
      </c>
    </row>
    <row r="1206" spans="1:37" x14ac:dyDescent="0.3">
      <c r="A1206" s="114" t="s">
        <v>2163</v>
      </c>
      <c r="B1206" s="231" t="s">
        <v>2274</v>
      </c>
      <c r="C1206" s="231" t="s">
        <v>2277</v>
      </c>
      <c r="D1206" s="231" t="s">
        <v>2279</v>
      </c>
      <c r="E1206" s="231" t="s">
        <v>1420</v>
      </c>
      <c r="F1206" s="231" t="s">
        <v>2281</v>
      </c>
      <c r="G1206" s="231" t="s">
        <v>2283</v>
      </c>
      <c r="H1206" s="232" t="s">
        <v>2285</v>
      </c>
      <c r="O1206" s="1695" t="s">
        <v>826</v>
      </c>
      <c r="P1206" s="1696"/>
      <c r="Q1206" s="1696"/>
      <c r="R1206" s="1696"/>
      <c r="S1206" s="1696"/>
      <c r="T1206" s="1696"/>
      <c r="U1206" s="1696"/>
      <c r="V1206" s="1696"/>
      <c r="W1206" s="1696"/>
      <c r="X1206" s="1697"/>
      <c r="AF1206" s="1744"/>
      <c r="AG1206" s="113" t="s">
        <v>2295</v>
      </c>
      <c r="AH1206" s="119">
        <v>1304599</v>
      </c>
      <c r="AI1206" s="119">
        <v>6263</v>
      </c>
      <c r="AJ1206" s="119">
        <v>5910</v>
      </c>
      <c r="AK1206" s="120">
        <v>6250</v>
      </c>
    </row>
    <row r="1207" spans="1:37" x14ac:dyDescent="0.3">
      <c r="A1207" s="114" t="s">
        <v>2296</v>
      </c>
      <c r="B1207" s="231" t="s">
        <v>2297</v>
      </c>
      <c r="C1207" s="231" t="s">
        <v>1420</v>
      </c>
      <c r="D1207" s="231" t="s">
        <v>1420</v>
      </c>
      <c r="E1207" s="231" t="s">
        <v>1420</v>
      </c>
      <c r="F1207" s="231" t="s">
        <v>1420</v>
      </c>
      <c r="G1207" s="231" t="s">
        <v>1420</v>
      </c>
      <c r="H1207" s="232" t="s">
        <v>2297</v>
      </c>
      <c r="O1207" s="161" t="s">
        <v>763</v>
      </c>
      <c r="P1207" s="134" t="s">
        <v>1138</v>
      </c>
      <c r="Q1207" s="134" t="s">
        <v>1142</v>
      </c>
      <c r="R1207" s="134" t="s">
        <v>1146</v>
      </c>
      <c r="S1207" s="134" t="s">
        <v>1152</v>
      </c>
      <c r="T1207" s="134" t="s">
        <v>1154</v>
      </c>
      <c r="U1207" s="134" t="s">
        <v>1342</v>
      </c>
      <c r="V1207" s="134" t="s">
        <v>1156</v>
      </c>
      <c r="W1207" s="134" t="s">
        <v>1344</v>
      </c>
      <c r="X1207" s="135" t="s">
        <v>1359</v>
      </c>
      <c r="AF1207" s="1707"/>
      <c r="AG1207" s="113" t="s">
        <v>71</v>
      </c>
      <c r="AH1207" s="119">
        <v>477033</v>
      </c>
      <c r="AI1207" s="119">
        <v>2082880</v>
      </c>
      <c r="AJ1207" s="115" t="s">
        <v>199</v>
      </c>
      <c r="AK1207" s="120">
        <v>4772605</v>
      </c>
    </row>
    <row r="1208" spans="1:37" x14ac:dyDescent="0.3">
      <c r="A1208" s="114" t="s">
        <v>2168</v>
      </c>
      <c r="B1208" s="231" t="s">
        <v>1420</v>
      </c>
      <c r="C1208" s="231" t="s">
        <v>2298</v>
      </c>
      <c r="D1208" s="231" t="s">
        <v>2299</v>
      </c>
      <c r="E1208" s="231" t="s">
        <v>2300</v>
      </c>
      <c r="F1208" s="231" t="s">
        <v>2301</v>
      </c>
      <c r="G1208" s="231" t="s">
        <v>1420</v>
      </c>
      <c r="H1208" s="232" t="s">
        <v>2302</v>
      </c>
      <c r="O1208" s="114" t="s">
        <v>2163</v>
      </c>
      <c r="P1208" s="119">
        <v>7159</v>
      </c>
      <c r="Q1208" s="119">
        <v>471428</v>
      </c>
      <c r="R1208" s="119">
        <v>61277</v>
      </c>
      <c r="S1208" s="119">
        <v>27641</v>
      </c>
      <c r="T1208" s="119">
        <v>1536129</v>
      </c>
      <c r="U1208" s="119">
        <v>5421886</v>
      </c>
      <c r="V1208" s="119">
        <v>26672</v>
      </c>
      <c r="W1208" s="119">
        <v>102390</v>
      </c>
      <c r="X1208" s="120">
        <v>7654582</v>
      </c>
      <c r="AF1208" s="1742" t="s">
        <v>774</v>
      </c>
      <c r="AG1208" s="1743"/>
      <c r="AH1208" s="126">
        <v>81172675</v>
      </c>
      <c r="AI1208" s="126">
        <v>17467588</v>
      </c>
      <c r="AJ1208" s="126">
        <v>5910</v>
      </c>
      <c r="AK1208" s="127">
        <v>11408075</v>
      </c>
    </row>
    <row r="1209" spans="1:37" ht="22.5" x14ac:dyDescent="0.3">
      <c r="A1209" s="114" t="s">
        <v>1989</v>
      </c>
      <c r="B1209" s="231">
        <v>-700764</v>
      </c>
      <c r="C1209" s="231">
        <v>-63845</v>
      </c>
      <c r="D1209" s="231">
        <v>-1220635</v>
      </c>
      <c r="E1209" s="231" t="s">
        <v>1420</v>
      </c>
      <c r="F1209" s="231">
        <v>-4578836</v>
      </c>
      <c r="G1209" s="231" t="s">
        <v>1420</v>
      </c>
      <c r="H1209" s="232">
        <v>-6564080</v>
      </c>
      <c r="O1209" s="114" t="s">
        <v>2168</v>
      </c>
      <c r="P1209" s="115" t="s">
        <v>199</v>
      </c>
      <c r="Q1209" s="119">
        <v>700580</v>
      </c>
      <c r="R1209" s="115" t="s">
        <v>199</v>
      </c>
      <c r="S1209" s="119">
        <v>18141</v>
      </c>
      <c r="T1209" s="119">
        <v>893224</v>
      </c>
      <c r="U1209" s="119">
        <v>1627472</v>
      </c>
      <c r="V1209" s="119">
        <v>341435</v>
      </c>
      <c r="W1209" s="119">
        <v>115480</v>
      </c>
      <c r="X1209" s="120">
        <v>3696333</v>
      </c>
      <c r="AF1209" s="142" t="s">
        <v>2303</v>
      </c>
    </row>
    <row r="1210" spans="1:37" x14ac:dyDescent="0.3">
      <c r="A1210" s="228" t="s">
        <v>2304</v>
      </c>
      <c r="B1210" s="231">
        <v>-207108</v>
      </c>
      <c r="C1210" s="231">
        <v>-47897</v>
      </c>
      <c r="D1210" s="231" t="s">
        <v>1420</v>
      </c>
      <c r="E1210" s="231" t="s">
        <v>2305</v>
      </c>
      <c r="F1210" s="236">
        <v>-4808712</v>
      </c>
      <c r="G1210" s="231">
        <v>-484923</v>
      </c>
      <c r="H1210" s="232">
        <v>-5548640</v>
      </c>
      <c r="O1210" s="114" t="s">
        <v>2175</v>
      </c>
      <c r="P1210" s="115" t="s">
        <v>199</v>
      </c>
      <c r="Q1210" s="115">
        <v>-37</v>
      </c>
      <c r="R1210" s="115" t="s">
        <v>199</v>
      </c>
      <c r="S1210" s="115" t="s">
        <v>199</v>
      </c>
      <c r="T1210" s="119">
        <v>-10188</v>
      </c>
      <c r="U1210" s="119">
        <v>-472679</v>
      </c>
      <c r="V1210" s="115">
        <v>-2</v>
      </c>
      <c r="W1210" s="115" t="s">
        <v>199</v>
      </c>
      <c r="X1210" s="120">
        <v>-482905</v>
      </c>
      <c r="AF1210" s="143"/>
    </row>
    <row r="1211" spans="1:37" x14ac:dyDescent="0.3">
      <c r="A1211" s="114" t="s">
        <v>2178</v>
      </c>
      <c r="B1211" s="231" t="s">
        <v>1420</v>
      </c>
      <c r="C1211" s="231" t="s">
        <v>2306</v>
      </c>
      <c r="D1211" s="231" t="s">
        <v>2307</v>
      </c>
      <c r="E1211" s="231" t="s">
        <v>2308</v>
      </c>
      <c r="F1211" s="231">
        <v>-723097</v>
      </c>
      <c r="G1211" s="231" t="s">
        <v>1420</v>
      </c>
      <c r="H1211" s="232" t="s">
        <v>1420</v>
      </c>
      <c r="O1211" s="114" t="s">
        <v>1988</v>
      </c>
      <c r="P1211" s="119">
        <v>-1873</v>
      </c>
      <c r="Q1211" s="119">
        <v>-509353</v>
      </c>
      <c r="R1211" s="119">
        <v>-19350</v>
      </c>
      <c r="S1211" s="119">
        <v>-16971</v>
      </c>
      <c r="T1211" s="119">
        <v>-731353</v>
      </c>
      <c r="U1211" s="119">
        <v>-2673219</v>
      </c>
      <c r="V1211" s="119">
        <v>-29510</v>
      </c>
      <c r="W1211" s="115" t="s">
        <v>199</v>
      </c>
      <c r="X1211" s="120">
        <v>-3981628</v>
      </c>
      <c r="AF1211" s="142" t="s">
        <v>992</v>
      </c>
    </row>
    <row r="1212" spans="1:37" x14ac:dyDescent="0.3">
      <c r="A1212" s="114" t="s">
        <v>2184</v>
      </c>
      <c r="B1212" s="231" t="s">
        <v>1420</v>
      </c>
      <c r="C1212" s="231" t="s">
        <v>1420</v>
      </c>
      <c r="D1212" s="231" t="s">
        <v>2309</v>
      </c>
      <c r="E1212" s="231" t="s">
        <v>2305</v>
      </c>
      <c r="F1212" s="231" t="s">
        <v>2310</v>
      </c>
      <c r="G1212" s="231">
        <v>-17461</v>
      </c>
      <c r="H1212" s="232" t="s">
        <v>2311</v>
      </c>
      <c r="O1212" s="114" t="s">
        <v>2178</v>
      </c>
      <c r="P1212" s="115" t="s">
        <v>199</v>
      </c>
      <c r="Q1212" s="119">
        <v>156730</v>
      </c>
      <c r="R1212" s="115" t="s">
        <v>199</v>
      </c>
      <c r="S1212" s="115" t="s">
        <v>199</v>
      </c>
      <c r="T1212" s="115" t="s">
        <v>199</v>
      </c>
      <c r="U1212" s="115" t="s">
        <v>199</v>
      </c>
      <c r="V1212" s="115" t="s">
        <v>199</v>
      </c>
      <c r="W1212" s="119">
        <v>-156730</v>
      </c>
      <c r="X1212" s="116" t="s">
        <v>199</v>
      </c>
      <c r="AF1212" s="1695" t="s">
        <v>976</v>
      </c>
      <c r="AG1212" s="1696"/>
      <c r="AH1212" s="1696"/>
      <c r="AI1212" s="1696"/>
      <c r="AJ1212" s="1696"/>
      <c r="AK1212" s="1697"/>
    </row>
    <row r="1213" spans="1:37" x14ac:dyDescent="0.3">
      <c r="A1213" s="125" t="s">
        <v>2187</v>
      </c>
      <c r="B1213" s="233" t="s">
        <v>2248</v>
      </c>
      <c r="C1213" s="233" t="s">
        <v>2250</v>
      </c>
      <c r="D1213" s="233" t="s">
        <v>2254</v>
      </c>
      <c r="E1213" s="233" t="s">
        <v>2257</v>
      </c>
      <c r="F1213" s="238" t="s">
        <v>2261</v>
      </c>
      <c r="G1213" s="233" t="s">
        <v>2265</v>
      </c>
      <c r="H1213" s="234" t="s">
        <v>2268</v>
      </c>
      <c r="O1213" s="114" t="s">
        <v>2182</v>
      </c>
      <c r="P1213" s="115" t="s">
        <v>199</v>
      </c>
      <c r="Q1213" s="115" t="s">
        <v>199</v>
      </c>
      <c r="R1213" s="115" t="s">
        <v>199</v>
      </c>
      <c r="S1213" s="115" t="s">
        <v>199</v>
      </c>
      <c r="T1213" s="115" t="s">
        <v>199</v>
      </c>
      <c r="U1213" s="119">
        <v>-121013</v>
      </c>
      <c r="V1213" s="115" t="s">
        <v>199</v>
      </c>
      <c r="W1213" s="115" t="s">
        <v>199</v>
      </c>
      <c r="X1213" s="120">
        <v>-121013</v>
      </c>
      <c r="AF1213" s="161" t="s">
        <v>2245</v>
      </c>
      <c r="AG1213" s="134" t="s">
        <v>2246</v>
      </c>
      <c r="AH1213" s="134" t="s">
        <v>832</v>
      </c>
      <c r="AI1213" s="134" t="s">
        <v>2286</v>
      </c>
      <c r="AJ1213" s="134" t="s">
        <v>2287</v>
      </c>
      <c r="AK1213" s="135" t="s">
        <v>2288</v>
      </c>
    </row>
    <row r="1214" spans="1:37" ht="33.75" x14ac:dyDescent="0.3">
      <c r="A1214" s="142" t="s">
        <v>2312</v>
      </c>
      <c r="O1214" s="114" t="s">
        <v>2184</v>
      </c>
      <c r="P1214" s="115" t="s">
        <v>199</v>
      </c>
      <c r="Q1214" s="115" t="s">
        <v>199</v>
      </c>
      <c r="R1214" s="115" t="s">
        <v>199</v>
      </c>
      <c r="S1214" s="115" t="s">
        <v>199</v>
      </c>
      <c r="T1214" s="119">
        <v>1134</v>
      </c>
      <c r="U1214" s="119">
        <v>-14258</v>
      </c>
      <c r="V1214" s="115" t="s">
        <v>199</v>
      </c>
      <c r="W1214" s="115" t="s">
        <v>199</v>
      </c>
      <c r="X1214" s="120">
        <v>-13124</v>
      </c>
      <c r="AF1214" s="162" t="s">
        <v>2251</v>
      </c>
      <c r="AG1214" s="110" t="s">
        <v>2252</v>
      </c>
      <c r="AH1214" s="115" t="s">
        <v>199</v>
      </c>
      <c r="AI1214" s="115" t="s">
        <v>199</v>
      </c>
      <c r="AJ1214" s="115" t="s">
        <v>199</v>
      </c>
      <c r="AK1214" s="120">
        <v>43560</v>
      </c>
    </row>
    <row r="1215" spans="1:37" x14ac:dyDescent="0.3">
      <c r="A1215" s="143"/>
      <c r="O1215" s="125" t="s">
        <v>2187</v>
      </c>
      <c r="P1215" s="126">
        <v>5286</v>
      </c>
      <c r="Q1215" s="126">
        <v>819349</v>
      </c>
      <c r="R1215" s="126">
        <v>41928</v>
      </c>
      <c r="S1215" s="126">
        <v>28811</v>
      </c>
      <c r="T1215" s="126">
        <v>1688946</v>
      </c>
      <c r="U1215" s="126">
        <v>3768190</v>
      </c>
      <c r="V1215" s="126">
        <v>338595</v>
      </c>
      <c r="W1215" s="126">
        <v>61140</v>
      </c>
      <c r="X1215" s="127">
        <v>6752244</v>
      </c>
      <c r="AF1215" s="162" t="s">
        <v>2255</v>
      </c>
      <c r="AG1215" s="110" t="s">
        <v>2291</v>
      </c>
      <c r="AH1215" s="119">
        <v>71643819</v>
      </c>
      <c r="AI1215" s="119">
        <v>104385</v>
      </c>
      <c r="AJ1215" s="119">
        <v>249230</v>
      </c>
      <c r="AK1215" s="120">
        <v>1740153</v>
      </c>
    </row>
    <row r="1216" spans="1:37" ht="22.5" x14ac:dyDescent="0.3">
      <c r="A1216" s="142" t="s">
        <v>2313</v>
      </c>
      <c r="O1216" s="142" t="s">
        <v>2314</v>
      </c>
      <c r="AF1216" s="162" t="s">
        <v>2258</v>
      </c>
      <c r="AG1216" s="110" t="s">
        <v>2290</v>
      </c>
      <c r="AH1216" s="119">
        <v>9217065</v>
      </c>
      <c r="AI1216" s="119">
        <v>18062387</v>
      </c>
      <c r="AJ1216" s="115" t="s">
        <v>199</v>
      </c>
      <c r="AK1216" s="116" t="s">
        <v>199</v>
      </c>
    </row>
    <row r="1217" spans="1:37" x14ac:dyDescent="0.3">
      <c r="A1217" s="1695" t="s">
        <v>826</v>
      </c>
      <c r="B1217" s="1696"/>
      <c r="C1217" s="1696"/>
      <c r="D1217" s="1696"/>
      <c r="E1217" s="1696"/>
      <c r="F1217" s="1696"/>
      <c r="G1217" s="1697"/>
      <c r="O1217" s="143"/>
      <c r="AF1217" s="1706" t="s">
        <v>71</v>
      </c>
      <c r="AG1217" s="113" t="s">
        <v>2315</v>
      </c>
      <c r="AH1217" s="119">
        <v>308260</v>
      </c>
      <c r="AI1217" s="115" t="s">
        <v>199</v>
      </c>
      <c r="AJ1217" s="115" t="s">
        <v>199</v>
      </c>
      <c r="AK1217" s="120">
        <v>13014</v>
      </c>
    </row>
    <row r="1218" spans="1:37" x14ac:dyDescent="0.3">
      <c r="A1218" s="161" t="s">
        <v>977</v>
      </c>
      <c r="B1218" s="134" t="s">
        <v>1167</v>
      </c>
      <c r="C1218" s="134" t="s">
        <v>1169</v>
      </c>
      <c r="D1218" s="134" t="s">
        <v>1172</v>
      </c>
      <c r="E1218" s="134" t="s">
        <v>1174</v>
      </c>
      <c r="F1218" s="134" t="s">
        <v>1390</v>
      </c>
      <c r="G1218" s="135" t="s">
        <v>1359</v>
      </c>
      <c r="O1218" s="142" t="s">
        <v>841</v>
      </c>
      <c r="AF1218" s="1744"/>
      <c r="AG1218" s="113" t="s">
        <v>2316</v>
      </c>
      <c r="AH1218" s="119">
        <v>442840</v>
      </c>
      <c r="AI1218" s="115" t="s">
        <v>199</v>
      </c>
      <c r="AJ1218" s="115" t="s">
        <v>199</v>
      </c>
      <c r="AK1218" s="120">
        <v>625768</v>
      </c>
    </row>
    <row r="1219" spans="1:37" x14ac:dyDescent="0.3">
      <c r="A1219" s="114" t="s">
        <v>2163</v>
      </c>
      <c r="B1219" s="115" t="s">
        <v>2317</v>
      </c>
      <c r="C1219" s="115" t="s">
        <v>2318</v>
      </c>
      <c r="D1219" s="115" t="s">
        <v>2319</v>
      </c>
      <c r="E1219" s="115" t="s">
        <v>2320</v>
      </c>
      <c r="F1219" s="115" t="s">
        <v>2321</v>
      </c>
      <c r="G1219" s="116" t="s">
        <v>2322</v>
      </c>
      <c r="O1219" s="1695" t="s">
        <v>826</v>
      </c>
      <c r="P1219" s="1696"/>
      <c r="Q1219" s="1696"/>
      <c r="R1219" s="1696"/>
      <c r="S1219" s="1696"/>
      <c r="T1219" s="1696"/>
      <c r="U1219" s="1696"/>
      <c r="V1219" s="1696"/>
      <c r="W1219" s="1696"/>
      <c r="X1219" s="1697"/>
      <c r="AF1219" s="1744"/>
      <c r="AG1219" s="113" t="s">
        <v>2323</v>
      </c>
      <c r="AH1219" s="119">
        <v>35548</v>
      </c>
      <c r="AI1219" s="115" t="s">
        <v>199</v>
      </c>
      <c r="AJ1219" s="115" t="s">
        <v>199</v>
      </c>
      <c r="AK1219" s="120">
        <v>184062</v>
      </c>
    </row>
    <row r="1220" spans="1:37" x14ac:dyDescent="0.3">
      <c r="A1220" s="114" t="s">
        <v>2296</v>
      </c>
      <c r="B1220" s="115" t="s">
        <v>2324</v>
      </c>
      <c r="C1220" s="115" t="s">
        <v>1420</v>
      </c>
      <c r="D1220" s="115" t="s">
        <v>1420</v>
      </c>
      <c r="E1220" s="115" t="s">
        <v>1420</v>
      </c>
      <c r="F1220" s="115" t="s">
        <v>1420</v>
      </c>
      <c r="G1220" s="116" t="s">
        <v>2324</v>
      </c>
      <c r="O1220" s="161" t="s">
        <v>763</v>
      </c>
      <c r="P1220" s="134" t="s">
        <v>1138</v>
      </c>
      <c r="Q1220" s="134" t="s">
        <v>1142</v>
      </c>
      <c r="R1220" s="134" t="s">
        <v>1146</v>
      </c>
      <c r="S1220" s="134" t="s">
        <v>1152</v>
      </c>
      <c r="T1220" s="134" t="s">
        <v>1154</v>
      </c>
      <c r="U1220" s="134" t="s">
        <v>1342</v>
      </c>
      <c r="V1220" s="134" t="s">
        <v>1156</v>
      </c>
      <c r="W1220" s="134" t="s">
        <v>1344</v>
      </c>
      <c r="X1220" s="135" t="s">
        <v>1359</v>
      </c>
      <c r="AF1220" s="1744"/>
      <c r="AG1220" s="113" t="s">
        <v>2325</v>
      </c>
      <c r="AH1220" s="119">
        <v>35084</v>
      </c>
      <c r="AI1220" s="115" t="s">
        <v>199</v>
      </c>
      <c r="AJ1220" s="115" t="s">
        <v>199</v>
      </c>
      <c r="AK1220" s="116">
        <v>791</v>
      </c>
    </row>
    <row r="1221" spans="1:37" x14ac:dyDescent="0.3">
      <c r="A1221" s="114" t="s">
        <v>2168</v>
      </c>
      <c r="B1221" s="115" t="s">
        <v>1420</v>
      </c>
      <c r="C1221" s="115" t="s">
        <v>2326</v>
      </c>
      <c r="D1221" s="115" t="s">
        <v>2327</v>
      </c>
      <c r="E1221" s="115" t="s">
        <v>2328</v>
      </c>
      <c r="F1221" s="115" t="s">
        <v>1420</v>
      </c>
      <c r="G1221" s="116" t="s">
        <v>2329</v>
      </c>
      <c r="O1221" s="114" t="s">
        <v>2163</v>
      </c>
      <c r="P1221" s="119">
        <v>9032</v>
      </c>
      <c r="Q1221" s="119">
        <v>374530</v>
      </c>
      <c r="R1221" s="119">
        <v>82371</v>
      </c>
      <c r="S1221" s="119">
        <v>46308</v>
      </c>
      <c r="T1221" s="119">
        <v>1557235</v>
      </c>
      <c r="U1221" s="119">
        <v>3205823</v>
      </c>
      <c r="V1221" s="119">
        <v>53206</v>
      </c>
      <c r="W1221" s="115" t="s">
        <v>199</v>
      </c>
      <c r="X1221" s="120">
        <v>5328505</v>
      </c>
      <c r="AF1221" s="1744"/>
      <c r="AG1221" s="113" t="s">
        <v>2330</v>
      </c>
      <c r="AH1221" s="119">
        <v>968130</v>
      </c>
      <c r="AI1221" s="115" t="s">
        <v>199</v>
      </c>
      <c r="AJ1221" s="119">
        <v>287612</v>
      </c>
      <c r="AK1221" s="120">
        <v>1009637</v>
      </c>
    </row>
    <row r="1222" spans="1:37" x14ac:dyDescent="0.3">
      <c r="A1222" s="114" t="s">
        <v>1989</v>
      </c>
      <c r="B1222" s="119">
        <v>-1050303</v>
      </c>
      <c r="C1222" s="119">
        <v>-62561</v>
      </c>
      <c r="D1222" s="119">
        <v>-1060323</v>
      </c>
      <c r="E1222" s="119">
        <v>-5750692</v>
      </c>
      <c r="F1222" s="115" t="s">
        <v>1420</v>
      </c>
      <c r="G1222" s="120">
        <v>-7923879</v>
      </c>
      <c r="O1222" s="114" t="s">
        <v>2168</v>
      </c>
      <c r="P1222" s="115" t="s">
        <v>199</v>
      </c>
      <c r="Q1222" s="119">
        <v>376511</v>
      </c>
      <c r="R1222" s="115" t="s">
        <v>199</v>
      </c>
      <c r="S1222" s="115" t="s">
        <v>199</v>
      </c>
      <c r="T1222" s="119">
        <v>427916</v>
      </c>
      <c r="U1222" s="119">
        <v>1029547</v>
      </c>
      <c r="V1222" s="115" t="s">
        <v>199</v>
      </c>
      <c r="W1222" s="119">
        <v>277761</v>
      </c>
      <c r="X1222" s="120">
        <v>2111735</v>
      </c>
      <c r="AF1222" s="1744"/>
      <c r="AG1222" s="113" t="s">
        <v>2295</v>
      </c>
      <c r="AH1222" s="119">
        <v>2148756</v>
      </c>
      <c r="AI1222" s="115">
        <v>275</v>
      </c>
      <c r="AJ1222" s="119">
        <v>84131</v>
      </c>
      <c r="AK1222" s="116">
        <v>611</v>
      </c>
    </row>
    <row r="1223" spans="1:37" x14ac:dyDescent="0.3">
      <c r="A1223" s="114" t="s">
        <v>2222</v>
      </c>
      <c r="B1223" s="119">
        <v>-760551</v>
      </c>
      <c r="C1223" s="115" t="s">
        <v>1420</v>
      </c>
      <c r="D1223" s="119">
        <v>-470444</v>
      </c>
      <c r="E1223" s="115" t="s">
        <v>1420</v>
      </c>
      <c r="F1223" s="119">
        <v>-20593687</v>
      </c>
      <c r="G1223" s="120">
        <v>-21824682</v>
      </c>
      <c r="O1223" s="114" t="s">
        <v>2175</v>
      </c>
      <c r="P1223" s="115" t="s">
        <v>199</v>
      </c>
      <c r="Q1223" s="115">
        <v>-139</v>
      </c>
      <c r="R1223" s="115" t="s">
        <v>199</v>
      </c>
      <c r="S1223" s="115" t="s">
        <v>199</v>
      </c>
      <c r="T1223" s="115">
        <v>-598</v>
      </c>
      <c r="U1223" s="119">
        <v>-458939</v>
      </c>
      <c r="V1223" s="115">
        <v>-1</v>
      </c>
      <c r="W1223" s="115" t="s">
        <v>199</v>
      </c>
      <c r="X1223" s="120">
        <v>-459677</v>
      </c>
      <c r="AF1223" s="1744"/>
      <c r="AG1223" s="113" t="s">
        <v>2331</v>
      </c>
      <c r="AH1223" s="119">
        <v>8360</v>
      </c>
      <c r="AI1223" s="115" t="s">
        <v>199</v>
      </c>
      <c r="AJ1223" s="115" t="s">
        <v>199</v>
      </c>
      <c r="AK1223" s="120">
        <v>5676</v>
      </c>
    </row>
    <row r="1224" spans="1:37" x14ac:dyDescent="0.3">
      <c r="A1224" s="114" t="s">
        <v>2226</v>
      </c>
      <c r="B1224" s="115" t="s">
        <v>1420</v>
      </c>
      <c r="C1224" s="115" t="s">
        <v>1420</v>
      </c>
      <c r="D1224" s="115" t="s">
        <v>1420</v>
      </c>
      <c r="E1224" s="115" t="s">
        <v>1420</v>
      </c>
      <c r="F1224" s="115" t="s">
        <v>2332</v>
      </c>
      <c r="G1224" s="116" t="s">
        <v>2332</v>
      </c>
      <c r="O1224" s="114" t="s">
        <v>1988</v>
      </c>
      <c r="P1224" s="119">
        <v>-1873</v>
      </c>
      <c r="Q1224" s="119">
        <v>-454845</v>
      </c>
      <c r="R1224" s="119">
        <v>-21094</v>
      </c>
      <c r="S1224" s="119">
        <v>-18667</v>
      </c>
      <c r="T1224" s="119">
        <v>-448460</v>
      </c>
      <c r="U1224" s="119">
        <v>-2335859</v>
      </c>
      <c r="V1224" s="119">
        <v>-26533</v>
      </c>
      <c r="W1224" s="115" t="s">
        <v>199</v>
      </c>
      <c r="X1224" s="120">
        <v>-3307331</v>
      </c>
      <c r="AF1224" s="1707"/>
      <c r="AG1224" s="113" t="s">
        <v>71</v>
      </c>
      <c r="AH1224" s="119">
        <v>231411</v>
      </c>
      <c r="AI1224" s="119">
        <v>526364</v>
      </c>
      <c r="AJ1224" s="115" t="s">
        <v>199</v>
      </c>
      <c r="AK1224" s="120">
        <v>778239</v>
      </c>
    </row>
    <row r="1225" spans="1:37" x14ac:dyDescent="0.3">
      <c r="A1225" s="114" t="s">
        <v>2184</v>
      </c>
      <c r="B1225" s="115" t="s">
        <v>1420</v>
      </c>
      <c r="C1225" s="115" t="s">
        <v>1420</v>
      </c>
      <c r="D1225" s="115" t="s">
        <v>2333</v>
      </c>
      <c r="E1225" s="115" t="s">
        <v>2334</v>
      </c>
      <c r="F1225" s="115" t="s">
        <v>2335</v>
      </c>
      <c r="G1225" s="116" t="s">
        <v>2336</v>
      </c>
      <c r="O1225" s="114" t="s">
        <v>2178</v>
      </c>
      <c r="P1225" s="115" t="s">
        <v>199</v>
      </c>
      <c r="Q1225" s="119">
        <v>175371</v>
      </c>
      <c r="R1225" s="115" t="s">
        <v>199</v>
      </c>
      <c r="S1225" s="115" t="s">
        <v>199</v>
      </c>
      <c r="T1225" s="115" t="s">
        <v>199</v>
      </c>
      <c r="U1225" s="115" t="s">
        <v>199</v>
      </c>
      <c r="V1225" s="115" t="s">
        <v>199</v>
      </c>
      <c r="W1225" s="119">
        <v>-175371</v>
      </c>
      <c r="X1225" s="116" t="s">
        <v>199</v>
      </c>
      <c r="AF1225" s="1742" t="s">
        <v>774</v>
      </c>
      <c r="AG1225" s="1743"/>
      <c r="AH1225" s="126">
        <v>85039274</v>
      </c>
      <c r="AI1225" s="126">
        <v>18693411</v>
      </c>
      <c r="AJ1225" s="126">
        <v>620973</v>
      </c>
      <c r="AK1225" s="127">
        <v>4401509</v>
      </c>
    </row>
    <row r="1226" spans="1:37" ht="22.5" x14ac:dyDescent="0.3">
      <c r="A1226" s="125" t="s">
        <v>2187</v>
      </c>
      <c r="B1226" s="136" t="s">
        <v>2274</v>
      </c>
      <c r="C1226" s="136" t="s">
        <v>2277</v>
      </c>
      <c r="D1226" s="136" t="s">
        <v>2279</v>
      </c>
      <c r="E1226" s="136" t="s">
        <v>2281</v>
      </c>
      <c r="F1226" s="136" t="s">
        <v>2283</v>
      </c>
      <c r="G1226" s="137" t="s">
        <v>2285</v>
      </c>
      <c r="O1226" s="114" t="s">
        <v>2182</v>
      </c>
      <c r="P1226" s="115" t="s">
        <v>199</v>
      </c>
      <c r="Q1226" s="115" t="s">
        <v>199</v>
      </c>
      <c r="R1226" s="115" t="s">
        <v>199</v>
      </c>
      <c r="S1226" s="115" t="s">
        <v>199</v>
      </c>
      <c r="T1226" s="115" t="s">
        <v>199</v>
      </c>
      <c r="U1226" s="119">
        <v>3982767</v>
      </c>
      <c r="V1226" s="115" t="s">
        <v>199</v>
      </c>
      <c r="W1226" s="115" t="s">
        <v>199</v>
      </c>
      <c r="X1226" s="120">
        <v>3982767</v>
      </c>
      <c r="AF1226" s="142" t="s">
        <v>2303</v>
      </c>
    </row>
    <row r="1227" spans="1:37" ht="45" x14ac:dyDescent="0.3">
      <c r="A1227" s="142" t="s">
        <v>2337</v>
      </c>
      <c r="O1227" s="114" t="s">
        <v>2184</v>
      </c>
      <c r="P1227" s="115" t="s">
        <v>199</v>
      </c>
      <c r="Q1227" s="115" t="s">
        <v>199</v>
      </c>
      <c r="R1227" s="115" t="s">
        <v>199</v>
      </c>
      <c r="S1227" s="115" t="s">
        <v>199</v>
      </c>
      <c r="T1227" s="115">
        <v>36</v>
      </c>
      <c r="U1227" s="119">
        <v>-1453</v>
      </c>
      <c r="V1227" s="115" t="s">
        <v>199</v>
      </c>
      <c r="W1227" s="115" t="s">
        <v>199</v>
      </c>
      <c r="X1227" s="120">
        <v>-1417</v>
      </c>
      <c r="AF1227" s="143"/>
    </row>
    <row r="1228" spans="1:37" ht="22.5" x14ac:dyDescent="0.3">
      <c r="A1228" s="142" t="s">
        <v>2236</v>
      </c>
      <c r="O1228" s="125" t="s">
        <v>2187</v>
      </c>
      <c r="P1228" s="126">
        <v>7159</v>
      </c>
      <c r="Q1228" s="126">
        <v>471428</v>
      </c>
      <c r="R1228" s="126">
        <v>61277</v>
      </c>
      <c r="S1228" s="126">
        <v>27641</v>
      </c>
      <c r="T1228" s="126">
        <v>1536129</v>
      </c>
      <c r="U1228" s="126">
        <v>5421886</v>
      </c>
      <c r="V1228" s="126">
        <v>26672</v>
      </c>
      <c r="W1228" s="126">
        <v>102390</v>
      </c>
      <c r="X1228" s="127">
        <v>7654582</v>
      </c>
      <c r="AF1228" s="142" t="s">
        <v>2338</v>
      </c>
    </row>
    <row r="1229" spans="1:37" ht="22.5" x14ac:dyDescent="0.3">
      <c r="O1229" s="142" t="s">
        <v>2314</v>
      </c>
      <c r="AF1229" s="143"/>
    </row>
    <row r="1230" spans="1:37" x14ac:dyDescent="0.3">
      <c r="A1230" s="142" t="s">
        <v>2339</v>
      </c>
      <c r="O1230" s="143"/>
      <c r="AF1230" s="142" t="s">
        <v>1058</v>
      </c>
    </row>
    <row r="1231" spans="1:37" x14ac:dyDescent="0.3">
      <c r="A1231" s="143"/>
      <c r="O1231" s="142" t="s">
        <v>2340</v>
      </c>
      <c r="AF1231" s="1695" t="s">
        <v>976</v>
      </c>
      <c r="AG1231" s="1696"/>
      <c r="AH1231" s="1696"/>
      <c r="AI1231" s="1696"/>
      <c r="AJ1231" s="1696"/>
      <c r="AK1231" s="1697"/>
    </row>
    <row r="1232" spans="1:37" ht="22.5" x14ac:dyDescent="0.3">
      <c r="A1232" s="142" t="s">
        <v>2341</v>
      </c>
      <c r="O1232" s="143"/>
      <c r="AF1232" s="161" t="s">
        <v>2245</v>
      </c>
      <c r="AG1232" s="134" t="s">
        <v>2246</v>
      </c>
      <c r="AH1232" s="134" t="s">
        <v>244</v>
      </c>
      <c r="AI1232" s="134" t="s">
        <v>2342</v>
      </c>
      <c r="AJ1232" s="134" t="s">
        <v>247</v>
      </c>
      <c r="AK1232" s="135" t="s">
        <v>2343</v>
      </c>
    </row>
    <row r="1233" spans="1:37" ht="56.25" x14ac:dyDescent="0.3">
      <c r="A1233" s="128"/>
      <c r="O1233" s="142" t="s">
        <v>2344</v>
      </c>
      <c r="AF1233" s="162" t="s">
        <v>2258</v>
      </c>
      <c r="AG1233" s="110" t="s">
        <v>2290</v>
      </c>
      <c r="AH1233" s="119">
        <v>815205</v>
      </c>
      <c r="AI1233" s="119">
        <v>45888</v>
      </c>
      <c r="AJ1233" s="119">
        <v>3173045</v>
      </c>
      <c r="AK1233" s="120">
        <v>19746564</v>
      </c>
    </row>
    <row r="1234" spans="1:37" x14ac:dyDescent="0.3">
      <c r="A1234" s="1695" t="s">
        <v>826</v>
      </c>
      <c r="B1234" s="1696"/>
      <c r="C1234" s="1697"/>
      <c r="O1234" s="143"/>
      <c r="AF1234" s="162" t="s">
        <v>2262</v>
      </c>
      <c r="AG1234" s="110" t="s">
        <v>1312</v>
      </c>
      <c r="AH1234" s="115" t="s">
        <v>199</v>
      </c>
      <c r="AI1234" s="119">
        <v>3378846</v>
      </c>
      <c r="AJ1234" s="115">
        <v>197</v>
      </c>
      <c r="AK1234" s="116" t="s">
        <v>199</v>
      </c>
    </row>
    <row r="1235" spans="1:37" ht="22.5" x14ac:dyDescent="0.3">
      <c r="A1235" s="161" t="s">
        <v>788</v>
      </c>
      <c r="B1235" s="134" t="s">
        <v>820</v>
      </c>
      <c r="C1235" s="135" t="s">
        <v>787</v>
      </c>
      <c r="O1235" s="142" t="s">
        <v>2345</v>
      </c>
      <c r="AF1235" s="1706" t="s">
        <v>71</v>
      </c>
      <c r="AG1235" s="110" t="s">
        <v>2291</v>
      </c>
      <c r="AH1235" s="119">
        <v>2781429</v>
      </c>
      <c r="AI1235" s="119">
        <v>929590</v>
      </c>
      <c r="AJ1235" s="115" t="s">
        <v>199</v>
      </c>
      <c r="AK1235" s="120">
        <v>527937</v>
      </c>
    </row>
    <row r="1236" spans="1:37" x14ac:dyDescent="0.3">
      <c r="A1236" s="109" t="s">
        <v>2346</v>
      </c>
      <c r="B1236" s="115" t="s">
        <v>2347</v>
      </c>
      <c r="C1236" s="116" t="s">
        <v>2348</v>
      </c>
      <c r="O1236" s="1752" t="s">
        <v>826</v>
      </c>
      <c r="P1236" s="1753"/>
      <c r="Q1236" s="1753"/>
      <c r="R1236" s="1754"/>
      <c r="AF1236" s="1744"/>
      <c r="AG1236" s="110" t="s">
        <v>2293</v>
      </c>
      <c r="AH1236" s="119">
        <v>57503</v>
      </c>
      <c r="AI1236" s="115" t="s">
        <v>199</v>
      </c>
      <c r="AJ1236" s="115" t="s">
        <v>199</v>
      </c>
      <c r="AK1236" s="116" t="s">
        <v>199</v>
      </c>
    </row>
    <row r="1237" spans="1:37" x14ac:dyDescent="0.3">
      <c r="A1237" s="109" t="s">
        <v>2349</v>
      </c>
      <c r="B1237" s="115" t="s">
        <v>2350</v>
      </c>
      <c r="C1237" s="116" t="s">
        <v>2350</v>
      </c>
      <c r="O1237" s="194" t="s">
        <v>763</v>
      </c>
      <c r="P1237" s="156" t="s">
        <v>2351</v>
      </c>
      <c r="Q1237" s="156" t="s">
        <v>2352</v>
      </c>
      <c r="R1237" s="157" t="s">
        <v>2353</v>
      </c>
      <c r="AF1237" s="1744"/>
      <c r="AG1237" s="110" t="s">
        <v>2294</v>
      </c>
      <c r="AH1237" s="119">
        <v>206281</v>
      </c>
      <c r="AI1237" s="115" t="s">
        <v>199</v>
      </c>
      <c r="AJ1237" s="115" t="s">
        <v>199</v>
      </c>
      <c r="AK1237" s="120">
        <v>37250</v>
      </c>
    </row>
    <row r="1238" spans="1:37" x14ac:dyDescent="0.3">
      <c r="A1238" s="223" t="s">
        <v>2354</v>
      </c>
      <c r="B1238" s="239" t="s">
        <v>1420</v>
      </c>
      <c r="C1238" s="240" t="s">
        <v>2332</v>
      </c>
      <c r="O1238" s="121" t="s">
        <v>2355</v>
      </c>
      <c r="P1238" s="126">
        <v>208721</v>
      </c>
      <c r="Q1238" s="126">
        <v>18462</v>
      </c>
      <c r="R1238" s="127">
        <v>-227183</v>
      </c>
      <c r="AF1238" s="1744"/>
      <c r="AG1238" s="110" t="s">
        <v>2356</v>
      </c>
      <c r="AH1238" s="119">
        <v>161975</v>
      </c>
      <c r="AI1238" s="115" t="s">
        <v>199</v>
      </c>
      <c r="AJ1238" s="115" t="s">
        <v>199</v>
      </c>
      <c r="AK1238" s="116" t="s">
        <v>199</v>
      </c>
    </row>
    <row r="1239" spans="1:37" x14ac:dyDescent="0.3">
      <c r="A1239" s="109" t="s">
        <v>2357</v>
      </c>
      <c r="B1239" s="115" t="s">
        <v>2358</v>
      </c>
      <c r="C1239" s="116" t="s">
        <v>2358</v>
      </c>
      <c r="AF1239" s="1707"/>
      <c r="AG1239" s="110" t="s">
        <v>71</v>
      </c>
      <c r="AH1239" s="119">
        <v>86022</v>
      </c>
      <c r="AI1239" s="115" t="s">
        <v>199</v>
      </c>
      <c r="AJ1239" s="119">
        <v>471011</v>
      </c>
      <c r="AK1239" s="120">
        <v>1782784</v>
      </c>
    </row>
    <row r="1240" spans="1:37" x14ac:dyDescent="0.3">
      <c r="A1240" s="146" t="s">
        <v>1462</v>
      </c>
      <c r="B1240" s="136" t="s">
        <v>2265</v>
      </c>
      <c r="C1240" s="137" t="s">
        <v>2283</v>
      </c>
      <c r="AF1240" s="1742" t="s">
        <v>774</v>
      </c>
      <c r="AG1240" s="1743"/>
      <c r="AH1240" s="126">
        <v>4108414</v>
      </c>
      <c r="AI1240" s="126">
        <v>4354323</v>
      </c>
      <c r="AJ1240" s="126">
        <v>3644253</v>
      </c>
      <c r="AK1240" s="127">
        <v>22094535</v>
      </c>
    </row>
    <row r="1241" spans="1:37" x14ac:dyDescent="0.3">
      <c r="A1241" s="143"/>
      <c r="O1241" s="142" t="s">
        <v>2359</v>
      </c>
      <c r="AF1241" s="143"/>
    </row>
    <row r="1242" spans="1:37" x14ac:dyDescent="0.3">
      <c r="A1242" s="142" t="s">
        <v>2360</v>
      </c>
      <c r="O1242" s="143"/>
      <c r="AF1242" s="142" t="s">
        <v>1100</v>
      </c>
    </row>
    <row r="1243" spans="1:37" x14ac:dyDescent="0.3">
      <c r="A1243" s="143"/>
      <c r="O1243" s="142" t="s">
        <v>2241</v>
      </c>
      <c r="AF1243" s="1695" t="s">
        <v>826</v>
      </c>
      <c r="AG1243" s="1696"/>
      <c r="AH1243" s="1696"/>
      <c r="AI1243" s="1696"/>
      <c r="AJ1243" s="1696"/>
      <c r="AK1243" s="1697"/>
    </row>
    <row r="1244" spans="1:37" x14ac:dyDescent="0.3">
      <c r="A1244" s="142" t="s">
        <v>2361</v>
      </c>
      <c r="O1244" s="143"/>
      <c r="AF1244" s="161" t="s">
        <v>2245</v>
      </c>
      <c r="AG1244" s="134" t="s">
        <v>2246</v>
      </c>
      <c r="AH1244" s="134" t="s">
        <v>244</v>
      </c>
      <c r="AI1244" s="134" t="s">
        <v>2342</v>
      </c>
      <c r="AJ1244" s="134" t="s">
        <v>247</v>
      </c>
      <c r="AK1244" s="135" t="s">
        <v>2362</v>
      </c>
    </row>
    <row r="1245" spans="1:37" ht="101.25" x14ac:dyDescent="0.3">
      <c r="A1245" s="142" t="s">
        <v>2363</v>
      </c>
      <c r="O1245" s="142" t="s">
        <v>1835</v>
      </c>
      <c r="AF1245" s="162" t="s">
        <v>2258</v>
      </c>
      <c r="AG1245" s="110" t="s">
        <v>2290</v>
      </c>
      <c r="AH1245" s="119">
        <v>52360</v>
      </c>
      <c r="AI1245" s="119">
        <v>16500</v>
      </c>
      <c r="AJ1245" s="119">
        <v>3197871</v>
      </c>
      <c r="AK1245" s="120">
        <v>17556081</v>
      </c>
    </row>
    <row r="1246" spans="1:37" x14ac:dyDescent="0.3">
      <c r="A1246" s="143"/>
      <c r="O1246" s="128"/>
      <c r="AF1246" s="1706" t="s">
        <v>71</v>
      </c>
      <c r="AG1246" s="110" t="s">
        <v>2291</v>
      </c>
      <c r="AH1246" s="119">
        <v>3648933</v>
      </c>
      <c r="AI1246" s="119">
        <v>1066270</v>
      </c>
      <c r="AJ1246" s="115" t="s">
        <v>199</v>
      </c>
      <c r="AK1246" s="120">
        <v>253733</v>
      </c>
    </row>
    <row r="1247" spans="1:37" x14ac:dyDescent="0.3">
      <c r="A1247" s="142" t="s">
        <v>2364</v>
      </c>
      <c r="O1247" s="128"/>
      <c r="AF1247" s="1744"/>
      <c r="AG1247" s="110" t="s">
        <v>2292</v>
      </c>
      <c r="AH1247" s="119">
        <v>101893</v>
      </c>
      <c r="AI1247" s="115" t="s">
        <v>199</v>
      </c>
      <c r="AJ1247" s="115" t="s">
        <v>199</v>
      </c>
      <c r="AK1247" s="116">
        <v>313</v>
      </c>
    </row>
    <row r="1248" spans="1:37" ht="101.25" x14ac:dyDescent="0.3">
      <c r="A1248" s="142" t="s">
        <v>2365</v>
      </c>
      <c r="O1248" s="1695" t="s">
        <v>826</v>
      </c>
      <c r="P1248" s="1696"/>
      <c r="Q1248" s="1696"/>
      <c r="R1248" s="1696"/>
      <c r="S1248" s="1697"/>
      <c r="AF1248" s="1744"/>
      <c r="AG1248" s="110" t="s">
        <v>2293</v>
      </c>
      <c r="AH1248" s="119">
        <v>66482</v>
      </c>
      <c r="AI1248" s="115" t="s">
        <v>199</v>
      </c>
      <c r="AJ1248" s="115" t="s">
        <v>199</v>
      </c>
      <c r="AK1248" s="120">
        <v>141031</v>
      </c>
    </row>
    <row r="1249" spans="1:37" x14ac:dyDescent="0.3">
      <c r="O1249" s="161" t="s">
        <v>977</v>
      </c>
      <c r="P1249" s="134" t="s">
        <v>1295</v>
      </c>
      <c r="Q1249" s="134" t="s">
        <v>1337</v>
      </c>
      <c r="R1249" s="134" t="s">
        <v>1338</v>
      </c>
      <c r="S1249" s="135" t="s">
        <v>1790</v>
      </c>
      <c r="AF1249" s="1744"/>
      <c r="AG1249" s="110" t="s">
        <v>2366</v>
      </c>
      <c r="AH1249" s="119">
        <v>16091</v>
      </c>
      <c r="AI1249" s="115" t="s">
        <v>199</v>
      </c>
      <c r="AJ1249" s="115" t="s">
        <v>199</v>
      </c>
      <c r="AK1249" s="116" t="s">
        <v>199</v>
      </c>
    </row>
    <row r="1250" spans="1:37" x14ac:dyDescent="0.3">
      <c r="A1250" s="142" t="s">
        <v>2367</v>
      </c>
      <c r="O1250" s="114" t="s">
        <v>1167</v>
      </c>
      <c r="P1250" s="231">
        <v>13895643</v>
      </c>
      <c r="Q1250" s="231">
        <v>-9589436</v>
      </c>
      <c r="R1250" s="231">
        <v>-3168369</v>
      </c>
      <c r="S1250" s="232">
        <v>1137839</v>
      </c>
      <c r="AF1250" s="1744"/>
      <c r="AG1250" s="110" t="s">
        <v>2294</v>
      </c>
      <c r="AH1250" s="119">
        <v>479415</v>
      </c>
      <c r="AI1250" s="115">
        <v>459</v>
      </c>
      <c r="AJ1250" s="115" t="s">
        <v>199</v>
      </c>
      <c r="AK1250" s="120">
        <v>3786</v>
      </c>
    </row>
    <row r="1251" spans="1:37" ht="45" x14ac:dyDescent="0.3">
      <c r="A1251" s="241" t="s">
        <v>2368</v>
      </c>
      <c r="O1251" s="114" t="s">
        <v>1169</v>
      </c>
      <c r="P1251" s="231">
        <v>1444193</v>
      </c>
      <c r="Q1251" s="231">
        <v>-737718</v>
      </c>
      <c r="R1251" s="231" t="s">
        <v>199</v>
      </c>
      <c r="S1251" s="232">
        <v>706474</v>
      </c>
      <c r="AF1251" s="1744"/>
      <c r="AG1251" s="110" t="s">
        <v>2295</v>
      </c>
      <c r="AH1251" s="119">
        <v>365988</v>
      </c>
      <c r="AI1251" s="115" t="s">
        <v>199</v>
      </c>
      <c r="AJ1251" s="115" t="s">
        <v>199</v>
      </c>
      <c r="AK1251" s="120">
        <v>35290</v>
      </c>
    </row>
    <row r="1252" spans="1:37" x14ac:dyDescent="0.3">
      <c r="O1252" s="114" t="s">
        <v>1172</v>
      </c>
      <c r="P1252" s="231">
        <v>13558543</v>
      </c>
      <c r="Q1252" s="231">
        <v>-5533882</v>
      </c>
      <c r="R1252" s="231">
        <v>-5190041</v>
      </c>
      <c r="S1252" s="232">
        <v>2834620</v>
      </c>
      <c r="AF1252" s="1707"/>
      <c r="AG1252" s="110" t="s">
        <v>71</v>
      </c>
      <c r="AH1252" s="119">
        <v>1355023</v>
      </c>
      <c r="AI1252" s="119">
        <v>3832787</v>
      </c>
      <c r="AJ1252" s="119">
        <v>28207</v>
      </c>
      <c r="AK1252" s="120">
        <v>610188</v>
      </c>
    </row>
    <row r="1253" spans="1:37" ht="22.5" x14ac:dyDescent="0.3">
      <c r="A1253" s="142" t="s">
        <v>2369</v>
      </c>
      <c r="O1253" s="114" t="s">
        <v>1388</v>
      </c>
      <c r="P1253" s="231">
        <v>462235</v>
      </c>
      <c r="Q1253" s="231" t="s">
        <v>199</v>
      </c>
      <c r="R1253" s="231" t="s">
        <v>199</v>
      </c>
      <c r="S1253" s="232">
        <v>462235</v>
      </c>
      <c r="AF1253" s="1742" t="s">
        <v>774</v>
      </c>
      <c r="AG1253" s="1743"/>
      <c r="AH1253" s="126">
        <v>6086186</v>
      </c>
      <c r="AI1253" s="126">
        <v>4916016</v>
      </c>
      <c r="AJ1253" s="126">
        <v>3226078</v>
      </c>
      <c r="AK1253" s="127">
        <v>18600421</v>
      </c>
    </row>
    <row r="1254" spans="1:37" x14ac:dyDescent="0.3">
      <c r="A1254" s="1695" t="s">
        <v>826</v>
      </c>
      <c r="B1254" s="1696"/>
      <c r="C1254" s="1697"/>
      <c r="O1254" s="114" t="s">
        <v>1174</v>
      </c>
      <c r="P1254" s="231">
        <v>25335502</v>
      </c>
      <c r="Q1254" s="231">
        <v>-17656271</v>
      </c>
      <c r="R1254" s="231">
        <v>-4587612</v>
      </c>
      <c r="S1254" s="232">
        <v>3091619</v>
      </c>
      <c r="AF1254" s="143"/>
    </row>
    <row r="1255" spans="1:37" ht="22.5" x14ac:dyDescent="0.3">
      <c r="A1255" s="161" t="s">
        <v>977</v>
      </c>
      <c r="B1255" s="134" t="s">
        <v>789</v>
      </c>
      <c r="C1255" s="135" t="s">
        <v>843</v>
      </c>
      <c r="O1255" s="114" t="s">
        <v>1390</v>
      </c>
      <c r="P1255" s="231">
        <v>41442573</v>
      </c>
      <c r="Q1255" s="231" t="s">
        <v>199</v>
      </c>
      <c r="R1255" s="231">
        <v>-33908050</v>
      </c>
      <c r="S1255" s="232">
        <v>7534523</v>
      </c>
      <c r="AF1255" s="142" t="s">
        <v>2370</v>
      </c>
    </row>
    <row r="1256" spans="1:37" x14ac:dyDescent="0.3">
      <c r="A1256" s="121" t="s">
        <v>413</v>
      </c>
      <c r="B1256" s="136" t="s">
        <v>2371</v>
      </c>
      <c r="C1256" s="137" t="s">
        <v>2372</v>
      </c>
      <c r="O1256" s="146" t="s">
        <v>774</v>
      </c>
      <c r="P1256" s="233">
        <v>96138689</v>
      </c>
      <c r="Q1256" s="233">
        <v>-33517307</v>
      </c>
      <c r="R1256" s="233">
        <v>-46854072</v>
      </c>
      <c r="S1256" s="234">
        <v>15767310</v>
      </c>
      <c r="AF1256" s="1695" t="s">
        <v>826</v>
      </c>
      <c r="AG1256" s="1696"/>
      <c r="AH1256" s="1696"/>
      <c r="AI1256" s="1697"/>
    </row>
    <row r="1257" spans="1:37" x14ac:dyDescent="0.3">
      <c r="O1257" s="143"/>
      <c r="AF1257" s="1698" t="s">
        <v>2245</v>
      </c>
      <c r="AG1257" s="1716" t="s">
        <v>2246</v>
      </c>
      <c r="AH1257" s="134" t="s">
        <v>829</v>
      </c>
      <c r="AI1257" s="135" t="s">
        <v>1001</v>
      </c>
    </row>
    <row r="1258" spans="1:37" x14ac:dyDescent="0.3">
      <c r="A1258" s="143"/>
      <c r="O1258" s="142" t="s">
        <v>1347</v>
      </c>
      <c r="AF1258" s="1690"/>
      <c r="AG1258" s="1692"/>
      <c r="AH1258" s="134" t="s">
        <v>2373</v>
      </c>
      <c r="AI1258" s="135" t="s">
        <v>2373</v>
      </c>
    </row>
    <row r="1259" spans="1:37" x14ac:dyDescent="0.3">
      <c r="A1259" s="142" t="s">
        <v>2374</v>
      </c>
      <c r="O1259" s="1695" t="s">
        <v>826</v>
      </c>
      <c r="P1259" s="1696"/>
      <c r="Q1259" s="1696"/>
      <c r="R1259" s="1696"/>
      <c r="S1259" s="1697"/>
      <c r="AF1259" s="125" t="s">
        <v>71</v>
      </c>
      <c r="AG1259" s="122" t="s">
        <v>2375</v>
      </c>
      <c r="AH1259" s="136" t="s">
        <v>199</v>
      </c>
      <c r="AI1259" s="127">
        <v>244230</v>
      </c>
    </row>
    <row r="1260" spans="1:37" ht="22.5" x14ac:dyDescent="0.3">
      <c r="A1260" s="143"/>
      <c r="O1260" s="161" t="s">
        <v>977</v>
      </c>
      <c r="P1260" s="134" t="s">
        <v>1295</v>
      </c>
      <c r="Q1260" s="134" t="s">
        <v>1337</v>
      </c>
      <c r="R1260" s="134" t="s">
        <v>1338</v>
      </c>
      <c r="S1260" s="135" t="s">
        <v>1790</v>
      </c>
      <c r="AF1260" s="142" t="s">
        <v>2376</v>
      </c>
    </row>
    <row r="1261" spans="1:37" ht="22.5" x14ac:dyDescent="0.3">
      <c r="A1261" s="142" t="s">
        <v>2377</v>
      </c>
      <c r="O1261" s="114" t="s">
        <v>1167</v>
      </c>
      <c r="P1261" s="231">
        <v>12669073</v>
      </c>
      <c r="Q1261" s="231">
        <v>-9006282</v>
      </c>
      <c r="R1261" s="231">
        <v>-2614667</v>
      </c>
      <c r="S1261" s="232">
        <v>1048124</v>
      </c>
    </row>
    <row r="1262" spans="1:37" ht="22.5" x14ac:dyDescent="0.3">
      <c r="A1262" s="128"/>
      <c r="O1262" s="114" t="s">
        <v>1169</v>
      </c>
      <c r="P1262" s="231">
        <v>1389646</v>
      </c>
      <c r="Q1262" s="231">
        <v>-718521</v>
      </c>
      <c r="R1262" s="231" t="s">
        <v>199</v>
      </c>
      <c r="S1262" s="232">
        <v>671125</v>
      </c>
      <c r="AF1262" s="142" t="s">
        <v>2378</v>
      </c>
    </row>
    <row r="1263" spans="1:37" x14ac:dyDescent="0.3">
      <c r="A1263" s="1695" t="s">
        <v>826</v>
      </c>
      <c r="B1263" s="1696"/>
      <c r="C1263" s="1696"/>
      <c r="D1263" s="1696"/>
      <c r="E1263" s="1697"/>
      <c r="O1263" s="114" t="s">
        <v>1172</v>
      </c>
      <c r="P1263" s="231">
        <v>13080191</v>
      </c>
      <c r="Q1263" s="231">
        <v>-4412863</v>
      </c>
      <c r="R1263" s="231">
        <v>-5190041</v>
      </c>
      <c r="S1263" s="232">
        <v>3477287</v>
      </c>
      <c r="AF1263" s="1695" t="s">
        <v>976</v>
      </c>
      <c r="AG1263" s="1696"/>
      <c r="AH1263" s="1697"/>
    </row>
    <row r="1264" spans="1:37" x14ac:dyDescent="0.3">
      <c r="A1264" s="1698" t="s">
        <v>977</v>
      </c>
      <c r="B1264" s="1699" t="s">
        <v>820</v>
      </c>
      <c r="C1264" s="1701"/>
      <c r="D1264" s="1699" t="s">
        <v>787</v>
      </c>
      <c r="E1264" s="1702"/>
      <c r="O1264" s="114" t="s">
        <v>1388</v>
      </c>
      <c r="P1264" s="231">
        <v>462235</v>
      </c>
      <c r="Q1264" s="231" t="s">
        <v>199</v>
      </c>
      <c r="R1264" s="231" t="s">
        <v>199</v>
      </c>
      <c r="S1264" s="232">
        <v>462235</v>
      </c>
      <c r="AF1264" s="161" t="s">
        <v>977</v>
      </c>
      <c r="AG1264" s="134" t="s">
        <v>829</v>
      </c>
      <c r="AH1264" s="135" t="s">
        <v>1001</v>
      </c>
    </row>
    <row r="1265" spans="1:34" x14ac:dyDescent="0.3">
      <c r="A1265" s="1690"/>
      <c r="B1265" s="134" t="s">
        <v>1487</v>
      </c>
      <c r="C1265" s="134" t="s">
        <v>1488</v>
      </c>
      <c r="D1265" s="134" t="s">
        <v>1487</v>
      </c>
      <c r="E1265" s="135" t="s">
        <v>1488</v>
      </c>
      <c r="O1265" s="114" t="s">
        <v>1174</v>
      </c>
      <c r="P1265" s="231">
        <v>18348445</v>
      </c>
      <c r="Q1265" s="231">
        <v>-13262221</v>
      </c>
      <c r="R1265" s="231" t="s">
        <v>199</v>
      </c>
      <c r="S1265" s="232">
        <v>5086224</v>
      </c>
      <c r="AF1265" s="109" t="s">
        <v>1647</v>
      </c>
      <c r="AG1265" s="111" t="s">
        <v>2379</v>
      </c>
      <c r="AH1265" s="118">
        <v>1455747</v>
      </c>
    </row>
    <row r="1266" spans="1:34" x14ac:dyDescent="0.15">
      <c r="A1266" s="109" t="s">
        <v>247</v>
      </c>
      <c r="B1266" s="179" t="s">
        <v>2380</v>
      </c>
      <c r="C1266" s="179" t="s">
        <v>1420</v>
      </c>
      <c r="D1266" s="179" t="s">
        <v>2381</v>
      </c>
      <c r="E1266" s="185" t="s">
        <v>1420</v>
      </c>
      <c r="O1266" s="114" t="s">
        <v>1390</v>
      </c>
      <c r="P1266" s="231">
        <v>40488719</v>
      </c>
      <c r="Q1266" s="231" t="s">
        <v>199</v>
      </c>
      <c r="R1266" s="231">
        <v>-34373189</v>
      </c>
      <c r="S1266" s="232">
        <v>6115530</v>
      </c>
      <c r="AF1266" s="109" t="s">
        <v>1984</v>
      </c>
      <c r="AG1266" s="111" t="s">
        <v>2382</v>
      </c>
      <c r="AH1266" s="118">
        <v>174092</v>
      </c>
    </row>
    <row r="1267" spans="1:34" x14ac:dyDescent="0.15">
      <c r="A1267" s="109" t="s">
        <v>1491</v>
      </c>
      <c r="B1267" s="179" t="s">
        <v>2383</v>
      </c>
      <c r="C1267" s="179" t="s">
        <v>1420</v>
      </c>
      <c r="D1267" s="179" t="s">
        <v>2384</v>
      </c>
      <c r="E1267" s="185" t="s">
        <v>1420</v>
      </c>
      <c r="O1267" s="146" t="s">
        <v>774</v>
      </c>
      <c r="P1267" s="233">
        <v>86438309</v>
      </c>
      <c r="Q1267" s="233">
        <v>-27399887</v>
      </c>
      <c r="R1267" s="233">
        <v>-42177897</v>
      </c>
      <c r="S1267" s="234">
        <v>16860525</v>
      </c>
      <c r="AF1267" s="109" t="s">
        <v>2385</v>
      </c>
      <c r="AG1267" s="111" t="s">
        <v>2386</v>
      </c>
      <c r="AH1267" s="118">
        <v>120037</v>
      </c>
    </row>
    <row r="1268" spans="1:34" x14ac:dyDescent="0.15">
      <c r="A1268" s="109" t="s">
        <v>1493</v>
      </c>
      <c r="B1268" s="179" t="s">
        <v>2387</v>
      </c>
      <c r="C1268" s="179" t="s">
        <v>1420</v>
      </c>
      <c r="D1268" s="179" t="s">
        <v>2388</v>
      </c>
      <c r="E1268" s="185" t="s">
        <v>1420</v>
      </c>
      <c r="O1268" s="143"/>
      <c r="AF1268" s="146" t="s">
        <v>774</v>
      </c>
      <c r="AG1268" s="123" t="s">
        <v>2389</v>
      </c>
      <c r="AH1268" s="131">
        <v>1749876</v>
      </c>
    </row>
    <row r="1269" spans="1:34" ht="22.5" x14ac:dyDescent="0.15">
      <c r="A1269" s="109" t="s">
        <v>2390</v>
      </c>
      <c r="B1269" s="179" t="s">
        <v>1420</v>
      </c>
      <c r="C1269" s="179" t="s">
        <v>1848</v>
      </c>
      <c r="D1269" s="179" t="s">
        <v>1420</v>
      </c>
      <c r="E1269" s="185" t="s">
        <v>1867</v>
      </c>
      <c r="O1269" s="142" t="s">
        <v>2289</v>
      </c>
      <c r="AF1269" s="142" t="s">
        <v>2391</v>
      </c>
    </row>
    <row r="1270" spans="1:34" x14ac:dyDescent="0.15">
      <c r="A1270" s="146" t="s">
        <v>774</v>
      </c>
      <c r="B1270" s="181" t="s">
        <v>1847</v>
      </c>
      <c r="C1270" s="181" t="s">
        <v>1848</v>
      </c>
      <c r="D1270" s="136" t="s">
        <v>1866</v>
      </c>
      <c r="E1270" s="137" t="s">
        <v>1867</v>
      </c>
      <c r="O1270" s="143"/>
      <c r="AF1270" s="143"/>
    </row>
    <row r="1271" spans="1:34" x14ac:dyDescent="0.3">
      <c r="O1271" s="142" t="s">
        <v>840</v>
      </c>
      <c r="AF1271" s="143"/>
    </row>
    <row r="1272" spans="1:34" x14ac:dyDescent="0.3">
      <c r="O1272" s="1695" t="s">
        <v>826</v>
      </c>
      <c r="P1272" s="1696"/>
      <c r="Q1272" s="1696"/>
      <c r="R1272" s="1696"/>
      <c r="S1272" s="1696"/>
      <c r="T1272" s="1696"/>
      <c r="U1272" s="1696"/>
      <c r="V1272" s="1697"/>
      <c r="AF1272" s="142" t="s">
        <v>2392</v>
      </c>
    </row>
    <row r="1273" spans="1:34" x14ac:dyDescent="0.3">
      <c r="A1273" s="142" t="s">
        <v>2393</v>
      </c>
      <c r="O1273" s="161" t="s">
        <v>977</v>
      </c>
      <c r="P1273" s="134" t="s">
        <v>1167</v>
      </c>
      <c r="Q1273" s="134" t="s">
        <v>1169</v>
      </c>
      <c r="R1273" s="134" t="s">
        <v>1172</v>
      </c>
      <c r="S1273" s="134" t="s">
        <v>1388</v>
      </c>
      <c r="T1273" s="134" t="s">
        <v>1174</v>
      </c>
      <c r="U1273" s="134" t="s">
        <v>1390</v>
      </c>
      <c r="V1273" s="135" t="s">
        <v>1359</v>
      </c>
      <c r="AF1273" s="143"/>
    </row>
    <row r="1274" spans="1:34" ht="22.5" x14ac:dyDescent="0.3">
      <c r="A1274" s="143"/>
      <c r="O1274" s="114" t="s">
        <v>2163</v>
      </c>
      <c r="P1274" s="231">
        <v>1048124</v>
      </c>
      <c r="Q1274" s="231">
        <v>671125</v>
      </c>
      <c r="R1274" s="231">
        <v>3477287</v>
      </c>
      <c r="S1274" s="231">
        <v>462235</v>
      </c>
      <c r="T1274" s="231">
        <v>5086224</v>
      </c>
      <c r="U1274" s="231">
        <v>6115530</v>
      </c>
      <c r="V1274" s="232">
        <v>16860525</v>
      </c>
      <c r="AF1274" s="142" t="s">
        <v>2394</v>
      </c>
    </row>
    <row r="1275" spans="1:34" x14ac:dyDescent="0.3">
      <c r="A1275" s="142" t="s">
        <v>2395</v>
      </c>
      <c r="O1275" s="114" t="s">
        <v>2296</v>
      </c>
      <c r="P1275" s="231">
        <v>1226570</v>
      </c>
      <c r="Q1275" s="231" t="s">
        <v>199</v>
      </c>
      <c r="R1275" s="231" t="s">
        <v>199</v>
      </c>
      <c r="S1275" s="231" t="s">
        <v>199</v>
      </c>
      <c r="T1275" s="231" t="s">
        <v>199</v>
      </c>
      <c r="U1275" s="231" t="s">
        <v>199</v>
      </c>
      <c r="V1275" s="232">
        <v>1226570</v>
      </c>
      <c r="AF1275" s="1695" t="s">
        <v>976</v>
      </c>
      <c r="AG1275" s="1696"/>
      <c r="AH1275" s="1697"/>
    </row>
    <row r="1276" spans="1:34" x14ac:dyDescent="0.3">
      <c r="A1276" s="128"/>
      <c r="O1276" s="114" t="s">
        <v>2396</v>
      </c>
      <c r="P1276" s="231" t="s">
        <v>199</v>
      </c>
      <c r="Q1276" s="231">
        <v>38282</v>
      </c>
      <c r="R1276" s="231">
        <v>234300</v>
      </c>
      <c r="S1276" s="231" t="s">
        <v>199</v>
      </c>
      <c r="T1276" s="231">
        <v>447986</v>
      </c>
      <c r="U1276" s="231">
        <v>1464530</v>
      </c>
      <c r="V1276" s="232">
        <v>2185097</v>
      </c>
      <c r="AF1276" s="161" t="s">
        <v>763</v>
      </c>
      <c r="AG1276" s="134" t="s">
        <v>829</v>
      </c>
      <c r="AH1276" s="135" t="s">
        <v>1001</v>
      </c>
    </row>
    <row r="1277" spans="1:34" x14ac:dyDescent="0.3">
      <c r="A1277" s="128"/>
      <c r="O1277" s="114" t="s">
        <v>1989</v>
      </c>
      <c r="P1277" s="231">
        <v>-583153</v>
      </c>
      <c r="Q1277" s="231">
        <v>-67710</v>
      </c>
      <c r="R1277" s="231">
        <v>-1121862</v>
      </c>
      <c r="S1277" s="231" t="s">
        <v>199</v>
      </c>
      <c r="T1277" s="231">
        <v>-2100243</v>
      </c>
      <c r="U1277" s="231" t="s">
        <v>199</v>
      </c>
      <c r="V1277" s="232">
        <v>-3872968</v>
      </c>
      <c r="AF1277" s="109" t="s">
        <v>2397</v>
      </c>
      <c r="AG1277" s="117">
        <v>-20628</v>
      </c>
      <c r="AH1277" s="118">
        <v>-5237</v>
      </c>
    </row>
    <row r="1278" spans="1:34" x14ac:dyDescent="0.3">
      <c r="A1278" s="1695" t="s">
        <v>826</v>
      </c>
      <c r="B1278" s="1696"/>
      <c r="C1278" s="1696"/>
      <c r="D1278" s="1696"/>
      <c r="E1278" s="1697"/>
      <c r="O1278" s="114" t="s">
        <v>2398</v>
      </c>
      <c r="P1278" s="231">
        <v>-553702</v>
      </c>
      <c r="Q1278" s="231">
        <v>-31721</v>
      </c>
      <c r="R1278" s="231" t="s">
        <v>199</v>
      </c>
      <c r="S1278" s="231"/>
      <c r="T1278" s="231" t="s">
        <v>199</v>
      </c>
      <c r="U1278" s="231" t="s">
        <v>199</v>
      </c>
      <c r="V1278" s="232">
        <v>-585423</v>
      </c>
      <c r="AF1278" s="109" t="s">
        <v>2399</v>
      </c>
      <c r="AG1278" s="117">
        <v>-15300</v>
      </c>
      <c r="AH1278" s="118">
        <v>101435</v>
      </c>
    </row>
    <row r="1279" spans="1:34" x14ac:dyDescent="0.3">
      <c r="A1279" s="1698" t="s">
        <v>977</v>
      </c>
      <c r="B1279" s="1699" t="s">
        <v>820</v>
      </c>
      <c r="C1279" s="1701"/>
      <c r="D1279" s="1699" t="s">
        <v>787</v>
      </c>
      <c r="E1279" s="1702"/>
      <c r="O1279" s="114" t="s">
        <v>2178</v>
      </c>
      <c r="P1279" s="231" t="s">
        <v>199</v>
      </c>
      <c r="Q1279" s="231">
        <v>96498</v>
      </c>
      <c r="R1279" s="231">
        <v>245850</v>
      </c>
      <c r="S1279" s="231"/>
      <c r="T1279" s="231">
        <v>-342348</v>
      </c>
      <c r="U1279" s="231" t="s">
        <v>199</v>
      </c>
      <c r="V1279" s="232" t="s">
        <v>199</v>
      </c>
      <c r="AF1279" s="109" t="s">
        <v>2400</v>
      </c>
      <c r="AG1279" s="117">
        <v>164394</v>
      </c>
      <c r="AH1279" s="118">
        <v>1484930</v>
      </c>
    </row>
    <row r="1280" spans="1:34" x14ac:dyDescent="0.3">
      <c r="A1280" s="1690"/>
      <c r="B1280" s="134" t="s">
        <v>1487</v>
      </c>
      <c r="C1280" s="134" t="s">
        <v>1488</v>
      </c>
      <c r="D1280" s="134" t="s">
        <v>1487</v>
      </c>
      <c r="E1280" s="135" t="s">
        <v>1488</v>
      </c>
      <c r="O1280" s="114" t="s">
        <v>2184</v>
      </c>
      <c r="P1280" s="231" t="s">
        <v>199</v>
      </c>
      <c r="Q1280" s="231" t="s">
        <v>199</v>
      </c>
      <c r="R1280" s="231">
        <v>-954</v>
      </c>
      <c r="S1280" s="231"/>
      <c r="T1280" s="231"/>
      <c r="U1280" s="231">
        <v>-45538</v>
      </c>
      <c r="V1280" s="232">
        <v>-46492</v>
      </c>
      <c r="AF1280" s="109" t="s">
        <v>2401</v>
      </c>
      <c r="AG1280" s="117">
        <v>-78159</v>
      </c>
      <c r="AH1280" s="118">
        <v>138530</v>
      </c>
    </row>
    <row r="1281" spans="1:34" x14ac:dyDescent="0.15">
      <c r="A1281" s="114" t="s">
        <v>1035</v>
      </c>
      <c r="B1281" s="179" t="s">
        <v>2402</v>
      </c>
      <c r="C1281" s="179" t="s">
        <v>1420</v>
      </c>
      <c r="D1281" s="179" t="s">
        <v>1500</v>
      </c>
      <c r="E1281" s="185" t="s">
        <v>1420</v>
      </c>
      <c r="O1281" s="125" t="s">
        <v>2187</v>
      </c>
      <c r="P1281" s="233">
        <v>1137839</v>
      </c>
      <c r="Q1281" s="233">
        <v>706474</v>
      </c>
      <c r="R1281" s="233">
        <v>2834620</v>
      </c>
      <c r="S1281" s="233">
        <v>462235</v>
      </c>
      <c r="T1281" s="233">
        <v>3091619</v>
      </c>
      <c r="U1281" s="233">
        <v>7534523</v>
      </c>
      <c r="V1281" s="234">
        <v>15767310</v>
      </c>
      <c r="W1281" s="100">
        <f>T1281/V1281</f>
        <v>0.19607777103386689</v>
      </c>
      <c r="AF1281" s="121" t="s">
        <v>2403</v>
      </c>
      <c r="AG1281" s="130">
        <v>1328262</v>
      </c>
      <c r="AH1281" s="124" t="s">
        <v>199</v>
      </c>
    </row>
    <row r="1282" spans="1:34" ht="22.5" x14ac:dyDescent="0.15">
      <c r="A1282" s="114" t="s">
        <v>1036</v>
      </c>
      <c r="B1282" s="179" t="s">
        <v>1502</v>
      </c>
      <c r="C1282" s="179" t="s">
        <v>1420</v>
      </c>
      <c r="D1282" s="179" t="s">
        <v>1503</v>
      </c>
      <c r="E1282" s="185" t="s">
        <v>1420</v>
      </c>
      <c r="O1282" s="142" t="s">
        <v>2404</v>
      </c>
    </row>
    <row r="1283" spans="1:34" x14ac:dyDescent="0.15">
      <c r="A1283" s="114" t="s">
        <v>1511</v>
      </c>
      <c r="B1283" s="179" t="s">
        <v>2405</v>
      </c>
      <c r="C1283" s="179" t="s">
        <v>1420</v>
      </c>
      <c r="D1283" s="179" t="s">
        <v>2406</v>
      </c>
      <c r="E1283" s="185" t="s">
        <v>1420</v>
      </c>
      <c r="O1283" s="143"/>
    </row>
    <row r="1284" spans="1:34" x14ac:dyDescent="0.15">
      <c r="A1284" s="114" t="s">
        <v>1520</v>
      </c>
      <c r="B1284" s="179" t="s">
        <v>2407</v>
      </c>
      <c r="C1284" s="179" t="s">
        <v>1420</v>
      </c>
      <c r="D1284" s="179" t="s">
        <v>2408</v>
      </c>
      <c r="E1284" s="185" t="s">
        <v>1420</v>
      </c>
      <c r="O1284" s="142" t="s">
        <v>2313</v>
      </c>
    </row>
    <row r="1285" spans="1:34" x14ac:dyDescent="0.15">
      <c r="A1285" s="114" t="s">
        <v>1524</v>
      </c>
      <c r="B1285" s="179" t="s">
        <v>2409</v>
      </c>
      <c r="C1285" s="179" t="s">
        <v>1420</v>
      </c>
      <c r="D1285" s="179" t="s">
        <v>2410</v>
      </c>
      <c r="E1285" s="185" t="s">
        <v>1420</v>
      </c>
      <c r="O1285" s="1695" t="s">
        <v>826</v>
      </c>
      <c r="P1285" s="1696"/>
      <c r="Q1285" s="1696"/>
      <c r="R1285" s="1696"/>
      <c r="S1285" s="1696"/>
      <c r="T1285" s="1696"/>
      <c r="U1285" s="1696"/>
      <c r="V1285" s="1697"/>
    </row>
    <row r="1286" spans="1:34" x14ac:dyDescent="0.15">
      <c r="A1286" s="114" t="s">
        <v>1528</v>
      </c>
      <c r="B1286" s="179" t="s">
        <v>1420</v>
      </c>
      <c r="C1286" s="179" t="s">
        <v>2411</v>
      </c>
      <c r="D1286" s="179" t="s">
        <v>1420</v>
      </c>
      <c r="E1286" s="185" t="s">
        <v>2412</v>
      </c>
      <c r="O1286" s="161" t="s">
        <v>977</v>
      </c>
      <c r="P1286" s="134" t="s">
        <v>1167</v>
      </c>
      <c r="Q1286" s="134" t="s">
        <v>1169</v>
      </c>
      <c r="R1286" s="134" t="s">
        <v>1172</v>
      </c>
      <c r="S1286" s="134" t="s">
        <v>1388</v>
      </c>
      <c r="T1286" s="134" t="s">
        <v>1174</v>
      </c>
      <c r="U1286" s="134" t="s">
        <v>1390</v>
      </c>
      <c r="V1286" s="135" t="s">
        <v>1359</v>
      </c>
    </row>
    <row r="1287" spans="1:34" x14ac:dyDescent="0.15">
      <c r="A1287" s="146" t="s">
        <v>774</v>
      </c>
      <c r="B1287" s="181" t="s">
        <v>2413</v>
      </c>
      <c r="C1287" s="181" t="s">
        <v>2411</v>
      </c>
      <c r="D1287" s="181" t="s">
        <v>2414</v>
      </c>
      <c r="E1287" s="200" t="s">
        <v>2412</v>
      </c>
      <c r="O1287" s="114" t="s">
        <v>2163</v>
      </c>
      <c r="P1287" s="231">
        <v>1265448</v>
      </c>
      <c r="Q1287" s="231">
        <v>652261</v>
      </c>
      <c r="R1287" s="231">
        <v>4044415</v>
      </c>
      <c r="S1287" s="231" t="s">
        <v>199</v>
      </c>
      <c r="T1287" s="231">
        <v>14018587</v>
      </c>
      <c r="U1287" s="231">
        <v>6617914</v>
      </c>
      <c r="V1287" s="232">
        <v>26598625</v>
      </c>
    </row>
    <row r="1288" spans="1:34" x14ac:dyDescent="0.3">
      <c r="O1288" s="114" t="s">
        <v>2296</v>
      </c>
      <c r="P1288" s="231">
        <v>690548</v>
      </c>
      <c r="Q1288" s="231" t="s">
        <v>199</v>
      </c>
      <c r="R1288" s="231" t="s">
        <v>199</v>
      </c>
      <c r="S1288" s="231" t="s">
        <v>199</v>
      </c>
      <c r="T1288" s="231" t="s">
        <v>199</v>
      </c>
      <c r="U1288" s="231" t="s">
        <v>199</v>
      </c>
      <c r="V1288" s="232">
        <v>690548</v>
      </c>
    </row>
    <row r="1289" spans="1:34" x14ac:dyDescent="0.3">
      <c r="A1289" s="142" t="s">
        <v>2415</v>
      </c>
      <c r="O1289" s="114" t="s">
        <v>2168</v>
      </c>
      <c r="P1289" s="231" t="s">
        <v>199</v>
      </c>
      <c r="Q1289" s="231">
        <v>43609</v>
      </c>
      <c r="R1289" s="231">
        <v>467862</v>
      </c>
      <c r="S1289" s="231">
        <v>11685</v>
      </c>
      <c r="T1289" s="231">
        <v>971543</v>
      </c>
      <c r="U1289" s="231" t="s">
        <v>199</v>
      </c>
      <c r="V1289" s="232">
        <v>1494699</v>
      </c>
    </row>
    <row r="1290" spans="1:34" x14ac:dyDescent="0.3">
      <c r="A1290" s="1695" t="s">
        <v>826</v>
      </c>
      <c r="B1290" s="1696"/>
      <c r="C1290" s="1696"/>
      <c r="D1290" s="1696"/>
      <c r="E1290" s="1696"/>
      <c r="F1290" s="1696"/>
      <c r="G1290" s="1696"/>
      <c r="H1290" s="1696"/>
      <c r="I1290" s="1697"/>
      <c r="O1290" s="114" t="s">
        <v>1989</v>
      </c>
      <c r="P1290" s="231">
        <v>-700764</v>
      </c>
      <c r="Q1290" s="231">
        <v>-63845</v>
      </c>
      <c r="R1290" s="231">
        <v>-1220635</v>
      </c>
      <c r="S1290" s="231" t="s">
        <v>199</v>
      </c>
      <c r="T1290" s="236">
        <v>-4578836</v>
      </c>
      <c r="U1290" s="231" t="s">
        <v>199</v>
      </c>
      <c r="V1290" s="235">
        <v>-6564080</v>
      </c>
      <c r="W1290" s="226">
        <f>V1290-V1277</f>
        <v>-2691112</v>
      </c>
      <c r="X1290" s="226">
        <f>T1290-T1277</f>
        <v>-2478593</v>
      </c>
    </row>
    <row r="1291" spans="1:34" x14ac:dyDescent="0.3">
      <c r="A1291" s="1698" t="s">
        <v>977</v>
      </c>
      <c r="B1291" s="1699" t="s">
        <v>789</v>
      </c>
      <c r="C1291" s="1700"/>
      <c r="D1291" s="1700"/>
      <c r="E1291" s="1701"/>
      <c r="F1291" s="1699" t="s">
        <v>843</v>
      </c>
      <c r="G1291" s="1700"/>
      <c r="H1291" s="1700"/>
      <c r="I1291" s="1702"/>
      <c r="O1291" s="114" t="s">
        <v>2304</v>
      </c>
      <c r="P1291" s="231">
        <v>-207108</v>
      </c>
      <c r="Q1291" s="231">
        <v>-47897</v>
      </c>
      <c r="R1291" s="231" t="s">
        <v>199</v>
      </c>
      <c r="S1291" s="231" t="s">
        <v>199</v>
      </c>
      <c r="T1291" s="236">
        <v>-4808712</v>
      </c>
      <c r="U1291" s="231">
        <v>-484923</v>
      </c>
      <c r="V1291" s="232">
        <v>-5548640</v>
      </c>
    </row>
    <row r="1292" spans="1:34" x14ac:dyDescent="0.3">
      <c r="A1292" s="1690"/>
      <c r="B1292" s="134" t="s">
        <v>1120</v>
      </c>
      <c r="C1292" s="134" t="s">
        <v>2416</v>
      </c>
      <c r="D1292" s="134" t="s">
        <v>2417</v>
      </c>
      <c r="E1292" s="134" t="s">
        <v>1127</v>
      </c>
      <c r="F1292" s="134" t="s">
        <v>1120</v>
      </c>
      <c r="G1292" s="134" t="s">
        <v>2416</v>
      </c>
      <c r="H1292" s="134" t="s">
        <v>2417</v>
      </c>
      <c r="I1292" s="135" t="s">
        <v>1127</v>
      </c>
      <c r="O1292" s="114" t="s">
        <v>2178</v>
      </c>
      <c r="P1292" s="231" t="s">
        <v>199</v>
      </c>
      <c r="Q1292" s="231">
        <v>86997</v>
      </c>
      <c r="R1292" s="231">
        <v>185550</v>
      </c>
      <c r="S1292" s="231">
        <v>450550</v>
      </c>
      <c r="T1292" s="231">
        <v>-723097</v>
      </c>
      <c r="U1292" s="231" t="s">
        <v>199</v>
      </c>
      <c r="V1292" s="232" t="s">
        <v>199</v>
      </c>
    </row>
    <row r="1293" spans="1:34" x14ac:dyDescent="0.3">
      <c r="A1293" s="109" t="s">
        <v>1541</v>
      </c>
      <c r="B1293" s="111" t="s">
        <v>2410</v>
      </c>
      <c r="C1293" s="111" t="s">
        <v>1420</v>
      </c>
      <c r="D1293" s="117">
        <v>-41664</v>
      </c>
      <c r="E1293" s="111" t="s">
        <v>2409</v>
      </c>
      <c r="F1293" s="111" t="s">
        <v>2418</v>
      </c>
      <c r="G1293" s="111" t="s">
        <v>1420</v>
      </c>
      <c r="H1293" s="117">
        <v>-126486</v>
      </c>
      <c r="I1293" s="112" t="s">
        <v>2410</v>
      </c>
      <c r="O1293" s="114" t="s">
        <v>2184</v>
      </c>
      <c r="P1293" s="231" t="s">
        <v>199</v>
      </c>
      <c r="Q1293" s="231" t="s">
        <v>199</v>
      </c>
      <c r="R1293" s="231">
        <v>95</v>
      </c>
      <c r="S1293" s="231" t="s">
        <v>199</v>
      </c>
      <c r="T1293" s="231">
        <v>206739</v>
      </c>
      <c r="U1293" s="231">
        <v>-17461</v>
      </c>
      <c r="V1293" s="232">
        <v>189373</v>
      </c>
    </row>
    <row r="1294" spans="1:34" x14ac:dyDescent="0.3">
      <c r="A1294" s="109" t="s">
        <v>1543</v>
      </c>
      <c r="B1294" s="111" t="s">
        <v>2412</v>
      </c>
      <c r="C1294" s="111" t="s">
        <v>2419</v>
      </c>
      <c r="D1294" s="117">
        <v>-15000</v>
      </c>
      <c r="E1294" s="111" t="s">
        <v>2411</v>
      </c>
      <c r="F1294" s="111" t="s">
        <v>2420</v>
      </c>
      <c r="G1294" s="111" t="s">
        <v>2421</v>
      </c>
      <c r="H1294" s="111" t="s">
        <v>1420</v>
      </c>
      <c r="I1294" s="112" t="s">
        <v>2412</v>
      </c>
      <c r="O1294" s="125" t="s">
        <v>2187</v>
      </c>
      <c r="P1294" s="233">
        <v>1048124</v>
      </c>
      <c r="Q1294" s="233">
        <v>671125</v>
      </c>
      <c r="R1294" s="233">
        <v>3477287</v>
      </c>
      <c r="S1294" s="233">
        <v>462235</v>
      </c>
      <c r="T1294" s="233">
        <v>5086224</v>
      </c>
      <c r="U1294" s="233">
        <v>6115530</v>
      </c>
      <c r="V1294" s="234">
        <v>16860525</v>
      </c>
      <c r="W1294" s="100">
        <f>T1294/V1294</f>
        <v>0.30166462788080445</v>
      </c>
    </row>
    <row r="1295" spans="1:34" ht="33.75" x14ac:dyDescent="0.3">
      <c r="A1295" s="177" t="s">
        <v>774</v>
      </c>
      <c r="B1295" s="123" t="s">
        <v>2422</v>
      </c>
      <c r="C1295" s="123" t="s">
        <v>2419</v>
      </c>
      <c r="D1295" s="130">
        <v>-56664</v>
      </c>
      <c r="E1295" s="123" t="s">
        <v>2423</v>
      </c>
      <c r="F1295" s="123" t="s">
        <v>2424</v>
      </c>
      <c r="G1295" s="123" t="s">
        <v>2421</v>
      </c>
      <c r="H1295" s="130">
        <v>-126486</v>
      </c>
      <c r="I1295" s="124" t="s">
        <v>2422</v>
      </c>
      <c r="O1295" s="142" t="s">
        <v>2425</v>
      </c>
    </row>
    <row r="1296" spans="1:34" ht="33.75" x14ac:dyDescent="0.3">
      <c r="A1296" s="142" t="s">
        <v>1544</v>
      </c>
    </row>
    <row r="1297" spans="1:17" ht="33.75" x14ac:dyDescent="0.3">
      <c r="A1297" s="142" t="s">
        <v>1546</v>
      </c>
      <c r="O1297" s="142" t="s">
        <v>2339</v>
      </c>
    </row>
    <row r="1298" spans="1:17" x14ac:dyDescent="0.3">
      <c r="O1298" s="143"/>
    </row>
    <row r="1299" spans="1:17" ht="22.5" x14ac:dyDescent="0.3">
      <c r="O1299" s="142" t="s">
        <v>2341</v>
      </c>
    </row>
    <row r="1300" spans="1:17" x14ac:dyDescent="0.3">
      <c r="A1300" s="142" t="s">
        <v>2426</v>
      </c>
      <c r="O1300" s="128"/>
    </row>
    <row r="1301" spans="1:17" x14ac:dyDescent="0.3">
      <c r="A1301" s="143"/>
      <c r="O1301" s="1695" t="s">
        <v>826</v>
      </c>
      <c r="P1301" s="1696"/>
      <c r="Q1301" s="1697"/>
    </row>
    <row r="1302" spans="1:17" ht="22.5" x14ac:dyDescent="0.3">
      <c r="A1302" s="142" t="s">
        <v>2427</v>
      </c>
      <c r="O1302" s="161" t="s">
        <v>763</v>
      </c>
      <c r="P1302" s="134" t="s">
        <v>820</v>
      </c>
      <c r="Q1302" s="135" t="s">
        <v>787</v>
      </c>
    </row>
    <row r="1303" spans="1:17" x14ac:dyDescent="0.3">
      <c r="A1303" s="128"/>
      <c r="O1303" s="109" t="s">
        <v>2346</v>
      </c>
      <c r="P1303" s="119">
        <v>1953156</v>
      </c>
      <c r="Q1303" s="120">
        <v>1998694</v>
      </c>
    </row>
    <row r="1304" spans="1:17" x14ac:dyDescent="0.3">
      <c r="A1304" s="128"/>
      <c r="O1304" s="109" t="s">
        <v>2349</v>
      </c>
      <c r="P1304" s="119">
        <v>4096993</v>
      </c>
      <c r="Q1304" s="120">
        <v>4096993</v>
      </c>
    </row>
    <row r="1305" spans="1:17" x14ac:dyDescent="0.3">
      <c r="A1305" s="1695" t="s">
        <v>826</v>
      </c>
      <c r="B1305" s="1696"/>
      <c r="C1305" s="1697"/>
      <c r="O1305" s="109" t="s">
        <v>2428</v>
      </c>
      <c r="P1305" s="119">
        <v>1464530</v>
      </c>
      <c r="Q1305" s="116" t="s">
        <v>199</v>
      </c>
    </row>
    <row r="1306" spans="1:17" x14ac:dyDescent="0.3">
      <c r="A1306" s="161" t="s">
        <v>977</v>
      </c>
      <c r="B1306" s="134" t="s">
        <v>789</v>
      </c>
      <c r="C1306" s="135" t="s">
        <v>843</v>
      </c>
      <c r="O1306" s="109" t="s">
        <v>2357</v>
      </c>
      <c r="P1306" s="119">
        <v>19843</v>
      </c>
      <c r="Q1306" s="120">
        <v>19843</v>
      </c>
    </row>
    <row r="1307" spans="1:17" x14ac:dyDescent="0.3">
      <c r="A1307" s="114" t="s">
        <v>1647</v>
      </c>
      <c r="B1307" s="115" t="s">
        <v>2429</v>
      </c>
      <c r="C1307" s="116" t="s">
        <v>2430</v>
      </c>
      <c r="O1307" s="146" t="s">
        <v>1442</v>
      </c>
      <c r="P1307" s="126">
        <v>7534523</v>
      </c>
      <c r="Q1307" s="127">
        <v>6115530</v>
      </c>
    </row>
    <row r="1308" spans="1:17" x14ac:dyDescent="0.3">
      <c r="A1308" s="114" t="s">
        <v>1648</v>
      </c>
      <c r="B1308" s="115" t="s">
        <v>2431</v>
      </c>
      <c r="C1308" s="116" t="s">
        <v>2432</v>
      </c>
      <c r="O1308" s="143"/>
    </row>
    <row r="1309" spans="1:17" ht="33.75" x14ac:dyDescent="0.3">
      <c r="A1309" s="114" t="s">
        <v>527</v>
      </c>
      <c r="B1309" s="115" t="s">
        <v>2433</v>
      </c>
      <c r="C1309" s="116" t="s">
        <v>2434</v>
      </c>
      <c r="O1309" s="142" t="s">
        <v>2435</v>
      </c>
    </row>
    <row r="1310" spans="1:17" ht="22.5" x14ac:dyDescent="0.3">
      <c r="A1310" s="114" t="s">
        <v>1659</v>
      </c>
      <c r="B1310" s="115" t="s">
        <v>2436</v>
      </c>
      <c r="C1310" s="116" t="s">
        <v>2437</v>
      </c>
      <c r="O1310" s="142" t="s">
        <v>2438</v>
      </c>
    </row>
    <row r="1311" spans="1:17" x14ac:dyDescent="0.3">
      <c r="A1311" s="146" t="s">
        <v>774</v>
      </c>
      <c r="B1311" s="136" t="s">
        <v>2439</v>
      </c>
      <c r="C1311" s="137" t="s">
        <v>2440</v>
      </c>
      <c r="O1311" s="142" t="s">
        <v>2441</v>
      </c>
    </row>
    <row r="1312" spans="1:17" x14ac:dyDescent="0.3">
      <c r="A1312" s="143"/>
      <c r="O1312" s="142" t="s">
        <v>2442</v>
      </c>
    </row>
    <row r="1313" spans="1:17" ht="22.5" x14ac:dyDescent="0.3">
      <c r="A1313" s="142" t="s">
        <v>2443</v>
      </c>
      <c r="O1313" s="143"/>
    </row>
    <row r="1314" spans="1:17" x14ac:dyDescent="0.3">
      <c r="A1314" s="1695" t="s">
        <v>826</v>
      </c>
      <c r="B1314" s="1696"/>
      <c r="C1314" s="1697"/>
      <c r="O1314" s="142" t="s">
        <v>2361</v>
      </c>
    </row>
    <row r="1315" spans="1:17" ht="101.25" x14ac:dyDescent="0.3">
      <c r="A1315" s="161" t="s">
        <v>2444</v>
      </c>
      <c r="B1315" s="134" t="s">
        <v>820</v>
      </c>
      <c r="C1315" s="135" t="s">
        <v>787</v>
      </c>
      <c r="O1315" s="142" t="s">
        <v>2445</v>
      </c>
    </row>
    <row r="1316" spans="1:17" x14ac:dyDescent="0.3">
      <c r="A1316" s="109" t="s">
        <v>1671</v>
      </c>
      <c r="B1316" s="111" t="s">
        <v>2446</v>
      </c>
      <c r="C1316" s="112" t="s">
        <v>2447</v>
      </c>
      <c r="O1316" s="143"/>
    </row>
    <row r="1317" spans="1:17" x14ac:dyDescent="0.3">
      <c r="A1317" s="109" t="s">
        <v>1674</v>
      </c>
      <c r="B1317" s="111" t="s">
        <v>2448</v>
      </c>
      <c r="C1317" s="112" t="s">
        <v>2449</v>
      </c>
      <c r="O1317" s="142" t="s">
        <v>2364</v>
      </c>
    </row>
    <row r="1318" spans="1:17" ht="101.25" x14ac:dyDescent="0.3">
      <c r="A1318" s="146" t="s">
        <v>774</v>
      </c>
      <c r="B1318" s="123" t="s">
        <v>2450</v>
      </c>
      <c r="C1318" s="124" t="s">
        <v>2451</v>
      </c>
      <c r="O1318" s="142" t="s">
        <v>2452</v>
      </c>
    </row>
    <row r="1319" spans="1:17" ht="22.5" x14ac:dyDescent="0.3">
      <c r="A1319" s="142" t="s">
        <v>2453</v>
      </c>
      <c r="O1319" s="143"/>
    </row>
    <row r="1320" spans="1:17" x14ac:dyDescent="0.3">
      <c r="O1320" s="142" t="s">
        <v>2454</v>
      </c>
    </row>
    <row r="1321" spans="1:17" ht="112.5" x14ac:dyDescent="0.3">
      <c r="A1321" s="142" t="s">
        <v>2455</v>
      </c>
      <c r="O1321" s="142" t="s">
        <v>2456</v>
      </c>
    </row>
    <row r="1322" spans="1:17" x14ac:dyDescent="0.3">
      <c r="A1322" s="143"/>
    </row>
    <row r="1323" spans="1:17" ht="22.5" x14ac:dyDescent="0.3">
      <c r="A1323" s="142" t="s">
        <v>840</v>
      </c>
      <c r="O1323" s="142" t="s">
        <v>2369</v>
      </c>
    </row>
    <row r="1324" spans="1:17" x14ac:dyDescent="0.3">
      <c r="O1324" s="1695" t="s">
        <v>826</v>
      </c>
      <c r="P1324" s="1696"/>
      <c r="Q1324" s="1697"/>
    </row>
    <row r="1325" spans="1:17" x14ac:dyDescent="0.3">
      <c r="A1325" s="1695" t="s">
        <v>826</v>
      </c>
      <c r="B1325" s="1696"/>
      <c r="C1325" s="1696"/>
      <c r="D1325" s="1697"/>
      <c r="O1325" s="161" t="s">
        <v>977</v>
      </c>
      <c r="P1325" s="134" t="s">
        <v>789</v>
      </c>
      <c r="Q1325" s="135" t="s">
        <v>843</v>
      </c>
    </row>
    <row r="1326" spans="1:17" x14ac:dyDescent="0.3">
      <c r="A1326" s="161" t="s">
        <v>2457</v>
      </c>
      <c r="B1326" s="134" t="s">
        <v>1692</v>
      </c>
      <c r="C1326" s="134" t="s">
        <v>1693</v>
      </c>
      <c r="D1326" s="135" t="s">
        <v>1671</v>
      </c>
      <c r="O1326" s="121" t="s">
        <v>413</v>
      </c>
      <c r="P1326" s="126">
        <v>2455550</v>
      </c>
      <c r="Q1326" s="127">
        <v>2152821</v>
      </c>
    </row>
    <row r="1327" spans="1:17" x14ac:dyDescent="0.3">
      <c r="A1327" s="109" t="s">
        <v>1621</v>
      </c>
      <c r="B1327" s="111" t="s">
        <v>2458</v>
      </c>
      <c r="C1327" s="117">
        <v>-4315591</v>
      </c>
      <c r="D1327" s="112" t="s">
        <v>2447</v>
      </c>
    </row>
    <row r="1328" spans="1:17" x14ac:dyDescent="0.3">
      <c r="A1328" s="1712" t="s">
        <v>2459</v>
      </c>
      <c r="B1328" s="1713"/>
      <c r="C1328" s="1713"/>
      <c r="D1328" s="1714"/>
    </row>
    <row r="1329" spans="1:17" x14ac:dyDescent="0.3">
      <c r="A1329" s="109" t="s">
        <v>2460</v>
      </c>
      <c r="B1329" s="111" t="s">
        <v>2461</v>
      </c>
      <c r="C1329" s="111" t="s">
        <v>1420</v>
      </c>
      <c r="D1329" s="112" t="s">
        <v>2461</v>
      </c>
      <c r="O1329" s="142" t="s">
        <v>2462</v>
      </c>
    </row>
    <row r="1330" spans="1:17" x14ac:dyDescent="0.3">
      <c r="A1330" s="109" t="s">
        <v>2463</v>
      </c>
      <c r="B1330" s="111" t="s">
        <v>2464</v>
      </c>
      <c r="C1330" s="117">
        <v>-96869</v>
      </c>
      <c r="D1330" s="112" t="s">
        <v>2465</v>
      </c>
    </row>
    <row r="1331" spans="1:17" x14ac:dyDescent="0.3">
      <c r="A1331" s="162" t="s">
        <v>980</v>
      </c>
      <c r="B1331" s="111" t="s">
        <v>2466</v>
      </c>
      <c r="C1331" s="117">
        <v>-96869</v>
      </c>
      <c r="D1331" s="112" t="s">
        <v>2431</v>
      </c>
    </row>
    <row r="1332" spans="1:17" ht="22.5" x14ac:dyDescent="0.3">
      <c r="A1332" s="1712" t="s">
        <v>1708</v>
      </c>
      <c r="B1332" s="1713"/>
      <c r="C1332" s="1713"/>
      <c r="D1332" s="1714"/>
      <c r="O1332" s="142" t="s">
        <v>2467</v>
      </c>
    </row>
    <row r="1333" spans="1:17" x14ac:dyDescent="0.3">
      <c r="A1333" s="109" t="s">
        <v>1741</v>
      </c>
      <c r="B1333" s="111"/>
      <c r="C1333" s="111"/>
      <c r="D1333" s="112"/>
      <c r="O1333" s="128"/>
    </row>
    <row r="1334" spans="1:17" x14ac:dyDescent="0.3">
      <c r="A1334" s="109" t="s">
        <v>2468</v>
      </c>
      <c r="B1334" s="111"/>
      <c r="C1334" s="111"/>
      <c r="D1334" s="112"/>
      <c r="O1334" s="128"/>
    </row>
    <row r="1335" spans="1:17" x14ac:dyDescent="0.3">
      <c r="A1335" s="109" t="s">
        <v>1713</v>
      </c>
      <c r="B1335" s="117">
        <v>-396658</v>
      </c>
      <c r="C1335" s="111" t="s">
        <v>1420</v>
      </c>
      <c r="D1335" s="118">
        <v>-396658</v>
      </c>
      <c r="O1335" s="1695" t="s">
        <v>826</v>
      </c>
      <c r="P1335" s="1696"/>
      <c r="Q1335" s="1697"/>
    </row>
    <row r="1336" spans="1:17" x14ac:dyDescent="0.3">
      <c r="A1336" s="109" t="s">
        <v>1714</v>
      </c>
      <c r="B1336" s="111" t="s">
        <v>2469</v>
      </c>
      <c r="C1336" s="111" t="s">
        <v>1420</v>
      </c>
      <c r="D1336" s="112" t="s">
        <v>2469</v>
      </c>
      <c r="O1336" s="161" t="s">
        <v>763</v>
      </c>
      <c r="P1336" s="134" t="s">
        <v>820</v>
      </c>
      <c r="Q1336" s="135" t="s">
        <v>787</v>
      </c>
    </row>
    <row r="1337" spans="1:17" x14ac:dyDescent="0.3">
      <c r="A1337" s="109" t="s">
        <v>2470</v>
      </c>
      <c r="B1337" s="111" t="s">
        <v>1420</v>
      </c>
      <c r="C1337" s="111" t="s">
        <v>2471</v>
      </c>
      <c r="D1337" s="112" t="s">
        <v>2471</v>
      </c>
      <c r="O1337" s="1712" t="s">
        <v>1342</v>
      </c>
      <c r="P1337" s="1713"/>
      <c r="Q1337" s="1714"/>
    </row>
    <row r="1338" spans="1:17" x14ac:dyDescent="0.15">
      <c r="A1338" s="162" t="s">
        <v>980</v>
      </c>
      <c r="B1338" s="111" t="s">
        <v>2472</v>
      </c>
      <c r="C1338" s="111" t="s">
        <v>2471</v>
      </c>
      <c r="D1338" s="112" t="s">
        <v>2473</v>
      </c>
      <c r="O1338" s="109" t="s">
        <v>1438</v>
      </c>
      <c r="P1338" s="183">
        <v>3517141</v>
      </c>
      <c r="Q1338" s="180">
        <v>5154819</v>
      </c>
    </row>
    <row r="1339" spans="1:17" x14ac:dyDescent="0.15">
      <c r="A1339" s="1712" t="s">
        <v>1722</v>
      </c>
      <c r="B1339" s="1713"/>
      <c r="C1339" s="1713"/>
      <c r="D1339" s="1714"/>
      <c r="O1339" s="109" t="s">
        <v>1440</v>
      </c>
      <c r="P1339" s="183">
        <v>58342</v>
      </c>
      <c r="Q1339" s="180">
        <v>26184</v>
      </c>
    </row>
    <row r="1340" spans="1:17" x14ac:dyDescent="0.15">
      <c r="A1340" s="109" t="s">
        <v>2474</v>
      </c>
      <c r="B1340" s="111" t="s">
        <v>1420</v>
      </c>
      <c r="C1340" s="117">
        <v>-2000000</v>
      </c>
      <c r="D1340" s="118">
        <v>-2000000</v>
      </c>
      <c r="O1340" s="109" t="s">
        <v>1013</v>
      </c>
      <c r="P1340" s="183">
        <v>192706</v>
      </c>
      <c r="Q1340" s="180">
        <v>240883</v>
      </c>
    </row>
    <row r="1341" spans="1:17" x14ac:dyDescent="0.15">
      <c r="A1341" s="109" t="s">
        <v>2475</v>
      </c>
      <c r="B1341" s="117">
        <v>-581108</v>
      </c>
      <c r="C1341" s="111" t="s">
        <v>2476</v>
      </c>
      <c r="D1341" s="118">
        <v>-111989</v>
      </c>
      <c r="O1341" s="146" t="s">
        <v>1442</v>
      </c>
      <c r="P1341" s="184">
        <v>3768190</v>
      </c>
      <c r="Q1341" s="182">
        <v>5421886</v>
      </c>
    </row>
    <row r="1342" spans="1:17" x14ac:dyDescent="0.3">
      <c r="A1342" s="109" t="s">
        <v>2477</v>
      </c>
      <c r="B1342" s="111">
        <v>-939</v>
      </c>
      <c r="C1342" s="111" t="s">
        <v>1420</v>
      </c>
      <c r="D1342" s="112">
        <v>-939</v>
      </c>
    </row>
    <row r="1343" spans="1:17" ht="22.5" x14ac:dyDescent="0.3">
      <c r="A1343" s="162" t="s">
        <v>2478</v>
      </c>
      <c r="B1343" s="117">
        <v>-582047</v>
      </c>
      <c r="C1343" s="117">
        <v>-1530881</v>
      </c>
      <c r="D1343" s="118">
        <v>-2112928</v>
      </c>
      <c r="O1343" s="142" t="s">
        <v>2479</v>
      </c>
    </row>
    <row r="1344" spans="1:17" x14ac:dyDescent="0.3">
      <c r="A1344" s="121" t="s">
        <v>2480</v>
      </c>
      <c r="B1344" s="123" t="s">
        <v>2481</v>
      </c>
      <c r="C1344" s="130">
        <v>-5908937</v>
      </c>
      <c r="D1344" s="124" t="s">
        <v>2446</v>
      </c>
      <c r="O1344" s="128"/>
    </row>
    <row r="1345" spans="1:17" x14ac:dyDescent="0.3">
      <c r="O1345" s="1695" t="s">
        <v>826</v>
      </c>
      <c r="P1345" s="1696"/>
      <c r="Q1345" s="1697"/>
    </row>
    <row r="1346" spans="1:17" x14ac:dyDescent="0.3">
      <c r="A1346" s="142" t="s">
        <v>841</v>
      </c>
      <c r="O1346" s="161" t="s">
        <v>763</v>
      </c>
      <c r="P1346" s="134" t="s">
        <v>789</v>
      </c>
      <c r="Q1346" s="135" t="s">
        <v>843</v>
      </c>
    </row>
    <row r="1347" spans="1:17" x14ac:dyDescent="0.3">
      <c r="A1347" s="1695" t="s">
        <v>826</v>
      </c>
      <c r="B1347" s="1696"/>
      <c r="C1347" s="1696"/>
      <c r="D1347" s="1697"/>
      <c r="O1347" s="1703" t="s">
        <v>1449</v>
      </c>
      <c r="P1347" s="1704"/>
      <c r="Q1347" s="1727"/>
    </row>
    <row r="1348" spans="1:17" x14ac:dyDescent="0.3">
      <c r="A1348" s="161" t="s">
        <v>2457</v>
      </c>
      <c r="B1348" s="134" t="s">
        <v>1692</v>
      </c>
      <c r="C1348" s="134" t="s">
        <v>1693</v>
      </c>
      <c r="D1348" s="135" t="s">
        <v>1671</v>
      </c>
      <c r="O1348" s="114" t="s">
        <v>1438</v>
      </c>
      <c r="P1348" s="119">
        <v>2581439</v>
      </c>
      <c r="Q1348" s="120">
        <v>2293823</v>
      </c>
    </row>
    <row r="1349" spans="1:17" x14ac:dyDescent="0.3">
      <c r="A1349" s="109" t="s">
        <v>1621</v>
      </c>
      <c r="B1349" s="111" t="s">
        <v>2482</v>
      </c>
      <c r="C1349" s="117">
        <v>-4528464</v>
      </c>
      <c r="D1349" s="112" t="s">
        <v>2483</v>
      </c>
      <c r="O1349" s="114" t="s">
        <v>1440</v>
      </c>
      <c r="P1349" s="119">
        <v>43604</v>
      </c>
      <c r="Q1349" s="120">
        <v>38021</v>
      </c>
    </row>
    <row r="1350" spans="1:17" x14ac:dyDescent="0.3">
      <c r="A1350" s="1712" t="s">
        <v>2459</v>
      </c>
      <c r="B1350" s="1713"/>
      <c r="C1350" s="1713"/>
      <c r="D1350" s="1714"/>
      <c r="O1350" s="114" t="s">
        <v>1013</v>
      </c>
      <c r="P1350" s="119">
        <v>48177</v>
      </c>
      <c r="Q1350" s="120">
        <v>4015</v>
      </c>
    </row>
    <row r="1351" spans="1:17" x14ac:dyDescent="0.3">
      <c r="A1351" s="109" t="s">
        <v>2460</v>
      </c>
      <c r="B1351" s="111" t="s">
        <v>2484</v>
      </c>
      <c r="C1351" s="111" t="s">
        <v>1420</v>
      </c>
      <c r="D1351" s="112" t="s">
        <v>2484</v>
      </c>
      <c r="O1351" s="162" t="s">
        <v>774</v>
      </c>
      <c r="P1351" s="119">
        <v>2673219</v>
      </c>
      <c r="Q1351" s="120">
        <v>2335859</v>
      </c>
    </row>
    <row r="1352" spans="1:17" x14ac:dyDescent="0.3">
      <c r="A1352" s="109" t="s">
        <v>2463</v>
      </c>
      <c r="B1352" s="111" t="s">
        <v>2485</v>
      </c>
      <c r="C1352" s="117">
        <v>-97273</v>
      </c>
      <c r="D1352" s="112" t="s">
        <v>2486</v>
      </c>
      <c r="O1352" s="114" t="s">
        <v>1461</v>
      </c>
      <c r="P1352" s="119">
        <v>300912</v>
      </c>
      <c r="Q1352" s="120">
        <v>172076</v>
      </c>
    </row>
    <row r="1353" spans="1:17" x14ac:dyDescent="0.3">
      <c r="A1353" s="162" t="s">
        <v>980</v>
      </c>
      <c r="B1353" s="111" t="s">
        <v>2487</v>
      </c>
      <c r="C1353" s="117">
        <v>-97273</v>
      </c>
      <c r="D1353" s="112" t="s">
        <v>2432</v>
      </c>
      <c r="O1353" s="114" t="s">
        <v>2488</v>
      </c>
      <c r="P1353" s="119">
        <v>41096</v>
      </c>
      <c r="Q1353" s="120">
        <v>70594</v>
      </c>
    </row>
    <row r="1354" spans="1:17" x14ac:dyDescent="0.3">
      <c r="A1354" s="1712" t="s">
        <v>1708</v>
      </c>
      <c r="B1354" s="1713"/>
      <c r="C1354" s="1713"/>
      <c r="D1354" s="1714"/>
      <c r="O1354" s="125" t="s">
        <v>2489</v>
      </c>
      <c r="P1354" s="126">
        <v>39889</v>
      </c>
      <c r="Q1354" s="127">
        <v>37959</v>
      </c>
    </row>
    <row r="1355" spans="1:17" x14ac:dyDescent="0.3">
      <c r="A1355" s="109" t="s">
        <v>1741</v>
      </c>
      <c r="B1355" s="111"/>
      <c r="C1355" s="111"/>
      <c r="D1355" s="112"/>
      <c r="O1355" s="143"/>
    </row>
    <row r="1356" spans="1:17" ht="33.75" x14ac:dyDescent="0.3">
      <c r="A1356" s="109" t="s">
        <v>2468</v>
      </c>
      <c r="B1356" s="111"/>
      <c r="C1356" s="111"/>
      <c r="D1356" s="112"/>
      <c r="O1356" s="142" t="s">
        <v>2490</v>
      </c>
    </row>
    <row r="1357" spans="1:17" x14ac:dyDescent="0.3">
      <c r="A1357" s="109" t="s">
        <v>2491</v>
      </c>
      <c r="B1357" s="111" t="s">
        <v>2492</v>
      </c>
      <c r="C1357" s="111" t="s">
        <v>1420</v>
      </c>
      <c r="D1357" s="112" t="s">
        <v>2492</v>
      </c>
    </row>
    <row r="1358" spans="1:17" x14ac:dyDescent="0.3">
      <c r="A1358" s="109" t="s">
        <v>1713</v>
      </c>
      <c r="B1358" s="111" t="s">
        <v>2493</v>
      </c>
      <c r="C1358" s="111" t="s">
        <v>1420</v>
      </c>
      <c r="D1358" s="112" t="s">
        <v>2493</v>
      </c>
      <c r="O1358" s="143"/>
    </row>
    <row r="1359" spans="1:17" x14ac:dyDescent="0.3">
      <c r="A1359" s="109" t="s">
        <v>1714</v>
      </c>
      <c r="B1359" s="111" t="s">
        <v>2494</v>
      </c>
      <c r="C1359" s="111" t="s">
        <v>1420</v>
      </c>
      <c r="D1359" s="112" t="s">
        <v>2494</v>
      </c>
      <c r="O1359" s="142" t="s">
        <v>2495</v>
      </c>
    </row>
    <row r="1360" spans="1:17" x14ac:dyDescent="0.3">
      <c r="A1360" s="109" t="s">
        <v>2470</v>
      </c>
      <c r="B1360" s="111" t="s">
        <v>1752</v>
      </c>
      <c r="C1360" s="111" t="s">
        <v>2496</v>
      </c>
      <c r="D1360" s="112" t="s">
        <v>2496</v>
      </c>
      <c r="O1360" s="143"/>
    </row>
    <row r="1361" spans="1:19" ht="22.5" x14ac:dyDescent="0.3">
      <c r="A1361" s="162" t="s">
        <v>980</v>
      </c>
      <c r="B1361" s="111" t="s">
        <v>2497</v>
      </c>
      <c r="C1361" s="111" t="s">
        <v>2496</v>
      </c>
      <c r="D1361" s="112" t="s">
        <v>2498</v>
      </c>
      <c r="O1361" s="142" t="s">
        <v>2377</v>
      </c>
    </row>
    <row r="1362" spans="1:19" x14ac:dyDescent="0.3">
      <c r="A1362" s="1712" t="s">
        <v>1722</v>
      </c>
      <c r="B1362" s="1713"/>
      <c r="C1362" s="1713"/>
      <c r="D1362" s="1714"/>
      <c r="O1362" s="128"/>
    </row>
    <row r="1363" spans="1:19" x14ac:dyDescent="0.3">
      <c r="A1363" s="109" t="s">
        <v>2474</v>
      </c>
      <c r="B1363" s="111" t="s">
        <v>1420</v>
      </c>
      <c r="C1363" s="117">
        <v>-1206000</v>
      </c>
      <c r="D1363" s="118">
        <v>-1206000</v>
      </c>
      <c r="O1363" s="1695" t="s">
        <v>826</v>
      </c>
      <c r="P1363" s="1696"/>
      <c r="Q1363" s="1696"/>
      <c r="R1363" s="1696"/>
      <c r="S1363" s="1697"/>
    </row>
    <row r="1364" spans="1:19" x14ac:dyDescent="0.3">
      <c r="A1364" s="109" t="s">
        <v>2475</v>
      </c>
      <c r="B1364" s="117">
        <v>-1535926</v>
      </c>
      <c r="C1364" s="111" t="s">
        <v>2499</v>
      </c>
      <c r="D1364" s="118">
        <v>-5280</v>
      </c>
      <c r="O1364" s="1698" t="s">
        <v>977</v>
      </c>
      <c r="P1364" s="1699" t="s">
        <v>820</v>
      </c>
      <c r="Q1364" s="1701"/>
      <c r="R1364" s="1699" t="s">
        <v>787</v>
      </c>
      <c r="S1364" s="1702"/>
    </row>
    <row r="1365" spans="1:19" x14ac:dyDescent="0.3">
      <c r="A1365" s="109" t="s">
        <v>2500</v>
      </c>
      <c r="B1365" s="111" t="s">
        <v>2501</v>
      </c>
      <c r="C1365" s="117">
        <v>-43653</v>
      </c>
      <c r="D1365" s="118">
        <v>-4965</v>
      </c>
      <c r="O1365" s="1690"/>
      <c r="P1365" s="134" t="s">
        <v>1487</v>
      </c>
      <c r="Q1365" s="134" t="s">
        <v>1488</v>
      </c>
      <c r="R1365" s="134" t="s">
        <v>1487</v>
      </c>
      <c r="S1365" s="135" t="s">
        <v>1488</v>
      </c>
    </row>
    <row r="1366" spans="1:19" x14ac:dyDescent="0.15">
      <c r="A1366" s="109" t="s">
        <v>2477</v>
      </c>
      <c r="B1366" s="111" t="s">
        <v>2502</v>
      </c>
      <c r="C1366" s="111" t="s">
        <v>1420</v>
      </c>
      <c r="D1366" s="112" t="s">
        <v>2502</v>
      </c>
      <c r="O1366" s="109" t="s">
        <v>247</v>
      </c>
      <c r="P1366" s="183">
        <v>34914087</v>
      </c>
      <c r="Q1366" s="179" t="s">
        <v>199</v>
      </c>
      <c r="R1366" s="183">
        <v>32668529</v>
      </c>
      <c r="S1366" s="185" t="s">
        <v>199</v>
      </c>
    </row>
    <row r="1367" spans="1:19" x14ac:dyDescent="0.15">
      <c r="A1367" s="162" t="s">
        <v>2478</v>
      </c>
      <c r="B1367" s="117">
        <v>-1479676</v>
      </c>
      <c r="C1367" s="111" t="s">
        <v>2503</v>
      </c>
      <c r="D1367" s="118">
        <v>-1198683</v>
      </c>
      <c r="O1367" s="109" t="s">
        <v>1491</v>
      </c>
      <c r="P1367" s="183">
        <v>27364580</v>
      </c>
      <c r="Q1367" s="179" t="s">
        <v>199</v>
      </c>
      <c r="R1367" s="183">
        <v>25682194</v>
      </c>
      <c r="S1367" s="185" t="s">
        <v>199</v>
      </c>
    </row>
    <row r="1368" spans="1:19" x14ac:dyDescent="0.15">
      <c r="A1368" s="121" t="s">
        <v>2480</v>
      </c>
      <c r="B1368" s="123" t="s">
        <v>2458</v>
      </c>
      <c r="C1368" s="130">
        <v>-4315591</v>
      </c>
      <c r="D1368" s="124" t="s">
        <v>2447</v>
      </c>
      <c r="O1368" s="109" t="s">
        <v>1493</v>
      </c>
      <c r="P1368" s="183">
        <v>3584734</v>
      </c>
      <c r="Q1368" s="179" t="s">
        <v>199</v>
      </c>
      <c r="R1368" s="183">
        <v>2582368</v>
      </c>
      <c r="S1368" s="185" t="s">
        <v>199</v>
      </c>
    </row>
    <row r="1369" spans="1:19" x14ac:dyDescent="0.15">
      <c r="O1369" s="109" t="s">
        <v>1495</v>
      </c>
      <c r="P1369" s="179" t="s">
        <v>199</v>
      </c>
      <c r="Q1369" s="183">
        <v>467762</v>
      </c>
      <c r="R1369" s="179" t="s">
        <v>199</v>
      </c>
      <c r="S1369" s="180">
        <v>222809</v>
      </c>
    </row>
    <row r="1370" spans="1:19" ht="22.5" x14ac:dyDescent="0.15">
      <c r="A1370" s="142" t="s">
        <v>2504</v>
      </c>
      <c r="O1370" s="146" t="s">
        <v>774</v>
      </c>
      <c r="P1370" s="184">
        <v>65863402</v>
      </c>
      <c r="Q1370" s="184">
        <v>467762</v>
      </c>
      <c r="R1370" s="126">
        <v>60933091</v>
      </c>
      <c r="S1370" s="127">
        <v>222809</v>
      </c>
    </row>
    <row r="1371" spans="1:19" x14ac:dyDescent="0.3">
      <c r="A1371" s="1695" t="s">
        <v>826</v>
      </c>
      <c r="B1371" s="1696"/>
      <c r="C1371" s="1697"/>
    </row>
    <row r="1372" spans="1:19" x14ac:dyDescent="0.3">
      <c r="A1372" s="161" t="s">
        <v>977</v>
      </c>
      <c r="B1372" s="134" t="s">
        <v>820</v>
      </c>
      <c r="C1372" s="135" t="s">
        <v>787</v>
      </c>
    </row>
    <row r="1373" spans="1:19" x14ac:dyDescent="0.3">
      <c r="A1373" s="109" t="s">
        <v>1729</v>
      </c>
      <c r="B1373" s="111" t="s">
        <v>2505</v>
      </c>
      <c r="C1373" s="112" t="s">
        <v>2506</v>
      </c>
      <c r="O1373" s="142" t="s">
        <v>2507</v>
      </c>
    </row>
    <row r="1374" spans="1:19" x14ac:dyDescent="0.3">
      <c r="A1374" s="109" t="s">
        <v>2508</v>
      </c>
      <c r="B1374" s="111" t="s">
        <v>1420</v>
      </c>
      <c r="C1374" s="112" t="s">
        <v>2509</v>
      </c>
      <c r="O1374" s="143"/>
    </row>
    <row r="1375" spans="1:19" x14ac:dyDescent="0.3">
      <c r="A1375" s="109" t="s">
        <v>2510</v>
      </c>
      <c r="B1375" s="111" t="s">
        <v>2511</v>
      </c>
      <c r="C1375" s="112" t="s">
        <v>2512</v>
      </c>
      <c r="O1375" s="142" t="s">
        <v>2395</v>
      </c>
    </row>
    <row r="1376" spans="1:19" x14ac:dyDescent="0.3">
      <c r="A1376" s="177" t="s">
        <v>774</v>
      </c>
      <c r="B1376" s="123" t="s">
        <v>2513</v>
      </c>
      <c r="C1376" s="124" t="s">
        <v>2514</v>
      </c>
      <c r="O1376" s="128"/>
    </row>
    <row r="1377" spans="1:19" x14ac:dyDescent="0.3">
      <c r="O1377" s="128"/>
    </row>
    <row r="1378" spans="1:19" ht="22.5" x14ac:dyDescent="0.3">
      <c r="A1378" s="142" t="s">
        <v>2515</v>
      </c>
      <c r="O1378" s="1695" t="s">
        <v>826</v>
      </c>
      <c r="P1378" s="1696"/>
      <c r="Q1378" s="1696"/>
      <c r="R1378" s="1696"/>
      <c r="S1378" s="1697"/>
    </row>
    <row r="1379" spans="1:19" x14ac:dyDescent="0.3">
      <c r="A1379" s="1695" t="s">
        <v>826</v>
      </c>
      <c r="B1379" s="1696"/>
      <c r="C1379" s="1697"/>
      <c r="O1379" s="1698" t="s">
        <v>977</v>
      </c>
      <c r="P1379" s="1699" t="s">
        <v>820</v>
      </c>
      <c r="Q1379" s="1701"/>
      <c r="R1379" s="1699" t="s">
        <v>787</v>
      </c>
      <c r="S1379" s="1702"/>
    </row>
    <row r="1380" spans="1:19" x14ac:dyDescent="0.3">
      <c r="A1380" s="161" t="s">
        <v>788</v>
      </c>
      <c r="B1380" s="134" t="s">
        <v>789</v>
      </c>
      <c r="C1380" s="135" t="s">
        <v>843</v>
      </c>
      <c r="O1380" s="1690"/>
      <c r="P1380" s="134" t="s">
        <v>1487</v>
      </c>
      <c r="Q1380" s="134" t="s">
        <v>1488</v>
      </c>
      <c r="R1380" s="134" t="s">
        <v>1487</v>
      </c>
      <c r="S1380" s="135" t="s">
        <v>1488</v>
      </c>
    </row>
    <row r="1381" spans="1:19" x14ac:dyDescent="0.15">
      <c r="A1381" s="121" t="s">
        <v>413</v>
      </c>
      <c r="B1381" s="181" t="s">
        <v>2431</v>
      </c>
      <c r="C1381" s="200" t="s">
        <v>2432</v>
      </c>
      <c r="O1381" s="114" t="s">
        <v>1035</v>
      </c>
      <c r="P1381" s="183">
        <v>464646</v>
      </c>
      <c r="Q1381" s="179" t="s">
        <v>199</v>
      </c>
      <c r="R1381" s="183">
        <v>496647</v>
      </c>
      <c r="S1381" s="185" t="s">
        <v>199</v>
      </c>
    </row>
    <row r="1382" spans="1:19" x14ac:dyDescent="0.15">
      <c r="A1382" s="143"/>
      <c r="O1382" s="114" t="s">
        <v>1036</v>
      </c>
      <c r="P1382" s="183">
        <v>6994861</v>
      </c>
      <c r="Q1382" s="179" t="s">
        <v>199</v>
      </c>
      <c r="R1382" s="183">
        <v>5245911</v>
      </c>
      <c r="S1382" s="185" t="s">
        <v>199</v>
      </c>
    </row>
    <row r="1383" spans="1:19" ht="22.5" x14ac:dyDescent="0.15">
      <c r="A1383" s="142" t="s">
        <v>2516</v>
      </c>
      <c r="O1383" s="114" t="s">
        <v>1511</v>
      </c>
      <c r="P1383" s="183">
        <v>867842</v>
      </c>
      <c r="Q1383" s="179" t="s">
        <v>199</v>
      </c>
      <c r="R1383" s="183">
        <v>1099664</v>
      </c>
      <c r="S1383" s="185" t="s">
        <v>199</v>
      </c>
    </row>
    <row r="1384" spans="1:19" x14ac:dyDescent="0.15">
      <c r="A1384" s="106" t="s">
        <v>788</v>
      </c>
      <c r="B1384" s="107" t="s">
        <v>820</v>
      </c>
      <c r="C1384" s="108" t="s">
        <v>787</v>
      </c>
      <c r="O1384" s="114" t="s">
        <v>1516</v>
      </c>
      <c r="P1384" s="183">
        <v>2135911</v>
      </c>
      <c r="Q1384" s="179" t="s">
        <v>199</v>
      </c>
      <c r="R1384" s="183">
        <v>1884799</v>
      </c>
      <c r="S1384" s="185" t="s">
        <v>199</v>
      </c>
    </row>
    <row r="1385" spans="1:19" x14ac:dyDescent="0.15">
      <c r="A1385" s="109" t="s">
        <v>1771</v>
      </c>
      <c r="B1385" s="196">
        <v>2.0199999999999999E-2</v>
      </c>
      <c r="C1385" s="197">
        <v>1.9800000000000002E-2</v>
      </c>
      <c r="O1385" s="114" t="s">
        <v>1520</v>
      </c>
      <c r="P1385" s="183">
        <v>116491</v>
      </c>
      <c r="Q1385" s="179" t="s">
        <v>199</v>
      </c>
      <c r="R1385" s="183">
        <v>139641</v>
      </c>
      <c r="S1385" s="185" t="s">
        <v>199</v>
      </c>
    </row>
    <row r="1386" spans="1:19" x14ac:dyDescent="0.15">
      <c r="A1386" s="121" t="s">
        <v>1773</v>
      </c>
      <c r="B1386" s="198">
        <v>4.4999999999999998E-2</v>
      </c>
      <c r="C1386" s="199">
        <v>5.6099999999999997E-2</v>
      </c>
      <c r="O1386" s="114" t="s">
        <v>1524</v>
      </c>
      <c r="P1386" s="183">
        <v>329591</v>
      </c>
      <c r="Q1386" s="179" t="s">
        <v>199</v>
      </c>
      <c r="R1386" s="183">
        <v>327832</v>
      </c>
      <c r="S1386" s="185" t="s">
        <v>199</v>
      </c>
    </row>
    <row r="1387" spans="1:19" x14ac:dyDescent="0.15">
      <c r="A1387" s="143"/>
      <c r="O1387" s="114" t="s">
        <v>1528</v>
      </c>
      <c r="P1387" s="183">
        <v>59468</v>
      </c>
      <c r="Q1387" s="183">
        <v>108038</v>
      </c>
      <c r="R1387" s="179" t="s">
        <v>199</v>
      </c>
      <c r="S1387" s="180">
        <v>118883</v>
      </c>
    </row>
    <row r="1388" spans="1:19" ht="56.25" x14ac:dyDescent="0.15">
      <c r="A1388" s="142" t="s">
        <v>2517</v>
      </c>
      <c r="O1388" s="146" t="s">
        <v>774</v>
      </c>
      <c r="P1388" s="184">
        <v>10968811</v>
      </c>
      <c r="Q1388" s="184">
        <v>108038</v>
      </c>
      <c r="R1388" s="184">
        <v>9194494</v>
      </c>
      <c r="S1388" s="182">
        <v>118883</v>
      </c>
    </row>
    <row r="1389" spans="1:19" x14ac:dyDescent="0.3">
      <c r="A1389" s="143"/>
    </row>
    <row r="1390" spans="1:19" x14ac:dyDescent="0.3">
      <c r="A1390" s="142" t="s">
        <v>2518</v>
      </c>
      <c r="O1390" s="142" t="s">
        <v>2415</v>
      </c>
    </row>
    <row r="1391" spans="1:19" x14ac:dyDescent="0.3">
      <c r="A1391" s="143"/>
      <c r="O1391" s="143"/>
    </row>
    <row r="1392" spans="1:19" ht="33.75" x14ac:dyDescent="0.3">
      <c r="A1392" s="142" t="s">
        <v>2519</v>
      </c>
      <c r="O1392" s="142" t="s">
        <v>840</v>
      </c>
    </row>
    <row r="1393" spans="1:21" x14ac:dyDescent="0.3">
      <c r="A1393" s="1695" t="s">
        <v>826</v>
      </c>
      <c r="B1393" s="1696"/>
      <c r="C1393" s="1697"/>
      <c r="O1393" s="128"/>
    </row>
    <row r="1394" spans="1:21" x14ac:dyDescent="0.3">
      <c r="A1394" s="161" t="s">
        <v>788</v>
      </c>
      <c r="B1394" s="134" t="s">
        <v>2416</v>
      </c>
      <c r="C1394" s="135" t="s">
        <v>2417</v>
      </c>
      <c r="O1394" s="1695" t="s">
        <v>826</v>
      </c>
      <c r="P1394" s="1696"/>
      <c r="Q1394" s="1696"/>
      <c r="R1394" s="1696"/>
      <c r="S1394" s="1696"/>
      <c r="T1394" s="1696"/>
      <c r="U1394" s="1697"/>
    </row>
    <row r="1395" spans="1:21" x14ac:dyDescent="0.3">
      <c r="A1395" s="109" t="s">
        <v>2520</v>
      </c>
      <c r="B1395" s="111" t="s">
        <v>2521</v>
      </c>
      <c r="C1395" s="118">
        <v>-335252</v>
      </c>
      <c r="O1395" s="1698" t="s">
        <v>763</v>
      </c>
      <c r="P1395" s="1699" t="s">
        <v>1536</v>
      </c>
      <c r="Q1395" s="1700"/>
      <c r="R1395" s="1700"/>
      <c r="S1395" s="1701"/>
      <c r="T1395" s="1699" t="s">
        <v>1537</v>
      </c>
      <c r="U1395" s="1702"/>
    </row>
    <row r="1396" spans="1:21" x14ac:dyDescent="0.3">
      <c r="A1396" s="121" t="s">
        <v>2522</v>
      </c>
      <c r="B1396" s="130">
        <v>-341233</v>
      </c>
      <c r="C1396" s="124" t="s">
        <v>2523</v>
      </c>
      <c r="O1396" s="1690"/>
      <c r="P1396" s="134" t="s">
        <v>1120</v>
      </c>
      <c r="Q1396" s="134" t="s">
        <v>1538</v>
      </c>
      <c r="R1396" s="134" t="s">
        <v>1539</v>
      </c>
      <c r="S1396" s="134" t="s">
        <v>1127</v>
      </c>
      <c r="T1396" s="134" t="s">
        <v>2524</v>
      </c>
      <c r="U1396" s="135" t="s">
        <v>2525</v>
      </c>
    </row>
    <row r="1397" spans="1:21" x14ac:dyDescent="0.3">
      <c r="A1397" s="143"/>
      <c r="O1397" s="109" t="s">
        <v>1541</v>
      </c>
      <c r="P1397" s="117">
        <v>327832</v>
      </c>
      <c r="Q1397" s="117">
        <v>644490</v>
      </c>
      <c r="R1397" s="117">
        <v>-642731</v>
      </c>
      <c r="S1397" s="117">
        <v>329591</v>
      </c>
      <c r="T1397" s="117">
        <v>329591</v>
      </c>
      <c r="U1397" s="112" t="s">
        <v>199</v>
      </c>
    </row>
    <row r="1398" spans="1:21" ht="33.75" x14ac:dyDescent="0.3">
      <c r="A1398" s="142" t="s">
        <v>2526</v>
      </c>
      <c r="O1398" s="109" t="s">
        <v>1543</v>
      </c>
      <c r="P1398" s="117">
        <v>118883</v>
      </c>
      <c r="Q1398" s="117">
        <v>48623</v>
      </c>
      <c r="R1398" s="111" t="s">
        <v>199</v>
      </c>
      <c r="S1398" s="117">
        <v>167506</v>
      </c>
      <c r="T1398" s="117">
        <v>59468</v>
      </c>
      <c r="U1398" s="118">
        <v>108038</v>
      </c>
    </row>
    <row r="1399" spans="1:21" x14ac:dyDescent="0.3">
      <c r="O1399" s="146" t="s">
        <v>774</v>
      </c>
      <c r="P1399" s="130">
        <v>446715</v>
      </c>
      <c r="Q1399" s="130">
        <v>693113</v>
      </c>
      <c r="R1399" s="130">
        <v>-642731</v>
      </c>
      <c r="S1399" s="130">
        <v>497097</v>
      </c>
      <c r="T1399" s="130">
        <v>389059</v>
      </c>
      <c r="U1399" s="131">
        <v>108038</v>
      </c>
    </row>
    <row r="1400" spans="1:21" ht="33.75" x14ac:dyDescent="0.3">
      <c r="O1400" s="142" t="s">
        <v>1544</v>
      </c>
    </row>
    <row r="1401" spans="1:21" ht="33.75" x14ac:dyDescent="0.3">
      <c r="A1401" s="142" t="s">
        <v>2527</v>
      </c>
      <c r="O1401" s="142" t="s">
        <v>1546</v>
      </c>
    </row>
    <row r="1402" spans="1:21" x14ac:dyDescent="0.3">
      <c r="A1402" s="143"/>
      <c r="O1402" s="143"/>
    </row>
    <row r="1403" spans="1:21" ht="22.5" x14ac:dyDescent="0.3">
      <c r="A1403" s="142" t="s">
        <v>2528</v>
      </c>
      <c r="O1403" s="142" t="s">
        <v>841</v>
      </c>
    </row>
    <row r="1404" spans="1:21" x14ac:dyDescent="0.3">
      <c r="A1404" s="128"/>
      <c r="O1404" s="1695" t="s">
        <v>826</v>
      </c>
      <c r="P1404" s="1696"/>
      <c r="Q1404" s="1696"/>
      <c r="R1404" s="1696"/>
      <c r="S1404" s="1696"/>
      <c r="T1404" s="1696"/>
      <c r="U1404" s="1697"/>
    </row>
    <row r="1405" spans="1:21" x14ac:dyDescent="0.3">
      <c r="A1405" s="128"/>
      <c r="O1405" s="1698" t="s">
        <v>763</v>
      </c>
      <c r="P1405" s="1699" t="s">
        <v>1536</v>
      </c>
      <c r="Q1405" s="1700"/>
      <c r="R1405" s="1700"/>
      <c r="S1405" s="1701"/>
      <c r="T1405" s="1699" t="s">
        <v>1537</v>
      </c>
      <c r="U1405" s="1702"/>
    </row>
    <row r="1406" spans="1:21" x14ac:dyDescent="0.3">
      <c r="A1406" s="1695" t="s">
        <v>826</v>
      </c>
      <c r="B1406" s="1696"/>
      <c r="C1406" s="1697"/>
      <c r="O1406" s="1690"/>
      <c r="P1406" s="134" t="s">
        <v>1120</v>
      </c>
      <c r="Q1406" s="134" t="s">
        <v>1538</v>
      </c>
      <c r="R1406" s="134" t="s">
        <v>1539</v>
      </c>
      <c r="S1406" s="134" t="s">
        <v>1127</v>
      </c>
      <c r="T1406" s="134" t="s">
        <v>2524</v>
      </c>
      <c r="U1406" s="135" t="s">
        <v>2525</v>
      </c>
    </row>
    <row r="1407" spans="1:21" x14ac:dyDescent="0.3">
      <c r="A1407" s="161" t="s">
        <v>977</v>
      </c>
      <c r="B1407" s="134" t="s">
        <v>820</v>
      </c>
      <c r="C1407" s="135" t="s">
        <v>787</v>
      </c>
      <c r="O1407" s="109" t="s">
        <v>1541</v>
      </c>
      <c r="P1407" s="117">
        <v>369496</v>
      </c>
      <c r="Q1407" s="111" t="s">
        <v>199</v>
      </c>
      <c r="R1407" s="117">
        <v>-41664</v>
      </c>
      <c r="S1407" s="117">
        <v>327832</v>
      </c>
      <c r="T1407" s="117">
        <v>327832</v>
      </c>
      <c r="U1407" s="112" t="s">
        <v>199</v>
      </c>
    </row>
    <row r="1408" spans="1:21" x14ac:dyDescent="0.3">
      <c r="A1408" s="109" t="s">
        <v>1785</v>
      </c>
      <c r="B1408" s="111" t="s">
        <v>1786</v>
      </c>
      <c r="C1408" s="112" t="s">
        <v>1786</v>
      </c>
      <c r="O1408" s="109" t="s">
        <v>1543</v>
      </c>
      <c r="P1408" s="117">
        <v>118067</v>
      </c>
      <c r="Q1408" s="117">
        <v>15816</v>
      </c>
      <c r="R1408" s="117">
        <v>-15000</v>
      </c>
      <c r="S1408" s="117">
        <v>118883</v>
      </c>
      <c r="T1408" s="111" t="s">
        <v>199</v>
      </c>
      <c r="U1408" s="118">
        <v>118883</v>
      </c>
    </row>
    <row r="1409" spans="1:21" x14ac:dyDescent="0.3">
      <c r="A1409" s="109" t="s">
        <v>1791</v>
      </c>
      <c r="B1409" s="111" t="s">
        <v>1792</v>
      </c>
      <c r="C1409" s="112" t="s">
        <v>1792</v>
      </c>
      <c r="O1409" s="146" t="s">
        <v>774</v>
      </c>
      <c r="P1409" s="130">
        <v>487563</v>
      </c>
      <c r="Q1409" s="130">
        <v>15816</v>
      </c>
      <c r="R1409" s="130">
        <v>-56664</v>
      </c>
      <c r="S1409" s="130">
        <v>446715</v>
      </c>
      <c r="T1409" s="130">
        <v>327832</v>
      </c>
      <c r="U1409" s="131">
        <v>118883</v>
      </c>
    </row>
    <row r="1410" spans="1:21" ht="33.75" x14ac:dyDescent="0.3">
      <c r="A1410" s="109" t="s">
        <v>1796</v>
      </c>
      <c r="B1410" s="111" t="s">
        <v>1797</v>
      </c>
      <c r="C1410" s="112" t="s">
        <v>1797</v>
      </c>
      <c r="O1410" s="142" t="s">
        <v>1544</v>
      </c>
    </row>
    <row r="1411" spans="1:21" ht="33.75" x14ac:dyDescent="0.15">
      <c r="A1411" s="121" t="s">
        <v>1801</v>
      </c>
      <c r="B1411" s="123" t="s">
        <v>2529</v>
      </c>
      <c r="C1411" s="200" t="s">
        <v>2529</v>
      </c>
      <c r="O1411" s="142" t="s">
        <v>1546</v>
      </c>
    </row>
    <row r="1412" spans="1:21" x14ac:dyDescent="0.3">
      <c r="A1412" s="143"/>
      <c r="O1412" s="143"/>
    </row>
    <row r="1413" spans="1:21" ht="22.5" x14ac:dyDescent="0.3">
      <c r="A1413" s="142" t="s">
        <v>2530</v>
      </c>
      <c r="O1413" s="143"/>
    </row>
    <row r="1414" spans="1:21" x14ac:dyDescent="0.3">
      <c r="A1414" s="1695" t="s">
        <v>2531</v>
      </c>
      <c r="B1414" s="1696"/>
      <c r="C1414" s="1696"/>
      <c r="D1414" s="1697"/>
      <c r="O1414" s="142" t="s">
        <v>2532</v>
      </c>
    </row>
    <row r="1415" spans="1:21" x14ac:dyDescent="0.3">
      <c r="A1415" s="161" t="s">
        <v>788</v>
      </c>
      <c r="B1415" s="134" t="s">
        <v>1813</v>
      </c>
      <c r="C1415" s="134" t="s">
        <v>493</v>
      </c>
      <c r="D1415" s="135" t="s">
        <v>1814</v>
      </c>
      <c r="O1415" s="143"/>
    </row>
    <row r="1416" spans="1:21" x14ac:dyDescent="0.3">
      <c r="A1416" s="1712" t="s">
        <v>1682</v>
      </c>
      <c r="B1416" s="1713"/>
      <c r="C1416" s="1713"/>
      <c r="D1416" s="1714"/>
      <c r="O1416" s="142" t="s">
        <v>2533</v>
      </c>
    </row>
    <row r="1417" spans="1:21" x14ac:dyDescent="0.3">
      <c r="A1417" s="109" t="s">
        <v>2534</v>
      </c>
      <c r="B1417" s="111" t="s">
        <v>2535</v>
      </c>
      <c r="C1417" s="111" t="s">
        <v>2536</v>
      </c>
      <c r="D1417" s="112" t="s">
        <v>2537</v>
      </c>
      <c r="O1417" s="1752" t="s">
        <v>976</v>
      </c>
      <c r="P1417" s="1753"/>
      <c r="Q1417" s="1753"/>
      <c r="R1417" s="1754"/>
    </row>
    <row r="1418" spans="1:21" x14ac:dyDescent="0.15">
      <c r="A1418" s="109" t="s">
        <v>2538</v>
      </c>
      <c r="B1418" s="111" t="s">
        <v>2539</v>
      </c>
      <c r="C1418" s="179" t="s">
        <v>2540</v>
      </c>
      <c r="D1418" s="185" t="s">
        <v>2541</v>
      </c>
      <c r="O1418" s="194" t="s">
        <v>1562</v>
      </c>
      <c r="P1418" s="156" t="s">
        <v>1563</v>
      </c>
      <c r="Q1418" s="156" t="s">
        <v>1564</v>
      </c>
      <c r="R1418" s="157" t="s">
        <v>820</v>
      </c>
    </row>
    <row r="1419" spans="1:21" x14ac:dyDescent="0.15">
      <c r="A1419" s="109" t="s">
        <v>2542</v>
      </c>
      <c r="B1419" s="111" t="s">
        <v>816</v>
      </c>
      <c r="C1419" s="179" t="s">
        <v>2543</v>
      </c>
      <c r="D1419" s="185" t="s">
        <v>2544</v>
      </c>
      <c r="O1419" s="146" t="s">
        <v>1565</v>
      </c>
      <c r="P1419" s="159" t="s">
        <v>1566</v>
      </c>
      <c r="Q1419" s="159">
        <v>9</v>
      </c>
      <c r="R1419" s="127">
        <v>93145379</v>
      </c>
    </row>
    <row r="1420" spans="1:21" x14ac:dyDescent="0.3">
      <c r="A1420" s="1712" t="s">
        <v>1669</v>
      </c>
      <c r="B1420" s="1713"/>
      <c r="C1420" s="1713"/>
      <c r="D1420" s="1714"/>
      <c r="O1420" s="143"/>
    </row>
    <row r="1421" spans="1:21" x14ac:dyDescent="0.3">
      <c r="A1421" s="109" t="s">
        <v>1816</v>
      </c>
      <c r="B1421" s="111" t="s">
        <v>816</v>
      </c>
      <c r="C1421" s="111" t="s">
        <v>2543</v>
      </c>
      <c r="D1421" s="112" t="s">
        <v>2544</v>
      </c>
      <c r="O1421" s="142" t="s">
        <v>1568</v>
      </c>
    </row>
    <row r="1422" spans="1:21" x14ac:dyDescent="0.15">
      <c r="A1422" s="121" t="s">
        <v>1818</v>
      </c>
      <c r="B1422" s="123" t="s">
        <v>816</v>
      </c>
      <c r="C1422" s="181" t="s">
        <v>2543</v>
      </c>
      <c r="D1422" s="200" t="s">
        <v>2544</v>
      </c>
      <c r="O1422" s="1695" t="s">
        <v>1569</v>
      </c>
      <c r="P1422" s="1696"/>
      <c r="Q1422" s="1697"/>
    </row>
    <row r="1423" spans="1:21" x14ac:dyDescent="0.3">
      <c r="A1423" s="143"/>
      <c r="O1423" s="1755" t="s">
        <v>763</v>
      </c>
      <c r="P1423" s="1701"/>
      <c r="Q1423" s="135" t="s">
        <v>2545</v>
      </c>
    </row>
    <row r="1424" spans="1:21" x14ac:dyDescent="0.3">
      <c r="A1424" s="142" t="s">
        <v>2546</v>
      </c>
      <c r="O1424" s="1720" t="s">
        <v>1571</v>
      </c>
      <c r="P1424" s="110" t="s">
        <v>1572</v>
      </c>
      <c r="Q1424" s="112" t="s">
        <v>199</v>
      </c>
    </row>
    <row r="1425" spans="1:17" x14ac:dyDescent="0.3">
      <c r="A1425" s="143"/>
      <c r="O1425" s="1734"/>
      <c r="P1425" s="110" t="s">
        <v>1573</v>
      </c>
      <c r="Q1425" s="120">
        <v>13135673</v>
      </c>
    </row>
    <row r="1426" spans="1:17" x14ac:dyDescent="0.3">
      <c r="A1426" s="142" t="s">
        <v>2547</v>
      </c>
      <c r="O1426" s="1703" t="s">
        <v>2548</v>
      </c>
      <c r="P1426" s="1705"/>
      <c r="Q1426" s="116">
        <v>500</v>
      </c>
    </row>
    <row r="1427" spans="1:17" x14ac:dyDescent="0.3">
      <c r="A1427" s="1695" t="s">
        <v>826</v>
      </c>
      <c r="B1427" s="1696"/>
      <c r="C1427" s="1697"/>
      <c r="O1427" s="1703" t="s">
        <v>1575</v>
      </c>
      <c r="P1427" s="1705"/>
      <c r="Q1427" s="120">
        <v>70000001417</v>
      </c>
    </row>
    <row r="1428" spans="1:17" x14ac:dyDescent="0.3">
      <c r="A1428" s="161" t="s">
        <v>788</v>
      </c>
      <c r="B1428" s="134" t="s">
        <v>820</v>
      </c>
      <c r="C1428" s="135" t="s">
        <v>787</v>
      </c>
      <c r="O1428" s="1703" t="s">
        <v>1576</v>
      </c>
      <c r="P1428" s="1705"/>
      <c r="Q1428" s="186" t="s">
        <v>1577</v>
      </c>
    </row>
    <row r="1429" spans="1:17" x14ac:dyDescent="0.3">
      <c r="A1429" s="109" t="s">
        <v>1814</v>
      </c>
      <c r="B1429" s="111" t="s">
        <v>2544</v>
      </c>
      <c r="C1429" s="112" t="s">
        <v>2544</v>
      </c>
      <c r="O1429" s="1703" t="s">
        <v>1578</v>
      </c>
      <c r="P1429" s="1705"/>
      <c r="Q1429" s="187">
        <v>44362</v>
      </c>
    </row>
    <row r="1430" spans="1:17" x14ac:dyDescent="0.3">
      <c r="A1430" s="109" t="s">
        <v>1840</v>
      </c>
      <c r="B1430" s="111" t="s">
        <v>2549</v>
      </c>
      <c r="C1430" s="112" t="s">
        <v>2549</v>
      </c>
      <c r="O1430" s="1703" t="s">
        <v>1580</v>
      </c>
      <c r="P1430" s="1705"/>
      <c r="Q1430" s="187">
        <v>44316</v>
      </c>
    </row>
    <row r="1431" spans="1:17" x14ac:dyDescent="0.15">
      <c r="A1431" s="146" t="s">
        <v>774</v>
      </c>
      <c r="B1431" s="123" t="s">
        <v>2550</v>
      </c>
      <c r="C1431" s="200" t="s">
        <v>2550</v>
      </c>
      <c r="O1431" s="1720" t="s">
        <v>1582</v>
      </c>
      <c r="P1431" s="1725" t="s">
        <v>1583</v>
      </c>
      <c r="Q1431" s="188" t="s">
        <v>1584</v>
      </c>
    </row>
    <row r="1432" spans="1:17" x14ac:dyDescent="0.3">
      <c r="O1432" s="1721"/>
      <c r="P1432" s="1756"/>
      <c r="Q1432" s="189" t="s">
        <v>1585</v>
      </c>
    </row>
    <row r="1433" spans="1:17" x14ac:dyDescent="0.3">
      <c r="O1433" s="1721"/>
      <c r="P1433" s="1756"/>
      <c r="Q1433" s="190" t="s">
        <v>1587</v>
      </c>
    </row>
    <row r="1434" spans="1:17" x14ac:dyDescent="0.3">
      <c r="A1434" s="142" t="s">
        <v>2551</v>
      </c>
      <c r="O1434" s="1721"/>
      <c r="P1434" s="1756"/>
      <c r="Q1434" s="167" t="s">
        <v>1588</v>
      </c>
    </row>
    <row r="1435" spans="1:17" x14ac:dyDescent="0.3">
      <c r="A1435" s="143"/>
      <c r="O1435" s="1721"/>
      <c r="P1435" s="1756"/>
      <c r="Q1435" s="167" t="s">
        <v>1590</v>
      </c>
    </row>
    <row r="1436" spans="1:17" x14ac:dyDescent="0.3">
      <c r="A1436" s="142" t="s">
        <v>2552</v>
      </c>
      <c r="O1436" s="1721"/>
      <c r="P1436" s="1756"/>
      <c r="Q1436" s="167" t="s">
        <v>1591</v>
      </c>
    </row>
    <row r="1437" spans="1:17" x14ac:dyDescent="0.3">
      <c r="A1437" s="128"/>
      <c r="O1437" s="1721"/>
      <c r="P1437" s="1726"/>
      <c r="Q1437" s="167" t="s">
        <v>1593</v>
      </c>
    </row>
    <row r="1438" spans="1:17" x14ac:dyDescent="0.3">
      <c r="A1438" s="128"/>
      <c r="O1438" s="1721"/>
      <c r="P1438" s="110" t="s">
        <v>1595</v>
      </c>
      <c r="Q1438" s="186" t="s">
        <v>2553</v>
      </c>
    </row>
    <row r="1439" spans="1:17" x14ac:dyDescent="0.3">
      <c r="A1439" s="1695" t="s">
        <v>826</v>
      </c>
      <c r="B1439" s="1696"/>
      <c r="C1439" s="1697"/>
      <c r="O1439" s="1721"/>
      <c r="P1439" s="110" t="s">
        <v>1598</v>
      </c>
      <c r="Q1439" s="186" t="s">
        <v>1599</v>
      </c>
    </row>
    <row r="1440" spans="1:17" x14ac:dyDescent="0.3">
      <c r="A1440" s="161" t="s">
        <v>788</v>
      </c>
      <c r="B1440" s="134" t="s">
        <v>820</v>
      </c>
      <c r="C1440" s="135" t="s">
        <v>787</v>
      </c>
      <c r="O1440" s="1734"/>
      <c r="P1440" s="110" t="s">
        <v>2554</v>
      </c>
      <c r="Q1440" s="120">
        <v>13135673</v>
      </c>
    </row>
    <row r="1441" spans="1:17" x14ac:dyDescent="0.3">
      <c r="A1441" s="114" t="s">
        <v>1845</v>
      </c>
      <c r="B1441" s="117">
        <v>-1292040</v>
      </c>
      <c r="C1441" s="118">
        <v>-1292040</v>
      </c>
      <c r="O1441" s="1703" t="s">
        <v>1603</v>
      </c>
      <c r="P1441" s="1705"/>
      <c r="Q1441" s="186" t="s">
        <v>1604</v>
      </c>
    </row>
    <row r="1442" spans="1:17" x14ac:dyDescent="0.3">
      <c r="A1442" s="114" t="s">
        <v>790</v>
      </c>
      <c r="B1442" s="117">
        <v>-4240</v>
      </c>
      <c r="C1442" s="118">
        <v>-4240</v>
      </c>
      <c r="O1442" s="1757" t="s">
        <v>1607</v>
      </c>
      <c r="P1442" s="1758"/>
      <c r="Q1442" s="186" t="s">
        <v>1608</v>
      </c>
    </row>
    <row r="1443" spans="1:17" x14ac:dyDescent="0.3">
      <c r="A1443" s="114" t="s">
        <v>2555</v>
      </c>
      <c r="B1443" s="111" t="s">
        <v>2556</v>
      </c>
      <c r="C1443" s="112" t="s">
        <v>2434</v>
      </c>
      <c r="O1443" s="1759"/>
      <c r="P1443" s="1760"/>
      <c r="Q1443" s="160" t="s">
        <v>1613</v>
      </c>
    </row>
    <row r="1444" spans="1:17" ht="67.5" x14ac:dyDescent="0.3">
      <c r="A1444" s="114" t="s">
        <v>1858</v>
      </c>
      <c r="B1444" s="111" t="s">
        <v>2557</v>
      </c>
      <c r="C1444" s="112" t="s">
        <v>2558</v>
      </c>
      <c r="O1444" s="142" t="s">
        <v>2559</v>
      </c>
    </row>
    <row r="1445" spans="1:17" x14ac:dyDescent="0.3">
      <c r="A1445" s="114" t="s">
        <v>1861</v>
      </c>
      <c r="B1445" s="117">
        <v>-2731869</v>
      </c>
      <c r="C1445" s="118">
        <v>-2731869</v>
      </c>
    </row>
    <row r="1446" spans="1:17" ht="22.5" x14ac:dyDescent="0.3">
      <c r="A1446" s="146" t="s">
        <v>774</v>
      </c>
      <c r="B1446" s="130">
        <v>-310684</v>
      </c>
      <c r="C1446" s="127">
        <v>-1301502</v>
      </c>
      <c r="O1446" s="142" t="s">
        <v>2560</v>
      </c>
    </row>
    <row r="1447" spans="1:17" x14ac:dyDescent="0.3">
      <c r="O1447" s="128"/>
    </row>
    <row r="1448" spans="1:17" x14ac:dyDescent="0.3">
      <c r="O1448" s="1752" t="s">
        <v>826</v>
      </c>
      <c r="P1448" s="1754"/>
    </row>
    <row r="1449" spans="1:17" x14ac:dyDescent="0.3">
      <c r="A1449" s="142" t="s">
        <v>2561</v>
      </c>
      <c r="O1449" s="194" t="s">
        <v>2562</v>
      </c>
      <c r="P1449" s="157" t="s">
        <v>789</v>
      </c>
    </row>
    <row r="1450" spans="1:17" x14ac:dyDescent="0.3">
      <c r="A1450" s="143"/>
      <c r="O1450" s="114" t="s">
        <v>2563</v>
      </c>
      <c r="P1450" s="116" t="s">
        <v>199</v>
      </c>
    </row>
    <row r="1451" spans="1:17" x14ac:dyDescent="0.3">
      <c r="A1451" s="142" t="s">
        <v>2564</v>
      </c>
      <c r="O1451" s="114" t="s">
        <v>2565</v>
      </c>
      <c r="P1451" s="120">
        <v>70000001</v>
      </c>
    </row>
    <row r="1452" spans="1:17" x14ac:dyDescent="0.3">
      <c r="A1452" s="1695" t="s">
        <v>826</v>
      </c>
      <c r="B1452" s="1696"/>
      <c r="C1452" s="1696"/>
      <c r="D1452" s="1696"/>
      <c r="E1452" s="1697"/>
      <c r="O1452" s="114" t="s">
        <v>2566</v>
      </c>
      <c r="P1452" s="120">
        <v>23145377</v>
      </c>
    </row>
    <row r="1453" spans="1:17" x14ac:dyDescent="0.3">
      <c r="A1453" s="1698" t="s">
        <v>977</v>
      </c>
      <c r="B1453" s="1735" t="s">
        <v>789</v>
      </c>
      <c r="C1453" s="1736"/>
      <c r="D1453" s="1735" t="s">
        <v>843</v>
      </c>
      <c r="E1453" s="1739"/>
      <c r="O1453" s="125" t="s">
        <v>2567</v>
      </c>
      <c r="P1453" s="127">
        <v>93145379</v>
      </c>
    </row>
    <row r="1454" spans="1:17" x14ac:dyDescent="0.3">
      <c r="A1454" s="1690"/>
      <c r="B1454" s="1737" t="s">
        <v>2568</v>
      </c>
      <c r="C1454" s="1738"/>
      <c r="D1454" s="1737" t="s">
        <v>2569</v>
      </c>
      <c r="E1454" s="1740"/>
      <c r="O1454" s="143"/>
    </row>
    <row r="1455" spans="1:17" ht="56.25" x14ac:dyDescent="0.3">
      <c r="A1455" s="109" t="s">
        <v>2570</v>
      </c>
      <c r="B1455" s="111"/>
      <c r="C1455" s="111" t="s">
        <v>2571</v>
      </c>
      <c r="D1455" s="111"/>
      <c r="E1455" s="112" t="s">
        <v>2572</v>
      </c>
      <c r="O1455" s="142" t="s">
        <v>2573</v>
      </c>
    </row>
    <row r="1456" spans="1:17" x14ac:dyDescent="0.3">
      <c r="A1456" s="109" t="s">
        <v>2574</v>
      </c>
      <c r="B1456" s="115" t="s">
        <v>2575</v>
      </c>
      <c r="C1456" s="115"/>
      <c r="D1456" s="115" t="s">
        <v>2576</v>
      </c>
      <c r="E1456" s="116"/>
      <c r="O1456" s="211" t="s">
        <v>2562</v>
      </c>
      <c r="P1456" s="212" t="s">
        <v>2577</v>
      </c>
    </row>
    <row r="1457" spans="1:17" x14ac:dyDescent="0.3">
      <c r="A1457" s="109" t="s">
        <v>2578</v>
      </c>
      <c r="B1457" s="111" t="s">
        <v>2579</v>
      </c>
      <c r="C1457" s="111"/>
      <c r="D1457" s="111" t="s">
        <v>2498</v>
      </c>
      <c r="E1457" s="112"/>
      <c r="O1457" s="162" t="s">
        <v>1966</v>
      </c>
      <c r="P1457" s="186" t="s">
        <v>2580</v>
      </c>
    </row>
    <row r="1458" spans="1:17" x14ac:dyDescent="0.3">
      <c r="A1458" s="109" t="s">
        <v>2581</v>
      </c>
      <c r="B1458" s="111" t="s">
        <v>2582</v>
      </c>
      <c r="C1458" s="111"/>
      <c r="D1458" s="111" t="s">
        <v>2583</v>
      </c>
      <c r="E1458" s="112"/>
      <c r="O1458" s="146" t="s">
        <v>2584</v>
      </c>
      <c r="P1458" s="160" t="s">
        <v>2585</v>
      </c>
    </row>
    <row r="1459" spans="1:17" x14ac:dyDescent="0.3">
      <c r="A1459" s="109" t="s">
        <v>2586</v>
      </c>
      <c r="B1459" s="111"/>
      <c r="C1459" s="111" t="s">
        <v>1420</v>
      </c>
      <c r="D1459" s="111"/>
      <c r="E1459" s="112" t="s">
        <v>1420</v>
      </c>
    </row>
    <row r="1460" spans="1:17" x14ac:dyDescent="0.3">
      <c r="A1460" s="121" t="s">
        <v>2587</v>
      </c>
      <c r="B1460" s="136"/>
      <c r="C1460" s="136" t="s">
        <v>2571</v>
      </c>
      <c r="D1460" s="136"/>
      <c r="E1460" s="137" t="s">
        <v>2575</v>
      </c>
    </row>
    <row r="1461" spans="1:17" ht="22.5" x14ac:dyDescent="0.3">
      <c r="A1461" s="142" t="s">
        <v>2588</v>
      </c>
      <c r="O1461" s="142" t="s">
        <v>2589</v>
      </c>
    </row>
    <row r="1462" spans="1:17" x14ac:dyDescent="0.3">
      <c r="O1462" s="143"/>
    </row>
    <row r="1463" spans="1:17" ht="22.5" x14ac:dyDescent="0.3">
      <c r="O1463" s="142" t="s">
        <v>2427</v>
      </c>
    </row>
    <row r="1464" spans="1:17" x14ac:dyDescent="0.3">
      <c r="A1464" s="142" t="s">
        <v>2590</v>
      </c>
      <c r="O1464" s="128"/>
    </row>
    <row r="1465" spans="1:17" x14ac:dyDescent="0.3">
      <c r="A1465" s="143"/>
      <c r="O1465" s="128"/>
    </row>
    <row r="1466" spans="1:17" ht="22.5" x14ac:dyDescent="0.3">
      <c r="A1466" s="142" t="s">
        <v>2591</v>
      </c>
      <c r="O1466" s="1695" t="s">
        <v>826</v>
      </c>
      <c r="P1466" s="1696"/>
      <c r="Q1466" s="1697"/>
    </row>
    <row r="1467" spans="1:17" x14ac:dyDescent="0.3">
      <c r="O1467" s="161" t="s">
        <v>977</v>
      </c>
      <c r="P1467" s="134" t="s">
        <v>789</v>
      </c>
      <c r="Q1467" s="135" t="s">
        <v>843</v>
      </c>
    </row>
    <row r="1468" spans="1:17" x14ac:dyDescent="0.3">
      <c r="O1468" s="114" t="s">
        <v>1647</v>
      </c>
      <c r="P1468" s="119">
        <v>19414057</v>
      </c>
      <c r="Q1468" s="120">
        <v>17525834</v>
      </c>
    </row>
    <row r="1469" spans="1:17" x14ac:dyDescent="0.3">
      <c r="A1469" s="106" t="s">
        <v>977</v>
      </c>
      <c r="B1469" s="107" t="s">
        <v>1889</v>
      </c>
      <c r="C1469" s="107" t="s">
        <v>1890</v>
      </c>
      <c r="D1469" s="108" t="s">
        <v>1891</v>
      </c>
      <c r="O1469" s="114" t="s">
        <v>1648</v>
      </c>
      <c r="P1469" s="119">
        <v>1793869</v>
      </c>
      <c r="Q1469" s="120">
        <v>1681403</v>
      </c>
    </row>
    <row r="1470" spans="1:17" x14ac:dyDescent="0.3">
      <c r="A1470" s="114" t="s">
        <v>1893</v>
      </c>
      <c r="B1470" s="213">
        <v>43552</v>
      </c>
      <c r="C1470" s="213">
        <v>43552</v>
      </c>
      <c r="D1470" s="214">
        <v>43552</v>
      </c>
      <c r="O1470" s="114" t="s">
        <v>527</v>
      </c>
      <c r="P1470" s="119">
        <v>329723</v>
      </c>
      <c r="Q1470" s="120">
        <v>624260</v>
      </c>
    </row>
    <row r="1471" spans="1:17" x14ac:dyDescent="0.3">
      <c r="A1471" s="114" t="s">
        <v>1894</v>
      </c>
      <c r="B1471" s="1731" t="s">
        <v>2592</v>
      </c>
      <c r="C1471" s="1732"/>
      <c r="D1471" s="1733"/>
      <c r="O1471" s="114" t="s">
        <v>1659</v>
      </c>
      <c r="P1471" s="119">
        <v>4188955</v>
      </c>
      <c r="Q1471" s="120">
        <v>3367428</v>
      </c>
    </row>
    <row r="1472" spans="1:17" x14ac:dyDescent="0.3">
      <c r="A1472" s="114" t="s">
        <v>2593</v>
      </c>
      <c r="B1472" s="1731" t="s">
        <v>1898</v>
      </c>
      <c r="C1472" s="1732"/>
      <c r="D1472" s="1733"/>
      <c r="O1472" s="146" t="s">
        <v>774</v>
      </c>
      <c r="P1472" s="126">
        <v>25726604</v>
      </c>
      <c r="Q1472" s="127">
        <v>23198925</v>
      </c>
    </row>
    <row r="1473" spans="1:18" x14ac:dyDescent="0.3">
      <c r="A1473" s="114" t="s">
        <v>2594</v>
      </c>
      <c r="B1473" s="111" t="s">
        <v>2595</v>
      </c>
      <c r="C1473" s="115" t="s">
        <v>2596</v>
      </c>
      <c r="D1473" s="116" t="s">
        <v>2597</v>
      </c>
      <c r="O1473" s="143"/>
    </row>
    <row r="1474" spans="1:18" ht="22.5" x14ac:dyDescent="0.3">
      <c r="A1474" s="114" t="s">
        <v>1909</v>
      </c>
      <c r="B1474" s="111" t="s">
        <v>1910</v>
      </c>
      <c r="C1474" s="115" t="s">
        <v>1910</v>
      </c>
      <c r="D1474" s="116" t="s">
        <v>1910</v>
      </c>
      <c r="O1474" s="142" t="s">
        <v>2443</v>
      </c>
    </row>
    <row r="1475" spans="1:18" x14ac:dyDescent="0.3">
      <c r="A1475" s="1720" t="s">
        <v>1917</v>
      </c>
      <c r="B1475" s="202" t="s">
        <v>2598</v>
      </c>
      <c r="C1475" s="202" t="s">
        <v>2599</v>
      </c>
      <c r="D1475" s="188" t="s">
        <v>2600</v>
      </c>
      <c r="O1475" s="1695" t="s">
        <v>826</v>
      </c>
      <c r="P1475" s="1696"/>
      <c r="Q1475" s="1697"/>
    </row>
    <row r="1476" spans="1:18" x14ac:dyDescent="0.3">
      <c r="A1476" s="1734"/>
      <c r="B1476" s="203" t="s">
        <v>2601</v>
      </c>
      <c r="C1476" s="203" t="s">
        <v>2602</v>
      </c>
      <c r="D1476" s="190" t="s">
        <v>2603</v>
      </c>
      <c r="O1476" s="161" t="s">
        <v>2444</v>
      </c>
      <c r="P1476" s="134" t="s">
        <v>820</v>
      </c>
      <c r="Q1476" s="135" t="s">
        <v>787</v>
      </c>
    </row>
    <row r="1477" spans="1:18" x14ac:dyDescent="0.3">
      <c r="A1477" s="1720" t="s">
        <v>1928</v>
      </c>
      <c r="B1477" s="204" t="s">
        <v>1929</v>
      </c>
      <c r="C1477" s="204" t="s">
        <v>1930</v>
      </c>
      <c r="D1477" s="174" t="s">
        <v>1931</v>
      </c>
      <c r="O1477" s="109" t="s">
        <v>1671</v>
      </c>
      <c r="P1477" s="117">
        <v>428993</v>
      </c>
      <c r="Q1477" s="118">
        <v>822730</v>
      </c>
    </row>
    <row r="1478" spans="1:18" x14ac:dyDescent="0.3">
      <c r="A1478" s="1722"/>
      <c r="B1478" s="205" t="s">
        <v>1938</v>
      </c>
      <c r="C1478" s="205" t="s">
        <v>1938</v>
      </c>
      <c r="D1478" s="176" t="s">
        <v>1938</v>
      </c>
      <c r="O1478" s="109" t="s">
        <v>1674</v>
      </c>
      <c r="P1478" s="117">
        <v>789195</v>
      </c>
      <c r="Q1478" s="118">
        <v>769571</v>
      </c>
    </row>
    <row r="1479" spans="1:18" ht="22.5" x14ac:dyDescent="0.3">
      <c r="A1479" s="142" t="s">
        <v>2604</v>
      </c>
      <c r="O1479" s="146" t="s">
        <v>774</v>
      </c>
      <c r="P1479" s="130">
        <v>1218188</v>
      </c>
      <c r="Q1479" s="131">
        <v>1592301</v>
      </c>
    </row>
    <row r="1481" spans="1:18" ht="22.5" x14ac:dyDescent="0.3">
      <c r="A1481" s="142" t="s">
        <v>1942</v>
      </c>
      <c r="O1481" s="142" t="s">
        <v>2455</v>
      </c>
    </row>
    <row r="1482" spans="1:18" x14ac:dyDescent="0.3">
      <c r="A1482" s="1695" t="s">
        <v>976</v>
      </c>
      <c r="B1482" s="1697"/>
      <c r="O1482" s="143"/>
    </row>
    <row r="1483" spans="1:18" x14ac:dyDescent="0.3">
      <c r="A1483" s="161" t="s">
        <v>977</v>
      </c>
      <c r="B1483" s="135" t="s">
        <v>1878</v>
      </c>
      <c r="O1483" s="142" t="s">
        <v>840</v>
      </c>
    </row>
    <row r="1484" spans="1:18" x14ac:dyDescent="0.3">
      <c r="A1484" s="109" t="s">
        <v>1948</v>
      </c>
      <c r="B1484" s="112" t="s">
        <v>2434</v>
      </c>
    </row>
    <row r="1485" spans="1:18" x14ac:dyDescent="0.3">
      <c r="A1485" s="109" t="s">
        <v>2605</v>
      </c>
      <c r="B1485" s="112" t="s">
        <v>2433</v>
      </c>
      <c r="O1485" s="1695" t="s">
        <v>826</v>
      </c>
      <c r="P1485" s="1696"/>
      <c r="Q1485" s="1696"/>
      <c r="R1485" s="1697"/>
    </row>
    <row r="1486" spans="1:18" x14ac:dyDescent="0.3">
      <c r="A1486" s="109" t="s">
        <v>1959</v>
      </c>
      <c r="B1486" s="112" t="s">
        <v>2606</v>
      </c>
      <c r="O1486" s="161" t="s">
        <v>2607</v>
      </c>
      <c r="P1486" s="134" t="s">
        <v>1692</v>
      </c>
      <c r="Q1486" s="134" t="s">
        <v>1693</v>
      </c>
      <c r="R1486" s="135" t="s">
        <v>1671</v>
      </c>
    </row>
    <row r="1487" spans="1:18" x14ac:dyDescent="0.3">
      <c r="A1487" s="121" t="s">
        <v>2608</v>
      </c>
      <c r="B1487" s="124" t="s">
        <v>2609</v>
      </c>
      <c r="O1487" s="109" t="s">
        <v>1621</v>
      </c>
      <c r="P1487" s="117">
        <v>6731667</v>
      </c>
      <c r="Q1487" s="117">
        <v>-5908937</v>
      </c>
      <c r="R1487" s="118">
        <v>822730</v>
      </c>
    </row>
    <row r="1488" spans="1:18" x14ac:dyDescent="0.3">
      <c r="O1488" s="1712" t="s">
        <v>2459</v>
      </c>
      <c r="P1488" s="1713"/>
      <c r="Q1488" s="1713"/>
      <c r="R1488" s="1714"/>
    </row>
    <row r="1489" spans="1:18" ht="33.75" x14ac:dyDescent="0.3">
      <c r="A1489" s="142" t="s">
        <v>2610</v>
      </c>
      <c r="O1489" s="109" t="s">
        <v>2460</v>
      </c>
      <c r="P1489" s="117">
        <v>1804518</v>
      </c>
      <c r="Q1489" s="111" t="s">
        <v>199</v>
      </c>
      <c r="R1489" s="118">
        <v>1804518</v>
      </c>
    </row>
    <row r="1490" spans="1:18" x14ac:dyDescent="0.3">
      <c r="A1490" s="1695" t="s">
        <v>1569</v>
      </c>
      <c r="B1490" s="1696"/>
      <c r="C1490" s="1696"/>
      <c r="D1490" s="1697"/>
      <c r="O1490" s="109" t="s">
        <v>2463</v>
      </c>
      <c r="P1490" s="117">
        <v>121858</v>
      </c>
      <c r="Q1490" s="117">
        <v>-132505</v>
      </c>
      <c r="R1490" s="118">
        <v>-10647</v>
      </c>
    </row>
    <row r="1491" spans="1:18" x14ac:dyDescent="0.3">
      <c r="A1491" s="161" t="s">
        <v>977</v>
      </c>
      <c r="B1491" s="134" t="s">
        <v>1889</v>
      </c>
      <c r="C1491" s="134" t="s">
        <v>1890</v>
      </c>
      <c r="D1491" s="135" t="s">
        <v>1891</v>
      </c>
      <c r="O1491" s="162" t="s">
        <v>980</v>
      </c>
      <c r="P1491" s="117">
        <v>1926376</v>
      </c>
      <c r="Q1491" s="117">
        <v>-132505</v>
      </c>
      <c r="R1491" s="118">
        <v>1793871</v>
      </c>
    </row>
    <row r="1492" spans="1:18" x14ac:dyDescent="0.3">
      <c r="A1492" s="114" t="s">
        <v>1966</v>
      </c>
      <c r="B1492" s="206">
        <v>1.7299999999999999E-2</v>
      </c>
      <c r="C1492" s="206">
        <v>1.77E-2</v>
      </c>
      <c r="D1492" s="207">
        <v>1.8200000000000001E-2</v>
      </c>
      <c r="O1492" s="1712" t="s">
        <v>1708</v>
      </c>
      <c r="P1492" s="1713"/>
      <c r="Q1492" s="1713"/>
      <c r="R1492" s="1714"/>
    </row>
    <row r="1493" spans="1:18" x14ac:dyDescent="0.3">
      <c r="A1493" s="114" t="s">
        <v>2611</v>
      </c>
      <c r="B1493" s="111" t="s">
        <v>2612</v>
      </c>
      <c r="C1493" s="111" t="s">
        <v>2612</v>
      </c>
      <c r="D1493" s="112" t="s">
        <v>2612</v>
      </c>
      <c r="O1493" s="109" t="s">
        <v>1741</v>
      </c>
      <c r="P1493" s="111"/>
      <c r="Q1493" s="111"/>
      <c r="R1493" s="112"/>
    </row>
    <row r="1494" spans="1:18" x14ac:dyDescent="0.3">
      <c r="A1494" s="114" t="s">
        <v>1969</v>
      </c>
      <c r="B1494" s="206">
        <v>0.32340000000000002</v>
      </c>
      <c r="C1494" s="206">
        <v>0.32340000000000002</v>
      </c>
      <c r="D1494" s="207">
        <v>0.32340000000000002</v>
      </c>
      <c r="O1494" s="109" t="s">
        <v>2468</v>
      </c>
      <c r="P1494" s="111"/>
      <c r="Q1494" s="111"/>
      <c r="R1494" s="112"/>
    </row>
    <row r="1495" spans="1:18" x14ac:dyDescent="0.3">
      <c r="A1495" s="114" t="s">
        <v>1971</v>
      </c>
      <c r="B1495" s="206">
        <v>0</v>
      </c>
      <c r="C1495" s="206">
        <v>0</v>
      </c>
      <c r="D1495" s="207">
        <v>0</v>
      </c>
      <c r="O1495" s="109" t="s">
        <v>1713</v>
      </c>
      <c r="P1495" s="117">
        <v>-740552</v>
      </c>
      <c r="Q1495" s="111" t="s">
        <v>199</v>
      </c>
      <c r="R1495" s="118">
        <v>-740552</v>
      </c>
    </row>
    <row r="1496" spans="1:18" x14ac:dyDescent="0.3">
      <c r="A1496" s="114" t="s">
        <v>1909</v>
      </c>
      <c r="B1496" s="111" t="s">
        <v>2613</v>
      </c>
      <c r="C1496" s="111" t="s">
        <v>2613</v>
      </c>
      <c r="D1496" s="112" t="s">
        <v>2613</v>
      </c>
      <c r="O1496" s="109" t="s">
        <v>1714</v>
      </c>
      <c r="P1496" s="117">
        <v>944993</v>
      </c>
      <c r="Q1496" s="111" t="s">
        <v>199</v>
      </c>
      <c r="R1496" s="118">
        <v>944993</v>
      </c>
    </row>
    <row r="1497" spans="1:18" x14ac:dyDescent="0.3">
      <c r="A1497" s="125" t="s">
        <v>1974</v>
      </c>
      <c r="B1497" s="123" t="s">
        <v>2614</v>
      </c>
      <c r="C1497" s="123" t="s">
        <v>2615</v>
      </c>
      <c r="D1497" s="124" t="s">
        <v>2616</v>
      </c>
      <c r="O1497" s="109" t="s">
        <v>2470</v>
      </c>
      <c r="P1497" s="111" t="s">
        <v>199</v>
      </c>
      <c r="Q1497" s="117">
        <v>34468</v>
      </c>
      <c r="R1497" s="118">
        <v>34468</v>
      </c>
    </row>
    <row r="1498" spans="1:18" x14ac:dyDescent="0.3">
      <c r="O1498" s="162" t="s">
        <v>980</v>
      </c>
      <c r="P1498" s="117">
        <v>204441</v>
      </c>
      <c r="Q1498" s="117">
        <v>34468</v>
      </c>
      <c r="R1498" s="118">
        <v>238909</v>
      </c>
    </row>
    <row r="1499" spans="1:18" x14ac:dyDescent="0.3">
      <c r="O1499" s="1712" t="s">
        <v>1722</v>
      </c>
      <c r="P1499" s="1713"/>
      <c r="Q1499" s="1713"/>
      <c r="R1499" s="1714"/>
    </row>
    <row r="1500" spans="1:18" x14ac:dyDescent="0.3">
      <c r="A1500" s="142" t="s">
        <v>2617</v>
      </c>
      <c r="O1500" s="109" t="s">
        <v>2474</v>
      </c>
      <c r="P1500" s="111" t="s">
        <v>199</v>
      </c>
      <c r="Q1500" s="117">
        <v>-2500283</v>
      </c>
      <c r="R1500" s="118">
        <v>-2500283</v>
      </c>
    </row>
    <row r="1501" spans="1:18" x14ac:dyDescent="0.3">
      <c r="A1501" s="143"/>
      <c r="O1501" s="109" t="s">
        <v>2475</v>
      </c>
      <c r="P1501" s="117">
        <v>-1016274</v>
      </c>
      <c r="Q1501" s="117">
        <v>1091484</v>
      </c>
      <c r="R1501" s="118">
        <v>75210</v>
      </c>
    </row>
    <row r="1502" spans="1:18" x14ac:dyDescent="0.3">
      <c r="A1502" s="142" t="s">
        <v>2618</v>
      </c>
      <c r="O1502" s="109" t="s">
        <v>2477</v>
      </c>
      <c r="P1502" s="117">
        <v>-1442</v>
      </c>
      <c r="Q1502" s="111" t="s">
        <v>199</v>
      </c>
      <c r="R1502" s="118">
        <v>-1442</v>
      </c>
    </row>
    <row r="1503" spans="1:18" x14ac:dyDescent="0.3">
      <c r="A1503" s="128"/>
      <c r="O1503" s="162" t="s">
        <v>1735</v>
      </c>
      <c r="P1503" s="117">
        <v>-1017716</v>
      </c>
      <c r="Q1503" s="117">
        <v>-1408798</v>
      </c>
      <c r="R1503" s="118">
        <v>-2426514</v>
      </c>
    </row>
    <row r="1504" spans="1:18" x14ac:dyDescent="0.3">
      <c r="A1504" s="128"/>
      <c r="O1504" s="121" t="s">
        <v>2480</v>
      </c>
      <c r="P1504" s="130">
        <v>7844766</v>
      </c>
      <c r="Q1504" s="130">
        <v>-7415773</v>
      </c>
      <c r="R1504" s="131">
        <v>428993</v>
      </c>
    </row>
    <row r="1505" spans="1:18" x14ac:dyDescent="0.3">
      <c r="A1505" s="1695" t="s">
        <v>826</v>
      </c>
      <c r="B1505" s="1696"/>
      <c r="C1505" s="1697"/>
    </row>
    <row r="1506" spans="1:18" x14ac:dyDescent="0.3">
      <c r="A1506" s="161" t="s">
        <v>788</v>
      </c>
      <c r="B1506" s="134" t="s">
        <v>789</v>
      </c>
      <c r="C1506" s="135" t="s">
        <v>843</v>
      </c>
      <c r="O1506" s="142" t="s">
        <v>841</v>
      </c>
    </row>
    <row r="1507" spans="1:18" x14ac:dyDescent="0.3">
      <c r="A1507" s="109" t="s">
        <v>1647</v>
      </c>
      <c r="B1507" s="111" t="s">
        <v>2619</v>
      </c>
      <c r="C1507" s="112" t="s">
        <v>2620</v>
      </c>
      <c r="O1507" s="1695" t="s">
        <v>826</v>
      </c>
      <c r="P1507" s="1696"/>
      <c r="Q1507" s="1696"/>
      <c r="R1507" s="1697"/>
    </row>
    <row r="1508" spans="1:18" x14ac:dyDescent="0.3">
      <c r="A1508" s="109" t="s">
        <v>1984</v>
      </c>
      <c r="B1508" s="111" t="s">
        <v>2621</v>
      </c>
      <c r="C1508" s="112" t="s">
        <v>2432</v>
      </c>
      <c r="O1508" s="161" t="s">
        <v>2607</v>
      </c>
      <c r="P1508" s="134" t="s">
        <v>1692</v>
      </c>
      <c r="Q1508" s="134" t="s">
        <v>1693</v>
      </c>
      <c r="R1508" s="135" t="s">
        <v>1671</v>
      </c>
    </row>
    <row r="1509" spans="1:18" x14ac:dyDescent="0.3">
      <c r="A1509" s="109" t="s">
        <v>527</v>
      </c>
      <c r="B1509" s="111" t="s">
        <v>2433</v>
      </c>
      <c r="C1509" s="112" t="s">
        <v>2434</v>
      </c>
      <c r="O1509" s="109" t="s">
        <v>1621</v>
      </c>
      <c r="P1509" s="117">
        <v>5531260</v>
      </c>
      <c r="Q1509" s="117">
        <v>-4315591</v>
      </c>
      <c r="R1509" s="118">
        <v>1215669</v>
      </c>
    </row>
    <row r="1510" spans="1:18" x14ac:dyDescent="0.3">
      <c r="A1510" s="109" t="s">
        <v>1659</v>
      </c>
      <c r="B1510" s="111" t="s">
        <v>2436</v>
      </c>
      <c r="C1510" s="112" t="s">
        <v>2437</v>
      </c>
      <c r="O1510" s="1712" t="s">
        <v>2459</v>
      </c>
      <c r="P1510" s="1713"/>
      <c r="Q1510" s="1713"/>
      <c r="R1510" s="1714"/>
    </row>
    <row r="1511" spans="1:18" x14ac:dyDescent="0.3">
      <c r="A1511" s="109" t="s">
        <v>1986</v>
      </c>
      <c r="B1511" s="111" t="s">
        <v>2622</v>
      </c>
      <c r="C1511" s="112" t="s">
        <v>2623</v>
      </c>
      <c r="O1511" s="109" t="s">
        <v>2460</v>
      </c>
      <c r="P1511" s="117">
        <v>1678458</v>
      </c>
      <c r="Q1511" s="111" t="s">
        <v>199</v>
      </c>
      <c r="R1511" s="118">
        <v>1678458</v>
      </c>
    </row>
    <row r="1512" spans="1:18" x14ac:dyDescent="0.3">
      <c r="A1512" s="109" t="s">
        <v>1987</v>
      </c>
      <c r="B1512" s="111" t="s">
        <v>2624</v>
      </c>
      <c r="C1512" s="112" t="s">
        <v>2625</v>
      </c>
      <c r="O1512" s="109" t="s">
        <v>2463</v>
      </c>
      <c r="P1512" s="117">
        <v>99814</v>
      </c>
      <c r="Q1512" s="117">
        <v>-96869</v>
      </c>
      <c r="R1512" s="118">
        <v>2945</v>
      </c>
    </row>
    <row r="1513" spans="1:18" x14ac:dyDescent="0.3">
      <c r="A1513" s="109" t="s">
        <v>1988</v>
      </c>
      <c r="B1513" s="111" t="s">
        <v>2626</v>
      </c>
      <c r="C1513" s="112" t="s">
        <v>2627</v>
      </c>
      <c r="O1513" s="162" t="s">
        <v>980</v>
      </c>
      <c r="P1513" s="117">
        <v>1778272</v>
      </c>
      <c r="Q1513" s="117">
        <v>-96869</v>
      </c>
      <c r="R1513" s="118">
        <v>1681403</v>
      </c>
    </row>
    <row r="1514" spans="1:18" x14ac:dyDescent="0.3">
      <c r="A1514" s="109" t="s">
        <v>1989</v>
      </c>
      <c r="B1514" s="111" t="s">
        <v>2628</v>
      </c>
      <c r="C1514" s="112" t="s">
        <v>2629</v>
      </c>
      <c r="O1514" s="1712" t="s">
        <v>1708</v>
      </c>
      <c r="P1514" s="1713"/>
      <c r="Q1514" s="1713"/>
      <c r="R1514" s="1714"/>
    </row>
    <row r="1515" spans="1:18" x14ac:dyDescent="0.3">
      <c r="A1515" s="109" t="s">
        <v>1991</v>
      </c>
      <c r="B1515" s="111" t="s">
        <v>2630</v>
      </c>
      <c r="C1515" s="112" t="s">
        <v>2631</v>
      </c>
      <c r="O1515" s="109" t="s">
        <v>1741</v>
      </c>
      <c r="P1515" s="111"/>
      <c r="Q1515" s="111"/>
      <c r="R1515" s="112"/>
    </row>
    <row r="1516" spans="1:18" x14ac:dyDescent="0.3">
      <c r="A1516" s="109" t="s">
        <v>1992</v>
      </c>
      <c r="B1516" s="111" t="s">
        <v>2632</v>
      </c>
      <c r="C1516" s="112" t="s">
        <v>2633</v>
      </c>
      <c r="O1516" s="109" t="s">
        <v>2468</v>
      </c>
      <c r="P1516" s="111"/>
      <c r="Q1516" s="111"/>
      <c r="R1516" s="112"/>
    </row>
    <row r="1517" spans="1:18" x14ac:dyDescent="0.3">
      <c r="A1517" s="109" t="s">
        <v>1995</v>
      </c>
      <c r="B1517" s="111" t="s">
        <v>2634</v>
      </c>
      <c r="C1517" s="112" t="s">
        <v>2635</v>
      </c>
      <c r="O1517" s="109" t="s">
        <v>2636</v>
      </c>
      <c r="P1517" s="117">
        <v>-396658</v>
      </c>
      <c r="Q1517" s="111" t="s">
        <v>199</v>
      </c>
      <c r="R1517" s="118">
        <v>-396658</v>
      </c>
    </row>
    <row r="1518" spans="1:18" x14ac:dyDescent="0.3">
      <c r="A1518" s="109" t="s">
        <v>1996</v>
      </c>
      <c r="B1518" s="111" t="s">
        <v>2371</v>
      </c>
      <c r="C1518" s="112" t="s">
        <v>2372</v>
      </c>
      <c r="O1518" s="109" t="s">
        <v>2637</v>
      </c>
      <c r="P1518" s="117">
        <v>400840</v>
      </c>
      <c r="Q1518" s="111" t="s">
        <v>199</v>
      </c>
      <c r="R1518" s="118">
        <v>400840</v>
      </c>
    </row>
    <row r="1519" spans="1:18" x14ac:dyDescent="0.3">
      <c r="A1519" s="109" t="s">
        <v>1998</v>
      </c>
      <c r="B1519" s="111" t="s">
        <v>2638</v>
      </c>
      <c r="C1519" s="112" t="s">
        <v>2639</v>
      </c>
      <c r="O1519" s="109" t="s">
        <v>2470</v>
      </c>
      <c r="P1519" s="111" t="s">
        <v>199</v>
      </c>
      <c r="Q1519" s="117">
        <v>34404</v>
      </c>
      <c r="R1519" s="118">
        <v>34404</v>
      </c>
    </row>
    <row r="1520" spans="1:18" x14ac:dyDescent="0.3">
      <c r="A1520" s="109" t="s">
        <v>1999</v>
      </c>
      <c r="B1520" s="111" t="s">
        <v>2640</v>
      </c>
      <c r="C1520" s="112" t="s">
        <v>2641</v>
      </c>
      <c r="O1520" s="162" t="s">
        <v>980</v>
      </c>
      <c r="P1520" s="117">
        <v>4182</v>
      </c>
      <c r="Q1520" s="117">
        <v>34404</v>
      </c>
      <c r="R1520" s="118">
        <v>38586</v>
      </c>
    </row>
    <row r="1521" spans="1:18" x14ac:dyDescent="0.3">
      <c r="A1521" s="109" t="s">
        <v>2000</v>
      </c>
      <c r="B1521" s="111" t="s">
        <v>2642</v>
      </c>
      <c r="C1521" s="112" t="s">
        <v>2643</v>
      </c>
      <c r="O1521" s="1712" t="s">
        <v>1722</v>
      </c>
      <c r="P1521" s="1713"/>
      <c r="Q1521" s="1713"/>
      <c r="R1521" s="1714"/>
    </row>
    <row r="1522" spans="1:18" x14ac:dyDescent="0.3">
      <c r="A1522" s="109" t="s">
        <v>2002</v>
      </c>
      <c r="B1522" s="111" t="s">
        <v>2644</v>
      </c>
      <c r="C1522" s="112" t="s">
        <v>2645</v>
      </c>
      <c r="O1522" s="109" t="s">
        <v>2474</v>
      </c>
      <c r="P1522" s="111" t="s">
        <v>199</v>
      </c>
      <c r="Q1522" s="117">
        <v>-2000000</v>
      </c>
      <c r="R1522" s="118">
        <v>-2000000</v>
      </c>
    </row>
    <row r="1523" spans="1:18" x14ac:dyDescent="0.3">
      <c r="A1523" s="109" t="s">
        <v>2003</v>
      </c>
      <c r="B1523" s="117">
        <v>-28983</v>
      </c>
      <c r="C1523" s="112" t="s">
        <v>1700</v>
      </c>
      <c r="O1523" s="109" t="s">
        <v>2475</v>
      </c>
      <c r="P1523" s="117">
        <v>-581108</v>
      </c>
      <c r="Q1523" s="117">
        <v>469119</v>
      </c>
      <c r="R1523" s="118">
        <v>-111989</v>
      </c>
    </row>
    <row r="1524" spans="1:18" x14ac:dyDescent="0.3">
      <c r="A1524" s="114" t="s">
        <v>71</v>
      </c>
      <c r="B1524" s="111" t="s">
        <v>2646</v>
      </c>
      <c r="C1524" s="112" t="s">
        <v>2647</v>
      </c>
      <c r="O1524" s="109" t="s">
        <v>2477</v>
      </c>
      <c r="P1524" s="111">
        <v>-939</v>
      </c>
      <c r="Q1524" s="111" t="s">
        <v>199</v>
      </c>
      <c r="R1524" s="112">
        <v>-939</v>
      </c>
    </row>
    <row r="1525" spans="1:18" x14ac:dyDescent="0.3">
      <c r="A1525" s="146" t="s">
        <v>774</v>
      </c>
      <c r="B1525" s="123" t="s">
        <v>2648</v>
      </c>
      <c r="C1525" s="124" t="s">
        <v>2649</v>
      </c>
      <c r="O1525" s="162" t="s">
        <v>1735</v>
      </c>
      <c r="P1525" s="117">
        <v>-582047</v>
      </c>
      <c r="Q1525" s="117">
        <v>-1530881</v>
      </c>
      <c r="R1525" s="118">
        <v>-2112928</v>
      </c>
    </row>
    <row r="1526" spans="1:18" x14ac:dyDescent="0.3">
      <c r="O1526" s="121" t="s">
        <v>2480</v>
      </c>
      <c r="P1526" s="130">
        <v>6731667</v>
      </c>
      <c r="Q1526" s="130">
        <v>-5908937</v>
      </c>
      <c r="R1526" s="131">
        <v>822730</v>
      </c>
    </row>
    <row r="1527" spans="1:18" x14ac:dyDescent="0.3">
      <c r="O1527" s="143"/>
    </row>
    <row r="1528" spans="1:18" ht="22.5" x14ac:dyDescent="0.3">
      <c r="A1528" s="142" t="s">
        <v>2650</v>
      </c>
      <c r="O1528" s="142" t="s">
        <v>2504</v>
      </c>
    </row>
    <row r="1529" spans="1:18" x14ac:dyDescent="0.3">
      <c r="A1529" s="143"/>
      <c r="O1529" s="1695" t="s">
        <v>826</v>
      </c>
      <c r="P1529" s="1696"/>
      <c r="Q1529" s="1697"/>
    </row>
    <row r="1530" spans="1:18" x14ac:dyDescent="0.3">
      <c r="A1530" s="142" t="s">
        <v>2651</v>
      </c>
      <c r="O1530" s="161" t="s">
        <v>977</v>
      </c>
      <c r="P1530" s="134" t="s">
        <v>820</v>
      </c>
      <c r="Q1530" s="135" t="s">
        <v>787</v>
      </c>
    </row>
    <row r="1531" spans="1:18" x14ac:dyDescent="0.3">
      <c r="A1531" s="128"/>
      <c r="O1531" s="109" t="s">
        <v>2652</v>
      </c>
      <c r="P1531" s="117">
        <v>751340</v>
      </c>
      <c r="Q1531" s="118">
        <v>352239</v>
      </c>
    </row>
    <row r="1532" spans="1:18" x14ac:dyDescent="0.3">
      <c r="A1532" s="128"/>
      <c r="O1532" s="109" t="s">
        <v>2510</v>
      </c>
      <c r="P1532" s="117">
        <v>6664433</v>
      </c>
      <c r="Q1532" s="118">
        <v>5556698</v>
      </c>
    </row>
    <row r="1533" spans="1:18" x14ac:dyDescent="0.3">
      <c r="A1533" s="1695" t="s">
        <v>826</v>
      </c>
      <c r="B1533" s="1696"/>
      <c r="C1533" s="1697"/>
      <c r="O1533" s="177" t="s">
        <v>774</v>
      </c>
      <c r="P1533" s="130">
        <v>7415773</v>
      </c>
      <c r="Q1533" s="131">
        <v>5908937</v>
      </c>
    </row>
    <row r="1534" spans="1:18" x14ac:dyDescent="0.3">
      <c r="A1534" s="161" t="s">
        <v>977</v>
      </c>
      <c r="B1534" s="134" t="s">
        <v>789</v>
      </c>
      <c r="C1534" s="135" t="s">
        <v>843</v>
      </c>
    </row>
    <row r="1535" spans="1:18" ht="22.5" x14ac:dyDescent="0.3">
      <c r="A1535" s="109" t="s">
        <v>2653</v>
      </c>
      <c r="B1535" s="111" t="s">
        <v>2654</v>
      </c>
      <c r="C1535" s="112" t="s">
        <v>2655</v>
      </c>
      <c r="O1535" s="142" t="s">
        <v>2515</v>
      </c>
    </row>
    <row r="1536" spans="1:18" x14ac:dyDescent="0.3">
      <c r="A1536" s="109" t="s">
        <v>2656</v>
      </c>
      <c r="B1536" s="111" t="s">
        <v>2657</v>
      </c>
      <c r="C1536" s="112" t="s">
        <v>2658</v>
      </c>
      <c r="O1536" s="1695" t="s">
        <v>826</v>
      </c>
      <c r="P1536" s="1696"/>
      <c r="Q1536" s="1697"/>
    </row>
    <row r="1537" spans="1:17" x14ac:dyDescent="0.3">
      <c r="A1537" s="109" t="s">
        <v>1647</v>
      </c>
      <c r="B1537" s="111" t="s">
        <v>2429</v>
      </c>
      <c r="C1537" s="112" t="s">
        <v>2430</v>
      </c>
      <c r="O1537" s="161" t="s">
        <v>763</v>
      </c>
      <c r="P1537" s="134" t="s">
        <v>789</v>
      </c>
      <c r="Q1537" s="135" t="s">
        <v>843</v>
      </c>
    </row>
    <row r="1538" spans="1:17" x14ac:dyDescent="0.15">
      <c r="A1538" s="109" t="s">
        <v>1984</v>
      </c>
      <c r="B1538" s="111" t="s">
        <v>2621</v>
      </c>
      <c r="C1538" s="112" t="s">
        <v>2432</v>
      </c>
      <c r="O1538" s="121" t="s">
        <v>413</v>
      </c>
      <c r="P1538" s="184">
        <v>1793869</v>
      </c>
      <c r="Q1538" s="200" t="s">
        <v>2659</v>
      </c>
    </row>
    <row r="1539" spans="1:17" x14ac:dyDescent="0.3">
      <c r="A1539" s="109" t="s">
        <v>527</v>
      </c>
      <c r="B1539" s="111" t="s">
        <v>2433</v>
      </c>
      <c r="C1539" s="112" t="s">
        <v>2434</v>
      </c>
      <c r="O1539" s="143"/>
    </row>
    <row r="1540" spans="1:17" ht="22.5" x14ac:dyDescent="0.3">
      <c r="A1540" s="109" t="s">
        <v>1659</v>
      </c>
      <c r="B1540" s="111" t="s">
        <v>2436</v>
      </c>
      <c r="C1540" s="112" t="s">
        <v>2437</v>
      </c>
      <c r="O1540" s="142" t="s">
        <v>2516</v>
      </c>
    </row>
    <row r="1541" spans="1:17" x14ac:dyDescent="0.3">
      <c r="A1541" s="109" t="s">
        <v>1987</v>
      </c>
      <c r="B1541" s="111" t="s">
        <v>2660</v>
      </c>
      <c r="C1541" s="112" t="s">
        <v>2625</v>
      </c>
      <c r="O1541" s="106" t="s">
        <v>763</v>
      </c>
      <c r="P1541" s="107" t="s">
        <v>820</v>
      </c>
      <c r="Q1541" s="108" t="s">
        <v>787</v>
      </c>
    </row>
    <row r="1542" spans="1:17" x14ac:dyDescent="0.3">
      <c r="A1542" s="109" t="s">
        <v>1988</v>
      </c>
      <c r="B1542" s="111" t="s">
        <v>2661</v>
      </c>
      <c r="C1542" s="112" t="s">
        <v>2662</v>
      </c>
      <c r="O1542" s="109" t="s">
        <v>1771</v>
      </c>
      <c r="P1542" s="196">
        <v>2.5499999999999998E-2</v>
      </c>
      <c r="Q1542" s="197">
        <v>2.0199999999999999E-2</v>
      </c>
    </row>
    <row r="1543" spans="1:17" x14ac:dyDescent="0.3">
      <c r="A1543" s="109" t="s">
        <v>1989</v>
      </c>
      <c r="B1543" s="111" t="s">
        <v>2628</v>
      </c>
      <c r="C1543" s="112" t="s">
        <v>2629</v>
      </c>
      <c r="O1543" s="121" t="s">
        <v>1773</v>
      </c>
      <c r="P1543" s="198">
        <v>4.1300000000000003E-2</v>
      </c>
      <c r="Q1543" s="199">
        <v>4.4999999999999998E-2</v>
      </c>
    </row>
    <row r="1544" spans="1:17" x14ac:dyDescent="0.3">
      <c r="A1544" s="109" t="s">
        <v>1991</v>
      </c>
      <c r="B1544" s="111" t="s">
        <v>2663</v>
      </c>
      <c r="C1544" s="112" t="s">
        <v>2631</v>
      </c>
      <c r="O1544" s="143"/>
    </row>
    <row r="1545" spans="1:17" ht="56.25" x14ac:dyDescent="0.3">
      <c r="A1545" s="109" t="s">
        <v>1995</v>
      </c>
      <c r="B1545" s="111" t="s">
        <v>2664</v>
      </c>
      <c r="C1545" s="112" t="s">
        <v>2665</v>
      </c>
      <c r="O1545" s="142" t="s">
        <v>2666</v>
      </c>
    </row>
    <row r="1546" spans="1:17" x14ac:dyDescent="0.3">
      <c r="A1546" s="109" t="s">
        <v>71</v>
      </c>
      <c r="B1546" s="111" t="s">
        <v>2667</v>
      </c>
      <c r="C1546" s="112" t="s">
        <v>2668</v>
      </c>
      <c r="O1546" s="143"/>
    </row>
    <row r="1547" spans="1:17" x14ac:dyDescent="0.15">
      <c r="A1547" s="146" t="s">
        <v>774</v>
      </c>
      <c r="B1547" s="123" t="s">
        <v>2669</v>
      </c>
      <c r="C1547" s="200" t="s">
        <v>2670</v>
      </c>
      <c r="O1547" s="142" t="s">
        <v>2518</v>
      </c>
    </row>
    <row r="1548" spans="1:17" x14ac:dyDescent="0.3">
      <c r="O1548" s="143"/>
    </row>
    <row r="1549" spans="1:17" ht="33.75" x14ac:dyDescent="0.3">
      <c r="O1549" s="142" t="s">
        <v>2519</v>
      </c>
    </row>
    <row r="1550" spans="1:17" x14ac:dyDescent="0.3">
      <c r="A1550" s="142" t="s">
        <v>2671</v>
      </c>
      <c r="O1550" s="1695" t="s">
        <v>826</v>
      </c>
      <c r="P1550" s="1696"/>
      <c r="Q1550" s="1697"/>
    </row>
    <row r="1551" spans="1:17" x14ac:dyDescent="0.3">
      <c r="O1551" s="161" t="s">
        <v>763</v>
      </c>
      <c r="P1551" s="134" t="s">
        <v>2416</v>
      </c>
      <c r="Q1551" s="135" t="s">
        <v>2417</v>
      </c>
    </row>
    <row r="1552" spans="1:17" x14ac:dyDescent="0.3">
      <c r="O1552" s="109" t="s">
        <v>2520</v>
      </c>
      <c r="P1552" s="117">
        <v>393808</v>
      </c>
      <c r="Q1552" s="118">
        <v>-366714</v>
      </c>
    </row>
    <row r="1553" spans="1:17" x14ac:dyDescent="0.3">
      <c r="A1553" s="143"/>
      <c r="O1553" s="121" t="s">
        <v>2522</v>
      </c>
      <c r="P1553" s="130">
        <v>-370150</v>
      </c>
      <c r="Q1553" s="131">
        <v>401796</v>
      </c>
    </row>
    <row r="1554" spans="1:17" x14ac:dyDescent="0.3">
      <c r="A1554" s="142" t="s">
        <v>2672</v>
      </c>
      <c r="O1554" s="143"/>
    </row>
    <row r="1555" spans="1:17" ht="33.75" x14ac:dyDescent="0.3">
      <c r="A1555" s="1695" t="s">
        <v>826</v>
      </c>
      <c r="B1555" s="1696"/>
      <c r="C1555" s="1697"/>
      <c r="O1555" s="142" t="s">
        <v>2526</v>
      </c>
    </row>
    <row r="1556" spans="1:17" x14ac:dyDescent="0.3">
      <c r="A1556" s="161" t="s">
        <v>788</v>
      </c>
      <c r="B1556" s="134" t="s">
        <v>789</v>
      </c>
      <c r="C1556" s="135" t="s">
        <v>843</v>
      </c>
    </row>
    <row r="1557" spans="1:17" x14ac:dyDescent="0.3">
      <c r="A1557" s="114" t="s">
        <v>2069</v>
      </c>
      <c r="B1557" s="115" t="s">
        <v>2673</v>
      </c>
      <c r="C1557" s="116" t="s">
        <v>2674</v>
      </c>
    </row>
    <row r="1558" spans="1:17" x14ac:dyDescent="0.3">
      <c r="A1558" s="114" t="s">
        <v>2072</v>
      </c>
      <c r="B1558" s="115" t="s">
        <v>2675</v>
      </c>
      <c r="C1558" s="116" t="s">
        <v>2676</v>
      </c>
      <c r="O1558" s="142" t="s">
        <v>2677</v>
      </c>
    </row>
    <row r="1559" spans="1:17" x14ac:dyDescent="0.3">
      <c r="A1559" s="146" t="s">
        <v>774</v>
      </c>
      <c r="B1559" s="136" t="s">
        <v>2678</v>
      </c>
      <c r="C1559" s="137" t="s">
        <v>2679</v>
      </c>
      <c r="O1559" s="143"/>
    </row>
    <row r="1560" spans="1:17" ht="22.5" x14ac:dyDescent="0.3">
      <c r="O1560" s="142" t="s">
        <v>2680</v>
      </c>
    </row>
    <row r="1561" spans="1:17" x14ac:dyDescent="0.3">
      <c r="A1561" s="142" t="s">
        <v>2681</v>
      </c>
      <c r="O1561" s="128"/>
    </row>
    <row r="1562" spans="1:17" x14ac:dyDescent="0.3">
      <c r="A1562" s="1695" t="s">
        <v>826</v>
      </c>
      <c r="B1562" s="1696"/>
      <c r="C1562" s="1697"/>
      <c r="O1562" s="128"/>
    </row>
    <row r="1563" spans="1:17" x14ac:dyDescent="0.3">
      <c r="A1563" s="161" t="s">
        <v>788</v>
      </c>
      <c r="B1563" s="134" t="s">
        <v>789</v>
      </c>
      <c r="C1563" s="135" t="s">
        <v>843</v>
      </c>
      <c r="O1563" s="1695" t="s">
        <v>826</v>
      </c>
      <c r="P1563" s="1696"/>
      <c r="Q1563" s="1697"/>
    </row>
    <row r="1564" spans="1:17" x14ac:dyDescent="0.3">
      <c r="A1564" s="114" t="s">
        <v>2095</v>
      </c>
      <c r="B1564" s="115" t="s">
        <v>1420</v>
      </c>
      <c r="C1564" s="116" t="s">
        <v>2682</v>
      </c>
      <c r="O1564" s="161" t="s">
        <v>977</v>
      </c>
      <c r="P1564" s="134" t="s">
        <v>820</v>
      </c>
      <c r="Q1564" s="135" t="s">
        <v>787</v>
      </c>
    </row>
    <row r="1565" spans="1:17" x14ac:dyDescent="0.3">
      <c r="A1565" s="114" t="s">
        <v>2098</v>
      </c>
      <c r="B1565" s="115" t="s">
        <v>2683</v>
      </c>
      <c r="C1565" s="116" t="s">
        <v>2684</v>
      </c>
      <c r="O1565" s="109" t="s">
        <v>1785</v>
      </c>
      <c r="P1565" s="111" t="s">
        <v>1786</v>
      </c>
      <c r="Q1565" s="112" t="s">
        <v>1786</v>
      </c>
    </row>
    <row r="1566" spans="1:17" x14ac:dyDescent="0.3">
      <c r="A1566" s="114" t="s">
        <v>2100</v>
      </c>
      <c r="B1566" s="115" t="s">
        <v>2685</v>
      </c>
      <c r="C1566" s="116" t="s">
        <v>2686</v>
      </c>
      <c r="O1566" s="109" t="s">
        <v>1791</v>
      </c>
      <c r="P1566" s="111" t="s">
        <v>1792</v>
      </c>
      <c r="Q1566" s="112" t="s">
        <v>1792</v>
      </c>
    </row>
    <row r="1567" spans="1:17" x14ac:dyDescent="0.3">
      <c r="A1567" s="114" t="s">
        <v>2104</v>
      </c>
      <c r="B1567" s="115" t="s">
        <v>2687</v>
      </c>
      <c r="C1567" s="116" t="s">
        <v>2688</v>
      </c>
      <c r="O1567" s="109" t="s">
        <v>1796</v>
      </c>
      <c r="P1567" s="111" t="s">
        <v>1797</v>
      </c>
      <c r="Q1567" s="112" t="s">
        <v>1797</v>
      </c>
    </row>
    <row r="1568" spans="1:17" x14ac:dyDescent="0.15">
      <c r="A1568" s="114" t="s">
        <v>2102</v>
      </c>
      <c r="B1568" s="115" t="s">
        <v>2689</v>
      </c>
      <c r="C1568" s="116" t="s">
        <v>2690</v>
      </c>
      <c r="O1568" s="121" t="s">
        <v>1801</v>
      </c>
      <c r="P1568" s="130">
        <v>28429924</v>
      </c>
      <c r="Q1568" s="182">
        <v>28429924</v>
      </c>
    </row>
    <row r="1569" spans="1:18" x14ac:dyDescent="0.3">
      <c r="A1569" s="114" t="s">
        <v>2105</v>
      </c>
      <c r="B1569" s="115" t="s">
        <v>2691</v>
      </c>
      <c r="C1569" s="116" t="s">
        <v>1420</v>
      </c>
      <c r="O1569" s="143"/>
    </row>
    <row r="1570" spans="1:18" ht="22.5" x14ac:dyDescent="0.3">
      <c r="A1570" s="146" t="s">
        <v>2107</v>
      </c>
      <c r="B1570" s="136" t="s">
        <v>2692</v>
      </c>
      <c r="C1570" s="137" t="s">
        <v>2693</v>
      </c>
      <c r="O1570" s="142" t="s">
        <v>2694</v>
      </c>
    </row>
    <row r="1571" spans="1:18" x14ac:dyDescent="0.3">
      <c r="O1571" s="1695" t="s">
        <v>2695</v>
      </c>
      <c r="P1571" s="1696"/>
      <c r="Q1571" s="1696"/>
      <c r="R1571" s="1697"/>
    </row>
    <row r="1572" spans="1:18" x14ac:dyDescent="0.3">
      <c r="O1572" s="161" t="s">
        <v>763</v>
      </c>
      <c r="P1572" s="134" t="s">
        <v>1813</v>
      </c>
      <c r="Q1572" s="134" t="s">
        <v>493</v>
      </c>
      <c r="R1572" s="135" t="s">
        <v>1814</v>
      </c>
    </row>
    <row r="1573" spans="1:18" x14ac:dyDescent="0.3">
      <c r="A1573" s="142" t="s">
        <v>2696</v>
      </c>
      <c r="O1573" s="1712" t="s">
        <v>1682</v>
      </c>
      <c r="P1573" s="1713"/>
      <c r="Q1573" s="1713"/>
      <c r="R1573" s="1714"/>
    </row>
    <row r="1574" spans="1:18" x14ac:dyDescent="0.3">
      <c r="A1574" s="143"/>
      <c r="O1574" s="109" t="s">
        <v>2534</v>
      </c>
      <c r="P1574" s="111" t="s">
        <v>1797</v>
      </c>
      <c r="Q1574" s="117">
        <v>28429924</v>
      </c>
      <c r="R1574" s="118">
        <v>177997002</v>
      </c>
    </row>
    <row r="1575" spans="1:18" ht="22.5" x14ac:dyDescent="0.15">
      <c r="A1575" s="142" t="s">
        <v>2697</v>
      </c>
      <c r="O1575" s="109" t="s">
        <v>2542</v>
      </c>
      <c r="P1575" s="111" t="s">
        <v>1797</v>
      </c>
      <c r="Q1575" s="183">
        <v>28429924</v>
      </c>
      <c r="R1575" s="180">
        <v>177997002</v>
      </c>
    </row>
    <row r="1576" spans="1:18" x14ac:dyDescent="0.3">
      <c r="A1576" s="128"/>
      <c r="O1576" s="1712" t="s">
        <v>1669</v>
      </c>
      <c r="P1576" s="1713"/>
      <c r="Q1576" s="1713"/>
      <c r="R1576" s="1714"/>
    </row>
    <row r="1577" spans="1:18" x14ac:dyDescent="0.3">
      <c r="A1577" s="128"/>
      <c r="O1577" s="109" t="s">
        <v>1816</v>
      </c>
      <c r="P1577" s="111" t="s">
        <v>1797</v>
      </c>
      <c r="Q1577" s="117">
        <v>28429924</v>
      </c>
      <c r="R1577" s="118">
        <v>177997002</v>
      </c>
    </row>
    <row r="1578" spans="1:18" x14ac:dyDescent="0.15">
      <c r="A1578" s="1695" t="s">
        <v>826</v>
      </c>
      <c r="B1578" s="1696"/>
      <c r="C1578" s="1697"/>
      <c r="O1578" s="121" t="s">
        <v>1818</v>
      </c>
      <c r="P1578" s="123" t="s">
        <v>1797</v>
      </c>
      <c r="Q1578" s="184">
        <v>28429924</v>
      </c>
      <c r="R1578" s="182">
        <v>177997002</v>
      </c>
    </row>
    <row r="1579" spans="1:18" x14ac:dyDescent="0.3">
      <c r="A1579" s="161" t="s">
        <v>788</v>
      </c>
      <c r="B1579" s="134" t="s">
        <v>789</v>
      </c>
      <c r="C1579" s="135" t="s">
        <v>843</v>
      </c>
      <c r="O1579" s="143"/>
    </row>
    <row r="1580" spans="1:18" x14ac:dyDescent="0.3">
      <c r="A1580" s="109" t="s">
        <v>2698</v>
      </c>
      <c r="B1580" s="111"/>
      <c r="C1580" s="112"/>
      <c r="O1580" s="142" t="s">
        <v>2546</v>
      </c>
    </row>
    <row r="1581" spans="1:18" x14ac:dyDescent="0.3">
      <c r="A1581" s="109" t="s">
        <v>2699</v>
      </c>
      <c r="B1581" s="111" t="s">
        <v>2700</v>
      </c>
      <c r="C1581" s="112" t="s">
        <v>2701</v>
      </c>
      <c r="O1581" s="143"/>
    </row>
    <row r="1582" spans="1:18" x14ac:dyDescent="0.3">
      <c r="A1582" s="114" t="s">
        <v>2702</v>
      </c>
      <c r="B1582" s="111"/>
      <c r="C1582" s="112"/>
      <c r="O1582" s="142" t="s">
        <v>2547</v>
      </c>
    </row>
    <row r="1583" spans="1:18" x14ac:dyDescent="0.3">
      <c r="A1583" s="114" t="s">
        <v>2703</v>
      </c>
      <c r="B1583" s="117">
        <v>-1983528</v>
      </c>
      <c r="C1583" s="118">
        <v>-238527</v>
      </c>
      <c r="O1583" s="1695" t="s">
        <v>826</v>
      </c>
      <c r="P1583" s="1696"/>
      <c r="Q1583" s="1697"/>
    </row>
    <row r="1584" spans="1:18" x14ac:dyDescent="0.3">
      <c r="A1584" s="125" t="s">
        <v>2704</v>
      </c>
      <c r="B1584" s="130">
        <v>-1980323</v>
      </c>
      <c r="C1584" s="124" t="s">
        <v>2705</v>
      </c>
      <c r="O1584" s="161" t="s">
        <v>763</v>
      </c>
      <c r="P1584" s="134" t="s">
        <v>820</v>
      </c>
      <c r="Q1584" s="135" t="s">
        <v>787</v>
      </c>
    </row>
    <row r="1585" spans="1:17" x14ac:dyDescent="0.3">
      <c r="A1585" s="143"/>
      <c r="O1585" s="109" t="s">
        <v>1814</v>
      </c>
      <c r="P1585" s="117">
        <v>177997002</v>
      </c>
      <c r="Q1585" s="118">
        <v>177997002</v>
      </c>
    </row>
    <row r="1586" spans="1:17" ht="90" x14ac:dyDescent="0.3">
      <c r="A1586" s="142" t="s">
        <v>2706</v>
      </c>
      <c r="O1586" s="109" t="s">
        <v>1840</v>
      </c>
      <c r="P1586" s="117">
        <v>746991</v>
      </c>
      <c r="Q1586" s="118">
        <v>562576</v>
      </c>
    </row>
    <row r="1587" spans="1:17" x14ac:dyDescent="0.15">
      <c r="A1587" s="143"/>
      <c r="O1587" s="146" t="s">
        <v>774</v>
      </c>
      <c r="P1587" s="130">
        <v>178743993</v>
      </c>
      <c r="Q1587" s="182">
        <v>178559578</v>
      </c>
    </row>
    <row r="1588" spans="1:17" ht="22.5" x14ac:dyDescent="0.3">
      <c r="A1588" s="142" t="s">
        <v>2707</v>
      </c>
      <c r="O1588" s="143"/>
    </row>
    <row r="1589" spans="1:17" x14ac:dyDescent="0.3">
      <c r="A1589" s="1695" t="s">
        <v>826</v>
      </c>
      <c r="B1589" s="1696"/>
      <c r="C1589" s="1697"/>
      <c r="O1589" s="143"/>
    </row>
    <row r="1590" spans="1:17" x14ac:dyDescent="0.3">
      <c r="A1590" s="161" t="s">
        <v>788</v>
      </c>
      <c r="B1590" s="134" t="s">
        <v>820</v>
      </c>
      <c r="C1590" s="135" t="s">
        <v>787</v>
      </c>
      <c r="O1590" s="142" t="s">
        <v>2708</v>
      </c>
    </row>
    <row r="1591" spans="1:17" x14ac:dyDescent="0.3">
      <c r="A1591" s="1703" t="s">
        <v>2709</v>
      </c>
      <c r="B1591" s="1704"/>
      <c r="C1591" s="1727"/>
      <c r="O1591" s="143"/>
    </row>
    <row r="1592" spans="1:17" x14ac:dyDescent="0.3">
      <c r="A1592" s="114" t="s">
        <v>1013</v>
      </c>
      <c r="B1592" s="115" t="s">
        <v>2710</v>
      </c>
      <c r="C1592" s="116" t="s">
        <v>2711</v>
      </c>
      <c r="O1592" s="142" t="s">
        <v>2712</v>
      </c>
    </row>
    <row r="1593" spans="1:17" x14ac:dyDescent="0.3">
      <c r="A1593" s="162" t="s">
        <v>980</v>
      </c>
      <c r="B1593" s="115" t="s">
        <v>2710</v>
      </c>
      <c r="C1593" s="116" t="s">
        <v>2711</v>
      </c>
      <c r="O1593" s="1695" t="s">
        <v>826</v>
      </c>
      <c r="P1593" s="1696"/>
      <c r="Q1593" s="1697"/>
    </row>
    <row r="1594" spans="1:17" x14ac:dyDescent="0.3">
      <c r="A1594" s="1703" t="s">
        <v>2713</v>
      </c>
      <c r="B1594" s="1704"/>
      <c r="C1594" s="1727"/>
      <c r="O1594" s="161" t="s">
        <v>763</v>
      </c>
      <c r="P1594" s="134" t="s">
        <v>820</v>
      </c>
      <c r="Q1594" s="135" t="s">
        <v>787</v>
      </c>
    </row>
    <row r="1595" spans="1:17" x14ac:dyDescent="0.3">
      <c r="A1595" s="114" t="s">
        <v>2714</v>
      </c>
      <c r="B1595" s="119">
        <v>-6587097</v>
      </c>
      <c r="C1595" s="120">
        <v>-3480647</v>
      </c>
      <c r="O1595" s="114" t="s">
        <v>1845</v>
      </c>
      <c r="P1595" s="117">
        <v>-1292040</v>
      </c>
      <c r="Q1595" s="118">
        <v>-1292040</v>
      </c>
    </row>
    <row r="1596" spans="1:17" x14ac:dyDescent="0.3">
      <c r="A1596" s="114" t="s">
        <v>1013</v>
      </c>
      <c r="B1596" s="119">
        <v>-14681270</v>
      </c>
      <c r="C1596" s="120">
        <v>-13694976</v>
      </c>
      <c r="O1596" s="114" t="s">
        <v>790</v>
      </c>
      <c r="P1596" s="117">
        <v>-4240</v>
      </c>
      <c r="Q1596" s="118">
        <v>-4240</v>
      </c>
    </row>
    <row r="1597" spans="1:17" x14ac:dyDescent="0.3">
      <c r="A1597" s="162" t="s">
        <v>980</v>
      </c>
      <c r="B1597" s="119">
        <v>-21268367</v>
      </c>
      <c r="C1597" s="120">
        <v>-17175623</v>
      </c>
      <c r="O1597" s="114" t="s">
        <v>2555</v>
      </c>
      <c r="P1597" s="117">
        <v>1444251</v>
      </c>
      <c r="Q1597" s="118">
        <v>1298944</v>
      </c>
    </row>
    <row r="1598" spans="1:17" x14ac:dyDescent="0.3">
      <c r="A1598" s="162" t="s">
        <v>774</v>
      </c>
      <c r="B1598" s="115" t="s">
        <v>1420</v>
      </c>
      <c r="C1598" s="116" t="s">
        <v>2715</v>
      </c>
      <c r="O1598" s="114" t="s">
        <v>1858</v>
      </c>
      <c r="P1598" s="117">
        <v>2268616</v>
      </c>
      <c r="Q1598" s="118">
        <v>2418521</v>
      </c>
    </row>
    <row r="1599" spans="1:17" x14ac:dyDescent="0.3">
      <c r="A1599" s="114" t="s">
        <v>2716</v>
      </c>
      <c r="B1599" s="115" t="s">
        <v>1420</v>
      </c>
      <c r="C1599" s="116" t="s">
        <v>2715</v>
      </c>
      <c r="O1599" s="114" t="s">
        <v>1861</v>
      </c>
      <c r="P1599" s="117">
        <v>-2731869</v>
      </c>
      <c r="Q1599" s="118">
        <v>-2731869</v>
      </c>
    </row>
    <row r="1600" spans="1:17" x14ac:dyDescent="0.3">
      <c r="A1600" s="125" t="s">
        <v>2717</v>
      </c>
      <c r="B1600" s="136" t="s">
        <v>1420</v>
      </c>
      <c r="C1600" s="137" t="s">
        <v>2718</v>
      </c>
      <c r="O1600" s="146" t="s">
        <v>774</v>
      </c>
      <c r="P1600" s="130">
        <v>-315282</v>
      </c>
      <c r="Q1600" s="127">
        <v>-310684</v>
      </c>
    </row>
    <row r="1601" spans="1:20" ht="22.5" x14ac:dyDescent="0.3">
      <c r="A1601" s="142" t="s">
        <v>2719</v>
      </c>
      <c r="O1601" s="143"/>
    </row>
    <row r="1602" spans="1:20" ht="22.5" x14ac:dyDescent="0.3">
      <c r="A1602" s="142" t="s">
        <v>2720</v>
      </c>
      <c r="O1602" s="142" t="s">
        <v>2721</v>
      </c>
    </row>
    <row r="1603" spans="1:20" x14ac:dyDescent="0.3">
      <c r="A1603" s="143"/>
      <c r="O1603" s="143"/>
    </row>
    <row r="1604" spans="1:20" ht="22.5" x14ac:dyDescent="0.3">
      <c r="A1604" s="142" t="s">
        <v>2722</v>
      </c>
      <c r="O1604" s="142" t="s">
        <v>2723</v>
      </c>
    </row>
    <row r="1605" spans="1:20" x14ac:dyDescent="0.15">
      <c r="A1605" s="1728" t="s">
        <v>826</v>
      </c>
      <c r="B1605" s="1729"/>
      <c r="C1605" s="1729"/>
      <c r="D1605" s="1730"/>
      <c r="O1605" s="1695" t="s">
        <v>2724</v>
      </c>
      <c r="P1605" s="1696"/>
      <c r="Q1605" s="1696"/>
      <c r="R1605" s="1696"/>
      <c r="S1605" s="1697"/>
    </row>
    <row r="1606" spans="1:20" x14ac:dyDescent="0.15">
      <c r="A1606" s="161" t="s">
        <v>2725</v>
      </c>
      <c r="B1606" s="210" t="s">
        <v>2726</v>
      </c>
      <c r="C1606" s="210" t="s">
        <v>1878</v>
      </c>
      <c r="D1606" s="149" t="s">
        <v>2727</v>
      </c>
      <c r="O1606" s="1698" t="s">
        <v>1237</v>
      </c>
      <c r="P1606" s="1699" t="s">
        <v>789</v>
      </c>
      <c r="Q1606" s="1701"/>
      <c r="R1606" s="1699" t="s">
        <v>843</v>
      </c>
      <c r="S1606" s="1702"/>
    </row>
    <row r="1607" spans="1:20" x14ac:dyDescent="0.3">
      <c r="A1607" s="1712" t="s">
        <v>2713</v>
      </c>
      <c r="B1607" s="1741"/>
      <c r="C1607" s="111" t="s">
        <v>2728</v>
      </c>
      <c r="D1607" s="171" t="s">
        <v>199</v>
      </c>
      <c r="O1607" s="1690"/>
      <c r="P1607" s="134" t="s">
        <v>1813</v>
      </c>
      <c r="Q1607" s="134" t="s">
        <v>1878</v>
      </c>
      <c r="R1607" s="134" t="s">
        <v>1813</v>
      </c>
      <c r="S1607" s="135" t="s">
        <v>1878</v>
      </c>
    </row>
    <row r="1608" spans="1:20" x14ac:dyDescent="0.3">
      <c r="A1608" s="1712" t="s">
        <v>2729</v>
      </c>
      <c r="B1608" s="1741"/>
      <c r="C1608" s="111" t="s">
        <v>2730</v>
      </c>
      <c r="D1608" s="171" t="s">
        <v>199</v>
      </c>
      <c r="O1608" s="162" t="s">
        <v>1120</v>
      </c>
      <c r="P1608" s="111">
        <v>800</v>
      </c>
      <c r="Q1608" s="117">
        <v>4240</v>
      </c>
      <c r="R1608" s="111">
        <v>800</v>
      </c>
      <c r="S1608" s="118">
        <v>4240</v>
      </c>
    </row>
    <row r="1609" spans="1:20" x14ac:dyDescent="0.3">
      <c r="A1609" s="1720" t="s">
        <v>2731</v>
      </c>
      <c r="B1609" s="150" t="s">
        <v>2732</v>
      </c>
      <c r="C1609" s="111" t="s">
        <v>2733</v>
      </c>
      <c r="D1609" s="186" t="s">
        <v>2351</v>
      </c>
      <c r="O1609" s="146" t="s">
        <v>1127</v>
      </c>
      <c r="P1609" s="123">
        <v>800</v>
      </c>
      <c r="Q1609" s="130">
        <v>4240</v>
      </c>
      <c r="R1609" s="123">
        <v>800</v>
      </c>
      <c r="S1609" s="131">
        <v>4240</v>
      </c>
    </row>
    <row r="1610" spans="1:20" x14ac:dyDescent="0.3">
      <c r="A1610" s="1721"/>
      <c r="B1610" s="150" t="s">
        <v>2734</v>
      </c>
      <c r="C1610" s="111" t="s">
        <v>2735</v>
      </c>
      <c r="D1610" s="186" t="s">
        <v>2352</v>
      </c>
    </row>
    <row r="1611" spans="1:20" x14ac:dyDescent="0.3">
      <c r="A1611" s="1721"/>
      <c r="B1611" s="150" t="s">
        <v>2736</v>
      </c>
      <c r="C1611" s="111" t="s">
        <v>2737</v>
      </c>
      <c r="D1611" s="186" t="s">
        <v>2738</v>
      </c>
    </row>
    <row r="1612" spans="1:20" x14ac:dyDescent="0.3">
      <c r="A1612" s="1721"/>
      <c r="B1612" s="150" t="s">
        <v>2739</v>
      </c>
      <c r="C1612" s="111" t="s">
        <v>2740</v>
      </c>
      <c r="D1612" s="186" t="s">
        <v>2741</v>
      </c>
      <c r="O1612" s="142" t="s">
        <v>2742</v>
      </c>
    </row>
    <row r="1613" spans="1:20" x14ac:dyDescent="0.3">
      <c r="A1613" s="1721"/>
      <c r="B1613" s="150" t="s">
        <v>2743</v>
      </c>
      <c r="C1613" s="111" t="s">
        <v>2744</v>
      </c>
      <c r="D1613" s="186" t="s">
        <v>2745</v>
      </c>
      <c r="O1613" s="143"/>
    </row>
    <row r="1614" spans="1:20" ht="22.5" x14ac:dyDescent="0.3">
      <c r="A1614" s="1721"/>
      <c r="B1614" s="150" t="s">
        <v>2746</v>
      </c>
      <c r="C1614" s="111" t="s">
        <v>2747</v>
      </c>
      <c r="D1614" s="186" t="s">
        <v>2748</v>
      </c>
      <c r="O1614" s="142" t="s">
        <v>2749</v>
      </c>
    </row>
    <row r="1615" spans="1:20" x14ac:dyDescent="0.3">
      <c r="A1615" s="1721"/>
      <c r="B1615" s="150" t="s">
        <v>2750</v>
      </c>
      <c r="C1615" s="111" t="s">
        <v>2751</v>
      </c>
      <c r="D1615" s="186" t="s">
        <v>2752</v>
      </c>
      <c r="O1615" s="1688" t="s">
        <v>2753</v>
      </c>
      <c r="P1615" s="140" t="s">
        <v>2754</v>
      </c>
      <c r="Q1615" s="133" t="s">
        <v>2755</v>
      </c>
      <c r="R1615" s="1688" t="s">
        <v>2756</v>
      </c>
      <c r="S1615" s="140" t="s">
        <v>2757</v>
      </c>
      <c r="T1615" s="133" t="s">
        <v>2755</v>
      </c>
    </row>
    <row r="1616" spans="1:20" x14ac:dyDescent="0.3">
      <c r="A1616" s="1721"/>
      <c r="B1616" s="150" t="s">
        <v>2758</v>
      </c>
      <c r="C1616" s="111" t="s">
        <v>2759</v>
      </c>
      <c r="D1616" s="186" t="s">
        <v>2760</v>
      </c>
      <c r="O1616" s="1688"/>
      <c r="P1616" s="140" t="s">
        <v>2761</v>
      </c>
      <c r="Q1616" s="133" t="s">
        <v>2762</v>
      </c>
      <c r="R1616" s="1688"/>
      <c r="S1616" s="140" t="s">
        <v>2763</v>
      </c>
      <c r="T1616" s="133" t="s">
        <v>2762</v>
      </c>
    </row>
    <row r="1617" spans="1:20" x14ac:dyDescent="0.3">
      <c r="A1617" s="1721"/>
      <c r="B1617" s="150" t="s">
        <v>2764</v>
      </c>
      <c r="C1617" s="111" t="s">
        <v>2765</v>
      </c>
      <c r="D1617" s="186" t="s">
        <v>2766</v>
      </c>
      <c r="O1617" s="140" t="s">
        <v>2767</v>
      </c>
      <c r="P1617" s="140" t="s">
        <v>2768</v>
      </c>
      <c r="Q1617" s="140"/>
      <c r="R1617" s="140" t="s">
        <v>2769</v>
      </c>
      <c r="S1617" s="140" t="s">
        <v>2770</v>
      </c>
      <c r="T1617" s="140"/>
    </row>
    <row r="1618" spans="1:20" x14ac:dyDescent="0.3">
      <c r="A1618" s="1721"/>
      <c r="B1618" s="150" t="s">
        <v>2771</v>
      </c>
      <c r="C1618" s="111" t="s">
        <v>2772</v>
      </c>
      <c r="D1618" s="186" t="s">
        <v>2773</v>
      </c>
      <c r="O1618" s="1695" t="s">
        <v>826</v>
      </c>
      <c r="P1618" s="1696"/>
      <c r="Q1618" s="1696"/>
      <c r="R1618" s="1696"/>
      <c r="S1618" s="1697"/>
    </row>
    <row r="1619" spans="1:20" x14ac:dyDescent="0.3">
      <c r="A1619" s="1734"/>
      <c r="B1619" s="150" t="s">
        <v>2478</v>
      </c>
      <c r="C1619" s="111" t="s">
        <v>2774</v>
      </c>
      <c r="D1619" s="112"/>
      <c r="O1619" s="161" t="s">
        <v>977</v>
      </c>
      <c r="P1619" s="1699" t="s">
        <v>264</v>
      </c>
      <c r="Q1619" s="1701"/>
      <c r="R1619" s="1699" t="s">
        <v>265</v>
      </c>
      <c r="S1619" s="1702"/>
    </row>
    <row r="1620" spans="1:20" x14ac:dyDescent="0.3">
      <c r="A1620" s="1720" t="s">
        <v>2775</v>
      </c>
      <c r="B1620" s="150" t="s">
        <v>2743</v>
      </c>
      <c r="C1620" s="111" t="s">
        <v>2776</v>
      </c>
      <c r="D1620" s="171" t="s">
        <v>2745</v>
      </c>
      <c r="O1620" s="109" t="s">
        <v>2570</v>
      </c>
      <c r="P1620" s="111"/>
      <c r="Q1620" s="117">
        <v>118931790</v>
      </c>
      <c r="R1620" s="111"/>
      <c r="S1620" s="118">
        <v>102792627</v>
      </c>
    </row>
    <row r="1621" spans="1:20" x14ac:dyDescent="0.3">
      <c r="A1621" s="1721"/>
      <c r="B1621" s="150" t="s">
        <v>2746</v>
      </c>
      <c r="C1621" s="111" t="s">
        <v>2777</v>
      </c>
      <c r="D1621" s="171" t="s">
        <v>2748</v>
      </c>
      <c r="O1621" s="109" t="s">
        <v>2574</v>
      </c>
      <c r="P1621" s="119">
        <v>102792627</v>
      </c>
      <c r="Q1621" s="115"/>
      <c r="R1621" s="119">
        <v>84205619</v>
      </c>
      <c r="S1621" s="116"/>
    </row>
    <row r="1622" spans="1:20" x14ac:dyDescent="0.3">
      <c r="A1622" s="1721"/>
      <c r="B1622" s="150" t="s">
        <v>2750</v>
      </c>
      <c r="C1622" s="111" t="s">
        <v>2778</v>
      </c>
      <c r="D1622" s="171" t="s">
        <v>2752</v>
      </c>
      <c r="O1622" s="109" t="s">
        <v>2578</v>
      </c>
      <c r="P1622" s="117">
        <v>238909</v>
      </c>
      <c r="Q1622" s="111"/>
      <c r="R1622" s="117">
        <v>38585</v>
      </c>
      <c r="S1622" s="112"/>
    </row>
    <row r="1623" spans="1:20" x14ac:dyDescent="0.3">
      <c r="A1623" s="1721"/>
      <c r="B1623" s="150" t="s">
        <v>2758</v>
      </c>
      <c r="C1623" s="111" t="s">
        <v>2779</v>
      </c>
      <c r="D1623" s="171" t="s">
        <v>2760</v>
      </c>
      <c r="O1623" s="109" t="s">
        <v>2581</v>
      </c>
      <c r="P1623" s="117">
        <v>15900253</v>
      </c>
      <c r="Q1623" s="111"/>
      <c r="R1623" s="117">
        <v>18548423</v>
      </c>
      <c r="S1623" s="112"/>
    </row>
    <row r="1624" spans="1:20" x14ac:dyDescent="0.3">
      <c r="A1624" s="1721"/>
      <c r="B1624" s="150" t="s">
        <v>2764</v>
      </c>
      <c r="C1624" s="111" t="s">
        <v>2780</v>
      </c>
      <c r="D1624" s="171" t="s">
        <v>2766</v>
      </c>
      <c r="O1624" s="109" t="s">
        <v>2586</v>
      </c>
      <c r="P1624" s="111"/>
      <c r="Q1624" s="117">
        <v>118931790</v>
      </c>
      <c r="R1624" s="111"/>
      <c r="S1624" s="112" t="s">
        <v>199</v>
      </c>
    </row>
    <row r="1625" spans="1:20" x14ac:dyDescent="0.3">
      <c r="A1625" s="1721"/>
      <c r="B1625" s="150" t="s">
        <v>2771</v>
      </c>
      <c r="C1625" s="111" t="s">
        <v>2781</v>
      </c>
      <c r="D1625" s="171" t="s">
        <v>2782</v>
      </c>
      <c r="O1625" s="109" t="s">
        <v>2783</v>
      </c>
      <c r="P1625" s="117">
        <v>118931790</v>
      </c>
      <c r="Q1625" s="111"/>
      <c r="R1625" s="111" t="s">
        <v>1196</v>
      </c>
      <c r="S1625" s="112"/>
    </row>
    <row r="1626" spans="1:20" x14ac:dyDescent="0.3">
      <c r="A1626" s="1722"/>
      <c r="B1626" s="153" t="s">
        <v>2478</v>
      </c>
      <c r="C1626" s="123" t="s">
        <v>2784</v>
      </c>
      <c r="D1626" s="124"/>
      <c r="O1626" s="121" t="s">
        <v>2587</v>
      </c>
      <c r="P1626" s="136"/>
      <c r="Q1626" s="136" t="s">
        <v>199</v>
      </c>
      <c r="R1626" s="136"/>
      <c r="S1626" s="127">
        <v>102792627</v>
      </c>
    </row>
    <row r="1627" spans="1:20" ht="22.5" x14ac:dyDescent="0.3">
      <c r="O1627" s="142" t="s">
        <v>2588</v>
      </c>
    </row>
    <row r="1628" spans="1:20" ht="22.5" x14ac:dyDescent="0.3">
      <c r="A1628" s="142" t="s">
        <v>2785</v>
      </c>
    </row>
    <row r="1629" spans="1:20" x14ac:dyDescent="0.3">
      <c r="A1629" s="1695" t="s">
        <v>826</v>
      </c>
      <c r="B1629" s="1696"/>
      <c r="C1629" s="1697"/>
    </row>
    <row r="1630" spans="1:20" x14ac:dyDescent="0.3">
      <c r="A1630" s="161" t="s">
        <v>2786</v>
      </c>
      <c r="B1630" s="134" t="s">
        <v>789</v>
      </c>
      <c r="C1630" s="135" t="s">
        <v>843</v>
      </c>
      <c r="O1630" s="142" t="s">
        <v>2787</v>
      </c>
    </row>
    <row r="1631" spans="1:20" x14ac:dyDescent="0.3">
      <c r="A1631" s="109" t="s">
        <v>1422</v>
      </c>
      <c r="B1631" s="117">
        <v>-25048195</v>
      </c>
      <c r="C1631" s="118">
        <v>-47935284</v>
      </c>
      <c r="O1631" s="143"/>
    </row>
    <row r="1632" spans="1:20" ht="22.5" x14ac:dyDescent="0.3">
      <c r="A1632" s="109" t="s">
        <v>2788</v>
      </c>
      <c r="B1632" s="215">
        <v>0.22</v>
      </c>
      <c r="C1632" s="216">
        <v>0.22</v>
      </c>
      <c r="O1632" s="142" t="s">
        <v>2789</v>
      </c>
    </row>
    <row r="1633" spans="1:18" x14ac:dyDescent="0.3">
      <c r="A1633" s="109" t="s">
        <v>2790</v>
      </c>
      <c r="B1633" s="117">
        <v>-5635669</v>
      </c>
      <c r="C1633" s="118">
        <v>-10379090</v>
      </c>
      <c r="O1633" s="128"/>
    </row>
    <row r="1634" spans="1:18" x14ac:dyDescent="0.3">
      <c r="A1634" s="109" t="s">
        <v>2791</v>
      </c>
      <c r="B1634" s="111"/>
      <c r="C1634" s="112"/>
      <c r="O1634" s="128"/>
    </row>
    <row r="1635" spans="1:18" x14ac:dyDescent="0.3">
      <c r="A1635" s="109" t="s">
        <v>2792</v>
      </c>
      <c r="B1635" s="111" t="s">
        <v>2793</v>
      </c>
      <c r="C1635" s="112" t="s">
        <v>2794</v>
      </c>
      <c r="O1635" s="106" t="s">
        <v>977</v>
      </c>
      <c r="P1635" s="107" t="s">
        <v>1889</v>
      </c>
      <c r="Q1635" s="107" t="s">
        <v>1890</v>
      </c>
      <c r="R1635" s="108" t="s">
        <v>1891</v>
      </c>
    </row>
    <row r="1636" spans="1:18" x14ac:dyDescent="0.3">
      <c r="A1636" s="109" t="s">
        <v>2795</v>
      </c>
      <c r="B1636" s="111" t="s">
        <v>2796</v>
      </c>
      <c r="C1636" s="112" t="s">
        <v>2797</v>
      </c>
      <c r="O1636" s="114" t="s">
        <v>1893</v>
      </c>
      <c r="P1636" s="201">
        <v>43552</v>
      </c>
      <c r="Q1636" s="201">
        <v>43552</v>
      </c>
      <c r="R1636" s="187">
        <v>43552</v>
      </c>
    </row>
    <row r="1637" spans="1:18" x14ac:dyDescent="0.3">
      <c r="A1637" s="109" t="s">
        <v>2798</v>
      </c>
      <c r="B1637" s="111" t="s">
        <v>2799</v>
      </c>
      <c r="C1637" s="112" t="s">
        <v>2800</v>
      </c>
      <c r="O1637" s="114" t="s">
        <v>1894</v>
      </c>
      <c r="P1637" s="1731" t="s">
        <v>2592</v>
      </c>
      <c r="Q1637" s="1732"/>
      <c r="R1637" s="1733"/>
    </row>
    <row r="1638" spans="1:18" x14ac:dyDescent="0.3">
      <c r="A1638" s="121" t="s">
        <v>446</v>
      </c>
      <c r="B1638" s="130">
        <v>-1980323</v>
      </c>
      <c r="C1638" s="124" t="s">
        <v>2705</v>
      </c>
      <c r="O1638" s="114" t="s">
        <v>2593</v>
      </c>
      <c r="P1638" s="1731" t="s">
        <v>1898</v>
      </c>
      <c r="Q1638" s="1732"/>
      <c r="R1638" s="1733"/>
    </row>
    <row r="1639" spans="1:18" x14ac:dyDescent="0.3">
      <c r="A1639" s="143"/>
      <c r="O1639" s="114" t="s">
        <v>2594</v>
      </c>
      <c r="P1639" s="111" t="s">
        <v>2801</v>
      </c>
      <c r="Q1639" s="115" t="s">
        <v>2802</v>
      </c>
      <c r="R1639" s="116" t="s">
        <v>2803</v>
      </c>
    </row>
    <row r="1640" spans="1:18" x14ac:dyDescent="0.3">
      <c r="A1640" s="143"/>
      <c r="O1640" s="114" t="s">
        <v>2804</v>
      </c>
      <c r="P1640" s="111" t="s">
        <v>2805</v>
      </c>
      <c r="Q1640" s="115" t="s">
        <v>2806</v>
      </c>
      <c r="R1640" s="116" t="s">
        <v>2807</v>
      </c>
    </row>
    <row r="1641" spans="1:18" x14ac:dyDescent="0.3">
      <c r="A1641" s="142" t="s">
        <v>2808</v>
      </c>
      <c r="O1641" s="114" t="s">
        <v>2809</v>
      </c>
      <c r="P1641" s="111" t="s">
        <v>2810</v>
      </c>
      <c r="Q1641" s="115" t="s">
        <v>2811</v>
      </c>
      <c r="R1641" s="116" t="s">
        <v>2812</v>
      </c>
    </row>
    <row r="1642" spans="1:18" x14ac:dyDescent="0.3">
      <c r="A1642" s="143"/>
      <c r="O1642" s="114" t="s">
        <v>1909</v>
      </c>
      <c r="P1642" s="111" t="s">
        <v>2813</v>
      </c>
      <c r="Q1642" s="115" t="s">
        <v>2813</v>
      </c>
      <c r="R1642" s="116" t="s">
        <v>2813</v>
      </c>
    </row>
    <row r="1643" spans="1:18" x14ac:dyDescent="0.3">
      <c r="A1643" s="142" t="s">
        <v>2814</v>
      </c>
      <c r="O1643" s="1720" t="s">
        <v>1917</v>
      </c>
      <c r="P1643" s="202" t="s">
        <v>2598</v>
      </c>
      <c r="Q1643" s="202" t="s">
        <v>2599</v>
      </c>
      <c r="R1643" s="188" t="s">
        <v>2600</v>
      </c>
    </row>
    <row r="1644" spans="1:18" x14ac:dyDescent="0.3">
      <c r="A1644" s="1695" t="s">
        <v>2815</v>
      </c>
      <c r="B1644" s="1696"/>
      <c r="C1644" s="1697"/>
      <c r="O1644" s="1734"/>
      <c r="P1644" s="203" t="s">
        <v>2601</v>
      </c>
      <c r="Q1644" s="203" t="s">
        <v>2602</v>
      </c>
      <c r="R1644" s="190" t="s">
        <v>2603</v>
      </c>
    </row>
    <row r="1645" spans="1:18" x14ac:dyDescent="0.3">
      <c r="A1645" s="161" t="s">
        <v>2816</v>
      </c>
      <c r="B1645" s="134" t="s">
        <v>789</v>
      </c>
      <c r="C1645" s="135" t="s">
        <v>843</v>
      </c>
      <c r="O1645" s="1720" t="s">
        <v>1928</v>
      </c>
      <c r="P1645" s="204" t="s">
        <v>1929</v>
      </c>
      <c r="Q1645" s="204" t="s">
        <v>1930</v>
      </c>
      <c r="R1645" s="174" t="s">
        <v>1931</v>
      </c>
    </row>
    <row r="1646" spans="1:18" x14ac:dyDescent="0.3">
      <c r="A1646" s="109" t="s">
        <v>2817</v>
      </c>
      <c r="B1646" s="115" t="s">
        <v>2818</v>
      </c>
      <c r="C1646" s="116" t="s">
        <v>2819</v>
      </c>
      <c r="O1646" s="1722"/>
      <c r="P1646" s="205" t="s">
        <v>1938</v>
      </c>
      <c r="Q1646" s="205" t="s">
        <v>1938</v>
      </c>
      <c r="R1646" s="176" t="s">
        <v>1938</v>
      </c>
    </row>
    <row r="1647" spans="1:18" ht="22.5" x14ac:dyDescent="0.3">
      <c r="A1647" s="109" t="s">
        <v>2133</v>
      </c>
      <c r="B1647" s="115" t="s">
        <v>2820</v>
      </c>
      <c r="C1647" s="116" t="s">
        <v>2821</v>
      </c>
      <c r="O1647" s="142" t="s">
        <v>2604</v>
      </c>
    </row>
    <row r="1648" spans="1:18" x14ac:dyDescent="0.3">
      <c r="A1648" s="121" t="s">
        <v>2822</v>
      </c>
      <c r="B1648" s="136" t="s">
        <v>2823</v>
      </c>
      <c r="C1648" s="137" t="s">
        <v>2824</v>
      </c>
    </row>
    <row r="1649" spans="1:18" ht="22.5" x14ac:dyDescent="0.3">
      <c r="O1649" s="142" t="s">
        <v>1942</v>
      </c>
    </row>
    <row r="1650" spans="1:18" x14ac:dyDescent="0.3">
      <c r="A1650" s="142" t="s">
        <v>2825</v>
      </c>
      <c r="O1650" s="1695" t="s">
        <v>976</v>
      </c>
      <c r="P1650" s="1696"/>
      <c r="Q1650" s="1697"/>
    </row>
    <row r="1651" spans="1:18" x14ac:dyDescent="0.3">
      <c r="A1651" s="1695" t="s">
        <v>2531</v>
      </c>
      <c r="B1651" s="1696"/>
      <c r="C1651" s="1697"/>
      <c r="O1651" s="161" t="s">
        <v>977</v>
      </c>
      <c r="P1651" s="134" t="s">
        <v>789</v>
      </c>
      <c r="Q1651" s="135" t="s">
        <v>843</v>
      </c>
    </row>
    <row r="1652" spans="1:18" x14ac:dyDescent="0.3">
      <c r="A1652" s="161" t="s">
        <v>2816</v>
      </c>
      <c r="B1652" s="134" t="s">
        <v>789</v>
      </c>
      <c r="C1652" s="135" t="s">
        <v>843</v>
      </c>
      <c r="O1652" s="109" t="s">
        <v>2826</v>
      </c>
      <c r="P1652" s="117">
        <v>1298944</v>
      </c>
      <c r="Q1652" s="120">
        <v>674684</v>
      </c>
    </row>
    <row r="1653" spans="1:18" x14ac:dyDescent="0.3">
      <c r="A1653" s="109" t="s">
        <v>2827</v>
      </c>
      <c r="B1653" s="115" t="s">
        <v>816</v>
      </c>
      <c r="C1653" s="116" t="s">
        <v>2535</v>
      </c>
      <c r="O1653" s="109" t="s">
        <v>2828</v>
      </c>
      <c r="P1653" s="117">
        <v>329723</v>
      </c>
      <c r="Q1653" s="120">
        <v>624260</v>
      </c>
    </row>
    <row r="1654" spans="1:18" x14ac:dyDescent="0.3">
      <c r="A1654" s="109" t="s">
        <v>541</v>
      </c>
      <c r="B1654" s="115" t="s">
        <v>1420</v>
      </c>
      <c r="C1654" s="116" t="s">
        <v>2829</v>
      </c>
      <c r="O1654" s="109" t="s">
        <v>2830</v>
      </c>
      <c r="P1654" s="117">
        <v>-184416</v>
      </c>
      <c r="Q1654" s="116" t="s">
        <v>199</v>
      </c>
    </row>
    <row r="1655" spans="1:18" x14ac:dyDescent="0.3">
      <c r="A1655" s="109" t="s">
        <v>2831</v>
      </c>
      <c r="B1655" s="115">
        <v>-800</v>
      </c>
      <c r="C1655" s="116">
        <v>-800</v>
      </c>
      <c r="O1655" s="109" t="s">
        <v>2832</v>
      </c>
      <c r="P1655" s="117">
        <v>1444251</v>
      </c>
      <c r="Q1655" s="120">
        <v>1298944</v>
      </c>
    </row>
    <row r="1656" spans="1:18" x14ac:dyDescent="0.3">
      <c r="A1656" s="121" t="s">
        <v>2833</v>
      </c>
      <c r="B1656" s="136" t="s">
        <v>2820</v>
      </c>
      <c r="C1656" s="137" t="s">
        <v>2821</v>
      </c>
      <c r="O1656" s="121" t="s">
        <v>2834</v>
      </c>
      <c r="P1656" s="130">
        <v>222415</v>
      </c>
      <c r="Q1656" s="127">
        <v>799462</v>
      </c>
    </row>
    <row r="1658" spans="1:18" ht="45" x14ac:dyDescent="0.3">
      <c r="A1658" s="142" t="s">
        <v>2835</v>
      </c>
      <c r="O1658" s="142" t="s">
        <v>1962</v>
      </c>
    </row>
    <row r="1659" spans="1:18" x14ac:dyDescent="0.3">
      <c r="O1659" s="1695" t="s">
        <v>1569</v>
      </c>
      <c r="P1659" s="1696"/>
      <c r="Q1659" s="1696"/>
      <c r="R1659" s="1697"/>
    </row>
    <row r="1660" spans="1:18" x14ac:dyDescent="0.3">
      <c r="A1660" s="142" t="s">
        <v>2836</v>
      </c>
      <c r="O1660" s="161" t="s">
        <v>977</v>
      </c>
      <c r="P1660" s="134" t="s">
        <v>1889</v>
      </c>
      <c r="Q1660" s="134" t="s">
        <v>1890</v>
      </c>
      <c r="R1660" s="135" t="s">
        <v>1891</v>
      </c>
    </row>
    <row r="1661" spans="1:18" x14ac:dyDescent="0.3">
      <c r="A1661" s="143"/>
      <c r="O1661" s="114" t="s">
        <v>1966</v>
      </c>
      <c r="P1661" s="206">
        <v>1.7299999999999999E-2</v>
      </c>
      <c r="Q1661" s="206">
        <v>1.77E-2</v>
      </c>
      <c r="R1661" s="207">
        <v>1.8200000000000001E-2</v>
      </c>
    </row>
    <row r="1662" spans="1:18" ht="33.75" x14ac:dyDescent="0.3">
      <c r="A1662" s="142" t="s">
        <v>2837</v>
      </c>
      <c r="O1662" s="114" t="s">
        <v>2611</v>
      </c>
      <c r="P1662" s="117">
        <v>8950</v>
      </c>
      <c r="Q1662" s="117">
        <v>8950</v>
      </c>
      <c r="R1662" s="118">
        <v>8950</v>
      </c>
    </row>
    <row r="1663" spans="1:18" x14ac:dyDescent="0.3">
      <c r="O1663" s="114" t="s">
        <v>1969</v>
      </c>
      <c r="P1663" s="206">
        <v>0.32340000000000002</v>
      </c>
      <c r="Q1663" s="206">
        <v>0.32340000000000002</v>
      </c>
      <c r="R1663" s="207">
        <v>0.32340000000000002</v>
      </c>
    </row>
    <row r="1664" spans="1:18" ht="22.5" x14ac:dyDescent="0.3">
      <c r="A1664" s="142" t="s">
        <v>2838</v>
      </c>
      <c r="O1664" s="114" t="s">
        <v>1971</v>
      </c>
      <c r="P1664" s="206">
        <v>0</v>
      </c>
      <c r="Q1664" s="206">
        <v>0</v>
      </c>
      <c r="R1664" s="207">
        <v>0</v>
      </c>
    </row>
    <row r="1665" spans="1:18" x14ac:dyDescent="0.3">
      <c r="A1665" s="106" t="s">
        <v>1237</v>
      </c>
      <c r="B1665" s="107" t="s">
        <v>2203</v>
      </c>
      <c r="C1665" s="108" t="s">
        <v>2839</v>
      </c>
      <c r="O1665" s="114" t="s">
        <v>1909</v>
      </c>
      <c r="P1665" s="117">
        <v>9160</v>
      </c>
      <c r="Q1665" s="117">
        <v>9160</v>
      </c>
      <c r="R1665" s="118">
        <v>9160</v>
      </c>
    </row>
    <row r="1666" spans="1:18" x14ac:dyDescent="0.3">
      <c r="A1666" s="109" t="s">
        <v>1853</v>
      </c>
      <c r="B1666" s="150" t="s">
        <v>2840</v>
      </c>
      <c r="C1666" s="217">
        <v>366679</v>
      </c>
      <c r="O1666" s="125" t="s">
        <v>1974</v>
      </c>
      <c r="P1666" s="130">
        <v>1976</v>
      </c>
      <c r="Q1666" s="130">
        <v>2189</v>
      </c>
      <c r="R1666" s="131">
        <v>2356</v>
      </c>
    </row>
    <row r="1667" spans="1:18" x14ac:dyDescent="0.3">
      <c r="A1667" s="109" t="s">
        <v>1853</v>
      </c>
      <c r="B1667" s="150" t="s">
        <v>2841</v>
      </c>
      <c r="C1667" s="217">
        <v>366672</v>
      </c>
    </row>
    <row r="1668" spans="1:18" x14ac:dyDescent="0.3">
      <c r="A1668" s="121" t="s">
        <v>1853</v>
      </c>
      <c r="B1668" s="153" t="s">
        <v>2842</v>
      </c>
      <c r="C1668" s="218">
        <v>366649</v>
      </c>
    </row>
    <row r="1669" spans="1:18" x14ac:dyDescent="0.3">
      <c r="O1669" s="142" t="s">
        <v>2843</v>
      </c>
    </row>
    <row r="1670" spans="1:18" x14ac:dyDescent="0.3">
      <c r="O1670" s="143"/>
    </row>
    <row r="1671" spans="1:18" x14ac:dyDescent="0.3">
      <c r="A1671" s="142" t="s">
        <v>2844</v>
      </c>
      <c r="O1671" s="142" t="s">
        <v>2618</v>
      </c>
    </row>
    <row r="1672" spans="1:18" x14ac:dyDescent="0.3">
      <c r="O1672" s="128"/>
    </row>
    <row r="1673" spans="1:18" x14ac:dyDescent="0.3">
      <c r="O1673" s="128"/>
    </row>
    <row r="1674" spans="1:18" x14ac:dyDescent="0.3">
      <c r="A1674" s="143"/>
      <c r="O1674" s="1695" t="s">
        <v>826</v>
      </c>
      <c r="P1674" s="1696"/>
      <c r="Q1674" s="1697"/>
    </row>
    <row r="1675" spans="1:18" ht="45" x14ac:dyDescent="0.3">
      <c r="A1675" s="142" t="s">
        <v>2845</v>
      </c>
      <c r="O1675" s="161" t="s">
        <v>763</v>
      </c>
      <c r="P1675" s="134" t="s">
        <v>789</v>
      </c>
      <c r="Q1675" s="135" t="s">
        <v>843</v>
      </c>
    </row>
    <row r="1676" spans="1:18" x14ac:dyDescent="0.3">
      <c r="O1676" s="109" t="s">
        <v>1647</v>
      </c>
      <c r="P1676" s="117">
        <v>17522853</v>
      </c>
      <c r="Q1676" s="118">
        <v>15962195</v>
      </c>
    </row>
    <row r="1677" spans="1:18" x14ac:dyDescent="0.3">
      <c r="O1677" s="109" t="s">
        <v>1984</v>
      </c>
      <c r="P1677" s="117">
        <v>1793869</v>
      </c>
      <c r="Q1677" s="112" t="s">
        <v>2621</v>
      </c>
    </row>
    <row r="1678" spans="1:18" ht="22.5" x14ac:dyDescent="0.3">
      <c r="A1678" s="142" t="s">
        <v>2846</v>
      </c>
      <c r="O1678" s="109" t="s">
        <v>527</v>
      </c>
      <c r="P1678" s="117">
        <v>329723</v>
      </c>
      <c r="Q1678" s="118">
        <v>624260</v>
      </c>
    </row>
    <row r="1679" spans="1:18" x14ac:dyDescent="0.3">
      <c r="A1679" s="143"/>
      <c r="O1679" s="109" t="s">
        <v>1659</v>
      </c>
      <c r="P1679" s="117">
        <v>4188955</v>
      </c>
      <c r="Q1679" s="118">
        <v>3367428</v>
      </c>
    </row>
    <row r="1680" spans="1:18" ht="33.75" x14ac:dyDescent="0.3">
      <c r="A1680" s="142" t="s">
        <v>2847</v>
      </c>
      <c r="O1680" s="109" t="s">
        <v>1986</v>
      </c>
      <c r="P1680" s="117">
        <v>111359</v>
      </c>
      <c r="Q1680" s="118">
        <v>160801</v>
      </c>
    </row>
    <row r="1681" spans="1:17" x14ac:dyDescent="0.3">
      <c r="O1681" s="109" t="s">
        <v>1987</v>
      </c>
      <c r="P1681" s="117">
        <v>336683</v>
      </c>
      <c r="Q1681" s="118">
        <v>388785</v>
      </c>
    </row>
    <row r="1682" spans="1:17" x14ac:dyDescent="0.3">
      <c r="O1682" s="109" t="s">
        <v>1988</v>
      </c>
      <c r="P1682" s="117">
        <v>3453432</v>
      </c>
      <c r="Q1682" s="118">
        <v>2831947</v>
      </c>
    </row>
    <row r="1683" spans="1:17" x14ac:dyDescent="0.3">
      <c r="A1683" s="142" t="s">
        <v>2848</v>
      </c>
      <c r="O1683" s="109" t="s">
        <v>1989</v>
      </c>
      <c r="P1683" s="117">
        <v>3872968</v>
      </c>
      <c r="Q1683" s="118">
        <v>6564080</v>
      </c>
    </row>
    <row r="1684" spans="1:17" x14ac:dyDescent="0.3">
      <c r="A1684" s="143"/>
      <c r="O1684" s="109" t="s">
        <v>1991</v>
      </c>
      <c r="P1684" s="117">
        <v>4609520</v>
      </c>
      <c r="Q1684" s="118">
        <v>7507088</v>
      </c>
    </row>
    <row r="1685" spans="1:17" ht="101.25" x14ac:dyDescent="0.3">
      <c r="A1685" s="142" t="s">
        <v>2849</v>
      </c>
      <c r="O1685" s="109" t="s">
        <v>1992</v>
      </c>
      <c r="P1685" s="117">
        <v>335866</v>
      </c>
      <c r="Q1685" s="118">
        <v>269516</v>
      </c>
    </row>
    <row r="1686" spans="1:17" x14ac:dyDescent="0.3">
      <c r="A1686" s="143"/>
      <c r="O1686" s="109" t="s">
        <v>1995</v>
      </c>
      <c r="P1686" s="117">
        <v>12787710</v>
      </c>
      <c r="Q1686" s="118">
        <v>12079401</v>
      </c>
    </row>
    <row r="1687" spans="1:17" x14ac:dyDescent="0.3">
      <c r="A1687" s="142" t="s">
        <v>2850</v>
      </c>
      <c r="O1687" s="109" t="s">
        <v>1996</v>
      </c>
      <c r="P1687" s="117">
        <v>2455550</v>
      </c>
      <c r="Q1687" s="118">
        <v>2152821</v>
      </c>
    </row>
    <row r="1688" spans="1:17" x14ac:dyDescent="0.3">
      <c r="O1688" s="109" t="s">
        <v>1998</v>
      </c>
      <c r="P1688" s="117">
        <v>263182</v>
      </c>
      <c r="Q1688" s="118">
        <v>221477</v>
      </c>
    </row>
    <row r="1689" spans="1:17" x14ac:dyDescent="0.3">
      <c r="O1689" s="109" t="s">
        <v>1999</v>
      </c>
      <c r="P1689" s="117">
        <v>166593</v>
      </c>
      <c r="Q1689" s="118">
        <v>211007</v>
      </c>
    </row>
    <row r="1690" spans="1:17" ht="22.5" x14ac:dyDescent="0.3">
      <c r="A1690" s="142" t="s">
        <v>2851</v>
      </c>
      <c r="O1690" s="109" t="s">
        <v>2000</v>
      </c>
      <c r="P1690" s="117">
        <v>207581</v>
      </c>
      <c r="Q1690" s="118">
        <v>165746</v>
      </c>
    </row>
    <row r="1691" spans="1:17" x14ac:dyDescent="0.3">
      <c r="A1691" s="128"/>
      <c r="O1691" s="109" t="s">
        <v>2002</v>
      </c>
      <c r="P1691" s="117">
        <v>247317</v>
      </c>
      <c r="Q1691" s="118">
        <v>261945</v>
      </c>
    </row>
    <row r="1692" spans="1:17" x14ac:dyDescent="0.3">
      <c r="A1692" s="128"/>
      <c r="O1692" s="109" t="s">
        <v>2003</v>
      </c>
      <c r="P1692" s="117">
        <v>-410162</v>
      </c>
      <c r="Q1692" s="118">
        <v>-28983</v>
      </c>
    </row>
    <row r="1693" spans="1:17" x14ac:dyDescent="0.3">
      <c r="A1693" s="106" t="s">
        <v>2245</v>
      </c>
      <c r="B1693" s="108" t="s">
        <v>2246</v>
      </c>
      <c r="O1693" s="114" t="s">
        <v>71</v>
      </c>
      <c r="P1693" s="117">
        <v>2379446</v>
      </c>
      <c r="Q1693" s="118">
        <v>2556195</v>
      </c>
    </row>
    <row r="1694" spans="1:17" x14ac:dyDescent="0.3">
      <c r="A1694" s="162" t="s">
        <v>2251</v>
      </c>
      <c r="B1694" s="167" t="s">
        <v>2252</v>
      </c>
      <c r="O1694" s="146" t="s">
        <v>774</v>
      </c>
      <c r="P1694" s="130">
        <v>54652445</v>
      </c>
      <c r="Q1694" s="131">
        <v>57012607</v>
      </c>
    </row>
    <row r="1695" spans="1:17" x14ac:dyDescent="0.3">
      <c r="A1695" s="162" t="s">
        <v>2255</v>
      </c>
      <c r="B1695" s="167" t="s">
        <v>2291</v>
      </c>
    </row>
    <row r="1696" spans="1:17" x14ac:dyDescent="0.3">
      <c r="A1696" s="162" t="s">
        <v>2852</v>
      </c>
      <c r="B1696" s="167" t="s">
        <v>2290</v>
      </c>
    </row>
    <row r="1697" spans="1:17" x14ac:dyDescent="0.3">
      <c r="A1697" s="1706" t="s">
        <v>71</v>
      </c>
      <c r="B1697" s="167" t="s">
        <v>2266</v>
      </c>
      <c r="O1697" s="142" t="s">
        <v>2853</v>
      </c>
    </row>
    <row r="1698" spans="1:17" x14ac:dyDescent="0.3">
      <c r="A1698" s="1744"/>
      <c r="B1698" s="167" t="s">
        <v>2854</v>
      </c>
      <c r="O1698" s="143"/>
    </row>
    <row r="1699" spans="1:17" x14ac:dyDescent="0.3">
      <c r="A1699" s="1708"/>
      <c r="B1699" s="168" t="s">
        <v>2855</v>
      </c>
      <c r="O1699" s="142" t="s">
        <v>2651</v>
      </c>
    </row>
    <row r="1700" spans="1:17" ht="45" x14ac:dyDescent="0.3">
      <c r="A1700" s="142" t="s">
        <v>2856</v>
      </c>
      <c r="O1700" s="128"/>
    </row>
    <row r="1701" spans="1:17" x14ac:dyDescent="0.3">
      <c r="O1701" s="128"/>
    </row>
    <row r="1702" spans="1:17" ht="22.5" x14ac:dyDescent="0.3">
      <c r="A1702" s="142" t="s">
        <v>2857</v>
      </c>
      <c r="O1702" s="1695" t="s">
        <v>826</v>
      </c>
      <c r="P1702" s="1696"/>
      <c r="Q1702" s="1697"/>
    </row>
    <row r="1703" spans="1:17" x14ac:dyDescent="0.3">
      <c r="A1703" s="143"/>
      <c r="O1703" s="161" t="s">
        <v>977</v>
      </c>
      <c r="P1703" s="134" t="s">
        <v>789</v>
      </c>
      <c r="Q1703" s="135" t="s">
        <v>843</v>
      </c>
    </row>
    <row r="1704" spans="1:17" x14ac:dyDescent="0.3">
      <c r="A1704" s="142" t="s">
        <v>840</v>
      </c>
      <c r="O1704" s="109" t="s">
        <v>2653</v>
      </c>
      <c r="P1704" s="117">
        <v>-3022246</v>
      </c>
      <c r="Q1704" s="118">
        <v>2465472</v>
      </c>
    </row>
    <row r="1705" spans="1:17" x14ac:dyDescent="0.3">
      <c r="O1705" s="109" t="s">
        <v>2656</v>
      </c>
      <c r="P1705" s="117">
        <v>39162966</v>
      </c>
      <c r="Q1705" s="118">
        <v>34834440</v>
      </c>
    </row>
    <row r="1706" spans="1:17" x14ac:dyDescent="0.3">
      <c r="A1706" s="1695" t="s">
        <v>826</v>
      </c>
      <c r="B1706" s="1696"/>
      <c r="C1706" s="1696"/>
      <c r="D1706" s="1696"/>
      <c r="E1706" s="1696"/>
      <c r="F1706" s="1697"/>
      <c r="O1706" s="109" t="s">
        <v>1647</v>
      </c>
      <c r="P1706" s="117">
        <v>19414057</v>
      </c>
      <c r="Q1706" s="118">
        <v>17525834</v>
      </c>
    </row>
    <row r="1707" spans="1:17" x14ac:dyDescent="0.3">
      <c r="A1707" s="161" t="s">
        <v>2245</v>
      </c>
      <c r="B1707" s="134" t="s">
        <v>2246</v>
      </c>
      <c r="C1707" s="134" t="s">
        <v>832</v>
      </c>
      <c r="D1707" s="134" t="s">
        <v>2286</v>
      </c>
      <c r="E1707" s="134" t="s">
        <v>2858</v>
      </c>
      <c r="F1707" s="135" t="s">
        <v>2859</v>
      </c>
      <c r="O1707" s="109" t="s">
        <v>1984</v>
      </c>
      <c r="P1707" s="117">
        <v>1793869</v>
      </c>
      <c r="Q1707" s="118">
        <v>1716898</v>
      </c>
    </row>
    <row r="1708" spans="1:17" x14ac:dyDescent="0.3">
      <c r="A1708" s="114" t="s">
        <v>2860</v>
      </c>
      <c r="B1708" s="113" t="s">
        <v>2252</v>
      </c>
      <c r="C1708" s="115" t="s">
        <v>199</v>
      </c>
      <c r="D1708" s="115" t="s">
        <v>1420</v>
      </c>
      <c r="E1708" s="115" t="s">
        <v>2861</v>
      </c>
      <c r="F1708" s="116" t="s">
        <v>2862</v>
      </c>
      <c r="O1708" s="109" t="s">
        <v>527</v>
      </c>
      <c r="P1708" s="117">
        <v>329723</v>
      </c>
      <c r="Q1708" s="118">
        <v>624260</v>
      </c>
    </row>
    <row r="1709" spans="1:17" x14ac:dyDescent="0.3">
      <c r="A1709" s="114" t="s">
        <v>2255</v>
      </c>
      <c r="B1709" s="113" t="s">
        <v>2291</v>
      </c>
      <c r="C1709" s="115" t="s">
        <v>2863</v>
      </c>
      <c r="D1709" s="115" t="s">
        <v>2864</v>
      </c>
      <c r="E1709" s="115" t="s">
        <v>1420</v>
      </c>
      <c r="F1709" s="116" t="s">
        <v>2865</v>
      </c>
      <c r="O1709" s="109" t="s">
        <v>1659</v>
      </c>
      <c r="P1709" s="117">
        <v>4188955</v>
      </c>
      <c r="Q1709" s="118">
        <v>3367428</v>
      </c>
    </row>
    <row r="1710" spans="1:17" x14ac:dyDescent="0.3">
      <c r="A1710" s="114" t="s">
        <v>2258</v>
      </c>
      <c r="B1710" s="110" t="s">
        <v>2290</v>
      </c>
      <c r="C1710" s="115" t="s">
        <v>2866</v>
      </c>
      <c r="D1710" s="115" t="s">
        <v>2867</v>
      </c>
      <c r="E1710" s="115" t="s">
        <v>1420</v>
      </c>
      <c r="F1710" s="116" t="s">
        <v>2868</v>
      </c>
      <c r="O1710" s="109" t="s">
        <v>1987</v>
      </c>
      <c r="P1710" s="117">
        <v>336683</v>
      </c>
      <c r="Q1710" s="118">
        <v>280232</v>
      </c>
    </row>
    <row r="1711" spans="1:17" x14ac:dyDescent="0.3">
      <c r="A1711" s="1720" t="s">
        <v>71</v>
      </c>
      <c r="B1711" s="113" t="s">
        <v>2315</v>
      </c>
      <c r="C1711" s="115" t="s">
        <v>2869</v>
      </c>
      <c r="D1711" s="115" t="s">
        <v>1420</v>
      </c>
      <c r="E1711" s="115" t="s">
        <v>1420</v>
      </c>
      <c r="F1711" s="116" t="s">
        <v>2870</v>
      </c>
      <c r="O1711" s="109" t="s">
        <v>1988</v>
      </c>
      <c r="P1711" s="117">
        <v>3981628</v>
      </c>
      <c r="Q1711" s="118">
        <v>3307331</v>
      </c>
    </row>
    <row r="1712" spans="1:17" x14ac:dyDescent="0.3">
      <c r="A1712" s="1721"/>
      <c r="B1712" s="113" t="s">
        <v>2292</v>
      </c>
      <c r="C1712" s="115" t="s">
        <v>2871</v>
      </c>
      <c r="D1712" s="115" t="s">
        <v>1420</v>
      </c>
      <c r="E1712" s="115" t="s">
        <v>1420</v>
      </c>
      <c r="F1712" s="116" t="s">
        <v>2872</v>
      </c>
      <c r="O1712" s="109" t="s">
        <v>1989</v>
      </c>
      <c r="P1712" s="117">
        <v>3872968</v>
      </c>
      <c r="Q1712" s="118">
        <v>6564080</v>
      </c>
    </row>
    <row r="1713" spans="1:17" x14ac:dyDescent="0.3">
      <c r="A1713" s="1721"/>
      <c r="B1713" s="113" t="s">
        <v>2873</v>
      </c>
      <c r="C1713" s="115" t="s">
        <v>1420</v>
      </c>
      <c r="D1713" s="115" t="s">
        <v>1420</v>
      </c>
      <c r="E1713" s="115" t="s">
        <v>1420</v>
      </c>
      <c r="F1713" s="116" t="s">
        <v>2874</v>
      </c>
      <c r="O1713" s="109" t="s">
        <v>1991</v>
      </c>
      <c r="P1713" s="117">
        <v>4630405</v>
      </c>
      <c r="Q1713" s="118">
        <v>7509138</v>
      </c>
    </row>
    <row r="1714" spans="1:17" x14ac:dyDescent="0.3">
      <c r="A1714" s="1721"/>
      <c r="B1714" s="113" t="s">
        <v>2293</v>
      </c>
      <c r="C1714" s="115" t="s">
        <v>2875</v>
      </c>
      <c r="D1714" s="115" t="s">
        <v>1420</v>
      </c>
      <c r="E1714" s="115" t="s">
        <v>1420</v>
      </c>
      <c r="F1714" s="116" t="s">
        <v>2876</v>
      </c>
      <c r="O1714" s="109" t="s">
        <v>2877</v>
      </c>
      <c r="P1714" s="117">
        <v>159658807</v>
      </c>
      <c r="Q1714" s="118">
        <v>156888495</v>
      </c>
    </row>
    <row r="1715" spans="1:17" x14ac:dyDescent="0.3">
      <c r="A1715" s="1721"/>
      <c r="B1715" s="113" t="s">
        <v>2878</v>
      </c>
      <c r="C1715" s="115" t="s">
        <v>1420</v>
      </c>
      <c r="D1715" s="115" t="s">
        <v>1420</v>
      </c>
      <c r="E1715" s="115" t="s">
        <v>1420</v>
      </c>
      <c r="F1715" s="116" t="s">
        <v>2879</v>
      </c>
      <c r="O1715" s="109" t="s">
        <v>71</v>
      </c>
      <c r="P1715" s="117">
        <v>14370702</v>
      </c>
      <c r="Q1715" s="118">
        <v>3134386</v>
      </c>
    </row>
    <row r="1716" spans="1:17" x14ac:dyDescent="0.15">
      <c r="A1716" s="1721"/>
      <c r="B1716" s="113" t="s">
        <v>2880</v>
      </c>
      <c r="C1716" s="115" t="s">
        <v>1420</v>
      </c>
      <c r="D1716" s="115" t="s">
        <v>1420</v>
      </c>
      <c r="E1716" s="115" t="s">
        <v>2881</v>
      </c>
      <c r="F1716" s="116" t="s">
        <v>2882</v>
      </c>
      <c r="O1716" s="146" t="s">
        <v>2883</v>
      </c>
      <c r="P1716" s="130">
        <v>239340756</v>
      </c>
      <c r="Q1716" s="182">
        <v>238217994</v>
      </c>
    </row>
    <row r="1717" spans="1:17" ht="22.5" x14ac:dyDescent="0.3">
      <c r="A1717" s="1721"/>
      <c r="B1717" s="113" t="s">
        <v>2366</v>
      </c>
      <c r="C1717" s="115" t="s">
        <v>2884</v>
      </c>
      <c r="D1717" s="115" t="s">
        <v>1420</v>
      </c>
      <c r="E1717" s="115" t="s">
        <v>1420</v>
      </c>
      <c r="F1717" s="116" t="s">
        <v>2673</v>
      </c>
      <c r="O1717" s="142" t="s">
        <v>2885</v>
      </c>
    </row>
    <row r="1718" spans="1:17" ht="22.5" x14ac:dyDescent="0.3">
      <c r="A1718" s="1721"/>
      <c r="B1718" s="113" t="s">
        <v>2294</v>
      </c>
      <c r="C1718" s="115" t="s">
        <v>2886</v>
      </c>
      <c r="D1718" s="115" t="s">
        <v>1420</v>
      </c>
      <c r="E1718" s="115" t="s">
        <v>1420</v>
      </c>
      <c r="F1718" s="116" t="s">
        <v>2887</v>
      </c>
      <c r="O1718" s="142" t="s">
        <v>2888</v>
      </c>
    </row>
    <row r="1719" spans="1:17" x14ac:dyDescent="0.3">
      <c r="A1719" s="1721"/>
      <c r="B1719" s="113" t="s">
        <v>2889</v>
      </c>
      <c r="C1719" s="115" t="s">
        <v>1420</v>
      </c>
      <c r="D1719" s="115" t="s">
        <v>1420</v>
      </c>
      <c r="E1719" s="115" t="s">
        <v>1420</v>
      </c>
      <c r="F1719" s="116" t="s">
        <v>2890</v>
      </c>
      <c r="O1719" s="143"/>
    </row>
    <row r="1720" spans="1:17" x14ac:dyDescent="0.3">
      <c r="A1720" s="1721"/>
      <c r="B1720" s="113" t="s">
        <v>2891</v>
      </c>
      <c r="C1720" s="115" t="s">
        <v>1420</v>
      </c>
      <c r="D1720" s="115" t="s">
        <v>1420</v>
      </c>
      <c r="E1720" s="115" t="s">
        <v>1420</v>
      </c>
      <c r="F1720" s="116" t="s">
        <v>2892</v>
      </c>
      <c r="O1720" s="143"/>
    </row>
    <row r="1721" spans="1:17" x14ac:dyDescent="0.3">
      <c r="A1721" s="1721"/>
      <c r="B1721" s="113" t="s">
        <v>2331</v>
      </c>
      <c r="C1721" s="115" t="s">
        <v>1420</v>
      </c>
      <c r="D1721" s="115" t="s">
        <v>1420</v>
      </c>
      <c r="E1721" s="115" t="s">
        <v>1420</v>
      </c>
      <c r="F1721" s="116" t="s">
        <v>2893</v>
      </c>
      <c r="O1721" s="142" t="s">
        <v>2894</v>
      </c>
    </row>
    <row r="1722" spans="1:17" x14ac:dyDescent="0.3">
      <c r="A1722" s="1721"/>
      <c r="B1722" s="113" t="s">
        <v>2895</v>
      </c>
      <c r="C1722" s="115" t="s">
        <v>1420</v>
      </c>
      <c r="D1722" s="115" t="s">
        <v>1420</v>
      </c>
      <c r="E1722" s="115" t="s">
        <v>1420</v>
      </c>
      <c r="F1722" s="116" t="s">
        <v>2896</v>
      </c>
    </row>
    <row r="1723" spans="1:17" x14ac:dyDescent="0.3">
      <c r="A1723" s="1721"/>
      <c r="B1723" s="113" t="s">
        <v>2295</v>
      </c>
      <c r="C1723" s="115" t="s">
        <v>2897</v>
      </c>
      <c r="D1723" s="115" t="s">
        <v>2898</v>
      </c>
      <c r="E1723" s="115" t="s">
        <v>2899</v>
      </c>
      <c r="F1723" s="116" t="s">
        <v>2900</v>
      </c>
      <c r="O1723" s="142" t="s">
        <v>2901</v>
      </c>
    </row>
    <row r="1724" spans="1:17" x14ac:dyDescent="0.3">
      <c r="A1724" s="1721"/>
      <c r="B1724" s="113" t="s">
        <v>2902</v>
      </c>
      <c r="C1724" s="115" t="s">
        <v>1420</v>
      </c>
      <c r="D1724" s="115" t="s">
        <v>2903</v>
      </c>
      <c r="E1724" s="115" t="s">
        <v>1420</v>
      </c>
      <c r="F1724" s="116" t="s">
        <v>2904</v>
      </c>
      <c r="O1724" s="128"/>
    </row>
    <row r="1725" spans="1:17" x14ac:dyDescent="0.3">
      <c r="A1725" s="1721"/>
      <c r="B1725" s="113" t="s">
        <v>2905</v>
      </c>
      <c r="C1725" s="115" t="s">
        <v>2906</v>
      </c>
      <c r="D1725" s="115" t="s">
        <v>1420</v>
      </c>
      <c r="E1725" s="115" t="s">
        <v>1420</v>
      </c>
      <c r="F1725" s="116" t="s">
        <v>1420</v>
      </c>
      <c r="O1725" s="1752" t="s">
        <v>976</v>
      </c>
      <c r="P1725" s="1753"/>
      <c r="Q1725" s="1754"/>
    </row>
    <row r="1726" spans="1:17" x14ac:dyDescent="0.3">
      <c r="A1726" s="1721"/>
      <c r="B1726" s="113" t="s">
        <v>2907</v>
      </c>
      <c r="C1726" s="115" t="s">
        <v>2908</v>
      </c>
      <c r="D1726" s="115" t="s">
        <v>2909</v>
      </c>
      <c r="E1726" s="115" t="s">
        <v>1420</v>
      </c>
      <c r="F1726" s="116" t="s">
        <v>2910</v>
      </c>
      <c r="O1726" s="194" t="s">
        <v>977</v>
      </c>
      <c r="P1726" s="156" t="s">
        <v>789</v>
      </c>
      <c r="Q1726" s="157" t="s">
        <v>843</v>
      </c>
    </row>
    <row r="1727" spans="1:17" x14ac:dyDescent="0.3">
      <c r="A1727" s="1721"/>
      <c r="B1727" s="113" t="s">
        <v>2911</v>
      </c>
      <c r="C1727" s="115" t="s">
        <v>1420</v>
      </c>
      <c r="D1727" s="115" t="s">
        <v>2912</v>
      </c>
      <c r="E1727" s="115" t="s">
        <v>1420</v>
      </c>
      <c r="F1727" s="116" t="s">
        <v>2913</v>
      </c>
      <c r="O1727" s="114" t="s">
        <v>2024</v>
      </c>
      <c r="P1727" s="119">
        <v>709964</v>
      </c>
      <c r="Q1727" s="120">
        <v>595480</v>
      </c>
    </row>
    <row r="1728" spans="1:17" x14ac:dyDescent="0.3">
      <c r="A1728" s="1721"/>
      <c r="B1728" s="113" t="s">
        <v>2914</v>
      </c>
      <c r="C1728" s="115" t="s">
        <v>2915</v>
      </c>
      <c r="D1728" s="115" t="s">
        <v>2916</v>
      </c>
      <c r="E1728" s="115" t="s">
        <v>1420</v>
      </c>
      <c r="F1728" s="116" t="s">
        <v>2917</v>
      </c>
      <c r="O1728" s="114" t="s">
        <v>2028</v>
      </c>
      <c r="P1728" s="119">
        <v>1876593</v>
      </c>
      <c r="Q1728" s="120">
        <v>391929</v>
      </c>
    </row>
    <row r="1729" spans="1:17" x14ac:dyDescent="0.3">
      <c r="A1729" s="1721"/>
      <c r="B1729" s="113" t="s">
        <v>2918</v>
      </c>
      <c r="C1729" s="115" t="s">
        <v>1420</v>
      </c>
      <c r="D1729" s="115" t="s">
        <v>1420</v>
      </c>
      <c r="E1729" s="115" t="s">
        <v>1420</v>
      </c>
      <c r="F1729" s="116" t="s">
        <v>2919</v>
      </c>
      <c r="O1729" s="114" t="s">
        <v>2029</v>
      </c>
      <c r="P1729" s="119">
        <v>1318864</v>
      </c>
      <c r="Q1729" s="120">
        <v>48977</v>
      </c>
    </row>
    <row r="1730" spans="1:17" x14ac:dyDescent="0.3">
      <c r="A1730" s="1721"/>
      <c r="B1730" s="113" t="s">
        <v>2920</v>
      </c>
      <c r="C1730" s="115" t="s">
        <v>1420</v>
      </c>
      <c r="D1730" s="115" t="s">
        <v>1420</v>
      </c>
      <c r="E1730" s="115" t="s">
        <v>1420</v>
      </c>
      <c r="F1730" s="116" t="s">
        <v>2921</v>
      </c>
      <c r="O1730" s="114" t="s">
        <v>2922</v>
      </c>
      <c r="P1730" s="119">
        <v>770072</v>
      </c>
      <c r="Q1730" s="116" t="s">
        <v>199</v>
      </c>
    </row>
    <row r="1731" spans="1:17" x14ac:dyDescent="0.3">
      <c r="A1731" s="1734"/>
      <c r="B1731" s="113" t="s">
        <v>2923</v>
      </c>
      <c r="C1731" s="115" t="s">
        <v>2924</v>
      </c>
      <c r="D1731" s="115" t="s">
        <v>1420</v>
      </c>
      <c r="E1731" s="115" t="s">
        <v>1420</v>
      </c>
      <c r="F1731" s="116" t="s">
        <v>1420</v>
      </c>
      <c r="O1731" s="146" t="s">
        <v>774</v>
      </c>
      <c r="P1731" s="126">
        <v>4675493</v>
      </c>
      <c r="Q1731" s="127">
        <v>1036386</v>
      </c>
    </row>
    <row r="1732" spans="1:17" x14ac:dyDescent="0.3">
      <c r="A1732" s="1742" t="s">
        <v>774</v>
      </c>
      <c r="B1732" s="1743"/>
      <c r="C1732" s="136" t="s">
        <v>2925</v>
      </c>
      <c r="D1732" s="136" t="s">
        <v>2926</v>
      </c>
      <c r="E1732" s="136" t="s">
        <v>2927</v>
      </c>
      <c r="F1732" s="137" t="s">
        <v>2928</v>
      </c>
      <c r="O1732" s="143"/>
    </row>
    <row r="1733" spans="1:17" x14ac:dyDescent="0.3">
      <c r="O1733" s="142" t="s">
        <v>2929</v>
      </c>
    </row>
    <row r="1734" spans="1:17" x14ac:dyDescent="0.3">
      <c r="A1734" s="142" t="s">
        <v>841</v>
      </c>
      <c r="O1734" s="1752" t="s">
        <v>976</v>
      </c>
      <c r="P1734" s="1753"/>
      <c r="Q1734" s="1754"/>
    </row>
    <row r="1735" spans="1:17" x14ac:dyDescent="0.3">
      <c r="A1735" s="1695" t="s">
        <v>826</v>
      </c>
      <c r="B1735" s="1696"/>
      <c r="C1735" s="1696"/>
      <c r="D1735" s="1696"/>
      <c r="E1735" s="1696"/>
      <c r="F1735" s="1697"/>
      <c r="O1735" s="194" t="s">
        <v>977</v>
      </c>
      <c r="P1735" s="156" t="s">
        <v>789</v>
      </c>
      <c r="Q1735" s="157" t="s">
        <v>843</v>
      </c>
    </row>
    <row r="1736" spans="1:17" x14ac:dyDescent="0.3">
      <c r="A1736" s="161" t="s">
        <v>2245</v>
      </c>
      <c r="B1736" s="134" t="s">
        <v>2246</v>
      </c>
      <c r="C1736" s="134" t="s">
        <v>832</v>
      </c>
      <c r="D1736" s="134" t="s">
        <v>2286</v>
      </c>
      <c r="E1736" s="134" t="s">
        <v>2858</v>
      </c>
      <c r="F1736" s="135" t="s">
        <v>2859</v>
      </c>
      <c r="O1736" s="114" t="s">
        <v>2049</v>
      </c>
      <c r="P1736" s="119">
        <v>300912</v>
      </c>
      <c r="Q1736" s="120">
        <v>172076</v>
      </c>
    </row>
    <row r="1737" spans="1:17" x14ac:dyDescent="0.3">
      <c r="A1737" s="114" t="s">
        <v>2860</v>
      </c>
      <c r="B1737" s="113" t="s">
        <v>2252</v>
      </c>
      <c r="C1737" s="115" t="s">
        <v>1420</v>
      </c>
      <c r="D1737" s="115" t="s">
        <v>1420</v>
      </c>
      <c r="E1737" s="115" t="s">
        <v>2930</v>
      </c>
      <c r="F1737" s="116" t="s">
        <v>2931</v>
      </c>
      <c r="O1737" s="114" t="s">
        <v>2052</v>
      </c>
      <c r="P1737" s="119">
        <v>162227</v>
      </c>
      <c r="Q1737" s="120">
        <v>561280</v>
      </c>
    </row>
    <row r="1738" spans="1:17" x14ac:dyDescent="0.3">
      <c r="A1738" s="114" t="s">
        <v>2255</v>
      </c>
      <c r="B1738" s="113" t="s">
        <v>2291</v>
      </c>
      <c r="C1738" s="115" t="s">
        <v>2932</v>
      </c>
      <c r="D1738" s="115" t="s">
        <v>2933</v>
      </c>
      <c r="E1738" s="115" t="s">
        <v>2934</v>
      </c>
      <c r="F1738" s="116" t="s">
        <v>2935</v>
      </c>
      <c r="O1738" s="114" t="s">
        <v>2054</v>
      </c>
      <c r="P1738" s="119">
        <v>59793</v>
      </c>
      <c r="Q1738" s="120">
        <v>2170624</v>
      </c>
    </row>
    <row r="1739" spans="1:17" x14ac:dyDescent="0.3">
      <c r="A1739" s="114" t="s">
        <v>2258</v>
      </c>
      <c r="B1739" s="110" t="s">
        <v>2936</v>
      </c>
      <c r="C1739" s="115" t="s">
        <v>2937</v>
      </c>
      <c r="D1739" s="115" t="s">
        <v>2938</v>
      </c>
      <c r="E1739" s="115" t="s">
        <v>1420</v>
      </c>
      <c r="F1739" s="116" t="s">
        <v>2939</v>
      </c>
      <c r="O1739" s="114" t="s">
        <v>2940</v>
      </c>
      <c r="P1739" s="115" t="s">
        <v>199</v>
      </c>
      <c r="Q1739" s="120">
        <v>996360</v>
      </c>
    </row>
    <row r="1740" spans="1:17" x14ac:dyDescent="0.3">
      <c r="A1740" s="1720" t="s">
        <v>71</v>
      </c>
      <c r="B1740" s="113" t="s">
        <v>2315</v>
      </c>
      <c r="C1740" s="115" t="s">
        <v>2941</v>
      </c>
      <c r="D1740" s="115" t="s">
        <v>1420</v>
      </c>
      <c r="E1740" s="115" t="s">
        <v>1420</v>
      </c>
      <c r="F1740" s="116" t="s">
        <v>2942</v>
      </c>
      <c r="O1740" s="114" t="s">
        <v>2566</v>
      </c>
      <c r="P1740" s="119">
        <v>23145377</v>
      </c>
      <c r="Q1740" s="116" t="s">
        <v>199</v>
      </c>
    </row>
    <row r="1741" spans="1:17" x14ac:dyDescent="0.3">
      <c r="A1741" s="1721"/>
      <c r="B1741" s="113" t="s">
        <v>2292</v>
      </c>
      <c r="C1741" s="115" t="s">
        <v>2943</v>
      </c>
      <c r="D1741" s="115" t="s">
        <v>1420</v>
      </c>
      <c r="E1741" s="115" t="s">
        <v>1420</v>
      </c>
      <c r="F1741" s="116" t="s">
        <v>2944</v>
      </c>
      <c r="O1741" s="146" t="s">
        <v>774</v>
      </c>
      <c r="P1741" s="126">
        <v>23668309</v>
      </c>
      <c r="Q1741" s="127">
        <v>3900340</v>
      </c>
    </row>
    <row r="1742" spans="1:17" x14ac:dyDescent="0.3">
      <c r="A1742" s="1721"/>
      <c r="B1742" s="113" t="s">
        <v>2873</v>
      </c>
      <c r="C1742" s="115" t="s">
        <v>1420</v>
      </c>
      <c r="D1742" s="115" t="s">
        <v>1420</v>
      </c>
      <c r="E1742" s="115" t="s">
        <v>1420</v>
      </c>
      <c r="F1742" s="116" t="s">
        <v>2945</v>
      </c>
    </row>
    <row r="1743" spans="1:17" x14ac:dyDescent="0.3">
      <c r="A1743" s="1721"/>
      <c r="B1743" s="113" t="s">
        <v>2293</v>
      </c>
      <c r="C1743" s="115" t="s">
        <v>2946</v>
      </c>
      <c r="D1743" s="115" t="s">
        <v>1420</v>
      </c>
      <c r="E1743" s="115" t="s">
        <v>2947</v>
      </c>
      <c r="F1743" s="116" t="s">
        <v>2948</v>
      </c>
    </row>
    <row r="1744" spans="1:17" x14ac:dyDescent="0.3">
      <c r="A1744" s="1721"/>
      <c r="B1744" s="113" t="s">
        <v>2878</v>
      </c>
      <c r="C1744" s="115" t="s">
        <v>1420</v>
      </c>
      <c r="D1744" s="115" t="s">
        <v>1420</v>
      </c>
      <c r="E1744" s="115" t="s">
        <v>1420</v>
      </c>
      <c r="F1744" s="116" t="s">
        <v>2949</v>
      </c>
      <c r="O1744" s="142" t="s">
        <v>2950</v>
      </c>
    </row>
    <row r="1745" spans="1:17" x14ac:dyDescent="0.3">
      <c r="A1745" s="1721"/>
      <c r="B1745" s="113" t="s">
        <v>2880</v>
      </c>
      <c r="C1745" s="115" t="s">
        <v>1420</v>
      </c>
      <c r="D1745" s="115" t="s">
        <v>1420</v>
      </c>
      <c r="E1745" s="115" t="s">
        <v>2951</v>
      </c>
      <c r="F1745" s="116" t="s">
        <v>2952</v>
      </c>
    </row>
    <row r="1746" spans="1:17" x14ac:dyDescent="0.3">
      <c r="A1746" s="1721"/>
      <c r="B1746" s="113" t="s">
        <v>2366</v>
      </c>
      <c r="C1746" s="115" t="s">
        <v>1420</v>
      </c>
      <c r="D1746" s="115" t="s">
        <v>1420</v>
      </c>
      <c r="E1746" s="115" t="s">
        <v>2953</v>
      </c>
      <c r="F1746" s="116" t="s">
        <v>2954</v>
      </c>
    </row>
    <row r="1747" spans="1:17" x14ac:dyDescent="0.3">
      <c r="A1747" s="1721"/>
      <c r="B1747" s="113" t="s">
        <v>2294</v>
      </c>
      <c r="C1747" s="115" t="s">
        <v>2955</v>
      </c>
      <c r="D1747" s="115" t="s">
        <v>2956</v>
      </c>
      <c r="E1747" s="115" t="s">
        <v>1420</v>
      </c>
      <c r="F1747" s="116" t="s">
        <v>2957</v>
      </c>
      <c r="O1747" s="143"/>
    </row>
    <row r="1748" spans="1:17" x14ac:dyDescent="0.3">
      <c r="A1748" s="1721"/>
      <c r="B1748" s="113" t="s">
        <v>2889</v>
      </c>
      <c r="C1748" s="115" t="s">
        <v>1420</v>
      </c>
      <c r="D1748" s="115" t="s">
        <v>1420</v>
      </c>
      <c r="E1748" s="115" t="s">
        <v>1420</v>
      </c>
      <c r="F1748" s="116" t="s">
        <v>2958</v>
      </c>
      <c r="O1748" s="142" t="s">
        <v>2672</v>
      </c>
    </row>
    <row r="1749" spans="1:17" x14ac:dyDescent="0.3">
      <c r="A1749" s="1721"/>
      <c r="B1749" s="113" t="s">
        <v>2959</v>
      </c>
      <c r="C1749" s="115" t="s">
        <v>2960</v>
      </c>
      <c r="D1749" s="115" t="s">
        <v>2961</v>
      </c>
      <c r="E1749" s="115" t="s">
        <v>1420</v>
      </c>
      <c r="F1749" s="116" t="s">
        <v>1420</v>
      </c>
      <c r="O1749" s="1695" t="s">
        <v>826</v>
      </c>
      <c r="P1749" s="1696"/>
      <c r="Q1749" s="1697"/>
    </row>
    <row r="1750" spans="1:17" x14ac:dyDescent="0.3">
      <c r="A1750" s="1721"/>
      <c r="B1750" s="113" t="s">
        <v>2962</v>
      </c>
      <c r="C1750" s="115" t="s">
        <v>1420</v>
      </c>
      <c r="D1750" s="115" t="s">
        <v>1420</v>
      </c>
      <c r="E1750" s="115" t="s">
        <v>1420</v>
      </c>
      <c r="F1750" s="116" t="s">
        <v>2963</v>
      </c>
      <c r="O1750" s="161" t="s">
        <v>763</v>
      </c>
      <c r="P1750" s="134" t="s">
        <v>789</v>
      </c>
      <c r="Q1750" s="135" t="s">
        <v>843</v>
      </c>
    </row>
    <row r="1751" spans="1:17" x14ac:dyDescent="0.3">
      <c r="A1751" s="1721"/>
      <c r="B1751" s="113" t="s">
        <v>2895</v>
      </c>
      <c r="C1751" s="115" t="s">
        <v>1420</v>
      </c>
      <c r="D1751" s="115" t="s">
        <v>2964</v>
      </c>
      <c r="E1751" s="115" t="s">
        <v>1420</v>
      </c>
      <c r="F1751" s="116" t="s">
        <v>2965</v>
      </c>
      <c r="O1751" s="114" t="s">
        <v>2069</v>
      </c>
      <c r="P1751" s="119">
        <v>5241</v>
      </c>
      <c r="Q1751" s="120">
        <v>2240</v>
      </c>
    </row>
    <row r="1752" spans="1:17" x14ac:dyDescent="0.3">
      <c r="A1752" s="1721"/>
      <c r="B1752" s="113" t="s">
        <v>2295</v>
      </c>
      <c r="C1752" s="115" t="s">
        <v>2966</v>
      </c>
      <c r="D1752" s="115" t="s">
        <v>2967</v>
      </c>
      <c r="E1752" s="115" t="s">
        <v>2968</v>
      </c>
      <c r="F1752" s="116" t="s">
        <v>2969</v>
      </c>
      <c r="O1752" s="114" t="s">
        <v>2072</v>
      </c>
      <c r="P1752" s="119">
        <v>62337</v>
      </c>
      <c r="Q1752" s="120">
        <v>197174</v>
      </c>
    </row>
    <row r="1753" spans="1:17" x14ac:dyDescent="0.3">
      <c r="A1753" s="1721"/>
      <c r="B1753" s="113" t="s">
        <v>2970</v>
      </c>
      <c r="C1753" s="115" t="s">
        <v>2971</v>
      </c>
      <c r="D1753" s="115" t="s">
        <v>1420</v>
      </c>
      <c r="E1753" s="115" t="s">
        <v>1420</v>
      </c>
      <c r="F1753" s="116" t="s">
        <v>2972</v>
      </c>
      <c r="O1753" s="146" t="s">
        <v>774</v>
      </c>
      <c r="P1753" s="126">
        <v>67577</v>
      </c>
      <c r="Q1753" s="127">
        <v>199414</v>
      </c>
    </row>
    <row r="1754" spans="1:17" x14ac:dyDescent="0.3">
      <c r="A1754" s="1734"/>
      <c r="B1754" s="113" t="s">
        <v>2923</v>
      </c>
      <c r="C1754" s="115" t="s">
        <v>2973</v>
      </c>
      <c r="D1754" s="115" t="s">
        <v>1420</v>
      </c>
      <c r="E1754" s="115" t="s">
        <v>1420</v>
      </c>
      <c r="F1754" s="116" t="s">
        <v>2974</v>
      </c>
    </row>
    <row r="1755" spans="1:17" x14ac:dyDescent="0.3">
      <c r="A1755" s="1742" t="s">
        <v>774</v>
      </c>
      <c r="B1755" s="1743"/>
      <c r="C1755" s="136" t="s">
        <v>2975</v>
      </c>
      <c r="D1755" s="136" t="s">
        <v>2976</v>
      </c>
      <c r="E1755" s="136" t="s">
        <v>2977</v>
      </c>
      <c r="F1755" s="137" t="s">
        <v>2978</v>
      </c>
      <c r="O1755" s="142" t="s">
        <v>2681</v>
      </c>
    </row>
    <row r="1756" spans="1:17" x14ac:dyDescent="0.3">
      <c r="A1756" s="142" t="s">
        <v>2979</v>
      </c>
      <c r="O1756" s="1695" t="s">
        <v>826</v>
      </c>
      <c r="P1756" s="1696"/>
      <c r="Q1756" s="1697"/>
    </row>
    <row r="1757" spans="1:17" x14ac:dyDescent="0.3">
      <c r="O1757" s="161" t="s">
        <v>763</v>
      </c>
      <c r="P1757" s="134" t="s">
        <v>789</v>
      </c>
      <c r="Q1757" s="135" t="s">
        <v>843</v>
      </c>
    </row>
    <row r="1758" spans="1:17" ht="22.5" x14ac:dyDescent="0.3">
      <c r="A1758" s="142" t="s">
        <v>2980</v>
      </c>
      <c r="O1758" s="114" t="s">
        <v>2098</v>
      </c>
      <c r="P1758" s="119">
        <v>585423</v>
      </c>
      <c r="Q1758" s="120">
        <v>5548640</v>
      </c>
    </row>
    <row r="1759" spans="1:17" x14ac:dyDescent="0.3">
      <c r="A1759" s="143"/>
      <c r="O1759" s="114" t="s">
        <v>2100</v>
      </c>
      <c r="P1759" s="119">
        <v>8218</v>
      </c>
      <c r="Q1759" s="116">
        <v>599</v>
      </c>
    </row>
    <row r="1760" spans="1:17" x14ac:dyDescent="0.3">
      <c r="A1760" s="142" t="s">
        <v>1835</v>
      </c>
      <c r="O1760" s="114" t="s">
        <v>2102</v>
      </c>
      <c r="P1760" s="119">
        <v>31027</v>
      </c>
      <c r="Q1760" s="120">
        <v>742229</v>
      </c>
    </row>
    <row r="1761" spans="1:17" x14ac:dyDescent="0.3">
      <c r="O1761" s="114" t="s">
        <v>2104</v>
      </c>
      <c r="P1761" s="119">
        <v>7635</v>
      </c>
      <c r="Q1761" s="120">
        <v>3268</v>
      </c>
    </row>
    <row r="1762" spans="1:17" x14ac:dyDescent="0.3">
      <c r="A1762" s="1695" t="s">
        <v>826</v>
      </c>
      <c r="B1762" s="1696"/>
      <c r="C1762" s="1696"/>
      <c r="D1762" s="1696"/>
      <c r="E1762" s="1696"/>
      <c r="F1762" s="1697"/>
      <c r="O1762" s="114" t="s">
        <v>2105</v>
      </c>
      <c r="P1762" s="119">
        <v>1160000</v>
      </c>
      <c r="Q1762" s="120">
        <v>4200000</v>
      </c>
    </row>
    <row r="1763" spans="1:17" x14ac:dyDescent="0.3">
      <c r="A1763" s="1698" t="s">
        <v>2245</v>
      </c>
      <c r="B1763" s="1716" t="s">
        <v>2246</v>
      </c>
      <c r="C1763" s="1699" t="s">
        <v>2981</v>
      </c>
      <c r="D1763" s="1701"/>
      <c r="E1763" s="1699" t="s">
        <v>2982</v>
      </c>
      <c r="F1763" s="1702"/>
      <c r="O1763" s="146" t="s">
        <v>2107</v>
      </c>
      <c r="P1763" s="126">
        <v>1792303</v>
      </c>
      <c r="Q1763" s="127">
        <v>10494736</v>
      </c>
    </row>
    <row r="1764" spans="1:17" x14ac:dyDescent="0.3">
      <c r="A1764" s="1690"/>
      <c r="B1764" s="1692"/>
      <c r="C1764" s="134" t="s">
        <v>244</v>
      </c>
      <c r="D1764" s="134" t="s">
        <v>2342</v>
      </c>
      <c r="E1764" s="134" t="s">
        <v>247</v>
      </c>
      <c r="F1764" s="135" t="s">
        <v>2362</v>
      </c>
    </row>
    <row r="1765" spans="1:17" x14ac:dyDescent="0.3">
      <c r="A1765" s="114" t="s">
        <v>2255</v>
      </c>
      <c r="B1765" s="110" t="s">
        <v>2291</v>
      </c>
      <c r="C1765" s="115" t="s">
        <v>2983</v>
      </c>
      <c r="D1765" s="115" t="s">
        <v>2984</v>
      </c>
      <c r="E1765" s="115" t="s">
        <v>1420</v>
      </c>
      <c r="F1765" s="116" t="s">
        <v>2985</v>
      </c>
    </row>
    <row r="1766" spans="1:17" x14ac:dyDescent="0.3">
      <c r="A1766" s="114" t="s">
        <v>2986</v>
      </c>
      <c r="B1766" s="110" t="s">
        <v>2290</v>
      </c>
      <c r="C1766" s="115" t="s">
        <v>2987</v>
      </c>
      <c r="D1766" s="115" t="s">
        <v>2988</v>
      </c>
      <c r="E1766" s="115" t="s">
        <v>2989</v>
      </c>
      <c r="F1766" s="116" t="s">
        <v>2990</v>
      </c>
      <c r="O1766" s="142" t="s">
        <v>2991</v>
      </c>
    </row>
    <row r="1767" spans="1:17" x14ac:dyDescent="0.3">
      <c r="A1767" s="1720" t="s">
        <v>71</v>
      </c>
      <c r="B1767" s="110" t="s">
        <v>2315</v>
      </c>
      <c r="C1767" s="115" t="s">
        <v>1420</v>
      </c>
      <c r="D1767" s="115" t="s">
        <v>1420</v>
      </c>
      <c r="E1767" s="115" t="s">
        <v>1420</v>
      </c>
      <c r="F1767" s="116" t="s">
        <v>2992</v>
      </c>
      <c r="O1767" s="143"/>
    </row>
    <row r="1768" spans="1:17" ht="22.5" x14ac:dyDescent="0.3">
      <c r="A1768" s="1721"/>
      <c r="B1768" s="110" t="s">
        <v>2293</v>
      </c>
      <c r="C1768" s="115" t="s">
        <v>2993</v>
      </c>
      <c r="D1768" s="115" t="s">
        <v>1420</v>
      </c>
      <c r="E1768" s="115" t="s">
        <v>1420</v>
      </c>
      <c r="F1768" s="116" t="s">
        <v>2994</v>
      </c>
      <c r="O1768" s="142" t="s">
        <v>2995</v>
      </c>
    </row>
    <row r="1769" spans="1:17" x14ac:dyDescent="0.3">
      <c r="A1769" s="1721"/>
      <c r="B1769" s="110" t="s">
        <v>2880</v>
      </c>
      <c r="C1769" s="115" t="s">
        <v>1420</v>
      </c>
      <c r="D1769" s="115" t="s">
        <v>1420</v>
      </c>
      <c r="E1769" s="115" t="s">
        <v>1420</v>
      </c>
      <c r="F1769" s="116" t="s">
        <v>2996</v>
      </c>
      <c r="O1769" s="143"/>
    </row>
    <row r="1770" spans="1:17" ht="22.5" x14ac:dyDescent="0.3">
      <c r="A1770" s="1721"/>
      <c r="B1770" s="110" t="s">
        <v>2366</v>
      </c>
      <c r="C1770" s="115" t="s">
        <v>2997</v>
      </c>
      <c r="D1770" s="115" t="s">
        <v>1420</v>
      </c>
      <c r="E1770" s="115" t="s">
        <v>1420</v>
      </c>
      <c r="F1770" s="116" t="s">
        <v>2998</v>
      </c>
      <c r="O1770" s="142" t="s">
        <v>2697</v>
      </c>
    </row>
    <row r="1771" spans="1:17" x14ac:dyDescent="0.3">
      <c r="A1771" s="1721"/>
      <c r="B1771" s="110" t="s">
        <v>2294</v>
      </c>
      <c r="C1771" s="115" t="s">
        <v>2999</v>
      </c>
      <c r="D1771" s="115" t="s">
        <v>3000</v>
      </c>
      <c r="E1771" s="115" t="s">
        <v>1420</v>
      </c>
      <c r="F1771" s="116" t="s">
        <v>3001</v>
      </c>
      <c r="O1771" s="128"/>
    </row>
    <row r="1772" spans="1:17" x14ac:dyDescent="0.3">
      <c r="A1772" s="1721"/>
      <c r="B1772" s="110" t="s">
        <v>2891</v>
      </c>
      <c r="C1772" s="115" t="s">
        <v>1420</v>
      </c>
      <c r="D1772" s="115" t="s">
        <v>1420</v>
      </c>
      <c r="E1772" s="115" t="s">
        <v>1420</v>
      </c>
      <c r="F1772" s="116" t="s">
        <v>3002</v>
      </c>
      <c r="O1772" s="128"/>
    </row>
    <row r="1773" spans="1:17" x14ac:dyDescent="0.3">
      <c r="A1773" s="1721"/>
      <c r="B1773" s="110" t="s">
        <v>2895</v>
      </c>
      <c r="C1773" s="115" t="s">
        <v>1420</v>
      </c>
      <c r="D1773" s="115" t="s">
        <v>1420</v>
      </c>
      <c r="E1773" s="115" t="s">
        <v>1420</v>
      </c>
      <c r="F1773" s="116" t="s">
        <v>3003</v>
      </c>
      <c r="O1773" s="1695" t="s">
        <v>826</v>
      </c>
      <c r="P1773" s="1696"/>
      <c r="Q1773" s="1697"/>
    </row>
    <row r="1774" spans="1:17" x14ac:dyDescent="0.3">
      <c r="A1774" s="1721"/>
      <c r="B1774" s="110" t="s">
        <v>2295</v>
      </c>
      <c r="C1774" s="115" t="s">
        <v>3004</v>
      </c>
      <c r="D1774" s="115" t="s">
        <v>1420</v>
      </c>
      <c r="E1774" s="115" t="s">
        <v>1420</v>
      </c>
      <c r="F1774" s="116" t="s">
        <v>3005</v>
      </c>
      <c r="O1774" s="161" t="s">
        <v>763</v>
      </c>
      <c r="P1774" s="134" t="s">
        <v>789</v>
      </c>
      <c r="Q1774" s="135" t="s">
        <v>843</v>
      </c>
    </row>
    <row r="1775" spans="1:17" x14ac:dyDescent="0.3">
      <c r="A1775" s="1721"/>
      <c r="B1775" s="110" t="s">
        <v>2902</v>
      </c>
      <c r="C1775" s="115" t="s">
        <v>1420</v>
      </c>
      <c r="D1775" s="115" t="s">
        <v>1420</v>
      </c>
      <c r="E1775" s="115" t="s">
        <v>1420</v>
      </c>
      <c r="F1775" s="116" t="s">
        <v>3006</v>
      </c>
      <c r="O1775" s="1712" t="s">
        <v>2698</v>
      </c>
      <c r="P1775" s="1713"/>
      <c r="Q1775" s="1714"/>
    </row>
    <row r="1776" spans="1:17" x14ac:dyDescent="0.3">
      <c r="A1776" s="1721"/>
      <c r="B1776" s="110" t="s">
        <v>2907</v>
      </c>
      <c r="C1776" s="115" t="s">
        <v>3007</v>
      </c>
      <c r="D1776" s="115" t="s">
        <v>1420</v>
      </c>
      <c r="E1776" s="115" t="s">
        <v>1420</v>
      </c>
      <c r="F1776" s="116" t="s">
        <v>3008</v>
      </c>
      <c r="O1776" s="109" t="s">
        <v>2699</v>
      </c>
      <c r="P1776" s="117">
        <v>257381</v>
      </c>
      <c r="Q1776" s="118">
        <v>3205</v>
      </c>
    </row>
    <row r="1777" spans="1:17" x14ac:dyDescent="0.3">
      <c r="A1777" s="1721"/>
      <c r="B1777" s="110" t="s">
        <v>2911</v>
      </c>
      <c r="C1777" s="115" t="s">
        <v>1420</v>
      </c>
      <c r="D1777" s="115" t="s">
        <v>1420</v>
      </c>
      <c r="E1777" s="115" t="s">
        <v>1420</v>
      </c>
      <c r="F1777" s="116" t="s">
        <v>3009</v>
      </c>
      <c r="O1777" s="114" t="s">
        <v>3010</v>
      </c>
      <c r="P1777" s="111">
        <v>835</v>
      </c>
      <c r="Q1777" s="112" t="s">
        <v>199</v>
      </c>
    </row>
    <row r="1778" spans="1:17" x14ac:dyDescent="0.3">
      <c r="A1778" s="1721"/>
      <c r="B1778" s="110" t="s">
        <v>2918</v>
      </c>
      <c r="C1778" s="115" t="s">
        <v>1420</v>
      </c>
      <c r="D1778" s="115" t="s">
        <v>1420</v>
      </c>
      <c r="E1778" s="115" t="s">
        <v>1420</v>
      </c>
      <c r="F1778" s="116" t="s">
        <v>3011</v>
      </c>
      <c r="O1778" s="162" t="s">
        <v>980</v>
      </c>
      <c r="P1778" s="117">
        <v>258216</v>
      </c>
      <c r="Q1778" s="118">
        <v>3205</v>
      </c>
    </row>
    <row r="1779" spans="1:17" x14ac:dyDescent="0.3">
      <c r="A1779" s="1734"/>
      <c r="B1779" s="110" t="s">
        <v>2920</v>
      </c>
      <c r="C1779" s="115" t="s">
        <v>1420</v>
      </c>
      <c r="D1779" s="115" t="s">
        <v>1420</v>
      </c>
      <c r="E1779" s="115" t="s">
        <v>1420</v>
      </c>
      <c r="F1779" s="116" t="s">
        <v>2921</v>
      </c>
      <c r="O1779" s="1703" t="s">
        <v>2702</v>
      </c>
      <c r="P1779" s="1704"/>
      <c r="Q1779" s="1727"/>
    </row>
    <row r="1780" spans="1:17" x14ac:dyDescent="0.3">
      <c r="A1780" s="1742" t="s">
        <v>774</v>
      </c>
      <c r="B1780" s="1743"/>
      <c r="C1780" s="136" t="s">
        <v>3012</v>
      </c>
      <c r="D1780" s="136" t="s">
        <v>3013</v>
      </c>
      <c r="E1780" s="136" t="s">
        <v>2989</v>
      </c>
      <c r="F1780" s="137" t="s">
        <v>3014</v>
      </c>
      <c r="O1780" s="114" t="s">
        <v>2703</v>
      </c>
      <c r="P1780" s="111" t="s">
        <v>199</v>
      </c>
      <c r="Q1780" s="118">
        <v>-1983528</v>
      </c>
    </row>
    <row r="1781" spans="1:17" x14ac:dyDescent="0.3">
      <c r="A1781" s="143"/>
      <c r="O1781" s="162" t="s">
        <v>980</v>
      </c>
      <c r="P1781" s="111" t="s">
        <v>199</v>
      </c>
      <c r="Q1781" s="118">
        <v>-1983528</v>
      </c>
    </row>
    <row r="1782" spans="1:17" x14ac:dyDescent="0.3">
      <c r="A1782" s="142" t="s">
        <v>1100</v>
      </c>
      <c r="O1782" s="125" t="s">
        <v>2704</v>
      </c>
      <c r="P1782" s="130">
        <v>258216</v>
      </c>
      <c r="Q1782" s="131">
        <v>-1980323</v>
      </c>
    </row>
    <row r="1783" spans="1:17" x14ac:dyDescent="0.3">
      <c r="A1783" s="1695" t="s">
        <v>826</v>
      </c>
      <c r="B1783" s="1696"/>
      <c r="C1783" s="1696"/>
      <c r="D1783" s="1696"/>
      <c r="E1783" s="1696"/>
      <c r="F1783" s="1697"/>
      <c r="O1783" s="143"/>
    </row>
    <row r="1784" spans="1:17" ht="22.5" x14ac:dyDescent="0.3">
      <c r="A1784" s="1698" t="s">
        <v>2245</v>
      </c>
      <c r="B1784" s="1716" t="s">
        <v>2246</v>
      </c>
      <c r="C1784" s="1699" t="s">
        <v>2981</v>
      </c>
      <c r="D1784" s="1701"/>
      <c r="E1784" s="1699" t="s">
        <v>2982</v>
      </c>
      <c r="F1784" s="1702"/>
      <c r="O1784" s="142" t="s">
        <v>3015</v>
      </c>
    </row>
    <row r="1785" spans="1:17" x14ac:dyDescent="0.3">
      <c r="A1785" s="1690"/>
      <c r="B1785" s="1692"/>
      <c r="C1785" s="134" t="s">
        <v>244</v>
      </c>
      <c r="D1785" s="134" t="s">
        <v>2342</v>
      </c>
      <c r="E1785" s="134" t="s">
        <v>247</v>
      </c>
      <c r="F1785" s="135" t="s">
        <v>2362</v>
      </c>
      <c r="O1785" s="1695" t="s">
        <v>826</v>
      </c>
      <c r="P1785" s="1696"/>
      <c r="Q1785" s="1697"/>
    </row>
    <row r="1786" spans="1:17" x14ac:dyDescent="0.3">
      <c r="A1786" s="114" t="s">
        <v>2255</v>
      </c>
      <c r="B1786" s="110" t="s">
        <v>2291</v>
      </c>
      <c r="C1786" s="115" t="s">
        <v>3016</v>
      </c>
      <c r="D1786" s="115" t="s">
        <v>1420</v>
      </c>
      <c r="E1786" s="115" t="s">
        <v>1420</v>
      </c>
      <c r="F1786" s="116" t="s">
        <v>3017</v>
      </c>
      <c r="O1786" s="161" t="s">
        <v>3018</v>
      </c>
      <c r="P1786" s="134" t="s">
        <v>789</v>
      </c>
      <c r="Q1786" s="135" t="s">
        <v>843</v>
      </c>
    </row>
    <row r="1787" spans="1:17" x14ac:dyDescent="0.3">
      <c r="A1787" s="114" t="s">
        <v>2986</v>
      </c>
      <c r="B1787" s="110" t="s">
        <v>2290</v>
      </c>
      <c r="C1787" s="115" t="s">
        <v>3019</v>
      </c>
      <c r="D1787" s="115" t="s">
        <v>3020</v>
      </c>
      <c r="E1787" s="115" t="s">
        <v>3021</v>
      </c>
      <c r="F1787" s="116" t="s">
        <v>3022</v>
      </c>
      <c r="O1787" s="109" t="s">
        <v>1422</v>
      </c>
      <c r="P1787" s="117">
        <v>-15844877</v>
      </c>
      <c r="Q1787" s="118">
        <v>-25048195</v>
      </c>
    </row>
    <row r="1788" spans="1:17" x14ac:dyDescent="0.3">
      <c r="A1788" s="1720" t="s">
        <v>71</v>
      </c>
      <c r="B1788" s="110" t="s">
        <v>2315</v>
      </c>
      <c r="C1788" s="115" t="s">
        <v>1420</v>
      </c>
      <c r="D1788" s="115" t="s">
        <v>1420</v>
      </c>
      <c r="E1788" s="115" t="s">
        <v>1420</v>
      </c>
      <c r="F1788" s="116" t="s">
        <v>3023</v>
      </c>
      <c r="O1788" s="109" t="s">
        <v>2788</v>
      </c>
      <c r="P1788" s="215">
        <v>0.22</v>
      </c>
      <c r="Q1788" s="216">
        <v>0.22</v>
      </c>
    </row>
    <row r="1789" spans="1:17" x14ac:dyDescent="0.3">
      <c r="A1789" s="1721"/>
      <c r="B1789" s="110" t="s">
        <v>2292</v>
      </c>
      <c r="C1789" s="115" t="s">
        <v>3024</v>
      </c>
      <c r="D1789" s="115" t="s">
        <v>1420</v>
      </c>
      <c r="E1789" s="115" t="s">
        <v>1420</v>
      </c>
      <c r="F1789" s="116" t="s">
        <v>1420</v>
      </c>
      <c r="O1789" s="109" t="s">
        <v>2790</v>
      </c>
      <c r="P1789" s="117">
        <v>-3485873</v>
      </c>
      <c r="Q1789" s="118">
        <v>-5635669</v>
      </c>
    </row>
    <row r="1790" spans="1:17" x14ac:dyDescent="0.3">
      <c r="A1790" s="1721"/>
      <c r="B1790" s="110" t="s">
        <v>2293</v>
      </c>
      <c r="C1790" s="115" t="s">
        <v>3025</v>
      </c>
      <c r="D1790" s="115" t="s">
        <v>1420</v>
      </c>
      <c r="E1790" s="115" t="s">
        <v>1420</v>
      </c>
      <c r="F1790" s="116" t="s">
        <v>3026</v>
      </c>
      <c r="O1790" s="109" t="s">
        <v>2791</v>
      </c>
      <c r="P1790" s="111"/>
      <c r="Q1790" s="112"/>
    </row>
    <row r="1791" spans="1:17" x14ac:dyDescent="0.3">
      <c r="A1791" s="1721"/>
      <c r="B1791" s="110" t="s">
        <v>2878</v>
      </c>
      <c r="C1791" s="115" t="s">
        <v>1420</v>
      </c>
      <c r="D1791" s="115" t="s">
        <v>1420</v>
      </c>
      <c r="E1791" s="115" t="s">
        <v>1420</v>
      </c>
      <c r="F1791" s="116" t="s">
        <v>3027</v>
      </c>
      <c r="O1791" s="109" t="s">
        <v>2792</v>
      </c>
      <c r="P1791" s="117">
        <v>40976</v>
      </c>
      <c r="Q1791" s="118">
        <v>268950</v>
      </c>
    </row>
    <row r="1792" spans="1:17" x14ac:dyDescent="0.3">
      <c r="A1792" s="1721"/>
      <c r="B1792" s="110" t="s">
        <v>2880</v>
      </c>
      <c r="C1792" s="115" t="s">
        <v>1420</v>
      </c>
      <c r="D1792" s="115" t="s">
        <v>1420</v>
      </c>
      <c r="E1792" s="115" t="s">
        <v>1420</v>
      </c>
      <c r="F1792" s="116" t="s">
        <v>3028</v>
      </c>
      <c r="O1792" s="109" t="s">
        <v>2795</v>
      </c>
      <c r="P1792" s="117">
        <v>3666975</v>
      </c>
      <c r="Q1792" s="118">
        <v>3342546</v>
      </c>
    </row>
    <row r="1793" spans="1:18" x14ac:dyDescent="0.3">
      <c r="A1793" s="1721"/>
      <c r="B1793" s="110" t="s">
        <v>2294</v>
      </c>
      <c r="C1793" s="115" t="s">
        <v>3029</v>
      </c>
      <c r="D1793" s="115" t="s">
        <v>1420</v>
      </c>
      <c r="E1793" s="115" t="s">
        <v>1420</v>
      </c>
      <c r="F1793" s="116" t="s">
        <v>3030</v>
      </c>
      <c r="O1793" s="109" t="s">
        <v>2798</v>
      </c>
      <c r="P1793" s="117">
        <v>36138</v>
      </c>
      <c r="Q1793" s="118">
        <v>43850</v>
      </c>
    </row>
    <row r="1794" spans="1:18" x14ac:dyDescent="0.3">
      <c r="A1794" s="1721"/>
      <c r="B1794" s="110" t="s">
        <v>2895</v>
      </c>
      <c r="C1794" s="115" t="s">
        <v>1420</v>
      </c>
      <c r="D1794" s="115" t="s">
        <v>1420</v>
      </c>
      <c r="E1794" s="115" t="s">
        <v>1420</v>
      </c>
      <c r="F1794" s="116" t="s">
        <v>3031</v>
      </c>
      <c r="O1794" s="121" t="s">
        <v>446</v>
      </c>
      <c r="P1794" s="130">
        <v>258216</v>
      </c>
      <c r="Q1794" s="131">
        <v>-1980323</v>
      </c>
    </row>
    <row r="1795" spans="1:18" x14ac:dyDescent="0.3">
      <c r="A1795" s="1721"/>
      <c r="B1795" s="110" t="s">
        <v>2970</v>
      </c>
      <c r="C1795" s="115" t="s">
        <v>3032</v>
      </c>
      <c r="D1795" s="115" t="s">
        <v>1420</v>
      </c>
      <c r="E1795" s="115" t="s">
        <v>1420</v>
      </c>
      <c r="F1795" s="116" t="s">
        <v>3033</v>
      </c>
      <c r="O1795" s="143"/>
    </row>
    <row r="1796" spans="1:18" x14ac:dyDescent="0.3">
      <c r="A1796" s="1734"/>
      <c r="B1796" s="110" t="s">
        <v>2295</v>
      </c>
      <c r="C1796" s="115" t="s">
        <v>1420</v>
      </c>
      <c r="D1796" s="115" t="s">
        <v>1420</v>
      </c>
      <c r="E1796" s="115" t="s">
        <v>1420</v>
      </c>
      <c r="F1796" s="116" t="s">
        <v>3034</v>
      </c>
      <c r="O1796" s="142" t="s">
        <v>3035</v>
      </c>
    </row>
    <row r="1797" spans="1:18" x14ac:dyDescent="0.3">
      <c r="A1797" s="1742" t="s">
        <v>774</v>
      </c>
      <c r="B1797" s="1743"/>
      <c r="C1797" s="136" t="s">
        <v>3036</v>
      </c>
      <c r="D1797" s="136" t="s">
        <v>3020</v>
      </c>
      <c r="E1797" s="136" t="s">
        <v>3021</v>
      </c>
      <c r="F1797" s="137" t="s">
        <v>3037</v>
      </c>
      <c r="O1797" s="1695" t="s">
        <v>826</v>
      </c>
      <c r="P1797" s="1696"/>
      <c r="Q1797" s="1696"/>
      <c r="R1797" s="1697"/>
    </row>
    <row r="1798" spans="1:18" x14ac:dyDescent="0.3">
      <c r="O1798" s="161" t="s">
        <v>2607</v>
      </c>
      <c r="P1798" s="134" t="s">
        <v>1120</v>
      </c>
      <c r="Q1798" s="134" t="s">
        <v>3038</v>
      </c>
      <c r="R1798" s="135" t="s">
        <v>1127</v>
      </c>
    </row>
    <row r="1799" spans="1:18" ht="22.5" x14ac:dyDescent="0.3">
      <c r="A1799" s="142" t="s">
        <v>3039</v>
      </c>
      <c r="O1799" s="109" t="s">
        <v>3040</v>
      </c>
      <c r="P1799" s="119">
        <v>5286270</v>
      </c>
      <c r="Q1799" s="119">
        <v>480314</v>
      </c>
      <c r="R1799" s="120">
        <v>5766584</v>
      </c>
    </row>
    <row r="1800" spans="1:18" x14ac:dyDescent="0.3">
      <c r="A1800" s="1695" t="s">
        <v>826</v>
      </c>
      <c r="B1800" s="1696"/>
      <c r="C1800" s="1696"/>
      <c r="D1800" s="1697"/>
      <c r="O1800" s="109" t="s">
        <v>3041</v>
      </c>
      <c r="P1800" s="119">
        <v>6583930</v>
      </c>
      <c r="Q1800" s="119">
        <v>1114541</v>
      </c>
      <c r="R1800" s="120">
        <v>7698471</v>
      </c>
    </row>
    <row r="1801" spans="1:18" x14ac:dyDescent="0.3">
      <c r="A1801" s="161" t="s">
        <v>3042</v>
      </c>
      <c r="B1801" s="134" t="s">
        <v>3043</v>
      </c>
      <c r="C1801" s="134" t="s">
        <v>789</v>
      </c>
      <c r="D1801" s="135" t="s">
        <v>843</v>
      </c>
      <c r="O1801" s="109" t="s">
        <v>3044</v>
      </c>
      <c r="P1801" s="119">
        <v>66468947</v>
      </c>
      <c r="Q1801" s="115" t="s">
        <v>199</v>
      </c>
      <c r="R1801" s="120">
        <v>66468947</v>
      </c>
    </row>
    <row r="1802" spans="1:18" x14ac:dyDescent="0.3">
      <c r="A1802" s="121" t="s">
        <v>2290</v>
      </c>
      <c r="B1802" s="159" t="s">
        <v>3045</v>
      </c>
      <c r="C1802" s="136" t="s">
        <v>1420</v>
      </c>
      <c r="D1802" s="137" t="s">
        <v>3046</v>
      </c>
      <c r="O1802" s="109" t="s">
        <v>245</v>
      </c>
      <c r="P1802" s="119">
        <v>17230961</v>
      </c>
      <c r="Q1802" s="119">
        <v>-4608270</v>
      </c>
      <c r="R1802" s="120">
        <v>12622691</v>
      </c>
    </row>
    <row r="1803" spans="1:18" x14ac:dyDescent="0.3">
      <c r="A1803" s="143"/>
      <c r="O1803" s="109" t="s">
        <v>1842</v>
      </c>
      <c r="P1803" s="119">
        <v>4661507</v>
      </c>
      <c r="Q1803" s="119">
        <v>-1255261</v>
      </c>
      <c r="R1803" s="120">
        <v>3406246</v>
      </c>
    </row>
    <row r="1804" spans="1:18" ht="22.5" x14ac:dyDescent="0.3">
      <c r="A1804" s="142" t="s">
        <v>3047</v>
      </c>
      <c r="O1804" s="109" t="s">
        <v>71</v>
      </c>
      <c r="P1804" s="119">
        <v>-11848994</v>
      </c>
      <c r="Q1804" s="119">
        <v>24332374</v>
      </c>
      <c r="R1804" s="120">
        <v>12483380</v>
      </c>
    </row>
    <row r="1805" spans="1:18" x14ac:dyDescent="0.3">
      <c r="A1805" s="1695" t="s">
        <v>826</v>
      </c>
      <c r="B1805" s="1696"/>
      <c r="C1805" s="1697"/>
      <c r="O1805" s="109" t="s">
        <v>3048</v>
      </c>
      <c r="P1805" s="119">
        <v>126416732</v>
      </c>
      <c r="Q1805" s="119">
        <v>-16591290</v>
      </c>
      <c r="R1805" s="120">
        <v>109825442</v>
      </c>
    </row>
    <row r="1806" spans="1:18" x14ac:dyDescent="0.3">
      <c r="A1806" s="161" t="s">
        <v>977</v>
      </c>
      <c r="B1806" s="134" t="s">
        <v>789</v>
      </c>
      <c r="C1806" s="135" t="s">
        <v>843</v>
      </c>
      <c r="O1806" s="109" t="s">
        <v>3049</v>
      </c>
      <c r="P1806" s="119">
        <v>214799353</v>
      </c>
      <c r="Q1806" s="119">
        <v>3472408</v>
      </c>
      <c r="R1806" s="120">
        <v>218271761</v>
      </c>
    </row>
    <row r="1807" spans="1:18" x14ac:dyDescent="0.3">
      <c r="A1807" s="109" t="s">
        <v>1647</v>
      </c>
      <c r="B1807" s="111" t="s">
        <v>3050</v>
      </c>
      <c r="C1807" s="112" t="s">
        <v>3051</v>
      </c>
      <c r="O1807" s="114" t="s">
        <v>3052</v>
      </c>
      <c r="P1807" s="119">
        <v>235821333</v>
      </c>
      <c r="Q1807" s="119">
        <v>1620461</v>
      </c>
      <c r="R1807" s="120">
        <v>237441794</v>
      </c>
    </row>
    <row r="1808" spans="1:18" x14ac:dyDescent="0.3">
      <c r="A1808" s="109" t="s">
        <v>1984</v>
      </c>
      <c r="B1808" s="111" t="s">
        <v>3053</v>
      </c>
      <c r="C1808" s="112" t="s">
        <v>3054</v>
      </c>
      <c r="O1808" s="121" t="s">
        <v>3055</v>
      </c>
      <c r="P1808" s="126">
        <v>-21021980</v>
      </c>
      <c r="Q1808" s="126">
        <v>1851947</v>
      </c>
      <c r="R1808" s="127">
        <v>-19170033</v>
      </c>
    </row>
    <row r="1809" spans="1:18" ht="90" x14ac:dyDescent="0.3">
      <c r="A1809" s="109" t="s">
        <v>527</v>
      </c>
      <c r="B1809" s="111" t="s">
        <v>3056</v>
      </c>
      <c r="C1809" s="112" t="s">
        <v>3057</v>
      </c>
      <c r="O1809" s="142" t="s">
        <v>3058</v>
      </c>
    </row>
    <row r="1810" spans="1:18" x14ac:dyDescent="0.3">
      <c r="A1810" s="146" t="s">
        <v>774</v>
      </c>
      <c r="B1810" s="123" t="s">
        <v>3059</v>
      </c>
      <c r="C1810" s="124" t="s">
        <v>3060</v>
      </c>
      <c r="O1810" s="143"/>
    </row>
    <row r="1811" spans="1:18" ht="33.75" x14ac:dyDescent="0.3">
      <c r="A1811" s="142" t="s">
        <v>3061</v>
      </c>
      <c r="O1811" s="142" t="s">
        <v>3062</v>
      </c>
    </row>
    <row r="1812" spans="1:18" x14ac:dyDescent="0.15">
      <c r="O1812" s="1728" t="s">
        <v>826</v>
      </c>
      <c r="P1812" s="1729"/>
      <c r="Q1812" s="1729"/>
      <c r="R1812" s="1730"/>
    </row>
    <row r="1813" spans="1:18" x14ac:dyDescent="0.15">
      <c r="O1813" s="161" t="s">
        <v>2562</v>
      </c>
      <c r="P1813" s="210" t="s">
        <v>2726</v>
      </c>
      <c r="Q1813" s="210" t="s">
        <v>1878</v>
      </c>
      <c r="R1813" s="149" t="s">
        <v>2727</v>
      </c>
    </row>
    <row r="1814" spans="1:18" x14ac:dyDescent="0.3">
      <c r="A1814" s="142" t="s">
        <v>3063</v>
      </c>
      <c r="O1814" s="1712" t="s">
        <v>2713</v>
      </c>
      <c r="P1814" s="1741"/>
      <c r="Q1814" s="117">
        <v>61147406</v>
      </c>
      <c r="R1814" s="171" t="s">
        <v>199</v>
      </c>
    </row>
    <row r="1815" spans="1:18" x14ac:dyDescent="0.3">
      <c r="O1815" s="1712" t="s">
        <v>2729</v>
      </c>
      <c r="P1815" s="1741"/>
      <c r="Q1815" s="117">
        <v>66468947</v>
      </c>
      <c r="R1815" s="171" t="s">
        <v>199</v>
      </c>
    </row>
    <row r="1816" spans="1:18" x14ac:dyDescent="0.3">
      <c r="O1816" s="1720" t="s">
        <v>2731</v>
      </c>
      <c r="P1816" s="150" t="s">
        <v>2734</v>
      </c>
      <c r="Q1816" s="117">
        <v>5421618</v>
      </c>
      <c r="R1816" s="186" t="s">
        <v>2352</v>
      </c>
    </row>
    <row r="1817" spans="1:18" x14ac:dyDescent="0.3">
      <c r="A1817" s="143"/>
      <c r="O1817" s="1721"/>
      <c r="P1817" s="150" t="s">
        <v>2736</v>
      </c>
      <c r="Q1817" s="117">
        <v>9122490</v>
      </c>
      <c r="R1817" s="186" t="s">
        <v>2738</v>
      </c>
    </row>
    <row r="1818" spans="1:18" ht="22.5" x14ac:dyDescent="0.3">
      <c r="A1818" s="142" t="s">
        <v>3064</v>
      </c>
      <c r="O1818" s="1721"/>
      <c r="P1818" s="150" t="s">
        <v>2739</v>
      </c>
      <c r="Q1818" s="117">
        <v>2812724</v>
      </c>
      <c r="R1818" s="186" t="s">
        <v>2741</v>
      </c>
    </row>
    <row r="1819" spans="1:18" x14ac:dyDescent="0.3">
      <c r="A1819" s="128"/>
      <c r="O1819" s="1721"/>
      <c r="P1819" s="150" t="s">
        <v>2743</v>
      </c>
      <c r="Q1819" s="117">
        <v>554747</v>
      </c>
      <c r="R1819" s="186" t="s">
        <v>2745</v>
      </c>
    </row>
    <row r="1820" spans="1:18" x14ac:dyDescent="0.3">
      <c r="A1820" s="128"/>
      <c r="O1820" s="1721"/>
      <c r="P1820" s="150" t="s">
        <v>2746</v>
      </c>
      <c r="Q1820" s="117">
        <v>35732698</v>
      </c>
      <c r="R1820" s="186" t="s">
        <v>2748</v>
      </c>
    </row>
    <row r="1821" spans="1:18" x14ac:dyDescent="0.3">
      <c r="A1821" s="1695" t="s">
        <v>826</v>
      </c>
      <c r="B1821" s="1696"/>
      <c r="C1821" s="1697"/>
      <c r="O1821" s="1721"/>
      <c r="P1821" s="150" t="s">
        <v>2750</v>
      </c>
      <c r="Q1821" s="117">
        <v>11340481</v>
      </c>
      <c r="R1821" s="186" t="s">
        <v>2752</v>
      </c>
    </row>
    <row r="1822" spans="1:18" x14ac:dyDescent="0.3">
      <c r="A1822" s="161" t="s">
        <v>788</v>
      </c>
      <c r="B1822" s="134" t="s">
        <v>789</v>
      </c>
      <c r="C1822" s="135" t="s">
        <v>843</v>
      </c>
      <c r="O1822" s="1721"/>
      <c r="P1822" s="150" t="s">
        <v>2758</v>
      </c>
      <c r="Q1822" s="117">
        <v>16217490</v>
      </c>
      <c r="R1822" s="186" t="s">
        <v>2760</v>
      </c>
    </row>
    <row r="1823" spans="1:18" x14ac:dyDescent="0.3">
      <c r="A1823" s="109" t="s">
        <v>3065</v>
      </c>
      <c r="B1823" s="115" t="s">
        <v>3066</v>
      </c>
      <c r="C1823" s="112" t="s">
        <v>3067</v>
      </c>
      <c r="O1823" s="1721"/>
      <c r="P1823" s="150" t="s">
        <v>2764</v>
      </c>
      <c r="Q1823" s="117">
        <v>15294417</v>
      </c>
      <c r="R1823" s="186" t="s">
        <v>2766</v>
      </c>
    </row>
    <row r="1824" spans="1:18" x14ac:dyDescent="0.3">
      <c r="A1824" s="109" t="s">
        <v>3068</v>
      </c>
      <c r="B1824" s="115" t="s">
        <v>3069</v>
      </c>
      <c r="C1824" s="112" t="s">
        <v>3070</v>
      </c>
      <c r="O1824" s="1721"/>
      <c r="P1824" s="150" t="s">
        <v>2771</v>
      </c>
      <c r="Q1824" s="117">
        <v>11176406</v>
      </c>
      <c r="R1824" s="186" t="s">
        <v>2773</v>
      </c>
    </row>
    <row r="1825" spans="1:18" x14ac:dyDescent="0.3">
      <c r="A1825" s="109" t="s">
        <v>3071</v>
      </c>
      <c r="B1825" s="115" t="s">
        <v>3072</v>
      </c>
      <c r="C1825" s="112" t="s">
        <v>1420</v>
      </c>
      <c r="O1825" s="1721"/>
      <c r="P1825" s="150" t="s">
        <v>2351</v>
      </c>
      <c r="Q1825" s="117">
        <v>2152371</v>
      </c>
      <c r="R1825" s="186" t="s">
        <v>3073</v>
      </c>
    </row>
    <row r="1826" spans="1:18" x14ac:dyDescent="0.3">
      <c r="A1826" s="109" t="s">
        <v>3074</v>
      </c>
      <c r="B1826" s="115" t="s">
        <v>3075</v>
      </c>
      <c r="C1826" s="112" t="s">
        <v>1420</v>
      </c>
      <c r="O1826" s="1734"/>
      <c r="P1826" s="150" t="s">
        <v>1735</v>
      </c>
      <c r="Q1826" s="117">
        <v>109825442</v>
      </c>
      <c r="R1826" s="112"/>
    </row>
    <row r="1827" spans="1:18" x14ac:dyDescent="0.3">
      <c r="A1827" s="121" t="s">
        <v>3076</v>
      </c>
      <c r="B1827" s="136" t="s">
        <v>3077</v>
      </c>
      <c r="C1827" s="137" t="s">
        <v>3078</v>
      </c>
      <c r="O1827" s="1720" t="s">
        <v>2775</v>
      </c>
      <c r="P1827" s="150" t="s">
        <v>2743</v>
      </c>
      <c r="Q1827" s="111" t="s">
        <v>199</v>
      </c>
      <c r="R1827" s="171" t="s">
        <v>2745</v>
      </c>
    </row>
    <row r="1828" spans="1:18" x14ac:dyDescent="0.3">
      <c r="O1828" s="1721"/>
      <c r="P1828" s="150" t="s">
        <v>2746</v>
      </c>
      <c r="Q1828" s="111" t="s">
        <v>199</v>
      </c>
      <c r="R1828" s="171" t="s">
        <v>2748</v>
      </c>
    </row>
    <row r="1829" spans="1:18" ht="22.5" x14ac:dyDescent="0.3">
      <c r="A1829" s="142" t="s">
        <v>3079</v>
      </c>
      <c r="O1829" s="1721"/>
      <c r="P1829" s="150" t="s">
        <v>2750</v>
      </c>
      <c r="Q1829" s="117">
        <v>68635</v>
      </c>
      <c r="R1829" s="171" t="s">
        <v>2752</v>
      </c>
    </row>
    <row r="1830" spans="1:18" x14ac:dyDescent="0.3">
      <c r="A1830" s="143"/>
      <c r="O1830" s="1721"/>
      <c r="P1830" s="150" t="s">
        <v>2758</v>
      </c>
      <c r="Q1830" s="117">
        <v>33745</v>
      </c>
      <c r="R1830" s="171" t="s">
        <v>2760</v>
      </c>
    </row>
    <row r="1831" spans="1:18" x14ac:dyDescent="0.3">
      <c r="A1831" s="142" t="s">
        <v>840</v>
      </c>
      <c r="O1831" s="1721"/>
      <c r="P1831" s="150" t="s">
        <v>2764</v>
      </c>
      <c r="Q1831" s="117">
        <v>20745</v>
      </c>
      <c r="R1831" s="171" t="s">
        <v>2766</v>
      </c>
    </row>
    <row r="1832" spans="1:18" x14ac:dyDescent="0.3">
      <c r="O1832" s="1721"/>
      <c r="P1832" s="150" t="s">
        <v>2771</v>
      </c>
      <c r="Q1832" s="117">
        <v>73172</v>
      </c>
      <c r="R1832" s="171" t="s">
        <v>2782</v>
      </c>
    </row>
    <row r="1833" spans="1:18" x14ac:dyDescent="0.3">
      <c r="A1833" s="1695" t="s">
        <v>826</v>
      </c>
      <c r="B1833" s="1696"/>
      <c r="C1833" s="1696"/>
      <c r="D1833" s="1696"/>
      <c r="E1833" s="1696"/>
      <c r="F1833" s="1697"/>
      <c r="O1833" s="1721"/>
      <c r="P1833" s="150" t="s">
        <v>2351</v>
      </c>
      <c r="Q1833" s="111" t="s">
        <v>199</v>
      </c>
      <c r="R1833" s="171" t="s">
        <v>3080</v>
      </c>
    </row>
    <row r="1834" spans="1:18" x14ac:dyDescent="0.3">
      <c r="A1834" s="1698" t="s">
        <v>788</v>
      </c>
      <c r="B1834" s="1716" t="s">
        <v>1120</v>
      </c>
      <c r="C1834" s="1716" t="s">
        <v>3081</v>
      </c>
      <c r="D1834" s="1699" t="s">
        <v>3082</v>
      </c>
      <c r="E1834" s="1701"/>
      <c r="F1834" s="1718" t="s">
        <v>1127</v>
      </c>
      <c r="O1834" s="1722"/>
      <c r="P1834" s="153" t="s">
        <v>1735</v>
      </c>
      <c r="Q1834" s="130">
        <v>196297</v>
      </c>
      <c r="R1834" s="124"/>
    </row>
    <row r="1835" spans="1:18" x14ac:dyDescent="0.3">
      <c r="A1835" s="1690"/>
      <c r="B1835" s="1692"/>
      <c r="C1835" s="1692"/>
      <c r="D1835" s="134" t="s">
        <v>3083</v>
      </c>
      <c r="E1835" s="134" t="s">
        <v>71</v>
      </c>
      <c r="F1835" s="1694"/>
      <c r="O1835" s="143"/>
    </row>
    <row r="1836" spans="1:18" x14ac:dyDescent="0.3">
      <c r="A1836" s="121" t="s">
        <v>1842</v>
      </c>
      <c r="B1836" s="136" t="s">
        <v>1869</v>
      </c>
      <c r="C1836" s="130">
        <v>-2501406</v>
      </c>
      <c r="D1836" s="123" t="s">
        <v>1650</v>
      </c>
      <c r="E1836" s="123" t="s">
        <v>3084</v>
      </c>
      <c r="F1836" s="124" t="s">
        <v>1849</v>
      </c>
      <c r="O1836" s="143"/>
    </row>
    <row r="1837" spans="1:18" x14ac:dyDescent="0.3">
      <c r="O1837" s="142" t="s">
        <v>3085</v>
      </c>
    </row>
    <row r="1838" spans="1:18" x14ac:dyDescent="0.3">
      <c r="A1838" s="142" t="s">
        <v>841</v>
      </c>
      <c r="O1838" s="143"/>
    </row>
    <row r="1839" spans="1:18" x14ac:dyDescent="0.3">
      <c r="A1839" s="1695" t="s">
        <v>826</v>
      </c>
      <c r="B1839" s="1696"/>
      <c r="C1839" s="1696"/>
      <c r="D1839" s="1696"/>
      <c r="E1839" s="1696"/>
      <c r="F1839" s="1696"/>
      <c r="G1839" s="1697"/>
      <c r="O1839" s="142" t="s">
        <v>2814</v>
      </c>
    </row>
    <row r="1840" spans="1:18" x14ac:dyDescent="0.3">
      <c r="A1840" s="1698" t="s">
        <v>788</v>
      </c>
      <c r="B1840" s="1716" t="s">
        <v>1120</v>
      </c>
      <c r="C1840" s="1716" t="s">
        <v>3081</v>
      </c>
      <c r="D1840" s="1699" t="s">
        <v>3082</v>
      </c>
      <c r="E1840" s="1700"/>
      <c r="F1840" s="1701"/>
      <c r="G1840" s="1718" t="s">
        <v>1127</v>
      </c>
      <c r="O1840" s="1695" t="s">
        <v>2815</v>
      </c>
      <c r="P1840" s="1696"/>
      <c r="Q1840" s="1697"/>
    </row>
    <row r="1841" spans="1:17" x14ac:dyDescent="0.3">
      <c r="A1841" s="1690"/>
      <c r="B1841" s="1692"/>
      <c r="C1841" s="1692"/>
      <c r="D1841" s="134" t="s">
        <v>3083</v>
      </c>
      <c r="E1841" s="134" t="s">
        <v>3086</v>
      </c>
      <c r="F1841" s="134" t="s">
        <v>71</v>
      </c>
      <c r="G1841" s="1694"/>
      <c r="O1841" s="161" t="s">
        <v>3087</v>
      </c>
      <c r="P1841" s="134" t="s">
        <v>789</v>
      </c>
      <c r="Q1841" s="135" t="s">
        <v>843</v>
      </c>
    </row>
    <row r="1842" spans="1:17" x14ac:dyDescent="0.3">
      <c r="A1842" s="109" t="s">
        <v>3088</v>
      </c>
      <c r="B1842" s="115" t="s">
        <v>3089</v>
      </c>
      <c r="C1842" s="111" t="s">
        <v>1420</v>
      </c>
      <c r="D1842" s="111" t="s">
        <v>3090</v>
      </c>
      <c r="E1842" s="117">
        <v>-5363032</v>
      </c>
      <c r="F1842" s="111" t="s">
        <v>1420</v>
      </c>
      <c r="G1842" s="112" t="s">
        <v>1420</v>
      </c>
      <c r="O1842" s="109" t="s">
        <v>449</v>
      </c>
      <c r="P1842" s="119">
        <v>-16103093025</v>
      </c>
      <c r="Q1842" s="120">
        <v>-23067872601</v>
      </c>
    </row>
    <row r="1843" spans="1:17" x14ac:dyDescent="0.3">
      <c r="A1843" s="109" t="s">
        <v>3091</v>
      </c>
      <c r="B1843" s="115" t="s">
        <v>1420</v>
      </c>
      <c r="C1843" s="117">
        <v>-465736</v>
      </c>
      <c r="D1843" s="111" t="s">
        <v>1420</v>
      </c>
      <c r="E1843" s="111" t="s">
        <v>1420</v>
      </c>
      <c r="F1843" s="111" t="s">
        <v>3092</v>
      </c>
      <c r="G1843" s="112" t="s">
        <v>1420</v>
      </c>
      <c r="O1843" s="109" t="s">
        <v>2133</v>
      </c>
      <c r="P1843" s="119">
        <v>56859047</v>
      </c>
      <c r="Q1843" s="120">
        <v>56859047</v>
      </c>
    </row>
    <row r="1844" spans="1:17" x14ac:dyDescent="0.3">
      <c r="A1844" s="109" t="s">
        <v>1842</v>
      </c>
      <c r="B1844" s="115" t="s">
        <v>1420</v>
      </c>
      <c r="C1844" s="117">
        <v>-2717632</v>
      </c>
      <c r="D1844" s="111" t="s">
        <v>3093</v>
      </c>
      <c r="E1844" s="111" t="s">
        <v>1420</v>
      </c>
      <c r="F1844" s="111" t="s">
        <v>3094</v>
      </c>
      <c r="G1844" s="112" t="s">
        <v>1869</v>
      </c>
      <c r="O1844" s="121" t="s">
        <v>3095</v>
      </c>
      <c r="P1844" s="136">
        <v>-283</v>
      </c>
      <c r="Q1844" s="137">
        <v>-406</v>
      </c>
    </row>
    <row r="1845" spans="1:17" x14ac:dyDescent="0.3">
      <c r="A1845" s="146" t="s">
        <v>774</v>
      </c>
      <c r="B1845" s="136" t="s">
        <v>3089</v>
      </c>
      <c r="C1845" s="130">
        <v>-3183368</v>
      </c>
      <c r="D1845" s="123" t="s">
        <v>3096</v>
      </c>
      <c r="E1845" s="130">
        <v>-5363032</v>
      </c>
      <c r="F1845" s="123" t="s">
        <v>3097</v>
      </c>
      <c r="G1845" s="124" t="s">
        <v>1869</v>
      </c>
    </row>
    <row r="1846" spans="1:17" ht="33.75" x14ac:dyDescent="0.3">
      <c r="A1846" s="142" t="s">
        <v>3098</v>
      </c>
      <c r="O1846" s="142" t="s">
        <v>2825</v>
      </c>
    </row>
    <row r="1847" spans="1:17" x14ac:dyDescent="0.3">
      <c r="O1847" s="1695" t="s">
        <v>2531</v>
      </c>
      <c r="P1847" s="1696"/>
      <c r="Q1847" s="1697"/>
    </row>
    <row r="1848" spans="1:17" x14ac:dyDescent="0.3">
      <c r="O1848" s="161" t="s">
        <v>3087</v>
      </c>
      <c r="P1848" s="134" t="s">
        <v>789</v>
      </c>
      <c r="Q1848" s="135" t="s">
        <v>843</v>
      </c>
    </row>
    <row r="1849" spans="1:17" x14ac:dyDescent="0.3">
      <c r="A1849" s="142" t="s">
        <v>3099</v>
      </c>
      <c r="O1849" s="109" t="s">
        <v>2827</v>
      </c>
      <c r="P1849" s="119">
        <v>56859847</v>
      </c>
      <c r="Q1849" s="120">
        <v>56859847</v>
      </c>
    </row>
    <row r="1850" spans="1:17" x14ac:dyDescent="0.3">
      <c r="A1850" s="143"/>
      <c r="O1850" s="109" t="s">
        <v>2831</v>
      </c>
      <c r="P1850" s="115">
        <v>-800</v>
      </c>
      <c r="Q1850" s="116">
        <v>-800</v>
      </c>
    </row>
    <row r="1851" spans="1:17" x14ac:dyDescent="0.3">
      <c r="A1851" s="142" t="s">
        <v>3100</v>
      </c>
      <c r="O1851" s="121" t="s">
        <v>2833</v>
      </c>
      <c r="P1851" s="126">
        <v>56859047</v>
      </c>
      <c r="Q1851" s="137" t="s">
        <v>2820</v>
      </c>
    </row>
    <row r="1853" spans="1:17" ht="45" x14ac:dyDescent="0.3">
      <c r="O1853" s="142" t="s">
        <v>3101</v>
      </c>
    </row>
    <row r="1854" spans="1:17" x14ac:dyDescent="0.3">
      <c r="A1854" s="142" t="s">
        <v>840</v>
      </c>
    </row>
    <row r="1855" spans="1:17" x14ac:dyDescent="0.3">
      <c r="A1855" s="128"/>
      <c r="O1855" s="142" t="s">
        <v>2836</v>
      </c>
    </row>
    <row r="1856" spans="1:17" x14ac:dyDescent="0.3">
      <c r="A1856" s="128"/>
      <c r="O1856" s="143"/>
    </row>
    <row r="1857" spans="1:17" ht="33.75" x14ac:dyDescent="0.3">
      <c r="A1857" s="1695" t="s">
        <v>826</v>
      </c>
      <c r="B1857" s="1696"/>
      <c r="C1857" s="1696"/>
      <c r="D1857" s="1696"/>
      <c r="E1857" s="1696"/>
      <c r="F1857" s="1696"/>
      <c r="G1857" s="1697"/>
      <c r="O1857" s="142" t="s">
        <v>2837</v>
      </c>
    </row>
    <row r="1858" spans="1:17" x14ac:dyDescent="0.3">
      <c r="A1858" s="161" t="s">
        <v>788</v>
      </c>
      <c r="B1858" s="134" t="s">
        <v>3102</v>
      </c>
      <c r="C1858" s="134" t="s">
        <v>2416</v>
      </c>
      <c r="D1858" s="134" t="s">
        <v>2417</v>
      </c>
      <c r="E1858" s="134" t="s">
        <v>3103</v>
      </c>
      <c r="F1858" s="134" t="s">
        <v>2229</v>
      </c>
      <c r="G1858" s="135" t="s">
        <v>820</v>
      </c>
      <c r="O1858" s="128"/>
    </row>
    <row r="1859" spans="1:17" x14ac:dyDescent="0.15">
      <c r="A1859" s="109" t="s">
        <v>3104</v>
      </c>
      <c r="B1859" s="179" t="s">
        <v>3105</v>
      </c>
      <c r="C1859" s="179" t="s">
        <v>3106</v>
      </c>
      <c r="D1859" s="183">
        <v>-458939</v>
      </c>
      <c r="E1859" s="183">
        <v>-2293823</v>
      </c>
      <c r="F1859" s="183">
        <v>-1453</v>
      </c>
      <c r="G1859" s="185" t="s">
        <v>3107</v>
      </c>
      <c r="O1859" s="106" t="s">
        <v>1237</v>
      </c>
      <c r="P1859" s="107" t="s">
        <v>2203</v>
      </c>
      <c r="Q1859" s="108" t="s">
        <v>2839</v>
      </c>
    </row>
    <row r="1860" spans="1:17" x14ac:dyDescent="0.15">
      <c r="A1860" s="109" t="s">
        <v>1146</v>
      </c>
      <c r="B1860" s="179" t="s">
        <v>3108</v>
      </c>
      <c r="C1860" s="179" t="s">
        <v>1420</v>
      </c>
      <c r="D1860" s="179" t="s">
        <v>1420</v>
      </c>
      <c r="E1860" s="183">
        <v>-38021</v>
      </c>
      <c r="F1860" s="179" t="s">
        <v>1420</v>
      </c>
      <c r="G1860" s="185" t="s">
        <v>3109</v>
      </c>
      <c r="O1860" s="109" t="s">
        <v>1565</v>
      </c>
      <c r="P1860" s="150" t="s">
        <v>3110</v>
      </c>
      <c r="Q1860" s="116" t="s">
        <v>3111</v>
      </c>
    </row>
    <row r="1861" spans="1:17" x14ac:dyDescent="0.15">
      <c r="A1861" s="109" t="s">
        <v>71</v>
      </c>
      <c r="B1861" s="179" t="s">
        <v>1420</v>
      </c>
      <c r="C1861" s="179" t="s">
        <v>3112</v>
      </c>
      <c r="D1861" s="179" t="s">
        <v>1420</v>
      </c>
      <c r="E1861" s="183">
        <v>-4015</v>
      </c>
      <c r="F1861" s="179" t="s">
        <v>1420</v>
      </c>
      <c r="G1861" s="185" t="s">
        <v>3113</v>
      </c>
      <c r="O1861" s="109" t="s">
        <v>1853</v>
      </c>
      <c r="P1861" s="150" t="s">
        <v>2840</v>
      </c>
      <c r="Q1861" s="116" t="s">
        <v>2810</v>
      </c>
    </row>
    <row r="1862" spans="1:17" x14ac:dyDescent="0.15">
      <c r="A1862" s="146" t="s">
        <v>1462</v>
      </c>
      <c r="B1862" s="181" t="s">
        <v>2146</v>
      </c>
      <c r="C1862" s="181" t="s">
        <v>3114</v>
      </c>
      <c r="D1862" s="184">
        <v>-458939</v>
      </c>
      <c r="E1862" s="184">
        <v>-2335859</v>
      </c>
      <c r="F1862" s="184">
        <v>-1453</v>
      </c>
      <c r="G1862" s="200" t="s">
        <v>2122</v>
      </c>
      <c r="O1862" s="109" t="s">
        <v>1853</v>
      </c>
      <c r="P1862" s="150" t="s">
        <v>2841</v>
      </c>
      <c r="Q1862" s="116" t="s">
        <v>2811</v>
      </c>
    </row>
    <row r="1863" spans="1:17" x14ac:dyDescent="0.3">
      <c r="A1863" s="142"/>
      <c r="O1863" s="121" t="s">
        <v>1853</v>
      </c>
      <c r="P1863" s="153" t="s">
        <v>2842</v>
      </c>
      <c r="Q1863" s="137" t="s">
        <v>2812</v>
      </c>
    </row>
    <row r="1864" spans="1:17" x14ac:dyDescent="0.3">
      <c r="A1864" s="142" t="s">
        <v>841</v>
      </c>
    </row>
    <row r="1865" spans="1:17" x14ac:dyDescent="0.3">
      <c r="A1865" s="1695" t="s">
        <v>826</v>
      </c>
      <c r="B1865" s="1696"/>
      <c r="C1865" s="1696"/>
      <c r="D1865" s="1696"/>
      <c r="E1865" s="1696"/>
      <c r="F1865" s="1696"/>
      <c r="G1865" s="1697"/>
    </row>
    <row r="1866" spans="1:17" x14ac:dyDescent="0.3">
      <c r="A1866" s="161" t="s">
        <v>788</v>
      </c>
      <c r="B1866" s="134" t="s">
        <v>2205</v>
      </c>
      <c r="C1866" s="134" t="s">
        <v>2416</v>
      </c>
      <c r="D1866" s="134" t="s">
        <v>3115</v>
      </c>
      <c r="E1866" s="134" t="s">
        <v>3103</v>
      </c>
      <c r="F1866" s="134" t="s">
        <v>2229</v>
      </c>
      <c r="G1866" s="135" t="s">
        <v>787</v>
      </c>
      <c r="O1866" s="142" t="s">
        <v>3116</v>
      </c>
    </row>
    <row r="1867" spans="1:17" x14ac:dyDescent="0.15">
      <c r="A1867" s="109" t="s">
        <v>3104</v>
      </c>
      <c r="B1867" s="179" t="s">
        <v>3117</v>
      </c>
      <c r="C1867" s="179" t="s">
        <v>3118</v>
      </c>
      <c r="D1867" s="183">
        <v>-93578</v>
      </c>
      <c r="E1867" s="183">
        <v>-2466354</v>
      </c>
      <c r="F1867" s="179" t="s">
        <v>3119</v>
      </c>
      <c r="G1867" s="185" t="s">
        <v>3105</v>
      </c>
    </row>
    <row r="1868" spans="1:17" x14ac:dyDescent="0.15">
      <c r="A1868" s="109" t="s">
        <v>1146</v>
      </c>
      <c r="B1868" s="179" t="s">
        <v>3120</v>
      </c>
      <c r="C1868" s="179" t="s">
        <v>3121</v>
      </c>
      <c r="D1868" s="183">
        <v>-13874</v>
      </c>
      <c r="E1868" s="183">
        <v>-42235</v>
      </c>
      <c r="F1868" s="179" t="s">
        <v>3122</v>
      </c>
      <c r="G1868" s="185" t="s">
        <v>3108</v>
      </c>
    </row>
    <row r="1869" spans="1:17" x14ac:dyDescent="0.15">
      <c r="A1869" s="146" t="s">
        <v>1462</v>
      </c>
      <c r="B1869" s="181" t="s">
        <v>2206</v>
      </c>
      <c r="C1869" s="181" t="s">
        <v>3123</v>
      </c>
      <c r="D1869" s="184">
        <v>-107452</v>
      </c>
      <c r="E1869" s="184">
        <v>-2508589</v>
      </c>
      <c r="F1869" s="181" t="s">
        <v>3124</v>
      </c>
      <c r="G1869" s="200" t="s">
        <v>2146</v>
      </c>
      <c r="O1869" s="143"/>
    </row>
    <row r="1870" spans="1:17" ht="45" x14ac:dyDescent="0.3">
      <c r="A1870" s="142"/>
      <c r="O1870" s="142" t="s">
        <v>3125</v>
      </c>
    </row>
    <row r="1871" spans="1:17" ht="22.5" x14ac:dyDescent="0.3">
      <c r="A1871" s="142" t="s">
        <v>3126</v>
      </c>
      <c r="O1871" s="143"/>
    </row>
    <row r="1872" spans="1:17" ht="33.75" x14ac:dyDescent="0.3">
      <c r="A1872" s="1695" t="s">
        <v>826</v>
      </c>
      <c r="B1872" s="1696"/>
      <c r="C1872" s="1697"/>
      <c r="O1872" s="142" t="s">
        <v>3127</v>
      </c>
    </row>
    <row r="1873" spans="1:16" x14ac:dyDescent="0.3">
      <c r="A1873" s="161" t="s">
        <v>788</v>
      </c>
      <c r="B1873" s="134" t="s">
        <v>789</v>
      </c>
      <c r="C1873" s="135" t="s">
        <v>843</v>
      </c>
      <c r="O1873" s="143"/>
    </row>
    <row r="1874" spans="1:16" x14ac:dyDescent="0.15">
      <c r="A1874" s="121" t="s">
        <v>413</v>
      </c>
      <c r="B1874" s="181" t="s">
        <v>3128</v>
      </c>
      <c r="C1874" s="137" t="s">
        <v>3129</v>
      </c>
      <c r="O1874" s="142" t="s">
        <v>3130</v>
      </c>
    </row>
    <row r="1875" spans="1:16" ht="67.5" x14ac:dyDescent="0.3">
      <c r="A1875" s="143"/>
      <c r="O1875" s="142" t="s">
        <v>3131</v>
      </c>
    </row>
    <row r="1876" spans="1:16" ht="22.5" x14ac:dyDescent="0.3">
      <c r="A1876" s="142" t="s">
        <v>3132</v>
      </c>
    </row>
    <row r="1877" spans="1:16" x14ac:dyDescent="0.3">
      <c r="A1877" s="1695" t="s">
        <v>826</v>
      </c>
      <c r="B1877" s="1696"/>
      <c r="C1877" s="1696"/>
      <c r="D1877" s="1696"/>
      <c r="E1877" s="1696"/>
      <c r="F1877" s="1696"/>
      <c r="G1877" s="1696"/>
      <c r="H1877" s="1696"/>
      <c r="I1877" s="1697"/>
    </row>
    <row r="1878" spans="1:16" x14ac:dyDescent="0.3">
      <c r="A1878" s="161" t="s">
        <v>788</v>
      </c>
      <c r="B1878" s="134" t="s">
        <v>1120</v>
      </c>
      <c r="C1878" s="134" t="s">
        <v>2205</v>
      </c>
      <c r="D1878" s="134" t="s">
        <v>2416</v>
      </c>
      <c r="E1878" s="134" t="s">
        <v>2417</v>
      </c>
      <c r="F1878" s="134" t="s">
        <v>3133</v>
      </c>
      <c r="G1878" s="134" t="s">
        <v>2049</v>
      </c>
      <c r="H1878" s="134" t="s">
        <v>2229</v>
      </c>
      <c r="I1878" s="135" t="s">
        <v>1127</v>
      </c>
      <c r="O1878" s="143"/>
    </row>
    <row r="1879" spans="1:16" x14ac:dyDescent="0.15">
      <c r="A1879" s="109" t="s">
        <v>789</v>
      </c>
      <c r="B1879" s="179" t="s">
        <v>1869</v>
      </c>
      <c r="C1879" s="179" t="s">
        <v>1420</v>
      </c>
      <c r="D1879" s="179" t="s">
        <v>3134</v>
      </c>
      <c r="E1879" s="183">
        <v>-485025</v>
      </c>
      <c r="F1879" s="183">
        <v>-2501406</v>
      </c>
      <c r="G1879" s="179" t="s">
        <v>1650</v>
      </c>
      <c r="H1879" s="183">
        <v>-2311</v>
      </c>
      <c r="I1879" s="180">
        <v>5346976</v>
      </c>
      <c r="O1879" s="142" t="s">
        <v>3135</v>
      </c>
    </row>
    <row r="1880" spans="1:16" x14ac:dyDescent="0.15">
      <c r="A1880" s="121" t="s">
        <v>843</v>
      </c>
      <c r="B1880" s="181" t="s">
        <v>1420</v>
      </c>
      <c r="C1880" s="181" t="s">
        <v>3136</v>
      </c>
      <c r="D1880" s="181" t="s">
        <v>3137</v>
      </c>
      <c r="E1880" s="184">
        <v>-109692</v>
      </c>
      <c r="F1880" s="184">
        <v>-2717632</v>
      </c>
      <c r="G1880" s="181" t="s">
        <v>3093</v>
      </c>
      <c r="H1880" s="181" t="s">
        <v>3138</v>
      </c>
      <c r="I1880" s="182">
        <v>3246118</v>
      </c>
    </row>
    <row r="1882" spans="1:16" ht="22.5" x14ac:dyDescent="0.3">
      <c r="A1882" s="142" t="s">
        <v>3139</v>
      </c>
      <c r="O1882" s="143"/>
    </row>
    <row r="1883" spans="1:16" ht="22.5" x14ac:dyDescent="0.3">
      <c r="A1883" s="128"/>
      <c r="O1883" s="142" t="s">
        <v>2851</v>
      </c>
    </row>
    <row r="1884" spans="1:16" x14ac:dyDescent="0.3">
      <c r="A1884" s="1695" t="s">
        <v>826</v>
      </c>
      <c r="B1884" s="1696"/>
      <c r="C1884" s="1697"/>
      <c r="O1884" s="128"/>
    </row>
    <row r="1885" spans="1:16" x14ac:dyDescent="0.3">
      <c r="A1885" s="161" t="s">
        <v>788</v>
      </c>
      <c r="B1885" s="134" t="s">
        <v>789</v>
      </c>
      <c r="C1885" s="135" t="s">
        <v>843</v>
      </c>
      <c r="O1885" s="128"/>
    </row>
    <row r="1886" spans="1:16" x14ac:dyDescent="0.3">
      <c r="A1886" s="114" t="s">
        <v>3140</v>
      </c>
      <c r="B1886" s="111" t="s">
        <v>3141</v>
      </c>
      <c r="C1886" s="112" t="s">
        <v>3142</v>
      </c>
      <c r="O1886" s="106" t="s">
        <v>2245</v>
      </c>
      <c r="P1886" s="108" t="s">
        <v>2246</v>
      </c>
    </row>
    <row r="1887" spans="1:16" x14ac:dyDescent="0.3">
      <c r="A1887" s="125" t="s">
        <v>3143</v>
      </c>
      <c r="B1887" s="123" t="s">
        <v>3144</v>
      </c>
      <c r="C1887" s="124" t="s">
        <v>3145</v>
      </c>
      <c r="O1887" s="162" t="s">
        <v>2251</v>
      </c>
      <c r="P1887" s="167" t="s">
        <v>2252</v>
      </c>
    </row>
    <row r="1888" spans="1:16" x14ac:dyDescent="0.3">
      <c r="A1888" s="143"/>
      <c r="O1888" s="162" t="s">
        <v>2255</v>
      </c>
      <c r="P1888" s="167" t="s">
        <v>3146</v>
      </c>
    </row>
    <row r="1889" spans="1:20" ht="33.75" x14ac:dyDescent="0.3">
      <c r="A1889" s="142" t="s">
        <v>3147</v>
      </c>
      <c r="O1889" s="162" t="s">
        <v>2852</v>
      </c>
      <c r="P1889" s="167" t="s">
        <v>2290</v>
      </c>
    </row>
    <row r="1890" spans="1:20" x14ac:dyDescent="0.3">
      <c r="O1890" s="1706" t="s">
        <v>71</v>
      </c>
      <c r="P1890" s="167" t="s">
        <v>2266</v>
      </c>
    </row>
    <row r="1891" spans="1:20" x14ac:dyDescent="0.3">
      <c r="O1891" s="1744"/>
      <c r="P1891" s="167" t="s">
        <v>2269</v>
      </c>
    </row>
    <row r="1892" spans="1:20" x14ac:dyDescent="0.3">
      <c r="O1892" s="1708"/>
      <c r="P1892" s="168" t="s">
        <v>2855</v>
      </c>
    </row>
    <row r="1893" spans="1:20" ht="33.75" x14ac:dyDescent="0.3">
      <c r="O1893" s="142" t="s">
        <v>3148</v>
      </c>
    </row>
    <row r="1894" spans="1:20" ht="45" x14ac:dyDescent="0.3">
      <c r="O1894" s="142" t="s">
        <v>3149</v>
      </c>
    </row>
    <row r="1896" spans="1:20" ht="22.5" x14ac:dyDescent="0.3">
      <c r="O1896" s="142" t="s">
        <v>2857</v>
      </c>
    </row>
    <row r="1897" spans="1:20" x14ac:dyDescent="0.3">
      <c r="O1897" s="143"/>
    </row>
    <row r="1898" spans="1:20" x14ac:dyDescent="0.3">
      <c r="O1898" s="142" t="s">
        <v>840</v>
      </c>
    </row>
    <row r="1900" spans="1:20" x14ac:dyDescent="0.3">
      <c r="O1900" s="1695" t="s">
        <v>826</v>
      </c>
      <c r="P1900" s="1696"/>
      <c r="Q1900" s="1696"/>
      <c r="R1900" s="1696"/>
      <c r="S1900" s="1696"/>
      <c r="T1900" s="1697"/>
    </row>
    <row r="1901" spans="1:20" x14ac:dyDescent="0.3">
      <c r="O1901" s="161" t="s">
        <v>2245</v>
      </c>
      <c r="P1901" s="134" t="s">
        <v>2246</v>
      </c>
      <c r="Q1901" s="134" t="s">
        <v>832</v>
      </c>
      <c r="R1901" s="134" t="s">
        <v>2286</v>
      </c>
      <c r="S1901" s="134" t="s">
        <v>3150</v>
      </c>
      <c r="T1901" s="135" t="s">
        <v>2288</v>
      </c>
    </row>
    <row r="1902" spans="1:20" x14ac:dyDescent="0.3">
      <c r="O1902" s="114" t="s">
        <v>2860</v>
      </c>
      <c r="P1902" s="113" t="s">
        <v>2252</v>
      </c>
      <c r="Q1902" s="115" t="s">
        <v>199</v>
      </c>
      <c r="R1902" s="115" t="s">
        <v>199</v>
      </c>
      <c r="S1902" s="115" t="s">
        <v>199</v>
      </c>
      <c r="T1902" s="120">
        <v>95052</v>
      </c>
    </row>
    <row r="1903" spans="1:20" x14ac:dyDescent="0.3">
      <c r="O1903" s="114" t="s">
        <v>2255</v>
      </c>
      <c r="P1903" s="113" t="s">
        <v>3151</v>
      </c>
      <c r="Q1903" s="115" t="s">
        <v>199</v>
      </c>
      <c r="R1903" s="115" t="s">
        <v>199</v>
      </c>
      <c r="S1903" s="115" t="s">
        <v>199</v>
      </c>
      <c r="T1903" s="116" t="s">
        <v>199</v>
      </c>
    </row>
    <row r="1904" spans="1:20" x14ac:dyDescent="0.3">
      <c r="O1904" s="114" t="s">
        <v>2258</v>
      </c>
      <c r="P1904" s="110" t="s">
        <v>2290</v>
      </c>
      <c r="Q1904" s="119">
        <v>11576168</v>
      </c>
      <c r="R1904" s="119">
        <v>23619435</v>
      </c>
      <c r="S1904" s="115" t="s">
        <v>199</v>
      </c>
      <c r="T1904" s="116" t="s">
        <v>199</v>
      </c>
    </row>
    <row r="1905" spans="15:20" x14ac:dyDescent="0.3">
      <c r="O1905" s="1720" t="s">
        <v>71</v>
      </c>
      <c r="P1905" s="113" t="s">
        <v>2291</v>
      </c>
      <c r="Q1905" s="119">
        <v>100312771</v>
      </c>
      <c r="R1905" s="119">
        <v>158673</v>
      </c>
      <c r="S1905" s="119">
        <v>249230</v>
      </c>
      <c r="T1905" s="120">
        <v>2475193</v>
      </c>
    </row>
    <row r="1906" spans="15:20" x14ac:dyDescent="0.3">
      <c r="O1906" s="1721"/>
      <c r="P1906" s="113" t="s">
        <v>2315</v>
      </c>
      <c r="Q1906" s="119">
        <v>391955</v>
      </c>
      <c r="R1906" s="115" t="s">
        <v>199</v>
      </c>
      <c r="S1906" s="115" t="s">
        <v>199</v>
      </c>
      <c r="T1906" s="120">
        <v>17352</v>
      </c>
    </row>
    <row r="1907" spans="15:20" x14ac:dyDescent="0.3">
      <c r="O1907" s="1721"/>
      <c r="P1907" s="113" t="s">
        <v>2292</v>
      </c>
      <c r="Q1907" s="119">
        <v>740198</v>
      </c>
      <c r="R1907" s="115" t="s">
        <v>199</v>
      </c>
      <c r="S1907" s="115" t="s">
        <v>199</v>
      </c>
      <c r="T1907" s="120">
        <v>872518</v>
      </c>
    </row>
    <row r="1908" spans="15:20" x14ac:dyDescent="0.3">
      <c r="O1908" s="1721"/>
      <c r="P1908" s="113" t="s">
        <v>2293</v>
      </c>
      <c r="Q1908" s="119">
        <v>1189757</v>
      </c>
      <c r="R1908" s="115" t="s">
        <v>199</v>
      </c>
      <c r="S1908" s="119">
        <v>287612</v>
      </c>
      <c r="T1908" s="120">
        <v>1400457</v>
      </c>
    </row>
    <row r="1909" spans="15:20" x14ac:dyDescent="0.3">
      <c r="O1909" s="1721"/>
      <c r="P1909" s="113" t="s">
        <v>2878</v>
      </c>
      <c r="Q1909" s="119">
        <v>71344</v>
      </c>
      <c r="R1909" s="115" t="s">
        <v>199</v>
      </c>
      <c r="S1909" s="115" t="s">
        <v>199</v>
      </c>
      <c r="T1909" s="120">
        <v>244906</v>
      </c>
    </row>
    <row r="1910" spans="15:20" x14ac:dyDescent="0.3">
      <c r="O1910" s="1721"/>
      <c r="P1910" s="113" t="s">
        <v>2366</v>
      </c>
      <c r="Q1910" s="119">
        <v>57442</v>
      </c>
      <c r="R1910" s="115" t="s">
        <v>199</v>
      </c>
      <c r="S1910" s="115" t="s">
        <v>199</v>
      </c>
      <c r="T1910" s="116">
        <v>791</v>
      </c>
    </row>
    <row r="1911" spans="15:20" x14ac:dyDescent="0.3">
      <c r="O1911" s="1721"/>
      <c r="P1911" s="113" t="s">
        <v>2331</v>
      </c>
      <c r="Q1911" s="119">
        <v>8360</v>
      </c>
      <c r="R1911" s="115" t="s">
        <v>199</v>
      </c>
      <c r="S1911" s="115" t="s">
        <v>199</v>
      </c>
      <c r="T1911" s="120">
        <v>10474</v>
      </c>
    </row>
    <row r="1912" spans="15:20" x14ac:dyDescent="0.3">
      <c r="O1912" s="1721"/>
      <c r="P1912" s="113" t="s">
        <v>2295</v>
      </c>
      <c r="Q1912" s="119">
        <v>3003967</v>
      </c>
      <c r="R1912" s="115">
        <v>325</v>
      </c>
      <c r="S1912" s="119">
        <v>43900</v>
      </c>
      <c r="T1912" s="120">
        <v>40792</v>
      </c>
    </row>
    <row r="1913" spans="15:20" x14ac:dyDescent="0.3">
      <c r="O1913" s="1734"/>
      <c r="P1913" s="113" t="s">
        <v>71</v>
      </c>
      <c r="Q1913" s="119">
        <v>608175</v>
      </c>
      <c r="R1913" s="119">
        <v>782061</v>
      </c>
      <c r="S1913" s="119">
        <v>1013932</v>
      </c>
      <c r="T1913" s="120">
        <v>2088412</v>
      </c>
    </row>
    <row r="1914" spans="15:20" x14ac:dyDescent="0.3">
      <c r="O1914" s="1742" t="s">
        <v>774</v>
      </c>
      <c r="P1914" s="1743"/>
      <c r="Q1914" s="126">
        <v>117960137</v>
      </c>
      <c r="R1914" s="126">
        <v>24560493</v>
      </c>
      <c r="S1914" s="126">
        <v>1594674</v>
      </c>
      <c r="T1914" s="127">
        <v>7245947</v>
      </c>
    </row>
    <row r="1915" spans="15:20" ht="22.5" x14ac:dyDescent="0.3">
      <c r="O1915" s="142" t="s">
        <v>2303</v>
      </c>
    </row>
    <row r="1917" spans="15:20" x14ac:dyDescent="0.3">
      <c r="O1917" s="142" t="s">
        <v>841</v>
      </c>
    </row>
    <row r="1918" spans="15:20" x14ac:dyDescent="0.3">
      <c r="O1918" s="1695" t="s">
        <v>826</v>
      </c>
      <c r="P1918" s="1696"/>
      <c r="Q1918" s="1696"/>
      <c r="R1918" s="1696"/>
      <c r="S1918" s="1696"/>
      <c r="T1918" s="1697"/>
    </row>
    <row r="1919" spans="15:20" x14ac:dyDescent="0.3">
      <c r="O1919" s="161" t="s">
        <v>2245</v>
      </c>
      <c r="P1919" s="134" t="s">
        <v>2246</v>
      </c>
      <c r="Q1919" s="134" t="s">
        <v>832</v>
      </c>
      <c r="R1919" s="134" t="s">
        <v>2286</v>
      </c>
      <c r="S1919" s="134" t="s">
        <v>3150</v>
      </c>
      <c r="T1919" s="135" t="s">
        <v>2288</v>
      </c>
    </row>
    <row r="1920" spans="15:20" x14ac:dyDescent="0.3">
      <c r="O1920" s="114" t="s">
        <v>2860</v>
      </c>
      <c r="P1920" s="113" t="s">
        <v>2252</v>
      </c>
      <c r="Q1920" s="115" t="s">
        <v>199</v>
      </c>
      <c r="R1920" s="115" t="s">
        <v>199</v>
      </c>
      <c r="S1920" s="119">
        <v>24114</v>
      </c>
      <c r="T1920" s="120">
        <v>105246</v>
      </c>
    </row>
    <row r="1921" spans="15:20" x14ac:dyDescent="0.3">
      <c r="O1921" s="114" t="s">
        <v>2255</v>
      </c>
      <c r="P1921" s="113" t="s">
        <v>2291</v>
      </c>
      <c r="Q1921" s="119">
        <v>74683300</v>
      </c>
      <c r="R1921" s="119">
        <v>5968</v>
      </c>
      <c r="S1921" s="115" t="s">
        <v>199</v>
      </c>
      <c r="T1921" s="120">
        <v>2415264</v>
      </c>
    </row>
    <row r="1922" spans="15:20" x14ac:dyDescent="0.3">
      <c r="O1922" s="114" t="s">
        <v>2258</v>
      </c>
      <c r="P1922" s="110" t="s">
        <v>2290</v>
      </c>
      <c r="Q1922" s="119">
        <v>9567627</v>
      </c>
      <c r="R1922" s="119">
        <v>25646732</v>
      </c>
      <c r="S1922" s="115" t="s">
        <v>199</v>
      </c>
      <c r="T1922" s="120">
        <v>49780</v>
      </c>
    </row>
    <row r="1923" spans="15:20" x14ac:dyDescent="0.3">
      <c r="O1923" s="1720" t="s">
        <v>71</v>
      </c>
      <c r="P1923" s="113" t="s">
        <v>2315</v>
      </c>
      <c r="Q1923" s="119">
        <v>199853</v>
      </c>
      <c r="R1923" s="115" t="s">
        <v>199</v>
      </c>
      <c r="S1923" s="115" t="s">
        <v>199</v>
      </c>
      <c r="T1923" s="120">
        <v>17352</v>
      </c>
    </row>
    <row r="1924" spans="15:20" x14ac:dyDescent="0.3">
      <c r="O1924" s="1721"/>
      <c r="P1924" s="113" t="s">
        <v>2292</v>
      </c>
      <c r="Q1924" s="119">
        <v>-6500</v>
      </c>
      <c r="R1924" s="115" t="s">
        <v>199</v>
      </c>
      <c r="S1924" s="115" t="s">
        <v>199</v>
      </c>
      <c r="T1924" s="120">
        <v>845959</v>
      </c>
    </row>
    <row r="1925" spans="15:20" x14ac:dyDescent="0.3">
      <c r="O1925" s="1721"/>
      <c r="P1925" s="113" t="s">
        <v>2873</v>
      </c>
      <c r="Q1925" s="115" t="s">
        <v>199</v>
      </c>
      <c r="R1925" s="115" t="s">
        <v>199</v>
      </c>
      <c r="S1925" s="115" t="s">
        <v>199</v>
      </c>
      <c r="T1925" s="120">
        <v>9413</v>
      </c>
    </row>
    <row r="1926" spans="15:20" x14ac:dyDescent="0.3">
      <c r="O1926" s="1721"/>
      <c r="P1926" s="113" t="s">
        <v>2293</v>
      </c>
      <c r="Q1926" s="119">
        <v>2890986</v>
      </c>
      <c r="R1926" s="115" t="s">
        <v>199</v>
      </c>
      <c r="S1926" s="115" t="s">
        <v>199</v>
      </c>
      <c r="T1926" s="120">
        <v>2973575</v>
      </c>
    </row>
    <row r="1927" spans="15:20" x14ac:dyDescent="0.3">
      <c r="O1927" s="1721"/>
      <c r="P1927" s="113" t="s">
        <v>2878</v>
      </c>
      <c r="Q1927" s="115" t="s">
        <v>199</v>
      </c>
      <c r="R1927" s="115" t="s">
        <v>199</v>
      </c>
      <c r="S1927" s="115" t="s">
        <v>199</v>
      </c>
      <c r="T1927" s="120">
        <v>299330</v>
      </c>
    </row>
    <row r="1928" spans="15:20" x14ac:dyDescent="0.3">
      <c r="O1928" s="1721"/>
      <c r="P1928" s="113" t="s">
        <v>2880</v>
      </c>
      <c r="Q1928" s="115" t="s">
        <v>199</v>
      </c>
      <c r="R1928" s="115" t="s">
        <v>199</v>
      </c>
      <c r="S1928" s="119">
        <v>9483</v>
      </c>
      <c r="T1928" s="120">
        <v>127479</v>
      </c>
    </row>
    <row r="1929" spans="15:20" x14ac:dyDescent="0.3">
      <c r="O1929" s="1721"/>
      <c r="P1929" s="113" t="s">
        <v>2366</v>
      </c>
      <c r="Q1929" s="119">
        <v>11466</v>
      </c>
      <c r="R1929" s="115" t="s">
        <v>199</v>
      </c>
      <c r="S1929" s="115" t="s">
        <v>199</v>
      </c>
      <c r="T1929" s="120">
        <v>2240</v>
      </c>
    </row>
    <row r="1930" spans="15:20" x14ac:dyDescent="0.3">
      <c r="O1930" s="1721"/>
      <c r="P1930" s="113" t="s">
        <v>2294</v>
      </c>
      <c r="Q1930" s="115">
        <v>650</v>
      </c>
      <c r="R1930" s="115" t="s">
        <v>199</v>
      </c>
      <c r="S1930" s="115" t="s">
        <v>199</v>
      </c>
      <c r="T1930" s="120">
        <v>81114</v>
      </c>
    </row>
    <row r="1931" spans="15:20" x14ac:dyDescent="0.3">
      <c r="O1931" s="1721"/>
      <c r="P1931" s="113" t="s">
        <v>2889</v>
      </c>
      <c r="Q1931" s="115" t="s">
        <v>199</v>
      </c>
      <c r="R1931" s="115" t="s">
        <v>199</v>
      </c>
      <c r="S1931" s="115" t="s">
        <v>199</v>
      </c>
      <c r="T1931" s="120">
        <v>11820</v>
      </c>
    </row>
    <row r="1932" spans="15:20" x14ac:dyDescent="0.3">
      <c r="O1932" s="1721"/>
      <c r="P1932" s="113" t="s">
        <v>2891</v>
      </c>
      <c r="Q1932" s="115" t="s">
        <v>199</v>
      </c>
      <c r="R1932" s="115" t="s">
        <v>199</v>
      </c>
      <c r="S1932" s="115" t="s">
        <v>199</v>
      </c>
      <c r="T1932" s="120">
        <v>10199</v>
      </c>
    </row>
    <row r="1933" spans="15:20" x14ac:dyDescent="0.3">
      <c r="O1933" s="1721"/>
      <c r="P1933" s="113" t="s">
        <v>2331</v>
      </c>
      <c r="Q1933" s="115" t="s">
        <v>199</v>
      </c>
      <c r="R1933" s="115" t="s">
        <v>199</v>
      </c>
      <c r="S1933" s="115" t="s">
        <v>199</v>
      </c>
      <c r="T1933" s="116">
        <v>93</v>
      </c>
    </row>
    <row r="1934" spans="15:20" x14ac:dyDescent="0.3">
      <c r="O1934" s="1721"/>
      <c r="P1934" s="113" t="s">
        <v>2895</v>
      </c>
      <c r="Q1934" s="115" t="s">
        <v>199</v>
      </c>
      <c r="R1934" s="115" t="s">
        <v>199</v>
      </c>
      <c r="S1934" s="115" t="s">
        <v>199</v>
      </c>
      <c r="T1934" s="120">
        <v>814262</v>
      </c>
    </row>
    <row r="1935" spans="15:20" x14ac:dyDescent="0.3">
      <c r="O1935" s="1721"/>
      <c r="P1935" s="113" t="s">
        <v>2295</v>
      </c>
      <c r="Q1935" s="119">
        <v>2173675</v>
      </c>
      <c r="R1935" s="115">
        <v>289</v>
      </c>
      <c r="S1935" s="119">
        <v>191657</v>
      </c>
      <c r="T1935" s="120">
        <v>12447</v>
      </c>
    </row>
    <row r="1936" spans="15:20" x14ac:dyDescent="0.3">
      <c r="O1936" s="1721"/>
      <c r="P1936" s="113" t="s">
        <v>2902</v>
      </c>
      <c r="Q1936" s="115" t="s">
        <v>199</v>
      </c>
      <c r="R1936" s="119">
        <v>2399</v>
      </c>
      <c r="S1936" s="115" t="s">
        <v>199</v>
      </c>
      <c r="T1936" s="120">
        <v>44617</v>
      </c>
    </row>
    <row r="1937" spans="15:20" x14ac:dyDescent="0.3">
      <c r="O1937" s="1721"/>
      <c r="P1937" s="113" t="s">
        <v>2905</v>
      </c>
      <c r="Q1937" s="119">
        <v>31000</v>
      </c>
      <c r="R1937" s="115" t="s">
        <v>199</v>
      </c>
      <c r="S1937" s="115" t="s">
        <v>199</v>
      </c>
      <c r="T1937" s="116" t="s">
        <v>199</v>
      </c>
    </row>
    <row r="1938" spans="15:20" x14ac:dyDescent="0.3">
      <c r="O1938" s="1721"/>
      <c r="P1938" s="113" t="s">
        <v>2907</v>
      </c>
      <c r="Q1938" s="115">
        <v>287</v>
      </c>
      <c r="R1938" s="119">
        <v>34900</v>
      </c>
      <c r="S1938" s="115" t="s">
        <v>199</v>
      </c>
      <c r="T1938" s="120">
        <v>71301</v>
      </c>
    </row>
    <row r="1939" spans="15:20" x14ac:dyDescent="0.3">
      <c r="O1939" s="1721"/>
      <c r="P1939" s="113" t="s">
        <v>2911</v>
      </c>
      <c r="Q1939" s="115" t="s">
        <v>199</v>
      </c>
      <c r="R1939" s="119">
        <v>161257</v>
      </c>
      <c r="S1939" s="115" t="s">
        <v>199</v>
      </c>
      <c r="T1939" s="120">
        <v>570915</v>
      </c>
    </row>
    <row r="1940" spans="15:20" x14ac:dyDescent="0.3">
      <c r="O1940" s="1721"/>
      <c r="P1940" s="113" t="s">
        <v>2914</v>
      </c>
      <c r="Q1940" s="119">
        <v>79787</v>
      </c>
      <c r="R1940" s="119">
        <v>309235</v>
      </c>
      <c r="S1940" s="115" t="s">
        <v>199</v>
      </c>
      <c r="T1940" s="120">
        <v>19336</v>
      </c>
    </row>
    <row r="1941" spans="15:20" x14ac:dyDescent="0.3">
      <c r="O1941" s="1721"/>
      <c r="P1941" s="113" t="s">
        <v>2918</v>
      </c>
      <c r="Q1941" s="115" t="s">
        <v>199</v>
      </c>
      <c r="R1941" s="115" t="s">
        <v>199</v>
      </c>
      <c r="S1941" s="115" t="s">
        <v>199</v>
      </c>
      <c r="T1941" s="120">
        <v>5891</v>
      </c>
    </row>
    <row r="1942" spans="15:20" x14ac:dyDescent="0.3">
      <c r="O1942" s="1721"/>
      <c r="P1942" s="113" t="s">
        <v>2920</v>
      </c>
      <c r="Q1942" s="115" t="s">
        <v>199</v>
      </c>
      <c r="R1942" s="115" t="s">
        <v>199</v>
      </c>
      <c r="S1942" s="115" t="s">
        <v>199</v>
      </c>
      <c r="T1942" s="116">
        <v>15</v>
      </c>
    </row>
    <row r="1943" spans="15:20" x14ac:dyDescent="0.3">
      <c r="O1943" s="1734"/>
      <c r="P1943" s="113" t="s">
        <v>2923</v>
      </c>
      <c r="Q1943" s="115">
        <v>233</v>
      </c>
      <c r="R1943" s="115" t="s">
        <v>199</v>
      </c>
      <c r="S1943" s="115" t="s">
        <v>199</v>
      </c>
      <c r="T1943" s="116" t="s">
        <v>199</v>
      </c>
    </row>
    <row r="1944" spans="15:20" x14ac:dyDescent="0.3">
      <c r="O1944" s="1742" t="s">
        <v>774</v>
      </c>
      <c r="P1944" s="1743"/>
      <c r="Q1944" s="126">
        <v>89632364</v>
      </c>
      <c r="R1944" s="126">
        <v>26160780</v>
      </c>
      <c r="S1944" s="126">
        <v>225254</v>
      </c>
      <c r="T1944" s="127">
        <v>8487648</v>
      </c>
    </row>
    <row r="1945" spans="15:20" ht="22.5" x14ac:dyDescent="0.3">
      <c r="O1945" s="142" t="s">
        <v>2303</v>
      </c>
    </row>
    <row r="1947" spans="15:20" ht="22.5" x14ac:dyDescent="0.3">
      <c r="O1947" s="142" t="s">
        <v>2980</v>
      </c>
    </row>
    <row r="1948" spans="15:20" x14ac:dyDescent="0.3">
      <c r="O1948" s="143"/>
    </row>
    <row r="1949" spans="15:20" x14ac:dyDescent="0.3">
      <c r="O1949" s="142" t="s">
        <v>1835</v>
      </c>
    </row>
    <row r="1951" spans="15:20" x14ac:dyDescent="0.3">
      <c r="O1951" s="1695" t="s">
        <v>826</v>
      </c>
      <c r="P1951" s="1696"/>
      <c r="Q1951" s="1696"/>
      <c r="R1951" s="1696"/>
      <c r="S1951" s="1696"/>
      <c r="T1951" s="1697"/>
    </row>
    <row r="1952" spans="15:20" x14ac:dyDescent="0.3">
      <c r="O1952" s="1698" t="s">
        <v>2245</v>
      </c>
      <c r="P1952" s="1716" t="s">
        <v>2246</v>
      </c>
      <c r="Q1952" s="1699" t="s">
        <v>2981</v>
      </c>
      <c r="R1952" s="1701"/>
      <c r="S1952" s="1699" t="s">
        <v>2982</v>
      </c>
      <c r="T1952" s="1702"/>
    </row>
    <row r="1953" spans="15:20" x14ac:dyDescent="0.3">
      <c r="O1953" s="1690"/>
      <c r="P1953" s="1692"/>
      <c r="Q1953" s="134" t="s">
        <v>244</v>
      </c>
      <c r="R1953" s="134" t="s">
        <v>2342</v>
      </c>
      <c r="S1953" s="134" t="s">
        <v>247</v>
      </c>
      <c r="T1953" s="135" t="s">
        <v>2362</v>
      </c>
    </row>
    <row r="1954" spans="15:20" x14ac:dyDescent="0.3">
      <c r="O1954" s="114" t="s">
        <v>2255</v>
      </c>
      <c r="P1954" s="110" t="s">
        <v>3151</v>
      </c>
      <c r="Q1954" s="115" t="s">
        <v>199</v>
      </c>
      <c r="R1954" s="115" t="s">
        <v>199</v>
      </c>
      <c r="S1954" s="115" t="s">
        <v>199</v>
      </c>
      <c r="T1954" s="116" t="s">
        <v>199</v>
      </c>
    </row>
    <row r="1955" spans="15:20" x14ac:dyDescent="0.3">
      <c r="O1955" s="114" t="s">
        <v>2986</v>
      </c>
      <c r="P1955" s="110" t="s">
        <v>2290</v>
      </c>
      <c r="Q1955" s="119">
        <v>52360</v>
      </c>
      <c r="R1955" s="119">
        <v>16500</v>
      </c>
      <c r="S1955" s="119">
        <v>3197871</v>
      </c>
      <c r="T1955" s="120">
        <v>17556081</v>
      </c>
    </row>
    <row r="1956" spans="15:20" x14ac:dyDescent="0.3">
      <c r="O1956" s="1720" t="s">
        <v>71</v>
      </c>
      <c r="P1956" s="110" t="s">
        <v>2291</v>
      </c>
      <c r="Q1956" s="119">
        <v>3648933</v>
      </c>
      <c r="R1956" s="119">
        <v>1066270</v>
      </c>
      <c r="S1956" s="115" t="s">
        <v>199</v>
      </c>
      <c r="T1956" s="120">
        <v>253733</v>
      </c>
    </row>
    <row r="1957" spans="15:20" x14ac:dyDescent="0.3">
      <c r="O1957" s="1721"/>
      <c r="P1957" s="110" t="s">
        <v>2292</v>
      </c>
      <c r="Q1957" s="119">
        <v>101893</v>
      </c>
      <c r="R1957" s="115" t="s">
        <v>199</v>
      </c>
      <c r="S1957" s="115" t="s">
        <v>199</v>
      </c>
      <c r="T1957" s="116">
        <v>313</v>
      </c>
    </row>
    <row r="1958" spans="15:20" x14ac:dyDescent="0.3">
      <c r="O1958" s="1721"/>
      <c r="P1958" s="110" t="s">
        <v>2293</v>
      </c>
      <c r="Q1958" s="119">
        <v>66482</v>
      </c>
      <c r="R1958" s="115" t="s">
        <v>199</v>
      </c>
      <c r="S1958" s="115" t="s">
        <v>199</v>
      </c>
      <c r="T1958" s="120">
        <v>141031</v>
      </c>
    </row>
    <row r="1959" spans="15:20" x14ac:dyDescent="0.3">
      <c r="O1959" s="1721"/>
      <c r="P1959" s="110" t="s">
        <v>2366</v>
      </c>
      <c r="Q1959" s="119">
        <v>16091</v>
      </c>
      <c r="R1959" s="115" t="s">
        <v>199</v>
      </c>
      <c r="S1959" s="115" t="s">
        <v>199</v>
      </c>
      <c r="T1959" s="116" t="s">
        <v>199</v>
      </c>
    </row>
    <row r="1960" spans="15:20" x14ac:dyDescent="0.3">
      <c r="O1960" s="1721"/>
      <c r="P1960" s="110" t="s">
        <v>2294</v>
      </c>
      <c r="Q1960" s="119">
        <v>479415</v>
      </c>
      <c r="R1960" s="115">
        <v>459</v>
      </c>
      <c r="S1960" s="115" t="s">
        <v>199</v>
      </c>
      <c r="T1960" s="120">
        <v>3786</v>
      </c>
    </row>
    <row r="1961" spans="15:20" x14ac:dyDescent="0.3">
      <c r="O1961" s="1721"/>
      <c r="P1961" s="110" t="s">
        <v>2295</v>
      </c>
      <c r="Q1961" s="119">
        <v>365988</v>
      </c>
      <c r="R1961" s="115" t="s">
        <v>199</v>
      </c>
      <c r="S1961" s="115" t="s">
        <v>199</v>
      </c>
      <c r="T1961" s="120">
        <v>35290</v>
      </c>
    </row>
    <row r="1962" spans="15:20" x14ac:dyDescent="0.3">
      <c r="O1962" s="1734"/>
      <c r="P1962" s="110" t="s">
        <v>71</v>
      </c>
      <c r="Q1962" s="119">
        <v>1355023</v>
      </c>
      <c r="R1962" s="119">
        <v>3832787</v>
      </c>
      <c r="S1962" s="119">
        <v>28207</v>
      </c>
      <c r="T1962" s="120">
        <v>610188</v>
      </c>
    </row>
    <row r="1963" spans="15:20" x14ac:dyDescent="0.3">
      <c r="O1963" s="1742" t="s">
        <v>774</v>
      </c>
      <c r="P1963" s="1743"/>
      <c r="Q1963" s="126">
        <v>6086186</v>
      </c>
      <c r="R1963" s="126">
        <v>4916016</v>
      </c>
      <c r="S1963" s="126">
        <v>3226078</v>
      </c>
      <c r="T1963" s="127">
        <v>18600421</v>
      </c>
    </row>
    <row r="1964" spans="15:20" x14ac:dyDescent="0.3">
      <c r="O1964" s="143"/>
    </row>
    <row r="1965" spans="15:20" x14ac:dyDescent="0.3">
      <c r="O1965" s="142" t="s">
        <v>1100</v>
      </c>
    </row>
    <row r="1966" spans="15:20" x14ac:dyDescent="0.3">
      <c r="O1966" s="1695" t="s">
        <v>826</v>
      </c>
      <c r="P1966" s="1696"/>
      <c r="Q1966" s="1696"/>
      <c r="R1966" s="1696"/>
      <c r="S1966" s="1696"/>
      <c r="T1966" s="1697"/>
    </row>
    <row r="1967" spans="15:20" x14ac:dyDescent="0.3">
      <c r="O1967" s="1698" t="s">
        <v>2245</v>
      </c>
      <c r="P1967" s="1716" t="s">
        <v>2246</v>
      </c>
      <c r="Q1967" s="1699" t="s">
        <v>2981</v>
      </c>
      <c r="R1967" s="1701"/>
      <c r="S1967" s="1699" t="s">
        <v>2982</v>
      </c>
      <c r="T1967" s="1702"/>
    </row>
    <row r="1968" spans="15:20" x14ac:dyDescent="0.3">
      <c r="O1968" s="1690"/>
      <c r="P1968" s="1692"/>
      <c r="Q1968" s="134" t="s">
        <v>244</v>
      </c>
      <c r="R1968" s="134" t="s">
        <v>2342</v>
      </c>
      <c r="S1968" s="134" t="s">
        <v>247</v>
      </c>
      <c r="T1968" s="135" t="s">
        <v>2362</v>
      </c>
    </row>
    <row r="1969" spans="15:20" x14ac:dyDescent="0.3">
      <c r="O1969" s="114" t="s">
        <v>2255</v>
      </c>
      <c r="P1969" s="110" t="s">
        <v>2291</v>
      </c>
      <c r="Q1969" s="119">
        <v>5490199</v>
      </c>
      <c r="R1969" s="119">
        <v>1865648</v>
      </c>
      <c r="S1969" s="115" t="s">
        <v>199</v>
      </c>
      <c r="T1969" s="120">
        <v>281467</v>
      </c>
    </row>
    <row r="1970" spans="15:20" x14ac:dyDescent="0.3">
      <c r="O1970" s="114" t="s">
        <v>2986</v>
      </c>
      <c r="P1970" s="110" t="s">
        <v>2290</v>
      </c>
      <c r="Q1970" s="119">
        <v>709703</v>
      </c>
      <c r="R1970" s="119">
        <v>13266</v>
      </c>
      <c r="S1970" s="119">
        <v>3659424</v>
      </c>
      <c r="T1970" s="120">
        <v>15546823</v>
      </c>
    </row>
    <row r="1971" spans="15:20" x14ac:dyDescent="0.3">
      <c r="O1971" s="1720" t="s">
        <v>71</v>
      </c>
      <c r="P1971" s="110" t="s">
        <v>2315</v>
      </c>
      <c r="Q1971" s="115" t="s">
        <v>199</v>
      </c>
      <c r="R1971" s="115" t="s">
        <v>199</v>
      </c>
      <c r="S1971" s="115" t="s">
        <v>199</v>
      </c>
      <c r="T1971" s="120">
        <v>1100</v>
      </c>
    </row>
    <row r="1972" spans="15:20" x14ac:dyDescent="0.3">
      <c r="O1972" s="1721"/>
      <c r="P1972" s="110" t="s">
        <v>2293</v>
      </c>
      <c r="Q1972" s="119">
        <v>94250</v>
      </c>
      <c r="R1972" s="115" t="s">
        <v>199</v>
      </c>
      <c r="S1972" s="115" t="s">
        <v>199</v>
      </c>
      <c r="T1972" s="120">
        <v>204062</v>
      </c>
    </row>
    <row r="1973" spans="15:20" x14ac:dyDescent="0.3">
      <c r="O1973" s="1721"/>
      <c r="P1973" s="110" t="s">
        <v>2880</v>
      </c>
      <c r="Q1973" s="115" t="s">
        <v>199</v>
      </c>
      <c r="R1973" s="115" t="s">
        <v>199</v>
      </c>
      <c r="S1973" s="115" t="s">
        <v>199</v>
      </c>
      <c r="T1973" s="120">
        <v>33814</v>
      </c>
    </row>
    <row r="1974" spans="15:20" x14ac:dyDescent="0.3">
      <c r="O1974" s="1721"/>
      <c r="P1974" s="110" t="s">
        <v>2366</v>
      </c>
      <c r="Q1974" s="119">
        <v>2223</v>
      </c>
      <c r="R1974" s="115" t="s">
        <v>199</v>
      </c>
      <c r="S1974" s="115" t="s">
        <v>199</v>
      </c>
      <c r="T1974" s="116">
        <v>234</v>
      </c>
    </row>
    <row r="1975" spans="15:20" x14ac:dyDescent="0.3">
      <c r="O1975" s="1721"/>
      <c r="P1975" s="110" t="s">
        <v>2294</v>
      </c>
      <c r="Q1975" s="119">
        <v>172587</v>
      </c>
      <c r="R1975" s="115">
        <v>818</v>
      </c>
      <c r="S1975" s="115" t="s">
        <v>199</v>
      </c>
      <c r="T1975" s="120">
        <v>5877</v>
      </c>
    </row>
    <row r="1976" spans="15:20" x14ac:dyDescent="0.3">
      <c r="O1976" s="1721"/>
      <c r="P1976" s="110" t="s">
        <v>2891</v>
      </c>
      <c r="Q1976" s="115" t="s">
        <v>199</v>
      </c>
      <c r="R1976" s="115" t="s">
        <v>199</v>
      </c>
      <c r="S1976" s="115" t="s">
        <v>199</v>
      </c>
      <c r="T1976" s="116">
        <v>940</v>
      </c>
    </row>
    <row r="1977" spans="15:20" x14ac:dyDescent="0.3">
      <c r="O1977" s="1721"/>
      <c r="P1977" s="110" t="s">
        <v>2895</v>
      </c>
      <c r="Q1977" s="115" t="s">
        <v>199</v>
      </c>
      <c r="R1977" s="115" t="s">
        <v>199</v>
      </c>
      <c r="S1977" s="115" t="s">
        <v>199</v>
      </c>
      <c r="T1977" s="120">
        <v>154000</v>
      </c>
    </row>
    <row r="1978" spans="15:20" x14ac:dyDescent="0.3">
      <c r="O1978" s="1721"/>
      <c r="P1978" s="110" t="s">
        <v>2295</v>
      </c>
      <c r="Q1978" s="119">
        <v>294550</v>
      </c>
      <c r="R1978" s="115" t="s">
        <v>199</v>
      </c>
      <c r="S1978" s="115" t="s">
        <v>199</v>
      </c>
      <c r="T1978" s="120">
        <v>14894</v>
      </c>
    </row>
    <row r="1979" spans="15:20" x14ac:dyDescent="0.3">
      <c r="O1979" s="1721"/>
      <c r="P1979" s="110" t="s">
        <v>2902</v>
      </c>
      <c r="Q1979" s="115" t="s">
        <v>199</v>
      </c>
      <c r="R1979" s="115" t="s">
        <v>199</v>
      </c>
      <c r="S1979" s="115" t="s">
        <v>199</v>
      </c>
      <c r="T1979" s="120">
        <v>7598</v>
      </c>
    </row>
    <row r="1980" spans="15:20" x14ac:dyDescent="0.3">
      <c r="O1980" s="1721"/>
      <c r="P1980" s="110" t="s">
        <v>2907</v>
      </c>
      <c r="Q1980" s="115">
        <v>302</v>
      </c>
      <c r="R1980" s="115" t="s">
        <v>199</v>
      </c>
      <c r="S1980" s="115" t="s">
        <v>199</v>
      </c>
      <c r="T1980" s="120">
        <v>40870</v>
      </c>
    </row>
    <row r="1981" spans="15:20" x14ac:dyDescent="0.3">
      <c r="O1981" s="1721"/>
      <c r="P1981" s="110" t="s">
        <v>2911</v>
      </c>
      <c r="Q1981" s="115" t="s">
        <v>199</v>
      </c>
      <c r="R1981" s="115" t="s">
        <v>199</v>
      </c>
      <c r="S1981" s="115" t="s">
        <v>199</v>
      </c>
      <c r="T1981" s="120">
        <v>33736</v>
      </c>
    </row>
    <row r="1982" spans="15:20" x14ac:dyDescent="0.3">
      <c r="O1982" s="1721"/>
      <c r="P1982" s="110" t="s">
        <v>2918</v>
      </c>
      <c r="Q1982" s="115" t="s">
        <v>199</v>
      </c>
      <c r="R1982" s="115" t="s">
        <v>199</v>
      </c>
      <c r="S1982" s="115" t="s">
        <v>199</v>
      </c>
      <c r="T1982" s="120">
        <v>5620</v>
      </c>
    </row>
    <row r="1983" spans="15:20" x14ac:dyDescent="0.3">
      <c r="O1983" s="1734"/>
      <c r="P1983" s="110" t="s">
        <v>2920</v>
      </c>
      <c r="Q1983" s="115" t="s">
        <v>199</v>
      </c>
      <c r="R1983" s="115" t="s">
        <v>199</v>
      </c>
      <c r="S1983" s="115" t="s">
        <v>199</v>
      </c>
      <c r="T1983" s="116">
        <v>15</v>
      </c>
    </row>
    <row r="1984" spans="15:20" x14ac:dyDescent="0.3">
      <c r="O1984" s="1742" t="s">
        <v>774</v>
      </c>
      <c r="P1984" s="1743"/>
      <c r="Q1984" s="126">
        <v>6763814</v>
      </c>
      <c r="R1984" s="126">
        <v>1879732</v>
      </c>
      <c r="S1984" s="126">
        <v>3659424</v>
      </c>
      <c r="T1984" s="127">
        <v>16331050</v>
      </c>
    </row>
    <row r="1986" spans="15:19" ht="22.5" x14ac:dyDescent="0.3">
      <c r="O1986" s="142" t="s">
        <v>3039</v>
      </c>
    </row>
    <row r="1987" spans="15:19" x14ac:dyDescent="0.3">
      <c r="O1987" s="128"/>
    </row>
    <row r="1988" spans="15:19" x14ac:dyDescent="0.3">
      <c r="O1988" s="1695" t="s">
        <v>826</v>
      </c>
      <c r="P1988" s="1696"/>
      <c r="Q1988" s="1696"/>
      <c r="R1988" s="1696"/>
      <c r="S1988" s="1697"/>
    </row>
    <row r="1989" spans="15:19" x14ac:dyDescent="0.3">
      <c r="O1989" s="161" t="s">
        <v>977</v>
      </c>
      <c r="P1989" s="134" t="s">
        <v>3042</v>
      </c>
      <c r="Q1989" s="134" t="s">
        <v>3043</v>
      </c>
      <c r="R1989" s="134" t="s">
        <v>789</v>
      </c>
      <c r="S1989" s="135" t="s">
        <v>843</v>
      </c>
    </row>
    <row r="1990" spans="15:19" x14ac:dyDescent="0.3">
      <c r="O1990" s="146" t="s">
        <v>3152</v>
      </c>
      <c r="P1990" s="159" t="s">
        <v>2291</v>
      </c>
      <c r="Q1990" s="159" t="s">
        <v>3153</v>
      </c>
      <c r="R1990" s="126">
        <v>244230</v>
      </c>
      <c r="S1990" s="137" t="s">
        <v>199</v>
      </c>
    </row>
    <row r="1991" spans="15:19" ht="22.5" x14ac:dyDescent="0.3">
      <c r="O1991" s="142" t="s">
        <v>3154</v>
      </c>
    </row>
    <row r="1992" spans="15:19" x14ac:dyDescent="0.3">
      <c r="O1992" s="143"/>
    </row>
    <row r="1993" spans="15:19" ht="22.5" x14ac:dyDescent="0.3">
      <c r="O1993" s="142" t="s">
        <v>3047</v>
      </c>
    </row>
    <row r="1994" spans="15:19" x14ac:dyDescent="0.3">
      <c r="O1994" s="1695" t="s">
        <v>826</v>
      </c>
      <c r="P1994" s="1696"/>
      <c r="Q1994" s="1697"/>
    </row>
    <row r="1995" spans="15:19" x14ac:dyDescent="0.3">
      <c r="O1995" s="161" t="s">
        <v>977</v>
      </c>
      <c r="P1995" s="134" t="s">
        <v>789</v>
      </c>
      <c r="Q1995" s="135" t="s">
        <v>843</v>
      </c>
    </row>
    <row r="1996" spans="15:19" x14ac:dyDescent="0.3">
      <c r="O1996" s="109" t="s">
        <v>1647</v>
      </c>
      <c r="P1996" s="117">
        <v>1997068</v>
      </c>
      <c r="Q1996" s="118">
        <v>1796455</v>
      </c>
    </row>
    <row r="1997" spans="15:19" x14ac:dyDescent="0.3">
      <c r="O1997" s="109" t="s">
        <v>1984</v>
      </c>
      <c r="P1997" s="117">
        <v>222995</v>
      </c>
      <c r="Q1997" s="118">
        <v>267038</v>
      </c>
    </row>
    <row r="1998" spans="15:19" x14ac:dyDescent="0.3">
      <c r="O1998" s="109" t="s">
        <v>527</v>
      </c>
      <c r="P1998" s="117">
        <v>106046</v>
      </c>
      <c r="Q1998" s="118">
        <v>173213</v>
      </c>
    </row>
    <row r="1999" spans="15:19" x14ac:dyDescent="0.3">
      <c r="O1999" s="146" t="s">
        <v>774</v>
      </c>
      <c r="P1999" s="130">
        <v>2326109</v>
      </c>
      <c r="Q1999" s="131">
        <v>2236706</v>
      </c>
    </row>
    <row r="2000" spans="15:19" ht="33.75" x14ac:dyDescent="0.3">
      <c r="O2000" s="142" t="s">
        <v>3061</v>
      </c>
    </row>
    <row r="2003" spans="15:17" x14ac:dyDescent="0.3">
      <c r="O2003" s="142" t="s">
        <v>3155</v>
      </c>
    </row>
    <row r="2006" spans="15:17" x14ac:dyDescent="0.3">
      <c r="O2006" s="143"/>
    </row>
    <row r="2007" spans="15:17" ht="22.5" x14ac:dyDescent="0.3">
      <c r="O2007" s="142" t="s">
        <v>3064</v>
      </c>
    </row>
    <row r="2008" spans="15:17" x14ac:dyDescent="0.3">
      <c r="O2008" s="128"/>
    </row>
    <row r="2009" spans="15:17" x14ac:dyDescent="0.3">
      <c r="O2009" s="128"/>
    </row>
    <row r="2010" spans="15:17" x14ac:dyDescent="0.3">
      <c r="O2010" s="1695" t="s">
        <v>826</v>
      </c>
      <c r="P2010" s="1696"/>
      <c r="Q2010" s="1697"/>
    </row>
    <row r="2011" spans="15:17" x14ac:dyDescent="0.3">
      <c r="O2011" s="161" t="s">
        <v>763</v>
      </c>
      <c r="P2011" s="134" t="s">
        <v>789</v>
      </c>
      <c r="Q2011" s="135" t="s">
        <v>843</v>
      </c>
    </row>
    <row r="2012" spans="15:17" x14ac:dyDescent="0.3">
      <c r="O2012" s="109" t="s">
        <v>3065</v>
      </c>
      <c r="P2012" s="119">
        <v>134927</v>
      </c>
      <c r="Q2012" s="118">
        <v>77787</v>
      </c>
    </row>
    <row r="2013" spans="15:17" x14ac:dyDescent="0.3">
      <c r="O2013" s="109" t="s">
        <v>3068</v>
      </c>
      <c r="P2013" s="119">
        <v>-70165</v>
      </c>
      <c r="Q2013" s="118">
        <v>130538</v>
      </c>
    </row>
    <row r="2014" spans="15:17" x14ac:dyDescent="0.3">
      <c r="O2014" s="109" t="s">
        <v>3071</v>
      </c>
      <c r="P2014" s="115" t="s">
        <v>199</v>
      </c>
      <c r="Q2014" s="118">
        <v>206091</v>
      </c>
    </row>
    <row r="2015" spans="15:17" x14ac:dyDescent="0.3">
      <c r="O2015" s="109" t="s">
        <v>3074</v>
      </c>
      <c r="P2015" s="115" t="s">
        <v>199</v>
      </c>
      <c r="Q2015" s="118">
        <v>25980</v>
      </c>
    </row>
    <row r="2016" spans="15:17" x14ac:dyDescent="0.3">
      <c r="O2016" s="109" t="s">
        <v>2401</v>
      </c>
      <c r="P2016" s="119">
        <v>156730</v>
      </c>
      <c r="Q2016" s="112" t="s">
        <v>199</v>
      </c>
    </row>
    <row r="2017" spans="15:19" x14ac:dyDescent="0.3">
      <c r="O2017" s="109" t="s">
        <v>3076</v>
      </c>
      <c r="P2017" s="119">
        <v>1627472</v>
      </c>
      <c r="Q2017" s="120">
        <v>3986349</v>
      </c>
    </row>
    <row r="2018" spans="15:19" x14ac:dyDescent="0.3">
      <c r="O2018" s="109" t="s">
        <v>3156</v>
      </c>
      <c r="P2018" s="119">
        <v>58676</v>
      </c>
      <c r="Q2018" s="116" t="s">
        <v>199</v>
      </c>
    </row>
    <row r="2019" spans="15:19" x14ac:dyDescent="0.3">
      <c r="O2019" s="121" t="s">
        <v>3157</v>
      </c>
      <c r="P2019" s="126">
        <v>23206</v>
      </c>
      <c r="Q2019" s="137" t="s">
        <v>199</v>
      </c>
    </row>
    <row r="2020" spans="15:19" x14ac:dyDescent="0.3">
      <c r="O2020" s="143"/>
    </row>
    <row r="2021" spans="15:19" ht="22.5" x14ac:dyDescent="0.3">
      <c r="O2021" s="142" t="s">
        <v>3079</v>
      </c>
    </row>
    <row r="2022" spans="15:19" x14ac:dyDescent="0.3">
      <c r="O2022" s="143"/>
    </row>
    <row r="2023" spans="15:19" x14ac:dyDescent="0.3">
      <c r="O2023" s="142" t="s">
        <v>840</v>
      </c>
    </row>
    <row r="2024" spans="15:19" x14ac:dyDescent="0.3">
      <c r="O2024" s="1695" t="s">
        <v>826</v>
      </c>
      <c r="P2024" s="1696"/>
      <c r="Q2024" s="1696"/>
      <c r="R2024" s="1696"/>
      <c r="S2024" s="1697"/>
    </row>
    <row r="2025" spans="15:19" x14ac:dyDescent="0.3">
      <c r="O2025" s="1698" t="s">
        <v>763</v>
      </c>
      <c r="P2025" s="1716" t="s">
        <v>1120</v>
      </c>
      <c r="Q2025" s="163" t="s">
        <v>3158</v>
      </c>
      <c r="R2025" s="1716" t="s">
        <v>3082</v>
      </c>
      <c r="S2025" s="1718" t="s">
        <v>1127</v>
      </c>
    </row>
    <row r="2026" spans="15:19" x14ac:dyDescent="0.3">
      <c r="O2026" s="1690"/>
      <c r="P2026" s="1692"/>
      <c r="Q2026" s="139" t="s">
        <v>3081</v>
      </c>
      <c r="R2026" s="1692"/>
      <c r="S2026" s="1694"/>
    </row>
    <row r="2027" spans="15:19" x14ac:dyDescent="0.3">
      <c r="O2027" s="109" t="s">
        <v>1842</v>
      </c>
      <c r="P2027" s="119">
        <v>5346976</v>
      </c>
      <c r="Q2027" s="117">
        <v>-1890109</v>
      </c>
      <c r="R2027" s="117">
        <v>804471</v>
      </c>
      <c r="S2027" s="118">
        <v>4261338</v>
      </c>
    </row>
    <row r="2028" spans="15:19" x14ac:dyDescent="0.3">
      <c r="O2028" s="109" t="s">
        <v>1716</v>
      </c>
      <c r="P2028" s="115" t="s">
        <v>199</v>
      </c>
      <c r="Q2028" s="117">
        <v>70000001</v>
      </c>
      <c r="R2028" s="117">
        <v>23145378</v>
      </c>
      <c r="S2028" s="118">
        <v>93145379</v>
      </c>
    </row>
    <row r="2029" spans="15:19" x14ac:dyDescent="0.3">
      <c r="O2029" s="121" t="s">
        <v>1359</v>
      </c>
      <c r="P2029" s="126">
        <v>5346976</v>
      </c>
      <c r="Q2029" s="130">
        <v>68109892</v>
      </c>
      <c r="R2029" s="130">
        <v>23949849</v>
      </c>
      <c r="S2029" s="131">
        <v>97406717</v>
      </c>
    </row>
    <row r="2031" spans="15:19" x14ac:dyDescent="0.3">
      <c r="O2031" s="142" t="s">
        <v>841</v>
      </c>
    </row>
    <row r="2032" spans="15:19" x14ac:dyDescent="0.3">
      <c r="O2032" s="1695" t="s">
        <v>826</v>
      </c>
      <c r="P2032" s="1696"/>
      <c r="Q2032" s="1696"/>
      <c r="R2032" s="1696"/>
      <c r="S2032" s="1697"/>
    </row>
    <row r="2033" spans="15:19" x14ac:dyDescent="0.3">
      <c r="O2033" s="1698" t="s">
        <v>763</v>
      </c>
      <c r="P2033" s="1716" t="s">
        <v>1120</v>
      </c>
      <c r="Q2033" s="163" t="s">
        <v>3158</v>
      </c>
      <c r="R2033" s="1716" t="s">
        <v>3082</v>
      </c>
      <c r="S2033" s="1718" t="s">
        <v>1127</v>
      </c>
    </row>
    <row r="2034" spans="15:19" x14ac:dyDescent="0.3">
      <c r="O2034" s="1690"/>
      <c r="P2034" s="1692"/>
      <c r="Q2034" s="139" t="s">
        <v>3081</v>
      </c>
      <c r="R2034" s="1692"/>
      <c r="S2034" s="1694"/>
    </row>
    <row r="2035" spans="15:19" x14ac:dyDescent="0.3">
      <c r="O2035" s="121" t="s">
        <v>1842</v>
      </c>
      <c r="P2035" s="126">
        <v>3246118</v>
      </c>
      <c r="Q2035" s="130">
        <v>-2329330</v>
      </c>
      <c r="R2035" s="130">
        <v>4430188</v>
      </c>
      <c r="S2035" s="131">
        <v>5346976</v>
      </c>
    </row>
    <row r="2039" spans="15:19" x14ac:dyDescent="0.3">
      <c r="O2039" s="142" t="s">
        <v>3159</v>
      </c>
    </row>
    <row r="2043" spans="15:19" x14ac:dyDescent="0.3">
      <c r="O2043" s="142" t="s">
        <v>3160</v>
      </c>
    </row>
    <row r="2044" spans="15:19" x14ac:dyDescent="0.3">
      <c r="O2044" s="143"/>
    </row>
    <row r="2045" spans="15:19" ht="67.5" x14ac:dyDescent="0.3">
      <c r="O2045" s="142" t="s">
        <v>3161</v>
      </c>
    </row>
    <row r="2046" spans="15:19" x14ac:dyDescent="0.3">
      <c r="O2046" s="143"/>
    </row>
    <row r="2047" spans="15:19" x14ac:dyDescent="0.3">
      <c r="O2047" s="142" t="s">
        <v>3162</v>
      </c>
    </row>
    <row r="2048" spans="15:19" x14ac:dyDescent="0.3">
      <c r="O2048" s="128"/>
    </row>
    <row r="2049" spans="15:16" x14ac:dyDescent="0.3">
      <c r="O2049" s="128"/>
    </row>
    <row r="2050" spans="15:16" x14ac:dyDescent="0.3">
      <c r="O2050" s="128"/>
    </row>
    <row r="2051" spans="15:16" x14ac:dyDescent="0.3">
      <c r="O2051" s="211" t="s">
        <v>763</v>
      </c>
      <c r="P2051" s="212" t="s">
        <v>3163</v>
      </c>
    </row>
    <row r="2052" spans="15:16" x14ac:dyDescent="0.3">
      <c r="O2052" s="109" t="s">
        <v>3164</v>
      </c>
      <c r="P2052" s="167" t="s">
        <v>803</v>
      </c>
    </row>
    <row r="2053" spans="15:16" x14ac:dyDescent="0.3">
      <c r="O2053" s="109" t="s">
        <v>3165</v>
      </c>
      <c r="P2053" s="167" t="s">
        <v>3166</v>
      </c>
    </row>
    <row r="2054" spans="15:16" x14ac:dyDescent="0.3">
      <c r="O2054" s="109" t="s">
        <v>3167</v>
      </c>
      <c r="P2054" s="167" t="s">
        <v>3168</v>
      </c>
    </row>
    <row r="2055" spans="15:16" x14ac:dyDescent="0.3">
      <c r="O2055" s="121" t="s">
        <v>3169</v>
      </c>
      <c r="P2055" s="168" t="s">
        <v>3170</v>
      </c>
    </row>
    <row r="2056" spans="15:16" x14ac:dyDescent="0.3">
      <c r="O2056" s="143"/>
    </row>
    <row r="2057" spans="15:16" ht="22.5" x14ac:dyDescent="0.3">
      <c r="O2057" s="142" t="s">
        <v>3171</v>
      </c>
    </row>
    <row r="2058" spans="15:16" x14ac:dyDescent="0.3">
      <c r="O2058" s="1695" t="s">
        <v>826</v>
      </c>
      <c r="P2058" s="1697"/>
    </row>
    <row r="2059" spans="15:16" x14ac:dyDescent="0.3">
      <c r="O2059" s="161" t="s">
        <v>977</v>
      </c>
      <c r="P2059" s="135" t="s">
        <v>3172</v>
      </c>
    </row>
    <row r="2060" spans="15:16" x14ac:dyDescent="0.3">
      <c r="O2060" s="109" t="s">
        <v>270</v>
      </c>
      <c r="P2060" s="118">
        <v>38676</v>
      </c>
    </row>
    <row r="2061" spans="15:16" x14ac:dyDescent="0.3">
      <c r="O2061" s="109" t="s">
        <v>275</v>
      </c>
      <c r="P2061" s="118">
        <v>20207</v>
      </c>
    </row>
    <row r="2062" spans="15:16" x14ac:dyDescent="0.3">
      <c r="O2062" s="109" t="s">
        <v>283</v>
      </c>
      <c r="P2062" s="118">
        <v>10976</v>
      </c>
    </row>
    <row r="2063" spans="15:16" x14ac:dyDescent="0.3">
      <c r="O2063" s="109" t="s">
        <v>294</v>
      </c>
      <c r="P2063" s="118">
        <v>7493</v>
      </c>
    </row>
    <row r="2064" spans="15:16" x14ac:dyDescent="0.3">
      <c r="O2064" s="109" t="s">
        <v>293</v>
      </c>
      <c r="P2064" s="118">
        <v>20000</v>
      </c>
    </row>
    <row r="2065" spans="15:16" x14ac:dyDescent="0.3">
      <c r="O2065" s="109" t="s">
        <v>283</v>
      </c>
      <c r="P2065" s="118">
        <v>20000</v>
      </c>
    </row>
    <row r="2066" spans="15:16" x14ac:dyDescent="0.3">
      <c r="O2066" s="109" t="s">
        <v>3173</v>
      </c>
      <c r="P2066" s="118">
        <v>58676</v>
      </c>
    </row>
    <row r="2067" spans="15:16" x14ac:dyDescent="0.3">
      <c r="O2067" s="109" t="s">
        <v>318</v>
      </c>
      <c r="P2067" s="118">
        <v>23206</v>
      </c>
    </row>
    <row r="2068" spans="15:16" x14ac:dyDescent="0.3">
      <c r="O2068" s="109" t="s">
        <v>3174</v>
      </c>
      <c r="P2068" s="118">
        <v>6459</v>
      </c>
    </row>
    <row r="2069" spans="15:16" x14ac:dyDescent="0.3">
      <c r="O2069" s="109" t="s">
        <v>3175</v>
      </c>
      <c r="P2069" s="118">
        <v>16747</v>
      </c>
    </row>
    <row r="2070" spans="15:16" x14ac:dyDescent="0.3">
      <c r="O2070" s="109" t="s">
        <v>1970</v>
      </c>
      <c r="P2070" s="118">
        <v>23206</v>
      </c>
    </row>
    <row r="2071" spans="15:16" x14ac:dyDescent="0.3">
      <c r="O2071" s="121" t="s">
        <v>3176</v>
      </c>
      <c r="P2071" s="131">
        <v>35470</v>
      </c>
    </row>
    <row r="2072" spans="15:16" x14ac:dyDescent="0.3">
      <c r="O2072" s="143"/>
    </row>
    <row r="2073" spans="15:16" ht="22.5" x14ac:dyDescent="0.3">
      <c r="O2073" s="142" t="s">
        <v>3177</v>
      </c>
    </row>
    <row r="2074" spans="15:16" x14ac:dyDescent="0.3">
      <c r="O2074" s="1695" t="s">
        <v>826</v>
      </c>
      <c r="P2074" s="1697"/>
    </row>
    <row r="2075" spans="15:16" x14ac:dyDescent="0.3">
      <c r="O2075" s="161" t="s">
        <v>977</v>
      </c>
      <c r="P2075" s="135" t="s">
        <v>3172</v>
      </c>
    </row>
    <row r="2076" spans="15:16" x14ac:dyDescent="0.3">
      <c r="O2076" s="109" t="s">
        <v>3178</v>
      </c>
      <c r="P2076" s="118">
        <v>1500000</v>
      </c>
    </row>
    <row r="2077" spans="15:16" x14ac:dyDescent="0.3">
      <c r="O2077" s="109" t="s">
        <v>3179</v>
      </c>
      <c r="P2077" s="118">
        <v>35470</v>
      </c>
    </row>
    <row r="2078" spans="15:16" x14ac:dyDescent="0.3">
      <c r="O2078" s="121" t="s">
        <v>1390</v>
      </c>
      <c r="P2078" s="131">
        <v>1464530</v>
      </c>
    </row>
    <row r="2080" spans="15:16" x14ac:dyDescent="0.3">
      <c r="O2080" s="143"/>
    </row>
    <row r="2081" spans="15:15" x14ac:dyDescent="0.3">
      <c r="O2081" s="142" t="s">
        <v>3180</v>
      </c>
    </row>
    <row r="2082" spans="15:15" x14ac:dyDescent="0.3">
      <c r="O2082" s="143"/>
    </row>
    <row r="2083" spans="15:15" x14ac:dyDescent="0.3">
      <c r="O2083" s="142" t="s">
        <v>3181</v>
      </c>
    </row>
    <row r="2084" spans="15:15" ht="33.75" x14ac:dyDescent="0.3">
      <c r="O2084" s="142" t="s">
        <v>3182</v>
      </c>
    </row>
    <row r="2085" spans="15:15" x14ac:dyDescent="0.3">
      <c r="O2085" s="143"/>
    </row>
    <row r="2086" spans="15:15" x14ac:dyDescent="0.3">
      <c r="O2086" s="142" t="s">
        <v>3183</v>
      </c>
    </row>
    <row r="2087" spans="15:15" ht="33.75" x14ac:dyDescent="0.3">
      <c r="O2087" s="142" t="s">
        <v>3184</v>
      </c>
    </row>
  </sheetData>
  <mergeCells count="800">
    <mergeCell ref="AF1253:AG1253"/>
    <mergeCell ref="AF1256:AI1256"/>
    <mergeCell ref="AF1257:AF1258"/>
    <mergeCell ref="AG1257:AG1258"/>
    <mergeCell ref="AF1263:AH1263"/>
    <mergeCell ref="AF1275:AH1275"/>
    <mergeCell ref="AF1225:AG1225"/>
    <mergeCell ref="AF1231:AK1231"/>
    <mergeCell ref="AF1235:AF1239"/>
    <mergeCell ref="AF1240:AG1240"/>
    <mergeCell ref="AF1243:AK1243"/>
    <mergeCell ref="AF1246:AF1252"/>
    <mergeCell ref="AF1187:AF1189"/>
    <mergeCell ref="AF1197:AK1197"/>
    <mergeCell ref="AF1202:AF1207"/>
    <mergeCell ref="AF1208:AG1208"/>
    <mergeCell ref="AF1212:AK1212"/>
    <mergeCell ref="AF1217:AF1224"/>
    <mergeCell ref="AF1135:AH1135"/>
    <mergeCell ref="AF1143:AH1143"/>
    <mergeCell ref="AF1151:AH1151"/>
    <mergeCell ref="AF1154:AH1154"/>
    <mergeCell ref="AF1181:AF1182"/>
    <mergeCell ref="AG1181:AH1181"/>
    <mergeCell ref="AF1104:AJ1104"/>
    <mergeCell ref="AF1105:AF1106"/>
    <mergeCell ref="AG1105:AH1105"/>
    <mergeCell ref="AI1105:AJ1105"/>
    <mergeCell ref="AF1126:AJ1126"/>
    <mergeCell ref="AF1127:AF1128"/>
    <mergeCell ref="AG1127:AH1127"/>
    <mergeCell ref="AI1127:AJ1127"/>
    <mergeCell ref="AF1080:AJ1080"/>
    <mergeCell ref="AF1081:AF1082"/>
    <mergeCell ref="AG1081:AH1081"/>
    <mergeCell ref="AI1081:AJ1081"/>
    <mergeCell ref="AF1094:AJ1094"/>
    <mergeCell ref="AF1095:AF1096"/>
    <mergeCell ref="AG1095:AH1095"/>
    <mergeCell ref="AI1095:AJ1095"/>
    <mergeCell ref="AF1042:AF1043"/>
    <mergeCell ref="AG1042:AH1042"/>
    <mergeCell ref="AI1042:AJ1042"/>
    <mergeCell ref="AF1068:AJ1068"/>
    <mergeCell ref="AF1069:AF1070"/>
    <mergeCell ref="AG1069:AH1069"/>
    <mergeCell ref="AI1069:AJ1069"/>
    <mergeCell ref="AG1007:AI1007"/>
    <mergeCell ref="AF1010:AF1011"/>
    <mergeCell ref="AF1012:AF1013"/>
    <mergeCell ref="AF1018:AH1018"/>
    <mergeCell ref="AF1028:AI1028"/>
    <mergeCell ref="AF1041:AJ1041"/>
    <mergeCell ref="AF983:AH983"/>
    <mergeCell ref="AF994:AJ994"/>
    <mergeCell ref="AF995:AF996"/>
    <mergeCell ref="AG995:AH995"/>
    <mergeCell ref="AI995:AJ995"/>
    <mergeCell ref="AG1006:AI1006"/>
    <mergeCell ref="AF938:AI938"/>
    <mergeCell ref="AF954:AH954"/>
    <mergeCell ref="AF962:AI962"/>
    <mergeCell ref="AF964:AI964"/>
    <mergeCell ref="AF967:AI967"/>
    <mergeCell ref="AF973:AH973"/>
    <mergeCell ref="AF903:AI903"/>
    <mergeCell ref="AF907:AI907"/>
    <mergeCell ref="AF914:AI914"/>
    <mergeCell ref="AF924:AI924"/>
    <mergeCell ref="AF927:AI927"/>
    <mergeCell ref="AF931:AI931"/>
    <mergeCell ref="AF879:AJ879"/>
    <mergeCell ref="AF880:AF881"/>
    <mergeCell ref="AG880:AH880"/>
    <mergeCell ref="AI880:AJ880"/>
    <mergeCell ref="AF890:AH890"/>
    <mergeCell ref="AF900:AI900"/>
    <mergeCell ref="AF848:AG848"/>
    <mergeCell ref="AF849:AF857"/>
    <mergeCell ref="AG849:AG855"/>
    <mergeCell ref="AF858:AG858"/>
    <mergeCell ref="AF859:AG860"/>
    <mergeCell ref="AF864:AH864"/>
    <mergeCell ref="AF841:AG841"/>
    <mergeCell ref="AF842:AF843"/>
    <mergeCell ref="AF844:AG844"/>
    <mergeCell ref="AF845:AG845"/>
    <mergeCell ref="AF846:AG846"/>
    <mergeCell ref="AF847:AG847"/>
    <mergeCell ref="AF821:AL821"/>
    <mergeCell ref="AF822:AF823"/>
    <mergeCell ref="AG822:AJ822"/>
    <mergeCell ref="AK822:AL822"/>
    <mergeCell ref="AF835:AJ835"/>
    <mergeCell ref="AF840:AH840"/>
    <mergeCell ref="AF795:AJ795"/>
    <mergeCell ref="AF796:AF797"/>
    <mergeCell ref="AG796:AH796"/>
    <mergeCell ref="AI796:AJ796"/>
    <mergeCell ref="AF811:AL811"/>
    <mergeCell ref="AF812:AF813"/>
    <mergeCell ref="AG812:AJ812"/>
    <mergeCell ref="AK812:AL812"/>
    <mergeCell ref="AF756:AH756"/>
    <mergeCell ref="AF758:AH758"/>
    <mergeCell ref="AF765:AH765"/>
    <mergeCell ref="AF767:AH767"/>
    <mergeCell ref="AF782:AJ782"/>
    <mergeCell ref="AF783:AF784"/>
    <mergeCell ref="AG783:AH783"/>
    <mergeCell ref="AI783:AJ783"/>
    <mergeCell ref="AF673:AO673"/>
    <mergeCell ref="AF687:AO687"/>
    <mergeCell ref="AF705:AJ705"/>
    <mergeCell ref="AF716:AJ716"/>
    <mergeCell ref="AF729:AM729"/>
    <mergeCell ref="AF742:AM742"/>
    <mergeCell ref="AF612:AL612"/>
    <mergeCell ref="AF619:AL619"/>
    <mergeCell ref="AF627:AL627"/>
    <mergeCell ref="AF634:AL634"/>
    <mergeCell ref="AF646:AJ646"/>
    <mergeCell ref="AF658:AJ658"/>
    <mergeCell ref="AK588:AL588"/>
    <mergeCell ref="AF590:AL590"/>
    <mergeCell ref="AF591:AF593"/>
    <mergeCell ref="AF597:AL597"/>
    <mergeCell ref="AF598:AF599"/>
    <mergeCell ref="AG598:AI598"/>
    <mergeCell ref="AJ598:AL598"/>
    <mergeCell ref="AF577:AH577"/>
    <mergeCell ref="AF588:AF589"/>
    <mergeCell ref="AG588:AG589"/>
    <mergeCell ref="AH588:AH589"/>
    <mergeCell ref="AI588:AI589"/>
    <mergeCell ref="AJ588:AJ589"/>
    <mergeCell ref="AF558:AJ558"/>
    <mergeCell ref="AF559:AF560"/>
    <mergeCell ref="AG559:AG560"/>
    <mergeCell ref="AH559:AH560"/>
    <mergeCell ref="AI559:AJ559"/>
    <mergeCell ref="AF575:AH575"/>
    <mergeCell ref="AF522:AL522"/>
    <mergeCell ref="AF528:AL528"/>
    <mergeCell ref="AF534:AH534"/>
    <mergeCell ref="AF548:AJ548"/>
    <mergeCell ref="AF549:AF550"/>
    <mergeCell ref="AG549:AG550"/>
    <mergeCell ref="AH549:AH550"/>
    <mergeCell ref="AI549:AJ549"/>
    <mergeCell ref="AN495:AO495"/>
    <mergeCell ref="AP495:AP496"/>
    <mergeCell ref="AF497:AP497"/>
    <mergeCell ref="AF501:AP501"/>
    <mergeCell ref="AF519:AL519"/>
    <mergeCell ref="AF520:AF521"/>
    <mergeCell ref="AG520:AI520"/>
    <mergeCell ref="AJ520:AL520"/>
    <mergeCell ref="AF478:AP478"/>
    <mergeCell ref="AF484:AP484"/>
    <mergeCell ref="AF493:AP493"/>
    <mergeCell ref="AF494:AF496"/>
    <mergeCell ref="AG494:AK494"/>
    <mergeCell ref="AL494:AP494"/>
    <mergeCell ref="AG495:AH495"/>
    <mergeCell ref="AI495:AJ495"/>
    <mergeCell ref="AK495:AK496"/>
    <mergeCell ref="AL495:AM495"/>
    <mergeCell ref="AF475:AF477"/>
    <mergeCell ref="AG475:AK475"/>
    <mergeCell ref="AL475:AP475"/>
    <mergeCell ref="AG476:AH476"/>
    <mergeCell ref="AI476:AJ476"/>
    <mergeCell ref="AK476:AK477"/>
    <mergeCell ref="AL476:AM476"/>
    <mergeCell ref="AN476:AO476"/>
    <mergeCell ref="AP476:AP477"/>
    <mergeCell ref="AF462:AF464"/>
    <mergeCell ref="AG462:AG464"/>
    <mergeCell ref="AF465:AF467"/>
    <mergeCell ref="AG465:AG467"/>
    <mergeCell ref="AH465:AH467"/>
    <mergeCell ref="AF474:AP474"/>
    <mergeCell ref="AN429:AN431"/>
    <mergeCell ref="AF432:AN432"/>
    <mergeCell ref="AF439:AN439"/>
    <mergeCell ref="AF448:AJ448"/>
    <mergeCell ref="AF449:AF450"/>
    <mergeCell ref="AG449:AH449"/>
    <mergeCell ref="AI449:AJ449"/>
    <mergeCell ref="AF412:AN412"/>
    <mergeCell ref="AF418:AN418"/>
    <mergeCell ref="AF427:AN427"/>
    <mergeCell ref="AF428:AF431"/>
    <mergeCell ref="AG428:AJ428"/>
    <mergeCell ref="AK428:AN428"/>
    <mergeCell ref="AJ429:AJ431"/>
    <mergeCell ref="AK429:AK431"/>
    <mergeCell ref="AL429:AL431"/>
    <mergeCell ref="AM429:AM431"/>
    <mergeCell ref="AF407:AN407"/>
    <mergeCell ref="AF408:AF411"/>
    <mergeCell ref="AG408:AJ408"/>
    <mergeCell ref="AK408:AN408"/>
    <mergeCell ref="AJ409:AJ411"/>
    <mergeCell ref="AK409:AK411"/>
    <mergeCell ref="AL409:AL411"/>
    <mergeCell ref="AM409:AM411"/>
    <mergeCell ref="AN409:AN411"/>
    <mergeCell ref="AF368:AJ368"/>
    <mergeCell ref="AF374:AJ374"/>
    <mergeCell ref="AF383:AH383"/>
    <mergeCell ref="AF390:AJ390"/>
    <mergeCell ref="AF391:AF392"/>
    <mergeCell ref="AG391:AH391"/>
    <mergeCell ref="AI391:AJ391"/>
    <mergeCell ref="AF351:AJ351"/>
    <mergeCell ref="AF356:AJ356"/>
    <mergeCell ref="AF357:AF358"/>
    <mergeCell ref="AG357:AH357"/>
    <mergeCell ref="AI357:AJ357"/>
    <mergeCell ref="AF359:AJ359"/>
    <mergeCell ref="AF338:AJ338"/>
    <mergeCell ref="AF339:AJ339"/>
    <mergeCell ref="AF340:AJ340"/>
    <mergeCell ref="AF343:AK343"/>
    <mergeCell ref="AF349:AJ349"/>
    <mergeCell ref="AF350:AJ350"/>
    <mergeCell ref="AF224:AL224"/>
    <mergeCell ref="AF225:AF226"/>
    <mergeCell ref="AG225:AI225"/>
    <mergeCell ref="AJ225:AL225"/>
    <mergeCell ref="AF331:AK331"/>
    <mergeCell ref="AF337:AJ337"/>
    <mergeCell ref="AK204:AL204"/>
    <mergeCell ref="AF206:AF208"/>
    <mergeCell ref="AF209:AF210"/>
    <mergeCell ref="AF215:AL215"/>
    <mergeCell ref="AF216:AF217"/>
    <mergeCell ref="AG216:AI216"/>
    <mergeCell ref="AJ216:AL216"/>
    <mergeCell ref="AI194:AJ194"/>
    <mergeCell ref="AF204:AF205"/>
    <mergeCell ref="AG204:AG205"/>
    <mergeCell ref="AH204:AH205"/>
    <mergeCell ref="AI204:AI205"/>
    <mergeCell ref="AJ204:AJ205"/>
    <mergeCell ref="AF93:AF99"/>
    <mergeCell ref="AG93:AG96"/>
    <mergeCell ref="AG97:AG99"/>
    <mergeCell ref="AF100:AH100"/>
    <mergeCell ref="AF194:AF195"/>
    <mergeCell ref="AG194:AH194"/>
    <mergeCell ref="AF83:AH83"/>
    <mergeCell ref="AF84:AF90"/>
    <mergeCell ref="AG84:AG87"/>
    <mergeCell ref="AG88:AG90"/>
    <mergeCell ref="AF91:AH91"/>
    <mergeCell ref="AF92:AH92"/>
    <mergeCell ref="O2058:P2058"/>
    <mergeCell ref="O2074:P2074"/>
    <mergeCell ref="AF48:AF49"/>
    <mergeCell ref="AG48:AH48"/>
    <mergeCell ref="AI48:AJ48"/>
    <mergeCell ref="AF80:AH82"/>
    <mergeCell ref="AI80:AO80"/>
    <mergeCell ref="AI81:AM81"/>
    <mergeCell ref="AN81:AN82"/>
    <mergeCell ref="AO81:AO82"/>
    <mergeCell ref="O2025:O2026"/>
    <mergeCell ref="P2025:P2026"/>
    <mergeCell ref="R2025:R2026"/>
    <mergeCell ref="S2025:S2026"/>
    <mergeCell ref="O2032:S2032"/>
    <mergeCell ref="O2033:O2034"/>
    <mergeCell ref="P2033:P2034"/>
    <mergeCell ref="R2033:R2034"/>
    <mergeCell ref="S2033:S2034"/>
    <mergeCell ref="O1971:O1983"/>
    <mergeCell ref="O1984:P1984"/>
    <mergeCell ref="O1988:S1988"/>
    <mergeCell ref="O1994:Q1994"/>
    <mergeCell ref="O2010:Q2010"/>
    <mergeCell ref="O2024:S2024"/>
    <mergeCell ref="O1956:O1962"/>
    <mergeCell ref="O1963:P1963"/>
    <mergeCell ref="O1966:T1966"/>
    <mergeCell ref="O1967:O1968"/>
    <mergeCell ref="P1967:P1968"/>
    <mergeCell ref="Q1967:R1967"/>
    <mergeCell ref="S1967:T1967"/>
    <mergeCell ref="O1914:P1914"/>
    <mergeCell ref="O1918:T1918"/>
    <mergeCell ref="O1923:O1943"/>
    <mergeCell ref="O1944:P1944"/>
    <mergeCell ref="O1951:T1951"/>
    <mergeCell ref="O1952:O1953"/>
    <mergeCell ref="P1952:P1953"/>
    <mergeCell ref="Q1952:R1952"/>
    <mergeCell ref="S1952:T1952"/>
    <mergeCell ref="O1827:O1834"/>
    <mergeCell ref="O1840:Q1840"/>
    <mergeCell ref="O1847:Q1847"/>
    <mergeCell ref="O1890:O1892"/>
    <mergeCell ref="O1900:T1900"/>
    <mergeCell ref="O1905:O1913"/>
    <mergeCell ref="O1785:Q1785"/>
    <mergeCell ref="O1797:R1797"/>
    <mergeCell ref="O1812:R1812"/>
    <mergeCell ref="O1814:P1814"/>
    <mergeCell ref="O1815:P1815"/>
    <mergeCell ref="O1816:O1826"/>
    <mergeCell ref="O1734:Q1734"/>
    <mergeCell ref="O1749:Q1749"/>
    <mergeCell ref="O1756:Q1756"/>
    <mergeCell ref="O1773:Q1773"/>
    <mergeCell ref="O1775:Q1775"/>
    <mergeCell ref="O1779:Q1779"/>
    <mergeCell ref="O1645:O1646"/>
    <mergeCell ref="O1650:Q1650"/>
    <mergeCell ref="O1659:R1659"/>
    <mergeCell ref="O1674:Q1674"/>
    <mergeCell ref="O1702:Q1702"/>
    <mergeCell ref="O1725:Q1725"/>
    <mergeCell ref="O1618:S1618"/>
    <mergeCell ref="P1619:Q1619"/>
    <mergeCell ref="R1619:S1619"/>
    <mergeCell ref="P1637:R1637"/>
    <mergeCell ref="P1638:R1638"/>
    <mergeCell ref="O1643:O1644"/>
    <mergeCell ref="O1593:Q1593"/>
    <mergeCell ref="O1605:S1605"/>
    <mergeCell ref="O1606:O1607"/>
    <mergeCell ref="P1606:Q1606"/>
    <mergeCell ref="R1606:S1606"/>
    <mergeCell ref="O1615:O1616"/>
    <mergeCell ref="R1615:R1616"/>
    <mergeCell ref="O1550:Q1550"/>
    <mergeCell ref="O1563:Q1563"/>
    <mergeCell ref="O1571:R1571"/>
    <mergeCell ref="O1573:R1573"/>
    <mergeCell ref="O1576:R1576"/>
    <mergeCell ref="O1583:Q1583"/>
    <mergeCell ref="O1507:R1507"/>
    <mergeCell ref="O1510:R1510"/>
    <mergeCell ref="O1514:R1514"/>
    <mergeCell ref="O1521:R1521"/>
    <mergeCell ref="O1529:Q1529"/>
    <mergeCell ref="O1536:Q1536"/>
    <mergeCell ref="O1466:Q1466"/>
    <mergeCell ref="O1475:Q1475"/>
    <mergeCell ref="O1485:R1485"/>
    <mergeCell ref="O1488:R1488"/>
    <mergeCell ref="O1492:R1492"/>
    <mergeCell ref="O1499:R1499"/>
    <mergeCell ref="O1430:P1430"/>
    <mergeCell ref="O1431:O1440"/>
    <mergeCell ref="P1431:P1437"/>
    <mergeCell ref="O1441:P1441"/>
    <mergeCell ref="O1442:P1443"/>
    <mergeCell ref="O1448:P1448"/>
    <mergeCell ref="O1423:P1423"/>
    <mergeCell ref="O1424:O1425"/>
    <mergeCell ref="O1426:P1426"/>
    <mergeCell ref="O1427:P1427"/>
    <mergeCell ref="O1428:P1428"/>
    <mergeCell ref="O1429:P1429"/>
    <mergeCell ref="O1404:U1404"/>
    <mergeCell ref="O1405:O1406"/>
    <mergeCell ref="P1405:S1405"/>
    <mergeCell ref="T1405:U1405"/>
    <mergeCell ref="O1417:R1417"/>
    <mergeCell ref="O1422:Q1422"/>
    <mergeCell ref="O1378:S1378"/>
    <mergeCell ref="O1379:O1380"/>
    <mergeCell ref="P1379:Q1379"/>
    <mergeCell ref="R1379:S1379"/>
    <mergeCell ref="O1394:U1394"/>
    <mergeCell ref="O1395:O1396"/>
    <mergeCell ref="P1395:S1395"/>
    <mergeCell ref="T1395:U1395"/>
    <mergeCell ref="O1337:Q1337"/>
    <mergeCell ref="O1345:Q1345"/>
    <mergeCell ref="O1347:Q1347"/>
    <mergeCell ref="O1363:S1363"/>
    <mergeCell ref="O1364:O1365"/>
    <mergeCell ref="P1364:Q1364"/>
    <mergeCell ref="R1364:S1364"/>
    <mergeCell ref="O1259:S1259"/>
    <mergeCell ref="O1272:V1272"/>
    <mergeCell ref="O1285:V1285"/>
    <mergeCell ref="O1301:Q1301"/>
    <mergeCell ref="O1324:Q1324"/>
    <mergeCell ref="O1335:Q1335"/>
    <mergeCell ref="O1177:S1177"/>
    <mergeCell ref="O1190:S1190"/>
    <mergeCell ref="O1206:X1206"/>
    <mergeCell ref="O1219:X1219"/>
    <mergeCell ref="O1236:R1236"/>
    <mergeCell ref="O1248:S1248"/>
    <mergeCell ref="O1165:O1166"/>
    <mergeCell ref="P1165:P1166"/>
    <mergeCell ref="Q1165:Q1166"/>
    <mergeCell ref="R1165:R1166"/>
    <mergeCell ref="T1165:T1166"/>
    <mergeCell ref="U1165:U1166"/>
    <mergeCell ref="S1145:S1146"/>
    <mergeCell ref="T1145:U1145"/>
    <mergeCell ref="O1147:U1147"/>
    <mergeCell ref="O1152:R1152"/>
    <mergeCell ref="O1158:U1158"/>
    <mergeCell ref="O1164:U1164"/>
    <mergeCell ref="O1131:Q1131"/>
    <mergeCell ref="O1133:Q1133"/>
    <mergeCell ref="O1145:O1146"/>
    <mergeCell ref="P1145:P1146"/>
    <mergeCell ref="Q1145:Q1146"/>
    <mergeCell ref="R1145:R1146"/>
    <mergeCell ref="O1107:O1108"/>
    <mergeCell ref="P1107:P1108"/>
    <mergeCell ref="Q1107:Q1108"/>
    <mergeCell ref="R1107:S1107"/>
    <mergeCell ref="O1116:S1116"/>
    <mergeCell ref="O1117:O1118"/>
    <mergeCell ref="P1117:P1118"/>
    <mergeCell ref="Q1117:Q1118"/>
    <mergeCell ref="R1117:S1117"/>
    <mergeCell ref="O1057:U1057"/>
    <mergeCell ref="O1063:U1063"/>
    <mergeCell ref="O1069:Q1069"/>
    <mergeCell ref="O1081:S1081"/>
    <mergeCell ref="O1092:S1092"/>
    <mergeCell ref="O1106:S1106"/>
    <mergeCell ref="O1019:Q1019"/>
    <mergeCell ref="O1021:Q1021"/>
    <mergeCell ref="O1031:Q1031"/>
    <mergeCell ref="O1043:Q1043"/>
    <mergeCell ref="O1054:U1054"/>
    <mergeCell ref="O1055:O1056"/>
    <mergeCell ref="P1055:R1055"/>
    <mergeCell ref="S1055:U1055"/>
    <mergeCell ref="O999:U999"/>
    <mergeCell ref="O1004:U1004"/>
    <mergeCell ref="O1008:S1008"/>
    <mergeCell ref="O1009:O1010"/>
    <mergeCell ref="P1009:Q1009"/>
    <mergeCell ref="R1009:S1009"/>
    <mergeCell ref="O976:S976"/>
    <mergeCell ref="O982:S982"/>
    <mergeCell ref="O984:S984"/>
    <mergeCell ref="O996:U996"/>
    <mergeCell ref="O997:O998"/>
    <mergeCell ref="P997:R997"/>
    <mergeCell ref="S997:U997"/>
    <mergeCell ref="O937:O938"/>
    <mergeCell ref="S937:S938"/>
    <mergeCell ref="O939:S939"/>
    <mergeCell ref="O943:S943"/>
    <mergeCell ref="O959:Q959"/>
    <mergeCell ref="O974:S974"/>
    <mergeCell ref="O919:S919"/>
    <mergeCell ref="O920:O921"/>
    <mergeCell ref="S920:S921"/>
    <mergeCell ref="O922:S922"/>
    <mergeCell ref="O927:S927"/>
    <mergeCell ref="O936:S936"/>
    <mergeCell ref="O892:R892"/>
    <mergeCell ref="O898:R898"/>
    <mergeCell ref="O906:O908"/>
    <mergeCell ref="P906:P908"/>
    <mergeCell ref="O909:O911"/>
    <mergeCell ref="P909:P911"/>
    <mergeCell ref="Q909:Q911"/>
    <mergeCell ref="V865:V867"/>
    <mergeCell ref="W865:W867"/>
    <mergeCell ref="O868:W868"/>
    <mergeCell ref="O873:W873"/>
    <mergeCell ref="O882:S882"/>
    <mergeCell ref="O883:O884"/>
    <mergeCell ref="P883:Q883"/>
    <mergeCell ref="R883:S883"/>
    <mergeCell ref="O845:W845"/>
    <mergeCell ref="O852:W852"/>
    <mergeCell ref="O863:W863"/>
    <mergeCell ref="O864:O867"/>
    <mergeCell ref="P864:S864"/>
    <mergeCell ref="T864:W864"/>
    <mergeCell ref="S865:S867"/>
    <mergeCell ref="T865:T867"/>
    <mergeCell ref="U865:U867"/>
    <mergeCell ref="O816:Q816"/>
    <mergeCell ref="O823:Q823"/>
    <mergeCell ref="O840:W840"/>
    <mergeCell ref="O841:O844"/>
    <mergeCell ref="P841:S841"/>
    <mergeCell ref="T841:W841"/>
    <mergeCell ref="S842:S844"/>
    <mergeCell ref="T842:T844"/>
    <mergeCell ref="U842:U844"/>
    <mergeCell ref="V842:V844"/>
    <mergeCell ref="W842:W844"/>
    <mergeCell ref="O783:S783"/>
    <mergeCell ref="O784:S784"/>
    <mergeCell ref="O789:Q789"/>
    <mergeCell ref="O791:Q791"/>
    <mergeCell ref="O800:Q800"/>
    <mergeCell ref="O806:Q806"/>
    <mergeCell ref="O769:S769"/>
    <mergeCell ref="O770:S770"/>
    <mergeCell ref="O771:S771"/>
    <mergeCell ref="O775:T775"/>
    <mergeCell ref="O781:S781"/>
    <mergeCell ref="O782:S782"/>
    <mergeCell ref="O235:U235"/>
    <mergeCell ref="O236:O237"/>
    <mergeCell ref="P236:R236"/>
    <mergeCell ref="S236:U236"/>
    <mergeCell ref="O762:T762"/>
    <mergeCell ref="O768:S768"/>
    <mergeCell ref="O214:O216"/>
    <mergeCell ref="O217:O218"/>
    <mergeCell ref="O224:U224"/>
    <mergeCell ref="O225:O226"/>
    <mergeCell ref="P225:R225"/>
    <mergeCell ref="S225:U225"/>
    <mergeCell ref="O212:O213"/>
    <mergeCell ref="P212:P213"/>
    <mergeCell ref="Q212:Q213"/>
    <mergeCell ref="R212:R213"/>
    <mergeCell ref="S212:S213"/>
    <mergeCell ref="T212:U212"/>
    <mergeCell ref="O106:P106"/>
    <mergeCell ref="O107:P107"/>
    <mergeCell ref="O108:P108"/>
    <mergeCell ref="Q110:R110"/>
    <mergeCell ref="S110:T110"/>
    <mergeCell ref="O200:O201"/>
    <mergeCell ref="P200:Q200"/>
    <mergeCell ref="R200:S200"/>
    <mergeCell ref="O81:P81"/>
    <mergeCell ref="O82:P82"/>
    <mergeCell ref="O83:P83"/>
    <mergeCell ref="O85:O86"/>
    <mergeCell ref="P85:P86"/>
    <mergeCell ref="U85:U86"/>
    <mergeCell ref="Q6:R6"/>
    <mergeCell ref="S6:T6"/>
    <mergeCell ref="O47:P47"/>
    <mergeCell ref="O48:P48"/>
    <mergeCell ref="O49:P49"/>
    <mergeCell ref="Q51:R51"/>
    <mergeCell ref="S51:T51"/>
    <mergeCell ref="A1857:G1857"/>
    <mergeCell ref="A1865:G1865"/>
    <mergeCell ref="A1872:C1872"/>
    <mergeCell ref="A1877:I1877"/>
    <mergeCell ref="A1884:C1884"/>
    <mergeCell ref="O2:P2"/>
    <mergeCell ref="O3:P3"/>
    <mergeCell ref="O4:P4"/>
    <mergeCell ref="O68:T68"/>
    <mergeCell ref="O70:T70"/>
    <mergeCell ref="A1839:G1839"/>
    <mergeCell ref="A1840:A1841"/>
    <mergeCell ref="B1840:B1841"/>
    <mergeCell ref="C1840:C1841"/>
    <mergeCell ref="D1840:F1840"/>
    <mergeCell ref="G1840:G1841"/>
    <mergeCell ref="A1797:B1797"/>
    <mergeCell ref="A1800:D1800"/>
    <mergeCell ref="A1805:C1805"/>
    <mergeCell ref="A1821:C1821"/>
    <mergeCell ref="A1833:F1833"/>
    <mergeCell ref="A1834:A1835"/>
    <mergeCell ref="B1834:B1835"/>
    <mergeCell ref="C1834:C1835"/>
    <mergeCell ref="D1834:E1834"/>
    <mergeCell ref="F1834:F1835"/>
    <mergeCell ref="A1783:F1783"/>
    <mergeCell ref="A1784:A1785"/>
    <mergeCell ref="B1784:B1785"/>
    <mergeCell ref="C1784:D1784"/>
    <mergeCell ref="E1784:F1784"/>
    <mergeCell ref="A1788:A1796"/>
    <mergeCell ref="A1763:A1764"/>
    <mergeCell ref="B1763:B1764"/>
    <mergeCell ref="C1763:D1763"/>
    <mergeCell ref="E1763:F1763"/>
    <mergeCell ref="A1767:A1779"/>
    <mergeCell ref="A1780:B1780"/>
    <mergeCell ref="A1711:A1731"/>
    <mergeCell ref="A1732:B1732"/>
    <mergeCell ref="A1735:F1735"/>
    <mergeCell ref="A1740:A1754"/>
    <mergeCell ref="A1755:B1755"/>
    <mergeCell ref="A1762:F1762"/>
    <mergeCell ref="A1620:A1626"/>
    <mergeCell ref="A1629:C1629"/>
    <mergeCell ref="A1644:C1644"/>
    <mergeCell ref="A1651:C1651"/>
    <mergeCell ref="A1697:A1699"/>
    <mergeCell ref="A1706:F1706"/>
    <mergeCell ref="A1591:C1591"/>
    <mergeCell ref="A1594:C1594"/>
    <mergeCell ref="A1605:D1605"/>
    <mergeCell ref="A1607:B1607"/>
    <mergeCell ref="A1608:B1608"/>
    <mergeCell ref="A1609:A1619"/>
    <mergeCell ref="A1505:C1505"/>
    <mergeCell ref="A1533:C1533"/>
    <mergeCell ref="A1555:C1555"/>
    <mergeCell ref="A1562:C1562"/>
    <mergeCell ref="A1578:C1578"/>
    <mergeCell ref="A1589:C1589"/>
    <mergeCell ref="B1471:D1471"/>
    <mergeCell ref="B1472:D1472"/>
    <mergeCell ref="A1475:A1476"/>
    <mergeCell ref="A1477:A1478"/>
    <mergeCell ref="A1482:B1482"/>
    <mergeCell ref="A1490:D1490"/>
    <mergeCell ref="A1439:C1439"/>
    <mergeCell ref="A1452:E1452"/>
    <mergeCell ref="A1453:A1454"/>
    <mergeCell ref="B1453:C1453"/>
    <mergeCell ref="B1454:C1454"/>
    <mergeCell ref="D1453:E1453"/>
    <mergeCell ref="D1454:E1454"/>
    <mergeCell ref="A1393:C1393"/>
    <mergeCell ref="A1406:C1406"/>
    <mergeCell ref="A1414:D1414"/>
    <mergeCell ref="A1416:D1416"/>
    <mergeCell ref="A1420:D1420"/>
    <mergeCell ref="A1427:C1427"/>
    <mergeCell ref="A1347:D1347"/>
    <mergeCell ref="A1350:D1350"/>
    <mergeCell ref="A1354:D1354"/>
    <mergeCell ref="A1362:D1362"/>
    <mergeCell ref="A1371:C1371"/>
    <mergeCell ref="A1379:C1379"/>
    <mergeCell ref="A1305:C1305"/>
    <mergeCell ref="A1314:C1314"/>
    <mergeCell ref="A1325:D1325"/>
    <mergeCell ref="A1328:D1328"/>
    <mergeCell ref="A1332:D1332"/>
    <mergeCell ref="A1339:D1339"/>
    <mergeCell ref="A1279:A1280"/>
    <mergeCell ref="B1279:C1279"/>
    <mergeCell ref="D1279:E1279"/>
    <mergeCell ref="A1290:I1290"/>
    <mergeCell ref="A1291:A1292"/>
    <mergeCell ref="B1291:E1291"/>
    <mergeCell ref="F1291:I1291"/>
    <mergeCell ref="A1254:C1254"/>
    <mergeCell ref="A1263:E1263"/>
    <mergeCell ref="A1264:A1265"/>
    <mergeCell ref="B1264:C1264"/>
    <mergeCell ref="D1264:E1264"/>
    <mergeCell ref="A1278:E1278"/>
    <mergeCell ref="A1158:I1158"/>
    <mergeCell ref="A1180:E1180"/>
    <mergeCell ref="A1191:E1191"/>
    <mergeCell ref="A1204:H1204"/>
    <mergeCell ref="A1217:G1217"/>
    <mergeCell ref="A1234:C1234"/>
    <mergeCell ref="A1095:C1095"/>
    <mergeCell ref="A1097:C1097"/>
    <mergeCell ref="A1103:C1103"/>
    <mergeCell ref="A1117:E1117"/>
    <mergeCell ref="A1130:E1130"/>
    <mergeCell ref="A1145:J1145"/>
    <mergeCell ref="A1075:E1075"/>
    <mergeCell ref="A1076:A1077"/>
    <mergeCell ref="B1076:B1077"/>
    <mergeCell ref="C1076:C1077"/>
    <mergeCell ref="D1076:E1076"/>
    <mergeCell ref="A1085:C1085"/>
    <mergeCell ref="A1040:C1040"/>
    <mergeCell ref="A1052:C1052"/>
    <mergeCell ref="A1065:E1065"/>
    <mergeCell ref="A1066:A1067"/>
    <mergeCell ref="B1066:B1067"/>
    <mergeCell ref="C1066:C1067"/>
    <mergeCell ref="D1066:E1066"/>
    <mergeCell ref="A1016:E1016"/>
    <mergeCell ref="A1017:A1018"/>
    <mergeCell ref="B1017:C1017"/>
    <mergeCell ref="D1017:E1017"/>
    <mergeCell ref="A1027:C1027"/>
    <mergeCell ref="A1029:C1029"/>
    <mergeCell ref="A1005:G1005"/>
    <mergeCell ref="A1006:A1007"/>
    <mergeCell ref="B1006:D1006"/>
    <mergeCell ref="E1006:G1006"/>
    <mergeCell ref="A1008:G1008"/>
    <mergeCell ref="A1012:G1012"/>
    <mergeCell ref="A956:E956"/>
    <mergeCell ref="A966:E966"/>
    <mergeCell ref="A983:E983"/>
    <mergeCell ref="A985:E985"/>
    <mergeCell ref="A991:E991"/>
    <mergeCell ref="A993:E993"/>
    <mergeCell ref="A930:A931"/>
    <mergeCell ref="B930:D930"/>
    <mergeCell ref="E930:G930"/>
    <mergeCell ref="A932:G932"/>
    <mergeCell ref="A939:G939"/>
    <mergeCell ref="A947:C947"/>
    <mergeCell ref="A893:A894"/>
    <mergeCell ref="E893:E894"/>
    <mergeCell ref="A895:E895"/>
    <mergeCell ref="A901:E901"/>
    <mergeCell ref="A917:C917"/>
    <mergeCell ref="A929:G929"/>
    <mergeCell ref="A876:E876"/>
    <mergeCell ref="A877:A878"/>
    <mergeCell ref="E877:E878"/>
    <mergeCell ref="A879:E879"/>
    <mergeCell ref="A883:E883"/>
    <mergeCell ref="A892:E892"/>
    <mergeCell ref="A858:A859"/>
    <mergeCell ref="B858:B859"/>
    <mergeCell ref="A860:A862"/>
    <mergeCell ref="B860:B861"/>
    <mergeCell ref="C860:C861"/>
    <mergeCell ref="A865:C865"/>
    <mergeCell ref="G838:G840"/>
    <mergeCell ref="H838:H840"/>
    <mergeCell ref="I838:I840"/>
    <mergeCell ref="A841:I841"/>
    <mergeCell ref="A843:I843"/>
    <mergeCell ref="A848:I848"/>
    <mergeCell ref="I818:I820"/>
    <mergeCell ref="A821:I821"/>
    <mergeCell ref="A823:I823"/>
    <mergeCell ref="A828:I828"/>
    <mergeCell ref="A836:I836"/>
    <mergeCell ref="A837:A840"/>
    <mergeCell ref="B837:E837"/>
    <mergeCell ref="F837:I837"/>
    <mergeCell ref="E838:E840"/>
    <mergeCell ref="F838:F840"/>
    <mergeCell ref="A792:C792"/>
    <mergeCell ref="A799:C799"/>
    <mergeCell ref="A816:I816"/>
    <mergeCell ref="A817:A820"/>
    <mergeCell ref="B817:E817"/>
    <mergeCell ref="F817:I817"/>
    <mergeCell ref="E818:E820"/>
    <mergeCell ref="F818:F820"/>
    <mergeCell ref="G818:G820"/>
    <mergeCell ref="H818:H820"/>
    <mergeCell ref="A754:C754"/>
    <mergeCell ref="A755:C755"/>
    <mergeCell ref="A763:C763"/>
    <mergeCell ref="A765:C765"/>
    <mergeCell ref="A774:C774"/>
    <mergeCell ref="A780:C780"/>
    <mergeCell ref="A740:C740"/>
    <mergeCell ref="A741:C741"/>
    <mergeCell ref="A742:C742"/>
    <mergeCell ref="A747:D747"/>
    <mergeCell ref="A752:C752"/>
    <mergeCell ref="A753:C753"/>
    <mergeCell ref="A241:G241"/>
    <mergeCell ref="A242:A243"/>
    <mergeCell ref="B242:D242"/>
    <mergeCell ref="E242:G242"/>
    <mergeCell ref="A734:D734"/>
    <mergeCell ref="A739:C739"/>
    <mergeCell ref="A220:A221"/>
    <mergeCell ref="A222:A223"/>
    <mergeCell ref="A232:G232"/>
    <mergeCell ref="A233:A234"/>
    <mergeCell ref="B233:D233"/>
    <mergeCell ref="E233:G233"/>
    <mergeCell ref="A218:A219"/>
    <mergeCell ref="B218:B219"/>
    <mergeCell ref="C218:C219"/>
    <mergeCell ref="D218:D219"/>
    <mergeCell ref="E218:E219"/>
    <mergeCell ref="F218:G218"/>
    <mergeCell ref="G86:G87"/>
    <mergeCell ref="A110:B110"/>
    <mergeCell ref="A111:B111"/>
    <mergeCell ref="B113:C113"/>
    <mergeCell ref="D113:E113"/>
    <mergeCell ref="A206:A207"/>
    <mergeCell ref="B206:C206"/>
    <mergeCell ref="C51:D51"/>
    <mergeCell ref="E51:F51"/>
    <mergeCell ref="A83:B83"/>
    <mergeCell ref="A84:B84"/>
    <mergeCell ref="A86:A87"/>
    <mergeCell ref="B86:B87"/>
    <mergeCell ref="A3:B3"/>
    <mergeCell ref="A4:B4"/>
    <mergeCell ref="C6:D6"/>
    <mergeCell ref="E6:F6"/>
    <mergeCell ref="A48:B48"/>
    <mergeCell ref="A49:B49"/>
  </mergeCells>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7BE1F-D799-468B-A89C-4114C8D7DCA1}">
  <sheetPr>
    <tabColor theme="1"/>
  </sheetPr>
  <dimension ref="A1"/>
  <sheetViews>
    <sheetView workbookViewId="0"/>
  </sheetViews>
  <sheetFormatPr defaultRowHeight="16.5" x14ac:dyDescent="0.3"/>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7DD94-B09B-41F0-AF14-B300D7401CA8}">
  <sheetPr>
    <tabColor theme="1" tint="0.34998626667073579"/>
  </sheetPr>
  <dimension ref="A1:X56"/>
  <sheetViews>
    <sheetView workbookViewId="0"/>
  </sheetViews>
  <sheetFormatPr defaultColWidth="8" defaultRowHeight="12" outlineLevelRow="1" x14ac:dyDescent="0.3"/>
  <cols>
    <col min="1" max="1" width="3" style="1009" customWidth="1"/>
    <col min="2" max="2" width="2.75" style="1009" customWidth="1"/>
    <col min="3" max="4" width="8" style="1009"/>
    <col min="5" max="8" width="8.75" style="1009" bestFit="1" customWidth="1"/>
    <col min="9" max="9" width="8.5" style="1009" bestFit="1" customWidth="1"/>
    <col min="10" max="10" width="9.75" style="1009" bestFit="1" customWidth="1"/>
    <col min="11" max="11" width="8.125" style="1009" bestFit="1" customWidth="1"/>
    <col min="12" max="12" width="11.625" style="1009" bestFit="1" customWidth="1"/>
    <col min="13" max="13" width="9.625" style="1071" bestFit="1" customWidth="1"/>
    <col min="14" max="14" width="8.125" style="1009" bestFit="1" customWidth="1"/>
    <col min="15" max="15" width="10.875" style="1009" bestFit="1" customWidth="1"/>
    <col min="16" max="16" width="8.75" style="1009" customWidth="1"/>
    <col min="17" max="20" width="10.875" style="1009" bestFit="1" customWidth="1"/>
    <col min="21" max="22" width="8.125" style="1009" bestFit="1" customWidth="1"/>
    <col min="23" max="23" width="9.625" style="1009" bestFit="1" customWidth="1"/>
    <col min="24" max="24" width="8" style="1009"/>
    <col min="25" max="25" width="10.375" style="1009" bestFit="1" customWidth="1"/>
    <col min="26" max="26" width="13.125" style="1009" customWidth="1"/>
    <col min="27" max="27" width="10.25" style="1009" bestFit="1" customWidth="1"/>
    <col min="28" max="28" width="9.625" style="1009" bestFit="1" customWidth="1"/>
    <col min="29" max="29" width="10.375" style="1009" bestFit="1" customWidth="1"/>
    <col min="30" max="30" width="11.625" style="1009" bestFit="1" customWidth="1"/>
    <col min="31" max="16384" width="8" style="1009"/>
  </cols>
  <sheetData>
    <row r="1" spans="1:21" s="1005" customFormat="1" x14ac:dyDescent="0.3">
      <c r="A1" s="1002"/>
      <c r="B1" s="1003"/>
      <c r="C1" s="1003"/>
      <c r="D1" s="1003"/>
      <c r="E1" s="1003"/>
      <c r="F1" s="1003"/>
      <c r="G1" s="1003"/>
      <c r="H1" s="1003"/>
      <c r="I1" s="1003"/>
      <c r="J1" s="1003"/>
      <c r="K1" s="1003"/>
      <c r="L1" s="1003"/>
      <c r="M1" s="1004"/>
      <c r="N1" s="1003"/>
      <c r="O1" s="1003"/>
      <c r="P1" s="1003"/>
      <c r="Q1" s="1003"/>
      <c r="R1" s="1003"/>
      <c r="S1" s="1003"/>
      <c r="T1" s="1003"/>
    </row>
    <row r="2" spans="1:21" x14ac:dyDescent="0.3">
      <c r="A2" s="1006"/>
      <c r="B2" s="1007" t="s">
        <v>3185</v>
      </c>
      <c r="C2" s="1007"/>
      <c r="D2" s="1007"/>
      <c r="E2" s="1007"/>
      <c r="F2" s="1007"/>
      <c r="G2" s="1007"/>
      <c r="H2" s="1007"/>
      <c r="I2" s="1007"/>
      <c r="J2" s="1007"/>
      <c r="K2" s="1007"/>
      <c r="L2" s="1007"/>
      <c r="M2" s="1008"/>
      <c r="N2" s="1007"/>
      <c r="O2" s="1007"/>
      <c r="P2" s="1007"/>
      <c r="Q2" s="1007"/>
      <c r="R2" s="1007"/>
      <c r="S2" s="1007"/>
      <c r="T2" s="1007"/>
      <c r="U2" s="1007"/>
    </row>
    <row r="4" spans="1:21" x14ac:dyDescent="0.3">
      <c r="C4" s="1010" t="s">
        <v>3186</v>
      </c>
      <c r="D4" s="1011"/>
      <c r="E4" s="1011"/>
      <c r="F4" s="1011"/>
      <c r="G4" s="1011"/>
      <c r="H4" s="1011"/>
      <c r="I4" s="1011"/>
      <c r="J4" s="1011"/>
      <c r="K4" s="1011"/>
      <c r="L4" s="1011"/>
      <c r="M4" s="1012"/>
      <c r="N4" s="1011"/>
      <c r="O4" s="1013"/>
      <c r="P4" s="1011"/>
      <c r="Q4" s="1011"/>
      <c r="R4" s="1011"/>
      <c r="S4" s="1011"/>
      <c r="T4" s="1011"/>
    </row>
    <row r="6" spans="1:21" x14ac:dyDescent="0.3">
      <c r="C6" s="1014" t="s">
        <v>3187</v>
      </c>
      <c r="D6" s="1014" t="s">
        <v>3187</v>
      </c>
      <c r="E6" s="1014"/>
      <c r="F6" s="1014"/>
      <c r="G6" s="1015"/>
      <c r="H6" s="1015"/>
      <c r="I6" s="1014"/>
      <c r="J6" s="1016">
        <v>13873.735119999999</v>
      </c>
      <c r="K6" s="1016">
        <v>15962.194642</v>
      </c>
      <c r="L6" s="1016">
        <v>17522.853043999999</v>
      </c>
      <c r="M6" s="1017">
        <v>15509.9041</v>
      </c>
      <c r="N6" s="1018">
        <v>4795.5831790447919</v>
      </c>
      <c r="O6" s="1019">
        <v>20305.487279044792</v>
      </c>
      <c r="P6" s="1019">
        <v>21036.484821090406</v>
      </c>
      <c r="Q6" s="1019">
        <v>21394.105063048937</v>
      </c>
      <c r="R6" s="1019">
        <v>21864.775374436016</v>
      </c>
      <c r="S6" s="1019">
        <v>22564.448186417969</v>
      </c>
      <c r="T6" s="1019">
        <v>23331.63942475618</v>
      </c>
    </row>
    <row r="7" spans="1:21" x14ac:dyDescent="0.3">
      <c r="D7" s="1020" t="s">
        <v>3188</v>
      </c>
      <c r="E7" s="1020"/>
      <c r="F7" s="1020"/>
      <c r="G7" s="1020" t="s">
        <v>3189</v>
      </c>
      <c r="H7" s="1020"/>
      <c r="I7" s="1020"/>
      <c r="J7" s="1020"/>
      <c r="K7" s="1020"/>
      <c r="L7" s="1020"/>
      <c r="M7" s="1021">
        <v>359</v>
      </c>
      <c r="N7" s="1022">
        <v>359</v>
      </c>
      <c r="O7" s="1020">
        <v>359</v>
      </c>
      <c r="P7" s="1020">
        <v>359</v>
      </c>
      <c r="Q7" s="1020">
        <v>359</v>
      </c>
      <c r="R7" s="1020">
        <v>359</v>
      </c>
      <c r="S7" s="1020">
        <v>359</v>
      </c>
      <c r="T7" s="1020">
        <v>359</v>
      </c>
    </row>
    <row r="8" spans="1:21" x14ac:dyDescent="0.3">
      <c r="D8" s="1009" t="s">
        <v>3190</v>
      </c>
      <c r="J8" s="1009">
        <v>42.041621575757574</v>
      </c>
      <c r="K8" s="1009">
        <v>44.712029809523813</v>
      </c>
      <c r="L8" s="1009">
        <v>47.104443666666668</v>
      </c>
      <c r="M8" s="1023">
        <v>43.203075487465178</v>
      </c>
      <c r="N8" s="1023">
        <v>13.358170415166551</v>
      </c>
      <c r="O8" s="1009">
        <v>56.561245902631732</v>
      </c>
      <c r="P8" s="1009">
        <v>58.597450755126474</v>
      </c>
      <c r="Q8" s="1009">
        <v>59.593607417963618</v>
      </c>
      <c r="R8" s="1009">
        <v>60.904666781158816</v>
      </c>
      <c r="S8" s="1009">
        <v>62.853616118155898</v>
      </c>
      <c r="T8" s="1009">
        <v>64.990639066173202</v>
      </c>
    </row>
    <row r="9" spans="1:21" x14ac:dyDescent="0.3">
      <c r="D9" s="1024" t="s">
        <v>3191</v>
      </c>
      <c r="M9" s="1023"/>
      <c r="N9" s="1025"/>
      <c r="O9" s="1026">
        <v>6.6000000000000003E-2</v>
      </c>
      <c r="P9" s="1026">
        <v>3.6000000000000004E-2</v>
      </c>
      <c r="Q9" s="1026">
        <v>1.7000000000000001E-2</v>
      </c>
      <c r="R9" s="1026">
        <v>2.2000000000000002E-2</v>
      </c>
      <c r="S9" s="1026">
        <v>3.2000000000000001E-2</v>
      </c>
      <c r="T9" s="1026">
        <v>3.4000000000000002E-2</v>
      </c>
    </row>
    <row r="10" spans="1:21" x14ac:dyDescent="0.3">
      <c r="M10" s="1023"/>
      <c r="N10" s="1025" t="s">
        <v>3192</v>
      </c>
    </row>
    <row r="11" spans="1:21" x14ac:dyDescent="0.3">
      <c r="C11" s="1027" t="s">
        <v>1984</v>
      </c>
      <c r="D11" s="1028" t="s">
        <v>1984</v>
      </c>
      <c r="E11" s="1028"/>
      <c r="F11" s="1028"/>
      <c r="G11" s="1029" t="s">
        <v>3193</v>
      </c>
      <c r="H11" s="1028"/>
      <c r="I11" s="1028"/>
      <c r="J11" s="1030"/>
      <c r="K11" s="1030"/>
      <c r="L11" s="1030"/>
      <c r="M11" s="1031">
        <v>1598.744627</v>
      </c>
      <c r="N11" s="1032">
        <v>399.63193158706599</v>
      </c>
      <c r="O11" s="1033">
        <v>1998.376558587066</v>
      </c>
      <c r="P11" s="1033">
        <v>1753.0404017575338</v>
      </c>
      <c r="Q11" s="1033">
        <v>1782.8420885874114</v>
      </c>
      <c r="R11" s="1033">
        <v>1822.0646145363346</v>
      </c>
      <c r="S11" s="1033">
        <v>1880.3706822014974</v>
      </c>
      <c r="T11" s="1033">
        <v>1944.3032853963484</v>
      </c>
    </row>
    <row r="12" spans="1:21" x14ac:dyDescent="0.3">
      <c r="M12" s="1023"/>
      <c r="N12" s="1025"/>
    </row>
    <row r="13" spans="1:21" x14ac:dyDescent="0.3">
      <c r="M13" s="1023"/>
      <c r="N13" s="1025"/>
    </row>
    <row r="14" spans="1:21" x14ac:dyDescent="0.3">
      <c r="M14" s="1023"/>
      <c r="N14" s="1025"/>
    </row>
    <row r="15" spans="1:21" x14ac:dyDescent="0.3">
      <c r="C15" s="1014" t="s">
        <v>3194</v>
      </c>
      <c r="D15" s="1015"/>
      <c r="E15" s="1015"/>
      <c r="F15" s="1015"/>
      <c r="G15" s="1015"/>
      <c r="H15" s="1015"/>
      <c r="I15" s="1015"/>
      <c r="J15" s="1034">
        <v>3117.0606069999999</v>
      </c>
      <c r="K15" s="1034">
        <v>3528.2293570000002</v>
      </c>
      <c r="L15" s="1034">
        <v>4300.3145050000003</v>
      </c>
      <c r="M15" s="1035">
        <v>3114.4225689999998</v>
      </c>
      <c r="N15" s="1036">
        <v>622.88451379999992</v>
      </c>
      <c r="O15" s="1033">
        <v>3737.3070828</v>
      </c>
      <c r="P15" s="1033">
        <v>4224.1720307754758</v>
      </c>
      <c r="Q15" s="1033">
        <v>4295.9829552986585</v>
      </c>
      <c r="R15" s="1033">
        <v>4390.4945803152295</v>
      </c>
      <c r="S15" s="1033">
        <v>4530.9904068853166</v>
      </c>
      <c r="T15" s="1033">
        <v>4685.0440807194173</v>
      </c>
    </row>
    <row r="16" spans="1:21" x14ac:dyDescent="0.3">
      <c r="D16" s="1009" t="s">
        <v>3195</v>
      </c>
      <c r="G16" s="1020" t="s">
        <v>3196</v>
      </c>
      <c r="H16" s="1037"/>
      <c r="J16" s="1026"/>
      <c r="K16" s="1026"/>
      <c r="L16" s="1026"/>
      <c r="M16" s="1038">
        <v>0.2008021809109703</v>
      </c>
      <c r="N16" s="1038"/>
      <c r="O16" s="1039">
        <v>0.2008021809109703</v>
      </c>
      <c r="P16" s="1039">
        <v>0.2008021809109703</v>
      </c>
      <c r="Q16" s="1039">
        <v>0.2008021809109703</v>
      </c>
      <c r="R16" s="1039">
        <v>0.2008021809109703</v>
      </c>
      <c r="S16" s="1039">
        <v>0.2008021809109703</v>
      </c>
      <c r="T16" s="1039">
        <v>0.2008021809109703</v>
      </c>
    </row>
    <row r="17" spans="3:24" x14ac:dyDescent="0.3">
      <c r="J17" s="256">
        <f>J15/J6</f>
        <v>0.22467349852359009</v>
      </c>
      <c r="K17" s="256">
        <f t="shared" ref="K17:M17" si="0">K15/K6</f>
        <v>0.22103660781810433</v>
      </c>
      <c r="L17" s="256">
        <f t="shared" si="0"/>
        <v>0.24541177707773285</v>
      </c>
      <c r="M17" s="1407">
        <f t="shared" si="0"/>
        <v>0.2008021809109703</v>
      </c>
      <c r="N17" s="1025"/>
    </row>
    <row r="18" spans="3:24" x14ac:dyDescent="0.3">
      <c r="C18" s="1014" t="s">
        <v>3197</v>
      </c>
      <c r="D18" s="1015" t="s">
        <v>3197</v>
      </c>
      <c r="E18" s="1015"/>
      <c r="F18" s="1015"/>
      <c r="G18" s="1015"/>
      <c r="H18" s="1015"/>
      <c r="I18" s="1015"/>
      <c r="J18" s="1034">
        <v>1936.50243</v>
      </c>
      <c r="K18" s="1034">
        <v>1563.6393270000001</v>
      </c>
      <c r="L18" s="1034">
        <v>1891.2042779999999</v>
      </c>
      <c r="M18" s="1035">
        <v>1698.058076</v>
      </c>
      <c r="N18" s="1036">
        <v>339.61161520000002</v>
      </c>
      <c r="O18" s="1033">
        <v>2037.6696912</v>
      </c>
      <c r="P18" s="1033">
        <v>2111.0258000832</v>
      </c>
      <c r="Q18" s="1033">
        <v>2146.913238684614</v>
      </c>
      <c r="R18" s="1033">
        <v>2194.1453299356758</v>
      </c>
      <c r="S18" s="1033">
        <v>2264.3579804936176</v>
      </c>
      <c r="T18" s="1033">
        <v>2341.3461518304007</v>
      </c>
    </row>
    <row r="19" spans="3:24" x14ac:dyDescent="0.3">
      <c r="G19" s="1009" t="s">
        <v>3189</v>
      </c>
      <c r="H19" s="1037"/>
      <c r="J19" s="1040">
        <v>111.92307692307692</v>
      </c>
      <c r="K19" s="1040">
        <v>110.30232558139535</v>
      </c>
      <c r="L19" s="1040">
        <v>111.6</v>
      </c>
      <c r="M19" s="1041">
        <v>101.96449704142012</v>
      </c>
      <c r="N19" s="1025"/>
      <c r="O19" s="1040">
        <v>101.96449704142012</v>
      </c>
      <c r="P19" s="1040">
        <v>101.96449704142012</v>
      </c>
      <c r="Q19" s="1040">
        <v>101.96449704142012</v>
      </c>
      <c r="R19" s="1040">
        <v>101.96449704142012</v>
      </c>
      <c r="S19" s="1040">
        <v>101.96449704142012</v>
      </c>
      <c r="T19" s="1040">
        <v>101.96449704142012</v>
      </c>
    </row>
    <row r="20" spans="3:24" x14ac:dyDescent="0.3">
      <c r="M20" s="1023"/>
      <c r="N20" s="1025"/>
    </row>
    <row r="21" spans="3:24" x14ac:dyDescent="0.3">
      <c r="D21" s="1009" t="s">
        <v>3198</v>
      </c>
      <c r="J21" s="1009">
        <v>17.30208356701031</v>
      </c>
      <c r="K21" s="1009">
        <v>14.175941611005694</v>
      </c>
      <c r="L21" s="1009">
        <v>16.94627489247312</v>
      </c>
      <c r="M21" s="1023">
        <v>16.653424724001859</v>
      </c>
      <c r="N21" s="1025"/>
      <c r="O21" s="1009">
        <v>19.98410966880223</v>
      </c>
      <c r="P21" s="1009">
        <v>20.70353761687911</v>
      </c>
      <c r="Q21" s="1009">
        <v>21.055497756366051</v>
      </c>
      <c r="R21" s="1009">
        <v>21.518718707006105</v>
      </c>
      <c r="S21" s="1009">
        <v>22.207317705630302</v>
      </c>
      <c r="T21" s="1009">
        <v>22.962366507621734</v>
      </c>
    </row>
    <row r="22" spans="3:24" x14ac:dyDescent="0.3">
      <c r="D22" s="1024" t="s">
        <v>3191</v>
      </c>
      <c r="M22" s="1023"/>
      <c r="N22" s="1025"/>
      <c r="O22" s="1026">
        <v>6.6000000000000003E-2</v>
      </c>
      <c r="P22" s="1026">
        <v>3.6000000000000004E-2</v>
      </c>
      <c r="Q22" s="1026">
        <v>1.7000000000000001E-2</v>
      </c>
      <c r="R22" s="1026">
        <v>2.2000000000000002E-2</v>
      </c>
      <c r="S22" s="1026">
        <v>3.2000000000000001E-2</v>
      </c>
      <c r="T22" s="1026">
        <v>3.4000000000000002E-2</v>
      </c>
    </row>
    <row r="23" spans="3:24" x14ac:dyDescent="0.3">
      <c r="M23" s="1023"/>
      <c r="N23" s="1025"/>
    </row>
    <row r="24" spans="3:24" x14ac:dyDescent="0.3">
      <c r="C24" s="1014" t="s">
        <v>3199</v>
      </c>
      <c r="D24" s="1015" t="s">
        <v>3199</v>
      </c>
      <c r="E24" s="1015"/>
      <c r="F24" s="1015"/>
      <c r="G24" s="1015"/>
      <c r="H24" s="1015"/>
      <c r="I24" s="1015"/>
      <c r="J24" s="1034">
        <v>51.698236000000001</v>
      </c>
      <c r="K24" s="1034">
        <v>49.223609000000003</v>
      </c>
      <c r="L24" s="1034">
        <v>24.098859999999998</v>
      </c>
      <c r="M24" s="1035">
        <v>40.207400999999997</v>
      </c>
      <c r="N24" s="1036">
        <v>8.0414801999999987</v>
      </c>
      <c r="O24" s="1033">
        <v>48.2488812</v>
      </c>
      <c r="P24" s="1033">
        <v>49.985840923200001</v>
      </c>
      <c r="Q24" s="1033">
        <v>50.835600218894399</v>
      </c>
      <c r="R24" s="1033">
        <v>51.953983423710071</v>
      </c>
      <c r="S24" s="1033">
        <v>53.616510893268796</v>
      </c>
      <c r="T24" s="1033">
        <v>55.439472263639935</v>
      </c>
    </row>
    <row r="25" spans="3:24" x14ac:dyDescent="0.3">
      <c r="C25" s="1014"/>
      <c r="D25" s="1009" t="s">
        <v>3188</v>
      </c>
      <c r="G25" s="1009" t="s">
        <v>3189</v>
      </c>
      <c r="H25" s="1037"/>
      <c r="M25" s="1023">
        <v>359</v>
      </c>
      <c r="N25" s="1025"/>
      <c r="O25" s="1009">
        <v>359</v>
      </c>
      <c r="P25" s="1009">
        <v>359</v>
      </c>
      <c r="Q25" s="1009">
        <v>359</v>
      </c>
      <c r="R25" s="1009">
        <v>359</v>
      </c>
      <c r="S25" s="1009">
        <v>359</v>
      </c>
      <c r="T25" s="1009">
        <v>359</v>
      </c>
    </row>
    <row r="26" spans="3:24" x14ac:dyDescent="0.3">
      <c r="C26" s="1014"/>
      <c r="D26" s="1009" t="s">
        <v>3200</v>
      </c>
      <c r="J26" s="1042">
        <v>0.15666132121212123</v>
      </c>
      <c r="K26" s="1042">
        <v>0.13788125770308124</v>
      </c>
      <c r="L26" s="1042">
        <v>6.4781881720430104E-2</v>
      </c>
      <c r="M26" s="1043">
        <v>0.11199833147632311</v>
      </c>
      <c r="N26" s="1025"/>
      <c r="O26" s="1042">
        <v>0.13439799777158773</v>
      </c>
      <c r="P26" s="1042">
        <v>0.1392363256913649</v>
      </c>
      <c r="Q26" s="1042">
        <v>0.1416033432281181</v>
      </c>
      <c r="R26" s="1042">
        <v>0.14471861677913669</v>
      </c>
      <c r="S26" s="1042">
        <v>0.14934961251606907</v>
      </c>
      <c r="T26" s="1042">
        <v>0.15442749934161543</v>
      </c>
    </row>
    <row r="27" spans="3:24" x14ac:dyDescent="0.3">
      <c r="C27" s="1014"/>
      <c r="M27" s="1023"/>
      <c r="N27" s="1025"/>
    </row>
    <row r="28" spans="3:24" x14ac:dyDescent="0.3">
      <c r="C28" s="1014" t="s">
        <v>3201</v>
      </c>
      <c r="D28" s="1015" t="s">
        <v>3201</v>
      </c>
      <c r="E28" s="1015"/>
      <c r="F28" s="1015"/>
      <c r="G28" s="1015"/>
      <c r="H28" s="1015"/>
      <c r="I28" s="1015"/>
      <c r="J28" s="1033">
        <v>666.38646000000006</v>
      </c>
      <c r="K28" s="1033">
        <v>1190.766507</v>
      </c>
      <c r="L28" s="1033">
        <v>1068.860964</v>
      </c>
      <c r="M28" s="1044">
        <v>994.16515500000003</v>
      </c>
      <c r="N28" s="1036">
        <v>580.8097760293482</v>
      </c>
      <c r="O28" s="1033">
        <v>1574.9749310293482</v>
      </c>
      <c r="P28" s="1033">
        <v>1631.6740285464048</v>
      </c>
      <c r="Q28" s="1033">
        <v>1659.4124870316934</v>
      </c>
      <c r="R28" s="1033">
        <v>1695.9195617463906</v>
      </c>
      <c r="S28" s="1033">
        <v>1750.1889877222752</v>
      </c>
      <c r="T28" s="1033">
        <v>1809.6954133048325</v>
      </c>
      <c r="X28" s="1045"/>
    </row>
    <row r="29" spans="3:24" x14ac:dyDescent="0.3">
      <c r="D29" s="1024" t="s">
        <v>3191</v>
      </c>
      <c r="G29" s="1009" t="s">
        <v>3202</v>
      </c>
      <c r="H29" s="1037" t="s">
        <v>3203</v>
      </c>
      <c r="M29" s="1023"/>
      <c r="N29" s="1025"/>
      <c r="O29" s="1026">
        <v>6.6000000000000003E-2</v>
      </c>
      <c r="P29" s="1026">
        <v>3.6000000000000004E-2</v>
      </c>
      <c r="Q29" s="1026">
        <v>1.7000000000000001E-2</v>
      </c>
      <c r="R29" s="1026">
        <v>2.2000000000000002E-2</v>
      </c>
      <c r="S29" s="1026">
        <v>3.2000000000000001E-2</v>
      </c>
      <c r="T29" s="1026">
        <v>3.4000000000000002E-2</v>
      </c>
      <c r="X29" s="1045"/>
    </row>
    <row r="30" spans="3:24" x14ac:dyDescent="0.3">
      <c r="C30" s="1014"/>
      <c r="M30" s="1023"/>
      <c r="N30" s="1025"/>
    </row>
    <row r="31" spans="3:24" x14ac:dyDescent="0.3">
      <c r="C31" s="1014"/>
      <c r="M31" s="1023"/>
      <c r="N31" s="1025"/>
    </row>
    <row r="32" spans="3:24" x14ac:dyDescent="0.3">
      <c r="C32" s="1014"/>
      <c r="M32" s="1023"/>
      <c r="N32" s="1025"/>
    </row>
    <row r="33" spans="3:20" x14ac:dyDescent="0.3">
      <c r="M33" s="1023"/>
      <c r="N33" s="1025"/>
    </row>
    <row r="34" spans="3:20" x14ac:dyDescent="0.3">
      <c r="C34" s="1010" t="s">
        <v>3204</v>
      </c>
      <c r="D34" s="1011"/>
      <c r="E34" s="1011"/>
      <c r="F34" s="1011"/>
      <c r="G34" s="1011"/>
      <c r="H34" s="1011"/>
      <c r="I34" s="1011"/>
      <c r="J34" s="1011"/>
      <c r="K34" s="1011"/>
      <c r="L34" s="1011"/>
      <c r="M34" s="1012"/>
      <c r="N34" s="1011"/>
      <c r="O34" s="1011"/>
      <c r="P34" s="1011"/>
      <c r="Q34" s="1011"/>
      <c r="R34" s="1011"/>
      <c r="S34" s="1011"/>
      <c r="T34" s="1011"/>
    </row>
    <row r="35" spans="3:20" x14ac:dyDescent="0.3">
      <c r="M35" s="1023"/>
      <c r="N35" s="1025"/>
    </row>
    <row r="36" spans="3:20" x14ac:dyDescent="0.3">
      <c r="C36" s="1014" t="s">
        <v>3205</v>
      </c>
      <c r="D36" s="1015" t="s">
        <v>3206</v>
      </c>
      <c r="E36" s="1015"/>
      <c r="F36" s="1015"/>
      <c r="G36" s="1015"/>
      <c r="H36" s="1015"/>
      <c r="I36" s="1015"/>
      <c r="J36" s="1034">
        <v>992.24380399999995</v>
      </c>
      <c r="K36" s="1034">
        <v>1901.4386340000001</v>
      </c>
      <c r="L36" s="1034">
        <v>1884.447576</v>
      </c>
      <c r="M36" s="1035">
        <v>2320.1651499999998</v>
      </c>
      <c r="N36" s="1036">
        <v>507.26334181316861</v>
      </c>
      <c r="O36" s="1033">
        <v>2827.4284918131684</v>
      </c>
      <c r="P36" s="1033">
        <v>3024.9302427138746</v>
      </c>
      <c r="Q36" s="1033">
        <v>3872.3359310739684</v>
      </c>
      <c r="R36" s="1033">
        <v>4879.3996011035842</v>
      </c>
      <c r="S36" s="1033">
        <v>6044.3073081997463</v>
      </c>
      <c r="T36" s="1033">
        <v>7080.9150108405756</v>
      </c>
    </row>
    <row r="37" spans="3:20" x14ac:dyDescent="0.3">
      <c r="D37" s="1009" t="s">
        <v>161</v>
      </c>
      <c r="J37" s="1046">
        <v>196961.16268400001</v>
      </c>
      <c r="K37" s="1046">
        <v>226329.072223</v>
      </c>
      <c r="L37" s="1046">
        <v>244189.26450200001</v>
      </c>
      <c r="M37" s="1047">
        <v>222552.49327100001</v>
      </c>
      <c r="N37" s="1048">
        <v>48657.192125095164</v>
      </c>
      <c r="O37" s="1049">
        <v>271209.68539609516</v>
      </c>
      <c r="P37" s="1049">
        <v>290154.24504881649</v>
      </c>
      <c r="Q37" s="1049">
        <v>371438.22121601598</v>
      </c>
      <c r="R37" s="1049">
        <v>468036.74595798738</v>
      </c>
      <c r="S37" s="1049">
        <v>579775.82394769625</v>
      </c>
      <c r="T37" s="1049">
        <v>679208.24097483756</v>
      </c>
    </row>
    <row r="38" spans="3:20" x14ac:dyDescent="0.3">
      <c r="D38" s="1009" t="s">
        <v>3207</v>
      </c>
      <c r="G38" s="1050" t="s">
        <v>3208</v>
      </c>
      <c r="J38" s="1026">
        <v>5.0377637422456389E-3</v>
      </c>
      <c r="K38" s="1026">
        <v>8.4012125146986413E-3</v>
      </c>
      <c r="L38" s="1026">
        <v>7.7171598016118588E-3</v>
      </c>
      <c r="M38" s="1038">
        <v>1.0425248964408398E-2</v>
      </c>
      <c r="N38" s="1038">
        <v>1.0425248964408398E-2</v>
      </c>
      <c r="O38" s="1026">
        <v>1.0425248964408398E-2</v>
      </c>
      <c r="P38" s="1026">
        <v>1.0425248964408398E-2</v>
      </c>
      <c r="Q38" s="1026">
        <v>1.0425248964408398E-2</v>
      </c>
      <c r="R38" s="1026">
        <v>1.0425248964408398E-2</v>
      </c>
      <c r="S38" s="1026">
        <v>1.0425248964408398E-2</v>
      </c>
      <c r="T38" s="1026">
        <v>1.0425248964408398E-2</v>
      </c>
    </row>
    <row r="39" spans="3:20" x14ac:dyDescent="0.3">
      <c r="M39" s="1023"/>
      <c r="N39" s="1025"/>
    </row>
    <row r="40" spans="3:20" outlineLevel="1" x14ac:dyDescent="0.3">
      <c r="C40" s="1014" t="s">
        <v>3209</v>
      </c>
      <c r="D40" s="1014" t="s">
        <v>3209</v>
      </c>
      <c r="E40" s="1015"/>
      <c r="F40" s="1015"/>
      <c r="G40" s="1051"/>
      <c r="H40" s="1015"/>
      <c r="I40" s="1015"/>
      <c r="J40" s="1034">
        <v>8205.3689740000009</v>
      </c>
      <c r="K40" s="1034">
        <v>7507.0882609999999</v>
      </c>
      <c r="L40" s="1034">
        <v>4609.5195039999999</v>
      </c>
      <c r="M40" s="1034">
        <v>5422.2261749999998</v>
      </c>
      <c r="N40" s="1052">
        <v>1697.8451999999997</v>
      </c>
      <c r="O40" s="1052">
        <v>7120.0713749999995</v>
      </c>
      <c r="P40" s="1052">
        <v>7069.2622633316751</v>
      </c>
      <c r="Q40" s="1052">
        <v>9049.6494371800491</v>
      </c>
      <c r="R40" s="1052">
        <v>11403.157329291156</v>
      </c>
      <c r="S40" s="1052">
        <v>14125.546750956266</v>
      </c>
      <c r="T40" s="1052">
        <v>16548.099050074161</v>
      </c>
    </row>
    <row r="41" spans="3:20" outlineLevel="1" x14ac:dyDescent="0.3">
      <c r="D41" s="1009" t="s">
        <v>3207</v>
      </c>
      <c r="G41" s="1053" t="s">
        <v>3210</v>
      </c>
      <c r="H41" s="1037"/>
      <c r="J41" s="1026">
        <v>4.1659832132309796E-2</v>
      </c>
      <c r="K41" s="1026">
        <v>3.3168908383114537E-2</v>
      </c>
      <c r="L41" s="1026">
        <v>1.8876831106398807E-2</v>
      </c>
      <c r="M41" s="1038">
        <v>2.4363807815881926E-2</v>
      </c>
      <c r="N41" s="1054">
        <v>2.4363807815881926E-2</v>
      </c>
      <c r="O41" s="1026">
        <v>2.6253012920985135E-2</v>
      </c>
      <c r="P41" s="1026">
        <v>2.4363807815881926E-2</v>
      </c>
      <c r="Q41" s="1026">
        <v>2.4363807815881926E-2</v>
      </c>
      <c r="R41" s="1026">
        <v>2.4363807815881926E-2</v>
      </c>
      <c r="S41" s="1026">
        <v>2.4363807815881926E-2</v>
      </c>
      <c r="T41" s="1026">
        <v>2.4363807815881926E-2</v>
      </c>
    </row>
    <row r="42" spans="3:20" outlineLevel="1" x14ac:dyDescent="0.3">
      <c r="G42" s="1037"/>
      <c r="M42" s="1023"/>
      <c r="N42" s="1025"/>
      <c r="O42" s="1055">
        <v>7120.0713749999986</v>
      </c>
      <c r="P42" s="1055">
        <v>8808.5135326873587</v>
      </c>
      <c r="Q42" s="1055">
        <v>9701.7418286771153</v>
      </c>
      <c r="R42" s="1055">
        <v>10669.355827332331</v>
      </c>
      <c r="S42" s="1055">
        <v>11932.362513124855</v>
      </c>
      <c r="T42" s="1055">
        <v>12920.167579562416</v>
      </c>
    </row>
    <row r="43" spans="3:20" outlineLevel="1" x14ac:dyDescent="0.3">
      <c r="G43" s="1037"/>
      <c r="M43" s="1023"/>
      <c r="N43" s="1025"/>
    </row>
    <row r="44" spans="3:20" outlineLevel="1" x14ac:dyDescent="0.3">
      <c r="G44" s="1037"/>
      <c r="M44" s="1023"/>
      <c r="N44" s="1025"/>
    </row>
    <row r="45" spans="3:20" outlineLevel="1" x14ac:dyDescent="0.3">
      <c r="C45" s="1014" t="s">
        <v>3211</v>
      </c>
      <c r="D45" s="1015" t="s">
        <v>3212</v>
      </c>
      <c r="E45" s="1015"/>
      <c r="F45" s="1015"/>
      <c r="G45" s="1051" t="s">
        <v>3213</v>
      </c>
      <c r="H45" s="1015"/>
      <c r="I45" s="1015"/>
      <c r="J45" s="1034">
        <v>1286.9917969999999</v>
      </c>
      <c r="K45" s="1034">
        <v>1135.7563239999999</v>
      </c>
      <c r="L45" s="1034">
        <v>1194.485958</v>
      </c>
      <c r="M45" s="1035">
        <v>1035.3318379999998</v>
      </c>
      <c r="N45" s="1056">
        <v>223.06655017842195</v>
      </c>
      <c r="O45" s="1033">
        <v>1258.3983881784218</v>
      </c>
      <c r="P45" s="1033">
        <v>1618.5354450524396</v>
      </c>
      <c r="Q45" s="1033">
        <v>2039.5632391459253</v>
      </c>
      <c r="R45" s="1033">
        <v>2497.3786969522575</v>
      </c>
      <c r="S45" s="1033">
        <v>3076.762101845849</v>
      </c>
      <c r="T45" s="1033">
        <v>3454.6848182674626</v>
      </c>
    </row>
    <row r="46" spans="3:20" outlineLevel="1" x14ac:dyDescent="0.3">
      <c r="C46" s="1014"/>
      <c r="D46" s="1014"/>
      <c r="E46" s="1014"/>
      <c r="F46" s="1014"/>
      <c r="G46" s="1037"/>
      <c r="H46" s="1014"/>
      <c r="I46" s="1014"/>
      <c r="J46" s="1016"/>
      <c r="K46" s="1016"/>
      <c r="L46" s="1016"/>
      <c r="M46" s="1017"/>
      <c r="N46" s="1057"/>
      <c r="O46" s="1058"/>
      <c r="P46" s="1058"/>
      <c r="Q46" s="1058"/>
      <c r="R46" s="1058"/>
      <c r="S46" s="1058"/>
      <c r="T46" s="1058"/>
    </row>
    <row r="47" spans="3:20" x14ac:dyDescent="0.3">
      <c r="C47" s="1010" t="s">
        <v>3214</v>
      </c>
      <c r="D47" s="1011"/>
      <c r="E47" s="1011"/>
      <c r="F47" s="1011"/>
      <c r="G47" s="1059" t="s">
        <v>3215</v>
      </c>
      <c r="H47" s="1011"/>
      <c r="I47" s="1011"/>
      <c r="J47" s="1060">
        <v>16723.859168999999</v>
      </c>
      <c r="K47" s="1060">
        <v>14801.927685999999</v>
      </c>
      <c r="L47" s="1060">
        <v>15790.049354999999</v>
      </c>
      <c r="M47" s="1061">
        <v>16782.642435000002</v>
      </c>
      <c r="N47" s="1060">
        <v>4908.2917886247915</v>
      </c>
      <c r="O47" s="1060">
        <v>21690.934223624794</v>
      </c>
      <c r="P47" s="1060">
        <v>23375.301973873666</v>
      </c>
      <c r="Q47" s="1060">
        <v>23533.554221769155</v>
      </c>
      <c r="R47" s="1060">
        <v>23981.737809317463</v>
      </c>
      <c r="S47" s="1060">
        <v>24549.802027694495</v>
      </c>
      <c r="T47" s="1060">
        <v>25287.745234331465</v>
      </c>
    </row>
    <row r="48" spans="3:20" x14ac:dyDescent="0.3">
      <c r="C48" s="1014"/>
      <c r="G48" s="1037"/>
      <c r="J48" s="1062"/>
      <c r="K48" s="1062"/>
      <c r="L48" s="1062"/>
      <c r="M48" s="1063"/>
      <c r="N48" s="1062"/>
      <c r="O48" s="1062"/>
      <c r="P48" s="1062"/>
      <c r="Q48" s="1062"/>
      <c r="R48" s="1062"/>
      <c r="S48" s="1062"/>
      <c r="T48" s="1062"/>
    </row>
    <row r="49" spans="3:20" x14ac:dyDescent="0.3">
      <c r="C49" s="1010" t="s">
        <v>3216</v>
      </c>
      <c r="D49" s="1011"/>
      <c r="E49" s="1011"/>
      <c r="F49" s="1011"/>
      <c r="G49" s="1059"/>
      <c r="H49" s="1011"/>
      <c r="I49" s="1011"/>
      <c r="J49" s="1011"/>
      <c r="K49" s="1011"/>
      <c r="L49" s="1011"/>
      <c r="M49" s="1012"/>
      <c r="N49" s="1011"/>
      <c r="O49" s="1011"/>
      <c r="P49" s="1011"/>
      <c r="Q49" s="1011"/>
      <c r="R49" s="1011"/>
      <c r="S49" s="1011"/>
      <c r="T49" s="1011"/>
    </row>
    <row r="50" spans="3:20" x14ac:dyDescent="0.3">
      <c r="G50" s="1037"/>
      <c r="M50" s="1023"/>
      <c r="N50" s="1025"/>
    </row>
    <row r="51" spans="3:20" x14ac:dyDescent="0.3">
      <c r="C51" s="1014" t="s">
        <v>3216</v>
      </c>
      <c r="D51" s="1015" t="s">
        <v>3216</v>
      </c>
      <c r="E51" s="1015"/>
      <c r="F51" s="1015"/>
      <c r="G51" s="1051"/>
      <c r="H51" s="1015"/>
      <c r="I51" s="1015"/>
      <c r="J51" s="1064">
        <v>370.14865600000002</v>
      </c>
      <c r="K51" s="1064">
        <v>-28.983221</v>
      </c>
      <c r="L51" s="1064">
        <v>-410.16240699999997</v>
      </c>
      <c r="M51" s="1065">
        <v>11.147781999999999</v>
      </c>
      <c r="N51" s="1066">
        <v>2.2295563999999999</v>
      </c>
      <c r="O51" s="1067">
        <v>13.377338399999999</v>
      </c>
      <c r="P51" s="1067">
        <v>14.5339925095338</v>
      </c>
      <c r="Q51" s="1067">
        <v>18.60555348414729</v>
      </c>
      <c r="R51" s="1067">
        <v>23.444228978264636</v>
      </c>
      <c r="S51" s="1067">
        <v>29.041303466185404</v>
      </c>
      <c r="T51" s="1067">
        <v>34.021930249826553</v>
      </c>
    </row>
    <row r="52" spans="3:20" x14ac:dyDescent="0.3">
      <c r="D52" s="1009" t="s">
        <v>161</v>
      </c>
      <c r="G52" s="1037"/>
      <c r="J52" s="1046">
        <v>196961.16268400001</v>
      </c>
      <c r="K52" s="1046">
        <v>226329.072223</v>
      </c>
      <c r="L52" s="1046">
        <v>244189.26450200001</v>
      </c>
      <c r="M52" s="1047">
        <v>222552.49327100001</v>
      </c>
      <c r="N52" s="1025"/>
      <c r="O52" s="1068">
        <v>271209.68539609516</v>
      </c>
      <c r="P52" s="1068">
        <v>290154.24504881649</v>
      </c>
      <c r="Q52" s="1068">
        <v>371438.22121601598</v>
      </c>
      <c r="R52" s="1068">
        <v>468036.74595798738</v>
      </c>
      <c r="S52" s="1068">
        <v>579775.82394769625</v>
      </c>
      <c r="T52" s="1068">
        <v>679208.24097483756</v>
      </c>
    </row>
    <row r="53" spans="3:20" x14ac:dyDescent="0.3">
      <c r="D53" s="1009" t="s">
        <v>3207</v>
      </c>
      <c r="G53" s="1069" t="s">
        <v>3213</v>
      </c>
      <c r="J53" s="1026">
        <v>1.8792976795829442E-3</v>
      </c>
      <c r="K53" s="1026">
        <v>-1.2805787924338369E-4</v>
      </c>
      <c r="L53" s="1026">
        <v>-1.6796905786848814E-3</v>
      </c>
      <c r="M53" s="1038">
        <v>5.0090573402048807E-5</v>
      </c>
      <c r="N53" s="1025"/>
      <c r="O53" s="1026">
        <v>5.0090573402048807E-5</v>
      </c>
      <c r="P53" s="1026">
        <v>5.0090573402048807E-5</v>
      </c>
      <c r="Q53" s="1026">
        <v>5.0090573402048807E-5</v>
      </c>
      <c r="R53" s="1026">
        <v>5.0090573402048807E-5</v>
      </c>
      <c r="S53" s="1026">
        <v>5.0090573402048807E-5</v>
      </c>
      <c r="T53" s="1026">
        <v>5.0090573402048807E-5</v>
      </c>
    </row>
    <row r="56" spans="3:20" x14ac:dyDescent="0.3">
      <c r="M56" s="1070"/>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0310D-8578-4BED-BFF8-30231DB8FE84}">
  <sheetPr>
    <tabColor theme="1" tint="0.34998626667073579"/>
  </sheetPr>
  <dimension ref="A1:X168"/>
  <sheetViews>
    <sheetView workbookViewId="0"/>
  </sheetViews>
  <sheetFormatPr defaultColWidth="8" defaultRowHeight="12" x14ac:dyDescent="0.3"/>
  <cols>
    <col min="1" max="3" width="3.25" style="1072" customWidth="1"/>
    <col min="4" max="4" width="5.75" style="1072" customWidth="1"/>
    <col min="5" max="7" width="8.125" style="1072" bestFit="1" customWidth="1"/>
    <col min="8" max="8" width="11.5" style="1072" bestFit="1" customWidth="1"/>
    <col min="9" max="9" width="12.25" style="1083" bestFit="1" customWidth="1"/>
    <col min="10" max="10" width="12.75" style="1072" bestFit="1" customWidth="1"/>
    <col min="11" max="11" width="8.375" style="1072" bestFit="1" customWidth="1"/>
    <col min="12" max="12" width="9.5" style="1072" bestFit="1" customWidth="1"/>
    <col min="13" max="15" width="8.25" style="1072" bestFit="1" customWidth="1"/>
    <col min="16" max="16" width="8.125" style="1072" bestFit="1" customWidth="1"/>
    <col min="17" max="19" width="8" style="1072"/>
    <col min="20" max="20" width="15.25" style="1072" bestFit="1" customWidth="1"/>
    <col min="21" max="21" width="13.125" style="1072" bestFit="1" customWidth="1"/>
    <col min="22" max="22" width="11.375" style="1072" bestFit="1" customWidth="1"/>
    <col min="23" max="23" width="9.75" style="1072" bestFit="1" customWidth="1"/>
    <col min="24" max="24" width="10.5" style="1072" bestFit="1" customWidth="1"/>
    <col min="25" max="25" width="11.375" style="1072" bestFit="1" customWidth="1"/>
    <col min="26" max="16384" width="8" style="1072"/>
  </cols>
  <sheetData>
    <row r="1" spans="1:24" x14ac:dyDescent="0.3">
      <c r="A1" s="1006"/>
      <c r="B1" s="1007" t="s">
        <v>3217</v>
      </c>
      <c r="C1" s="1007"/>
      <c r="D1" s="1007"/>
      <c r="E1" s="1007"/>
      <c r="F1" s="1007"/>
      <c r="G1" s="1007"/>
      <c r="H1" s="1007"/>
      <c r="I1" s="1008"/>
      <c r="J1" s="1007"/>
      <c r="K1" s="1007"/>
      <c r="L1" s="1007"/>
      <c r="M1" s="1007"/>
      <c r="N1" s="1007"/>
      <c r="O1" s="1007"/>
      <c r="P1" s="1007"/>
      <c r="Q1" s="1007"/>
    </row>
    <row r="3" spans="1:24" x14ac:dyDescent="0.3">
      <c r="B3" s="1073" t="s">
        <v>3218</v>
      </c>
      <c r="C3" s="1073"/>
      <c r="D3" s="1074"/>
      <c r="E3" s="1074"/>
      <c r="F3" s="1075" t="s">
        <v>3219</v>
      </c>
      <c r="G3" s="1076"/>
      <c r="H3" s="1076"/>
      <c r="I3" s="1077"/>
      <c r="J3" s="1074" t="s">
        <v>3220</v>
      </c>
      <c r="K3" s="1074"/>
      <c r="L3" s="1076"/>
      <c r="M3" s="1076"/>
      <c r="N3" s="1076"/>
      <c r="O3" s="1076"/>
      <c r="P3" s="1076"/>
      <c r="Q3" s="1076"/>
    </row>
    <row r="4" spans="1:24" x14ac:dyDescent="0.3">
      <c r="B4" s="1078"/>
      <c r="C4" s="1078"/>
      <c r="D4" s="1079"/>
      <c r="E4" s="1079"/>
      <c r="F4" s="1080">
        <v>2019</v>
      </c>
      <c r="G4" s="1080">
        <v>2020</v>
      </c>
      <c r="H4" s="1080">
        <v>2021</v>
      </c>
      <c r="I4" s="1081" t="s">
        <v>3221</v>
      </c>
      <c r="J4" s="1079" t="s">
        <v>3222</v>
      </c>
      <c r="K4" s="1082">
        <v>2022</v>
      </c>
      <c r="L4" s="1082">
        <v>2023</v>
      </c>
      <c r="M4" s="1082">
        <v>2024</v>
      </c>
      <c r="N4" s="1082">
        <v>2025</v>
      </c>
      <c r="O4" s="1082">
        <v>2026</v>
      </c>
      <c r="P4" s="1082">
        <v>2027</v>
      </c>
      <c r="Q4" s="1079" t="s">
        <v>3223</v>
      </c>
    </row>
    <row r="5" spans="1:24" ht="12.75" thickBot="1" x14ac:dyDescent="0.35">
      <c r="B5" s="1019" t="s">
        <v>3224</v>
      </c>
    </row>
    <row r="6" spans="1:24" x14ac:dyDescent="0.3">
      <c r="C6" s="1084" t="s">
        <v>3225</v>
      </c>
      <c r="D6" s="1085"/>
      <c r="E6" s="1085"/>
      <c r="F6" s="1085"/>
      <c r="G6" s="1085"/>
      <c r="H6" s="1085"/>
      <c r="I6" s="1086"/>
      <c r="J6" s="1087">
        <v>824.99028640000006</v>
      </c>
      <c r="K6" s="1087">
        <v>824.99028640000006</v>
      </c>
      <c r="L6" s="1087">
        <v>5068.6491337911157</v>
      </c>
      <c r="M6" s="1087">
        <v>4276.2241388587536</v>
      </c>
      <c r="N6" s="1087">
        <v>3803.8106963023729</v>
      </c>
      <c r="O6" s="1087">
        <v>3553.7110793028974</v>
      </c>
      <c r="P6" s="1088">
        <v>3812.0794019516525</v>
      </c>
      <c r="T6" s="1089"/>
    </row>
    <row r="7" spans="1:24" x14ac:dyDescent="0.3">
      <c r="C7" s="1090"/>
      <c r="D7" s="1091" t="s">
        <v>3226</v>
      </c>
      <c r="E7" s="1091"/>
      <c r="F7" s="1091"/>
      <c r="G7" s="1091"/>
      <c r="H7" s="1091"/>
      <c r="I7" s="1092"/>
      <c r="J7" s="1093">
        <v>232.10011279999998</v>
      </c>
      <c r="K7" s="1093">
        <v>232.10011279999998</v>
      </c>
      <c r="L7" s="1093">
        <v>1441.4853979748418</v>
      </c>
      <c r="M7" s="1093">
        <v>1412.0286829870329</v>
      </c>
      <c r="N7" s="1093">
        <v>1303.9992638614378</v>
      </c>
      <c r="O7" s="1093">
        <v>1350.9341872133696</v>
      </c>
      <c r="P7" s="1094">
        <v>1342.7632475993116</v>
      </c>
    </row>
    <row r="8" spans="1:24" ht="12.75" thickBot="1" x14ac:dyDescent="0.35">
      <c r="C8" s="1095"/>
      <c r="D8" s="1096" t="s">
        <v>238</v>
      </c>
      <c r="E8" s="1096"/>
      <c r="F8" s="1096"/>
      <c r="G8" s="1096"/>
      <c r="H8" s="1096"/>
      <c r="I8" s="1097"/>
      <c r="J8" s="1098">
        <v>592.89017360000003</v>
      </c>
      <c r="K8" s="1098">
        <v>592.89017360000003</v>
      </c>
      <c r="L8" s="1098">
        <v>3627.1637358162743</v>
      </c>
      <c r="M8" s="1098">
        <v>2864.1954558717207</v>
      </c>
      <c r="N8" s="1098">
        <v>2499.8114324409348</v>
      </c>
      <c r="O8" s="1098">
        <v>2202.7768920895278</v>
      </c>
      <c r="P8" s="1099">
        <v>2469.3161543523411</v>
      </c>
    </row>
    <row r="10" spans="1:24" ht="12.75" thickBot="1" x14ac:dyDescent="0.35">
      <c r="B10" s="1019" t="s">
        <v>3227</v>
      </c>
      <c r="I10" s="1083">
        <v>0</v>
      </c>
      <c r="J10" s="1100">
        <v>0</v>
      </c>
      <c r="K10" s="1100">
        <v>0</v>
      </c>
      <c r="L10" s="1100">
        <v>0</v>
      </c>
      <c r="M10" s="1100">
        <v>0</v>
      </c>
      <c r="N10" s="1100">
        <v>0</v>
      </c>
      <c r="O10" s="1100">
        <v>0</v>
      </c>
      <c r="P10" s="1100">
        <v>0</v>
      </c>
    </row>
    <row r="11" spans="1:24" x14ac:dyDescent="0.3">
      <c r="C11" s="1084" t="s">
        <v>3228</v>
      </c>
      <c r="D11" s="1085"/>
      <c r="E11" s="1085"/>
      <c r="F11" s="1085"/>
      <c r="G11" s="1085"/>
      <c r="H11" s="1085"/>
      <c r="I11" s="1086">
        <v>-4177.3830170000001</v>
      </c>
      <c r="J11" s="1087">
        <v>-954.43588179944982</v>
      </c>
      <c r="K11" s="1087">
        <v>-5131.8188987994499</v>
      </c>
      <c r="L11" s="1087">
        <v>-4331.9738405170865</v>
      </c>
      <c r="M11" s="1087">
        <v>-3852.390525385706</v>
      </c>
      <c r="N11" s="1087">
        <v>-3596.3510329195637</v>
      </c>
      <c r="O11" s="1087">
        <v>-3845.0682751183194</v>
      </c>
      <c r="P11" s="1088">
        <v>-4113.1283814594926</v>
      </c>
    </row>
    <row r="12" spans="1:24" x14ac:dyDescent="0.3">
      <c r="C12" s="1090"/>
      <c r="D12" s="1091" t="s">
        <v>3226</v>
      </c>
      <c r="E12" s="1091"/>
      <c r="F12" s="1091"/>
      <c r="G12" s="1091"/>
      <c r="H12" s="1091"/>
      <c r="I12" s="1092">
        <v>-1160.5005639999999</v>
      </c>
      <c r="J12" s="1093">
        <v>-280.98483397484165</v>
      </c>
      <c r="K12" s="1093">
        <v>-1441.4853979748416</v>
      </c>
      <c r="L12" s="1093">
        <v>-1412.0286829870329</v>
      </c>
      <c r="M12" s="1093">
        <v>-1303.9992638614381</v>
      </c>
      <c r="N12" s="1093">
        <v>-1350.9341872133691</v>
      </c>
      <c r="O12" s="1093">
        <v>-1342.7632475993119</v>
      </c>
      <c r="P12" s="1101">
        <v>-1368.8994913989729</v>
      </c>
    </row>
    <row r="13" spans="1:24" x14ac:dyDescent="0.3">
      <c r="C13" s="1102"/>
      <c r="D13" s="1103" t="s">
        <v>238</v>
      </c>
      <c r="E13" s="1103"/>
      <c r="F13" s="1103"/>
      <c r="G13" s="1103"/>
      <c r="H13" s="1103"/>
      <c r="I13" s="1104">
        <v>-3016.8824530000002</v>
      </c>
      <c r="J13" s="1105">
        <v>-673.45104782460794</v>
      </c>
      <c r="K13" s="1105">
        <v>-3690.3335008246081</v>
      </c>
      <c r="L13" s="1105">
        <v>-2919.9451575300541</v>
      </c>
      <c r="M13" s="1105">
        <v>-2548.391261524268</v>
      </c>
      <c r="N13" s="1105">
        <v>-2245.4168457061946</v>
      </c>
      <c r="O13" s="1105">
        <v>-2502.3050275190076</v>
      </c>
      <c r="P13" s="1106">
        <v>-2744.2288900605195</v>
      </c>
    </row>
    <row r="14" spans="1:24" x14ac:dyDescent="0.3">
      <c r="C14" s="1090" t="s">
        <v>3229</v>
      </c>
      <c r="D14" s="1091"/>
      <c r="E14" s="1091"/>
      <c r="F14" s="1091"/>
      <c r="G14" s="1091"/>
      <c r="H14" s="1091"/>
      <c r="I14" s="1107">
        <v>-4177.3830170000001</v>
      </c>
      <c r="J14" s="1107">
        <v>-937.04835516433195</v>
      </c>
      <c r="K14" s="1107">
        <v>-5114.4313721643321</v>
      </c>
      <c r="L14" s="1107">
        <v>-3477.3940160416205</v>
      </c>
      <c r="M14" s="1107">
        <v>-1775.0735957023812</v>
      </c>
      <c r="N14" s="1107">
        <v>-609.53959861111116</v>
      </c>
      <c r="O14" s="1107">
        <v>-249.25460570000001</v>
      </c>
      <c r="P14" s="1107">
        <v>-38.813097983333336</v>
      </c>
    </row>
    <row r="15" spans="1:24" x14ac:dyDescent="0.3">
      <c r="C15" s="1090"/>
      <c r="D15" s="1108" t="s">
        <v>166</v>
      </c>
      <c r="E15" s="1091"/>
      <c r="F15" s="1091"/>
      <c r="G15" s="1091"/>
      <c r="H15" s="1091"/>
      <c r="I15" s="1092">
        <v>-1160.5005639999999</v>
      </c>
      <c r="J15" s="1107">
        <v>-274.35799686388827</v>
      </c>
      <c r="K15" s="1107">
        <v>-1434.8585608638882</v>
      </c>
      <c r="L15" s="1107">
        <v>-1085.8584804555555</v>
      </c>
      <c r="M15" s="1107">
        <v>-492.43372105000026</v>
      </c>
      <c r="N15" s="1107">
        <v>-274.86125610000005</v>
      </c>
      <c r="O15" s="1107">
        <v>-120.11895293333336</v>
      </c>
      <c r="P15" s="1107">
        <v>-5.6134209166666666</v>
      </c>
    </row>
    <row r="16" spans="1:24" x14ac:dyDescent="0.3">
      <c r="C16" s="1090"/>
      <c r="D16" s="1091"/>
      <c r="E16" s="1109" t="s">
        <v>1138</v>
      </c>
      <c r="F16" s="1110"/>
      <c r="G16" s="1110"/>
      <c r="H16" s="1110"/>
      <c r="I16" s="1111">
        <v>-1.5606</v>
      </c>
      <c r="J16" s="1112">
        <v>-0.31212739999999983</v>
      </c>
      <c r="K16" s="1112">
        <v>-1.8727273999999998</v>
      </c>
      <c r="L16" s="1112">
        <v>-1.8727273999999998</v>
      </c>
      <c r="M16" s="1112">
        <v>-1.5378788833333334</v>
      </c>
      <c r="N16" s="1112">
        <v>0</v>
      </c>
      <c r="O16" s="1112">
        <v>0</v>
      </c>
      <c r="P16" s="1113">
        <v>0</v>
      </c>
      <c r="R16" s="1485">
        <f>J16+J32</f>
        <v>-0.31732939999999982</v>
      </c>
      <c r="S16" s="1485">
        <f t="shared" ref="S16:X21" si="0">K16+K32</f>
        <v>-1.8779293999999997</v>
      </c>
      <c r="T16" s="1485">
        <f t="shared" si="0"/>
        <v>-2.1229443399999997</v>
      </c>
      <c r="U16" s="1485">
        <f t="shared" si="0"/>
        <v>-2.1881831973333332</v>
      </c>
      <c r="V16" s="1485">
        <f t="shared" si="0"/>
        <v>-1.0814170677333332</v>
      </c>
      <c r="W16" s="1485">
        <f t="shared" si="0"/>
        <v>-1.4083770942399998</v>
      </c>
      <c r="X16" s="1485">
        <f t="shared" si="0"/>
        <v>-1.6521545104373332</v>
      </c>
    </row>
    <row r="17" spans="3:24" x14ac:dyDescent="0.3">
      <c r="C17" s="1090"/>
      <c r="D17" s="1091"/>
      <c r="E17" s="1114" t="s">
        <v>1146</v>
      </c>
      <c r="F17" s="1091"/>
      <c r="G17" s="1091"/>
      <c r="H17" s="1091"/>
      <c r="I17" s="1092">
        <v>-16.12481</v>
      </c>
      <c r="J17" s="1093">
        <v>-3.2249617999999991</v>
      </c>
      <c r="K17" s="1093">
        <v>-19.349771799999999</v>
      </c>
      <c r="L17" s="1093">
        <v>-19.349771799999999</v>
      </c>
      <c r="M17" s="1093">
        <v>-3.2249619666666667</v>
      </c>
      <c r="N17" s="1093">
        <v>0</v>
      </c>
      <c r="O17" s="1093">
        <v>0</v>
      </c>
      <c r="P17" s="1115">
        <v>0</v>
      </c>
      <c r="R17" s="1485">
        <f t="shared" ref="R17:R21" si="1">J17+J33</f>
        <v>-3.2787111666666657</v>
      </c>
      <c r="S17" s="1485">
        <f t="shared" si="0"/>
        <v>-19.403521166666668</v>
      </c>
      <c r="T17" s="1485">
        <f t="shared" si="0"/>
        <v>-21.935116316666665</v>
      </c>
      <c r="U17" s="1485">
        <f t="shared" si="0"/>
        <v>-9.9441702316666678</v>
      </c>
      <c r="V17" s="1485">
        <f t="shared" si="0"/>
        <v>-9.9071369198333343</v>
      </c>
      <c r="W17" s="1485">
        <f t="shared" si="0"/>
        <v>-11.892267634983336</v>
      </c>
      <c r="X17" s="1485">
        <f t="shared" si="0"/>
        <v>-14.018458723798336</v>
      </c>
    </row>
    <row r="18" spans="3:24" x14ac:dyDescent="0.3">
      <c r="C18" s="1090"/>
      <c r="D18" s="1091"/>
      <c r="E18" s="1114" t="s">
        <v>1152</v>
      </c>
      <c r="F18" s="1091"/>
      <c r="G18" s="1091"/>
      <c r="H18" s="1091"/>
      <c r="I18" s="1092">
        <v>-16.485057000000001</v>
      </c>
      <c r="J18" s="1093">
        <v>-2.0037807666666652</v>
      </c>
      <c r="K18" s="1093">
        <v>-18.488837766666666</v>
      </c>
      <c r="L18" s="1093">
        <v>-10.114951333333334</v>
      </c>
      <c r="M18" s="1093">
        <v>-8.9626180000000009</v>
      </c>
      <c r="N18" s="1093">
        <v>-8.9626180000000009</v>
      </c>
      <c r="O18" s="1093">
        <v>-8.6602748333333341</v>
      </c>
      <c r="P18" s="1115">
        <v>-0.26724999999999999</v>
      </c>
      <c r="R18" s="1485">
        <f t="shared" si="1"/>
        <v>-2.0587309566666652</v>
      </c>
      <c r="S18" s="1485">
        <f t="shared" si="0"/>
        <v>-18.543787956666666</v>
      </c>
      <c r="T18" s="1485">
        <f t="shared" si="0"/>
        <v>-12.628732409000001</v>
      </c>
      <c r="U18" s="1485">
        <f t="shared" si="0"/>
        <v>-14.593651112233335</v>
      </c>
      <c r="V18" s="1485">
        <f t="shared" si="0"/>
        <v>-17.315889464356665</v>
      </c>
      <c r="W18" s="1485">
        <f t="shared" si="0"/>
        <v>-20.204500355349001</v>
      </c>
      <c r="X18" s="1485">
        <f t="shared" si="0"/>
        <v>-15.508564313986234</v>
      </c>
    </row>
    <row r="19" spans="3:24" x14ac:dyDescent="0.3">
      <c r="C19" s="1090"/>
      <c r="D19" s="1091"/>
      <c r="E19" s="1114" t="s">
        <v>1142</v>
      </c>
      <c r="F19" s="1091"/>
      <c r="G19" s="1091"/>
      <c r="H19" s="1091"/>
      <c r="I19" s="1092">
        <v>-505.12743999999998</v>
      </c>
      <c r="J19" s="1093">
        <v>-115.34964720833364</v>
      </c>
      <c r="K19" s="1093">
        <v>-620.47708720833361</v>
      </c>
      <c r="L19" s="1093">
        <v>-415.25844483333339</v>
      </c>
      <c r="M19" s="1093">
        <v>-58.997105333333337</v>
      </c>
      <c r="N19" s="1093">
        <v>0</v>
      </c>
      <c r="O19" s="1093">
        <v>0</v>
      </c>
      <c r="P19" s="1115">
        <v>0</v>
      </c>
      <c r="R19" s="1485">
        <f t="shared" si="1"/>
        <v>-119.55904254166697</v>
      </c>
      <c r="S19" s="1485">
        <f t="shared" si="0"/>
        <v>-624.68648254166692</v>
      </c>
      <c r="T19" s="1485">
        <f t="shared" si="0"/>
        <v>-621.94280946875006</v>
      </c>
      <c r="U19" s="1485">
        <f t="shared" si="0"/>
        <v>-573.12939763802103</v>
      </c>
      <c r="V19" s="1485">
        <f t="shared" si="0"/>
        <v>-610.42537477929704</v>
      </c>
      <c r="W19" s="1485">
        <f t="shared" si="0"/>
        <v>-594.65674488102229</v>
      </c>
      <c r="X19" s="1485">
        <f t="shared" si="0"/>
        <v>-597.1592230194093</v>
      </c>
    </row>
    <row r="20" spans="3:24" x14ac:dyDescent="0.3">
      <c r="C20" s="1090"/>
      <c r="D20" s="1091"/>
      <c r="E20" s="1114" t="s">
        <v>1154</v>
      </c>
      <c r="F20" s="1091"/>
      <c r="G20" s="1091"/>
      <c r="H20" s="1091"/>
      <c r="I20" s="1092">
        <v>-554.05000399999994</v>
      </c>
      <c r="J20" s="1093">
        <v>-141.52595508888805</v>
      </c>
      <c r="K20" s="1093">
        <v>-695.575959088888</v>
      </c>
      <c r="L20" s="1093">
        <v>-567.61950748888887</v>
      </c>
      <c r="M20" s="1093">
        <v>-349.57016260000023</v>
      </c>
      <c r="N20" s="1093">
        <v>-196.83056050000008</v>
      </c>
      <c r="O20" s="1093">
        <v>-59.472451333333353</v>
      </c>
      <c r="P20" s="1115">
        <v>-5.3461709166666669</v>
      </c>
      <c r="R20" s="1485">
        <f t="shared" si="1"/>
        <v>-143.60565313317485</v>
      </c>
      <c r="S20" s="1485">
        <f t="shared" si="0"/>
        <v>-697.65565713317483</v>
      </c>
      <c r="T20" s="1485">
        <f t="shared" si="0"/>
        <v>-671.13809475494952</v>
      </c>
      <c r="U20" s="1485">
        <f t="shared" si="0"/>
        <v>-607.22705877041676</v>
      </c>
      <c r="V20" s="1485">
        <f t="shared" si="0"/>
        <v>-598.44270387610561</v>
      </c>
      <c r="W20" s="1485">
        <f t="shared" si="0"/>
        <v>-596.85369655922602</v>
      </c>
      <c r="X20" s="1485">
        <f t="shared" si="0"/>
        <v>-651.87256608213056</v>
      </c>
    </row>
    <row r="21" spans="3:24" x14ac:dyDescent="0.3">
      <c r="C21" s="1090"/>
      <c r="D21" s="1091"/>
      <c r="E21" s="1116" t="s">
        <v>3230</v>
      </c>
      <c r="F21" s="1103"/>
      <c r="G21" s="1103"/>
      <c r="H21" s="1103"/>
      <c r="I21" s="1104">
        <v>-67.152653000000001</v>
      </c>
      <c r="J21" s="1105">
        <v>-11.941524599999994</v>
      </c>
      <c r="K21" s="1105">
        <v>-79.094177599999995</v>
      </c>
      <c r="L21" s="1105">
        <v>-71.643077599999998</v>
      </c>
      <c r="M21" s="1117">
        <v>-70.140994266666652</v>
      </c>
      <c r="N21" s="1117">
        <v>-69.068077599999995</v>
      </c>
      <c r="O21" s="1117">
        <v>-51.986226766666668</v>
      </c>
      <c r="P21" s="1106">
        <v>0</v>
      </c>
      <c r="R21" s="1485">
        <f t="shared" si="1"/>
        <v>-12.16536677666666</v>
      </c>
      <c r="S21" s="1485">
        <f t="shared" si="0"/>
        <v>-79.318019776666659</v>
      </c>
      <c r="T21" s="1485">
        <f t="shared" si="0"/>
        <v>-82.260985697666669</v>
      </c>
      <c r="U21" s="1485">
        <f t="shared" si="0"/>
        <v>-96.916802911766652</v>
      </c>
      <c r="V21" s="1485">
        <f t="shared" si="0"/>
        <v>-113.76166510604332</v>
      </c>
      <c r="W21" s="1485">
        <f t="shared" si="0"/>
        <v>-117.74766107449099</v>
      </c>
      <c r="X21" s="1485">
        <f t="shared" si="0"/>
        <v>-88.688524749211098</v>
      </c>
    </row>
    <row r="22" spans="3:24" x14ac:dyDescent="0.3">
      <c r="C22" s="1090"/>
      <c r="D22" s="1108" t="s">
        <v>167</v>
      </c>
      <c r="E22" s="1091"/>
      <c r="F22" s="1091"/>
      <c r="G22" s="1091"/>
      <c r="H22" s="1091"/>
      <c r="I22" s="1092">
        <v>-3016.8824530000002</v>
      </c>
      <c r="J22" s="1107">
        <v>-662.69035830044322</v>
      </c>
      <c r="K22" s="1107">
        <v>-3679.5728113004434</v>
      </c>
      <c r="L22" s="1107">
        <v>-2391.5355355860647</v>
      </c>
      <c r="M22" s="1107">
        <v>-1282.639874652381</v>
      </c>
      <c r="N22" s="1107">
        <v>-334.67834251111111</v>
      </c>
      <c r="O22" s="1107">
        <v>-129.13565276666665</v>
      </c>
      <c r="P22" s="1107">
        <v>-33.199677066666666</v>
      </c>
    </row>
    <row r="23" spans="3:24" x14ac:dyDescent="0.3">
      <c r="C23" s="1090"/>
      <c r="D23" s="1091"/>
      <c r="E23" s="1109" t="s">
        <v>3231</v>
      </c>
      <c r="F23" s="1110"/>
      <c r="G23" s="1110"/>
      <c r="H23" s="1110"/>
      <c r="I23" s="1111">
        <v>-32.225966999999997</v>
      </c>
      <c r="J23" s="1112">
        <v>-6.1594824500000129</v>
      </c>
      <c r="K23" s="1112">
        <v>-38.38544945000001</v>
      </c>
      <c r="L23" s="1112">
        <v>-31.345093316666659</v>
      </c>
      <c r="M23" s="1112">
        <v>-24.592257050000001</v>
      </c>
      <c r="N23" s="1112">
        <v>-19.203939916666666</v>
      </c>
      <c r="O23" s="1112">
        <v>-9.8051111333333338</v>
      </c>
      <c r="P23" s="1113">
        <v>-2.1616439333333335</v>
      </c>
      <c r="R23" s="1485">
        <f>J23</f>
        <v>-6.1594824500000129</v>
      </c>
      <c r="S23" s="1485">
        <f t="shared" ref="S23:X23" si="2">K23</f>
        <v>-38.38544945000001</v>
      </c>
      <c r="T23" s="1485">
        <f t="shared" si="2"/>
        <v>-31.345093316666659</v>
      </c>
      <c r="U23" s="1485">
        <f t="shared" si="2"/>
        <v>-24.592257050000001</v>
      </c>
      <c r="V23" s="1485">
        <f t="shared" si="2"/>
        <v>-19.203939916666666</v>
      </c>
      <c r="W23" s="1485">
        <f t="shared" si="2"/>
        <v>-9.8051111333333338</v>
      </c>
      <c r="X23" s="1485">
        <f t="shared" si="2"/>
        <v>-2.1616439333333335</v>
      </c>
    </row>
    <row r="24" spans="3:24" x14ac:dyDescent="0.3">
      <c r="C24" s="1090"/>
      <c r="D24" s="1091"/>
      <c r="E24" s="1114" t="s">
        <v>1167</v>
      </c>
      <c r="F24" s="1091"/>
      <c r="G24" s="1091"/>
      <c r="H24" s="1091"/>
      <c r="I24" s="1092">
        <v>-395.10858200000001</v>
      </c>
      <c r="J24" s="1093">
        <v>-150.53874635877679</v>
      </c>
      <c r="K24" s="1093">
        <v>-545.6473283587768</v>
      </c>
      <c r="L24" s="1093">
        <v>-656.25614932773112</v>
      </c>
      <c r="M24" s="1093">
        <v>-548.74261945238095</v>
      </c>
      <c r="N24" s="1093">
        <v>-114.41965802777777</v>
      </c>
      <c r="O24" s="1093">
        <v>0</v>
      </c>
      <c r="P24" s="1115">
        <v>0</v>
      </c>
      <c r="R24" s="1485">
        <f>J24+J41</f>
        <v>-152.73379403655457</v>
      </c>
      <c r="S24" s="1485">
        <f t="shared" ref="S24:X24" si="3">K24+K41</f>
        <v>-547.84237603655458</v>
      </c>
      <c r="T24" s="1485">
        <f t="shared" si="3"/>
        <v>-773.90378413382359</v>
      </c>
      <c r="U24" s="1485">
        <f t="shared" si="3"/>
        <v>-886.68128095353643</v>
      </c>
      <c r="V24" s="1485">
        <f t="shared" si="3"/>
        <v>-726.92744936571546</v>
      </c>
      <c r="W24" s="1485">
        <f t="shared" si="3"/>
        <v>-765.98999259616505</v>
      </c>
      <c r="X24" s="1485">
        <f t="shared" si="3"/>
        <v>-794.51853956141554</v>
      </c>
    </row>
    <row r="25" spans="3:24" x14ac:dyDescent="0.3">
      <c r="C25" s="1090"/>
      <c r="D25" s="1091"/>
      <c r="E25" s="1114" t="s">
        <v>3232</v>
      </c>
      <c r="F25" s="1091"/>
      <c r="G25" s="1091"/>
      <c r="H25" s="1091"/>
      <c r="I25" s="1092">
        <v>-20.205618000000001</v>
      </c>
      <c r="J25" s="1093">
        <v>-4.5786975583333316</v>
      </c>
      <c r="K25" s="1093">
        <v>-24.784315558333333</v>
      </c>
      <c r="L25" s="1093">
        <v>-24.40460834166667</v>
      </c>
      <c r="M25" s="1093">
        <v>-23.987572033333336</v>
      </c>
      <c r="N25" s="1093">
        <v>-23.436013700000004</v>
      </c>
      <c r="O25" s="1093">
        <v>-23.183762033333334</v>
      </c>
      <c r="P25" s="1115">
        <v>-22.22286646666667</v>
      </c>
      <c r="R25" s="1485">
        <f>J25</f>
        <v>-4.5786975583333316</v>
      </c>
      <c r="S25" s="1485">
        <f t="shared" ref="S25:X25" si="4">K25</f>
        <v>-24.784315558333333</v>
      </c>
      <c r="T25" s="1485">
        <f t="shared" si="4"/>
        <v>-24.40460834166667</v>
      </c>
      <c r="U25" s="1485">
        <f t="shared" si="4"/>
        <v>-23.987572033333336</v>
      </c>
      <c r="V25" s="1485">
        <f t="shared" si="4"/>
        <v>-23.436013700000004</v>
      </c>
      <c r="W25" s="1485">
        <f t="shared" si="4"/>
        <v>-23.183762033333334</v>
      </c>
      <c r="X25" s="1485">
        <f t="shared" si="4"/>
        <v>-22.22286646666667</v>
      </c>
    </row>
    <row r="26" spans="3:24" x14ac:dyDescent="0.3">
      <c r="C26" s="1090"/>
      <c r="D26" s="1091"/>
      <c r="E26" s="1114" t="s">
        <v>1172</v>
      </c>
      <c r="F26" s="1091"/>
      <c r="G26" s="1091"/>
      <c r="H26" s="1091"/>
      <c r="I26" s="1092">
        <v>-942.63396599999999</v>
      </c>
      <c r="J26" s="1093">
        <v>-176.07175193333308</v>
      </c>
      <c r="K26" s="1093">
        <v>-1118.7057179333331</v>
      </c>
      <c r="L26" s="1093">
        <v>-1057.3796846</v>
      </c>
      <c r="M26" s="1093">
        <v>-517.40075945000001</v>
      </c>
      <c r="N26" s="1093">
        <v>-177.2020642</v>
      </c>
      <c r="O26" s="1093">
        <v>-96.146779599999988</v>
      </c>
      <c r="P26" s="1115">
        <v>-8.8151666666666664</v>
      </c>
      <c r="R26" s="1485">
        <f>J26+J42</f>
        <v>-179.21386515333307</v>
      </c>
      <c r="S26" s="1485">
        <f t="shared" ref="S26:X26" si="5">K26+K42</f>
        <v>-1121.8478311533331</v>
      </c>
      <c r="T26" s="1485">
        <f t="shared" si="5"/>
        <v>-1207.2698263553334</v>
      </c>
      <c r="U26" s="1485">
        <f t="shared" si="5"/>
        <v>-900.20266695620001</v>
      </c>
      <c r="V26" s="1485">
        <f t="shared" si="5"/>
        <v>-770.75122103735328</v>
      </c>
      <c r="W26" s="1485">
        <f t="shared" si="5"/>
        <v>-856.79132523670864</v>
      </c>
      <c r="X26" s="1485">
        <f t="shared" si="5"/>
        <v>-929.07185371078151</v>
      </c>
    </row>
    <row r="27" spans="3:24" x14ac:dyDescent="0.3">
      <c r="C27" s="1090"/>
      <c r="D27" s="1091"/>
      <c r="E27" s="1114" t="s">
        <v>3233</v>
      </c>
      <c r="F27" s="1091"/>
      <c r="G27" s="1091"/>
      <c r="H27" s="1091"/>
      <c r="I27" s="1092">
        <v>-1209</v>
      </c>
      <c r="J27" s="1093">
        <v>-241.79999999999995</v>
      </c>
      <c r="K27" s="1093">
        <v>-1450.8</v>
      </c>
      <c r="L27" s="1093">
        <v>-120.9</v>
      </c>
      <c r="M27" s="1093">
        <v>0</v>
      </c>
      <c r="N27" s="1093">
        <v>0</v>
      </c>
      <c r="O27" s="1093">
        <v>0</v>
      </c>
      <c r="P27" s="1115">
        <v>0</v>
      </c>
      <c r="R27" s="1485">
        <f>J27+J43</f>
        <v>-245.83001111108044</v>
      </c>
      <c r="S27" s="1485">
        <f t="shared" ref="S27:X27" si="6">K27+K43</f>
        <v>-1454.8300111110805</v>
      </c>
      <c r="T27" s="1485">
        <f t="shared" si="6"/>
        <v>-314.74353555408203</v>
      </c>
      <c r="U27" s="1485">
        <f t="shared" si="6"/>
        <v>-370.80137810829274</v>
      </c>
      <c r="V27" s="1485">
        <f t="shared" si="6"/>
        <v>-439.35605848556509</v>
      </c>
      <c r="W27" s="1485">
        <f t="shared" si="6"/>
        <v>-520.37202551280393</v>
      </c>
      <c r="X27" s="1485">
        <f t="shared" si="6"/>
        <v>-612.31442074258723</v>
      </c>
    </row>
    <row r="28" spans="3:24" x14ac:dyDescent="0.3">
      <c r="C28" s="1090"/>
      <c r="D28" s="1091"/>
      <c r="E28" s="1116" t="s">
        <v>3234</v>
      </c>
      <c r="F28" s="1103"/>
      <c r="G28" s="1103"/>
      <c r="H28" s="1103"/>
      <c r="I28" s="1104">
        <v>-417.70832000000001</v>
      </c>
      <c r="J28" s="1105">
        <v>-83.541679999999985</v>
      </c>
      <c r="K28" s="1105">
        <v>-501.25</v>
      </c>
      <c r="L28" s="1105">
        <v>-501.25</v>
      </c>
      <c r="M28" s="1117">
        <v>-167.91666666666666</v>
      </c>
      <c r="N28" s="1117">
        <v>-0.41666666666666669</v>
      </c>
      <c r="O28" s="1117">
        <v>0</v>
      </c>
      <c r="P28" s="1106">
        <v>0</v>
      </c>
      <c r="R28" s="1485">
        <f>J28+J44</f>
        <v>-84.935197515306385</v>
      </c>
      <c r="S28" s="1485">
        <f t="shared" ref="S28:X28" si="7">K28+K44</f>
        <v>-502.64351751530643</v>
      </c>
      <c r="T28" s="1485">
        <f t="shared" si="7"/>
        <v>-568.27830982848161</v>
      </c>
      <c r="U28" s="1485">
        <f t="shared" si="7"/>
        <v>-342.12610642290554</v>
      </c>
      <c r="V28" s="1485">
        <f t="shared" si="7"/>
        <v>-265.7421632008942</v>
      </c>
      <c r="W28" s="1485">
        <f t="shared" si="7"/>
        <v>-326.16281100666316</v>
      </c>
      <c r="X28" s="1485">
        <f t="shared" si="7"/>
        <v>-383.93956564573534</v>
      </c>
    </row>
    <row r="29" spans="3:24" x14ac:dyDescent="0.3">
      <c r="C29" s="1090"/>
      <c r="D29" s="1091"/>
      <c r="E29" s="1091"/>
      <c r="F29" s="1091"/>
      <c r="G29" s="1091"/>
      <c r="H29" s="1091"/>
      <c r="I29" s="1092"/>
      <c r="J29" s="1093"/>
      <c r="K29" s="1093"/>
      <c r="L29" s="1093"/>
      <c r="M29" s="1118"/>
      <c r="N29" s="1118"/>
      <c r="O29" s="1118"/>
      <c r="P29" s="1107"/>
    </row>
    <row r="30" spans="3:24" x14ac:dyDescent="0.3">
      <c r="C30" s="1090" t="s">
        <v>3235</v>
      </c>
      <c r="D30" s="1091"/>
      <c r="E30" s="1091"/>
      <c r="F30" s="1091"/>
      <c r="G30" s="1091"/>
      <c r="H30" s="1091"/>
      <c r="I30" s="1092"/>
      <c r="J30" s="1107">
        <v>-17.387526635118121</v>
      </c>
      <c r="K30" s="1107">
        <v>-17.387526635118121</v>
      </c>
      <c r="L30" s="1107">
        <v>-854.57982447546669</v>
      </c>
      <c r="M30" s="1107">
        <v>-2077.3169296833248</v>
      </c>
      <c r="N30" s="1107">
        <v>-2986.8114343084526</v>
      </c>
      <c r="O30" s="1107">
        <v>-3595.8136694183195</v>
      </c>
      <c r="P30" s="1107">
        <v>-4074.3152834761595</v>
      </c>
    </row>
    <row r="31" spans="3:24" x14ac:dyDescent="0.3">
      <c r="C31" s="1090"/>
      <c r="D31" s="1108" t="s">
        <v>166</v>
      </c>
      <c r="E31" s="1091"/>
      <c r="F31" s="1091"/>
      <c r="G31" s="1091"/>
      <c r="H31" s="1091"/>
      <c r="I31" s="1092"/>
      <c r="J31" s="1107">
        <v>-6.6268371109534652</v>
      </c>
      <c r="K31" s="1107">
        <v>-6.6268371109534652</v>
      </c>
      <c r="L31" s="1107">
        <v>-326.1702025314774</v>
      </c>
      <c r="M31" s="1107">
        <v>-811.56554281143769</v>
      </c>
      <c r="N31" s="1107">
        <v>-1076.0729311133691</v>
      </c>
      <c r="O31" s="1107">
        <v>-1222.6442946659786</v>
      </c>
      <c r="P31" s="1107">
        <v>-1363.2860704823063</v>
      </c>
    </row>
    <row r="32" spans="3:24" x14ac:dyDescent="0.3">
      <c r="C32" s="1090"/>
      <c r="D32" s="1091"/>
      <c r="E32" s="1109" t="s">
        <v>1138</v>
      </c>
      <c r="F32" s="1110"/>
      <c r="G32" s="1110"/>
      <c r="H32" s="1110"/>
      <c r="I32" s="1111"/>
      <c r="J32" s="1112">
        <v>-5.202E-3</v>
      </c>
      <c r="K32" s="1112">
        <v>-5.202E-3</v>
      </c>
      <c r="L32" s="1112">
        <v>-0.25021693999999994</v>
      </c>
      <c r="M32" s="1112">
        <v>-0.65030431399999988</v>
      </c>
      <c r="N32" s="1112">
        <v>-1.0814170677333332</v>
      </c>
      <c r="O32" s="1112">
        <v>-1.4083770942399998</v>
      </c>
      <c r="P32" s="1119">
        <v>-1.6521545104373332</v>
      </c>
    </row>
    <row r="33" spans="3:16" x14ac:dyDescent="0.3">
      <c r="C33" s="1090"/>
      <c r="D33" s="1091"/>
      <c r="E33" s="1114" t="s">
        <v>1146</v>
      </c>
      <c r="F33" s="1091"/>
      <c r="G33" s="1091"/>
      <c r="H33" s="1091"/>
      <c r="I33" s="1092"/>
      <c r="J33" s="1093">
        <v>-5.3749366666666666E-2</v>
      </c>
      <c r="K33" s="1093">
        <v>-5.3749366666666666E-2</v>
      </c>
      <c r="L33" s="1093">
        <v>-2.5853445166666669</v>
      </c>
      <c r="M33" s="1093">
        <v>-6.7192082650000007</v>
      </c>
      <c r="N33" s="1093">
        <v>-9.9071369198333343</v>
      </c>
      <c r="O33" s="1093">
        <v>-11.892267634983336</v>
      </c>
      <c r="P33" s="1101">
        <v>-14.018458723798336</v>
      </c>
    </row>
    <row r="34" spans="3:16" x14ac:dyDescent="0.3">
      <c r="C34" s="1090"/>
      <c r="D34" s="1091"/>
      <c r="E34" s="1114" t="s">
        <v>1152</v>
      </c>
      <c r="F34" s="1091"/>
      <c r="G34" s="1091"/>
      <c r="H34" s="1091"/>
      <c r="I34" s="1092"/>
      <c r="J34" s="1093">
        <v>-5.4950190000000003E-2</v>
      </c>
      <c r="K34" s="1093">
        <v>-5.4950190000000003E-2</v>
      </c>
      <c r="L34" s="1093">
        <v>-2.5137810756666665</v>
      </c>
      <c r="M34" s="1093">
        <v>-5.6310331122333332</v>
      </c>
      <c r="N34" s="1093">
        <v>-8.3532714643566663</v>
      </c>
      <c r="O34" s="1093">
        <v>-11.544225522015667</v>
      </c>
      <c r="P34" s="1101">
        <v>-15.241314313986233</v>
      </c>
    </row>
    <row r="35" spans="3:16" x14ac:dyDescent="0.3">
      <c r="C35" s="1090"/>
      <c r="D35" s="1091"/>
      <c r="E35" s="1114" t="s">
        <v>1142</v>
      </c>
      <c r="F35" s="1091"/>
      <c r="G35" s="1091"/>
      <c r="H35" s="1091"/>
      <c r="I35" s="1092"/>
      <c r="J35" s="1093">
        <v>-4.2093953333333332</v>
      </c>
      <c r="K35" s="1093">
        <v>-4.2093953333333332</v>
      </c>
      <c r="L35" s="1093">
        <v>-206.68436463541673</v>
      </c>
      <c r="M35" s="1093">
        <v>-514.13229230468767</v>
      </c>
      <c r="N35" s="1093">
        <v>-610.42537477929704</v>
      </c>
      <c r="O35" s="1093">
        <v>-594.65674488102229</v>
      </c>
      <c r="P35" s="1101">
        <v>-597.1592230194093</v>
      </c>
    </row>
    <row r="36" spans="3:16" x14ac:dyDescent="0.3">
      <c r="C36" s="1090"/>
      <c r="D36" s="1091"/>
      <c r="E36" s="1114" t="s">
        <v>1154</v>
      </c>
      <c r="F36" s="1091"/>
      <c r="G36" s="1091"/>
      <c r="H36" s="1091"/>
      <c r="I36" s="1092"/>
      <c r="J36" s="1093">
        <v>-2.0796980442867983</v>
      </c>
      <c r="K36" s="1093">
        <v>-2.0796980442867983</v>
      </c>
      <c r="L36" s="1093">
        <v>-103.51858726606066</v>
      </c>
      <c r="M36" s="1093">
        <v>-257.65689617041659</v>
      </c>
      <c r="N36" s="1093">
        <v>-401.61214337610551</v>
      </c>
      <c r="O36" s="1093">
        <v>-537.38124522589271</v>
      </c>
      <c r="P36" s="1101">
        <v>-646.5263951654639</v>
      </c>
    </row>
    <row r="37" spans="3:16" x14ac:dyDescent="0.3">
      <c r="C37" s="1090"/>
      <c r="D37" s="1091"/>
      <c r="E37" s="1114" t="s">
        <v>3230</v>
      </c>
      <c r="F37" s="1091"/>
      <c r="G37" s="1091"/>
      <c r="H37" s="1091"/>
      <c r="I37" s="1092"/>
      <c r="J37" s="1093">
        <v>-0.2238421766666667</v>
      </c>
      <c r="K37" s="1093">
        <v>-0.2238421766666667</v>
      </c>
      <c r="L37" s="1093">
        <v>-10.617908097666666</v>
      </c>
      <c r="M37" s="1093">
        <v>-26.7758086451</v>
      </c>
      <c r="N37" s="1093">
        <v>-44.693587506043329</v>
      </c>
      <c r="O37" s="1093">
        <v>-65.761434307824331</v>
      </c>
      <c r="P37" s="1101">
        <v>-88.688524749211098</v>
      </c>
    </row>
    <row r="38" spans="3:16" x14ac:dyDescent="0.3">
      <c r="C38" s="1090"/>
      <c r="D38" s="1091"/>
      <c r="E38" s="1116"/>
      <c r="F38" s="1103"/>
      <c r="G38" s="1103"/>
      <c r="H38" s="1103"/>
      <c r="I38" s="1104"/>
      <c r="J38" s="1105"/>
      <c r="K38" s="1105"/>
      <c r="L38" s="1105"/>
      <c r="M38" s="1117"/>
      <c r="N38" s="1117"/>
      <c r="O38" s="1117"/>
      <c r="P38" s="1106"/>
    </row>
    <row r="39" spans="3:16" x14ac:dyDescent="0.3">
      <c r="C39" s="1090"/>
      <c r="D39" s="1108" t="s">
        <v>167</v>
      </c>
      <c r="E39" s="1091"/>
      <c r="F39" s="1091"/>
      <c r="G39" s="1091"/>
      <c r="H39" s="1091"/>
      <c r="I39" s="1092"/>
      <c r="J39" s="1107">
        <v>-10.760689524164658</v>
      </c>
      <c r="K39" s="1107">
        <v>-10.760689524164658</v>
      </c>
      <c r="L39" s="1107">
        <v>-528.40962194398935</v>
      </c>
      <c r="M39" s="1107">
        <v>-1265.7513868718872</v>
      </c>
      <c r="N39" s="1107">
        <v>-1910.7385031950835</v>
      </c>
      <c r="O39" s="1107">
        <v>-2373.1693747523409</v>
      </c>
      <c r="P39" s="1107">
        <v>-2711.029212993853</v>
      </c>
    </row>
    <row r="40" spans="3:16" x14ac:dyDescent="0.3">
      <c r="C40" s="1090"/>
      <c r="D40" s="1091"/>
      <c r="E40" s="1109"/>
      <c r="F40" s="1110"/>
      <c r="G40" s="1110"/>
      <c r="H40" s="1110"/>
      <c r="I40" s="1111"/>
      <c r="J40" s="1112"/>
      <c r="K40" s="1112"/>
      <c r="L40" s="1112"/>
      <c r="M40" s="1112"/>
      <c r="N40" s="1112"/>
      <c r="O40" s="1112"/>
      <c r="P40" s="1119"/>
    </row>
    <row r="41" spans="3:16" x14ac:dyDescent="0.3">
      <c r="C41" s="1090"/>
      <c r="D41" s="1091"/>
      <c r="E41" s="1114" t="s">
        <v>1167</v>
      </c>
      <c r="F41" s="1091"/>
      <c r="G41" s="1091"/>
      <c r="H41" s="1091"/>
      <c r="I41" s="1092"/>
      <c r="J41" s="1120">
        <v>-2.1950476777777781</v>
      </c>
      <c r="K41" s="1093">
        <v>-2.1950476777777781</v>
      </c>
      <c r="L41" s="1093">
        <v>-117.64763480609244</v>
      </c>
      <c r="M41" s="1093">
        <v>-337.93866150115548</v>
      </c>
      <c r="N41" s="1093">
        <v>-612.50779133793765</v>
      </c>
      <c r="O41" s="1093">
        <v>-765.98999259616505</v>
      </c>
      <c r="P41" s="1101">
        <v>-794.51853956141554</v>
      </c>
    </row>
    <row r="42" spans="3:16" x14ac:dyDescent="0.3">
      <c r="C42" s="1090"/>
      <c r="D42" s="1091"/>
      <c r="E42" s="1114" t="s">
        <v>1172</v>
      </c>
      <c r="F42" s="1091"/>
      <c r="G42" s="1091"/>
      <c r="H42" s="1091"/>
      <c r="I42" s="1092"/>
      <c r="J42" s="1120">
        <v>-3.1421132200000002</v>
      </c>
      <c r="K42" s="1093">
        <v>-3.1421132200000002</v>
      </c>
      <c r="L42" s="1093">
        <v>-149.89014175533333</v>
      </c>
      <c r="M42" s="1093">
        <v>-382.8019075062</v>
      </c>
      <c r="N42" s="1093">
        <v>-593.54915683735328</v>
      </c>
      <c r="O42" s="1093">
        <v>-760.6445456367087</v>
      </c>
      <c r="P42" s="1101">
        <v>-920.25668704411487</v>
      </c>
    </row>
    <row r="43" spans="3:16" x14ac:dyDescent="0.3">
      <c r="C43" s="1090"/>
      <c r="D43" s="1091"/>
      <c r="E43" s="1114" t="s">
        <v>3233</v>
      </c>
      <c r="F43" s="1091"/>
      <c r="G43" s="1091"/>
      <c r="H43" s="1091"/>
      <c r="I43" s="1092"/>
      <c r="J43" s="1120">
        <v>-4.0300111110804773</v>
      </c>
      <c r="K43" s="1093">
        <v>-4.0300111110804773</v>
      </c>
      <c r="L43" s="1093">
        <v>-193.84353555408202</v>
      </c>
      <c r="M43" s="1093">
        <v>-370.80137810829274</v>
      </c>
      <c r="N43" s="1093">
        <v>-439.35605848556509</v>
      </c>
      <c r="O43" s="1093">
        <v>-520.37202551280393</v>
      </c>
      <c r="P43" s="1101">
        <v>-612.31442074258723</v>
      </c>
    </row>
    <row r="44" spans="3:16" x14ac:dyDescent="0.3">
      <c r="C44" s="1090"/>
      <c r="D44" s="1091"/>
      <c r="E44" s="1114" t="s">
        <v>3234</v>
      </c>
      <c r="F44" s="1091"/>
      <c r="G44" s="1091"/>
      <c r="H44" s="1091"/>
      <c r="I44" s="1092"/>
      <c r="J44" s="1120">
        <v>-1.3935175153064021</v>
      </c>
      <c r="K44" s="1093">
        <v>-1.3935175153064021</v>
      </c>
      <c r="L44" s="1093">
        <v>-67.028309828481596</v>
      </c>
      <c r="M44" s="1093">
        <v>-174.20943975623888</v>
      </c>
      <c r="N44" s="1093">
        <v>-265.32549653422751</v>
      </c>
      <c r="O44" s="1093">
        <v>-326.16281100666316</v>
      </c>
      <c r="P44" s="1101">
        <v>-383.93956564573534</v>
      </c>
    </row>
    <row r="45" spans="3:16" x14ac:dyDescent="0.3">
      <c r="C45" s="1090"/>
      <c r="D45" s="1091"/>
      <c r="E45" s="1116"/>
      <c r="F45" s="1103"/>
      <c r="G45" s="1103"/>
      <c r="H45" s="1103"/>
      <c r="I45" s="1104"/>
      <c r="J45" s="1105"/>
      <c r="K45" s="1105"/>
      <c r="L45" s="1105"/>
      <c r="M45" s="1117"/>
      <c r="N45" s="1117"/>
      <c r="O45" s="1117"/>
      <c r="P45" s="1106"/>
    </row>
    <row r="46" spans="3:16" x14ac:dyDescent="0.3">
      <c r="C46" s="1090"/>
      <c r="D46" s="1091"/>
      <c r="E46" s="1091"/>
      <c r="F46" s="1091"/>
      <c r="G46" s="1091"/>
      <c r="H46" s="1091"/>
      <c r="I46" s="1092"/>
      <c r="J46" s="1093"/>
      <c r="K46" s="1093"/>
      <c r="L46" s="1093"/>
      <c r="M46" s="1118"/>
      <c r="N46" s="1118"/>
      <c r="O46" s="1118"/>
      <c r="P46" s="1101"/>
    </row>
    <row r="47" spans="3:16" x14ac:dyDescent="0.3">
      <c r="C47" s="1090"/>
      <c r="D47" s="1091"/>
      <c r="E47" s="1091"/>
      <c r="F47" s="1091"/>
      <c r="G47" s="1091"/>
      <c r="H47" s="1091"/>
      <c r="I47" s="1121"/>
      <c r="J47" s="1091"/>
      <c r="K47" s="1091"/>
      <c r="L47" s="1091"/>
      <c r="M47" s="1122"/>
      <c r="N47" s="1122"/>
      <c r="O47" s="1122"/>
      <c r="P47" s="1123"/>
    </row>
    <row r="49" spans="1:23" x14ac:dyDescent="0.3">
      <c r="A49" s="1124"/>
      <c r="B49" s="1125" t="s">
        <v>3236</v>
      </c>
      <c r="C49" s="1125"/>
      <c r="D49" s="1125"/>
      <c r="E49" s="1125"/>
      <c r="F49" s="1125"/>
      <c r="G49" s="1125"/>
      <c r="H49" s="1125"/>
      <c r="I49" s="1126"/>
      <c r="J49" s="1125"/>
      <c r="K49" s="1125"/>
      <c r="L49" s="1125"/>
      <c r="M49" s="1125"/>
      <c r="N49" s="1125"/>
      <c r="O49" s="1125"/>
      <c r="P49" s="1125"/>
      <c r="Q49" s="1125"/>
    </row>
    <row r="51" spans="1:23" x14ac:dyDescent="0.3">
      <c r="B51" s="1127" t="s">
        <v>3237</v>
      </c>
      <c r="C51" s="1128" t="s">
        <v>237</v>
      </c>
      <c r="K51" s="1079" t="s">
        <v>3238</v>
      </c>
      <c r="L51" s="1079" t="s">
        <v>3239</v>
      </c>
      <c r="M51" s="1079" t="s">
        <v>3240</v>
      </c>
      <c r="N51" s="1079" t="s">
        <v>3241</v>
      </c>
      <c r="O51" s="1079" t="s">
        <v>3242</v>
      </c>
      <c r="P51" s="1079" t="s">
        <v>3243</v>
      </c>
    </row>
    <row r="52" spans="1:23" x14ac:dyDescent="0.3">
      <c r="C52" s="1129" t="s">
        <v>3244</v>
      </c>
      <c r="D52" s="1129"/>
      <c r="E52" s="1130"/>
      <c r="F52" s="1130"/>
      <c r="G52" s="1130"/>
      <c r="H52" s="1129">
        <f>362702000/10^6</f>
        <v>362.702</v>
      </c>
      <c r="I52" s="1131"/>
      <c r="J52" s="1132">
        <v>0</v>
      </c>
      <c r="K52" s="1132">
        <v>0.31212000000000001</v>
      </c>
      <c r="L52" s="1132">
        <v>1.8779293999999997</v>
      </c>
      <c r="M52" s="1132">
        <v>2.1229443399999997</v>
      </c>
      <c r="N52" s="1132">
        <v>2.1881831973333332</v>
      </c>
      <c r="O52" s="1132">
        <v>1.0814170677333332</v>
      </c>
      <c r="P52" s="1132">
        <v>1.4083770942399998</v>
      </c>
    </row>
    <row r="53" spans="1:23" x14ac:dyDescent="0.3">
      <c r="C53" s="1129" t="s">
        <v>3245</v>
      </c>
      <c r="D53" s="1129"/>
      <c r="E53" s="1130"/>
      <c r="F53" s="1130"/>
      <c r="G53" s="1130"/>
      <c r="H53" s="1129"/>
      <c r="I53" s="1131"/>
      <c r="J53" s="1132">
        <v>0</v>
      </c>
      <c r="K53" s="1132">
        <v>3.2249620000000001</v>
      </c>
      <c r="L53" s="1132">
        <v>19.403521166666668</v>
      </c>
      <c r="M53" s="1132">
        <v>21.935116316666665</v>
      </c>
      <c r="N53" s="1132">
        <v>9.9441702316666678</v>
      </c>
      <c r="O53" s="1132">
        <v>9.9071369198333343</v>
      </c>
      <c r="P53" s="1132">
        <v>11.892267634983336</v>
      </c>
    </row>
    <row r="54" spans="1:23" x14ac:dyDescent="0.3">
      <c r="C54" s="1129" t="s">
        <v>3246</v>
      </c>
      <c r="D54" s="1130"/>
      <c r="E54" s="1130"/>
      <c r="F54" s="1130"/>
      <c r="G54" s="1130"/>
      <c r="H54" s="1130"/>
      <c r="I54" s="1131"/>
      <c r="J54" s="1132">
        <v>0</v>
      </c>
      <c r="K54" s="1132">
        <v>3.2970114000000001</v>
      </c>
      <c r="L54" s="1132">
        <v>18.543787956666666</v>
      </c>
      <c r="M54" s="1132">
        <v>12.628732409000001</v>
      </c>
      <c r="N54" s="1132">
        <v>14.593651112233335</v>
      </c>
      <c r="O54" s="1132">
        <v>17.315889464356665</v>
      </c>
      <c r="P54" s="1132">
        <v>20.204500355349001</v>
      </c>
    </row>
    <row r="55" spans="1:23" x14ac:dyDescent="0.3">
      <c r="C55" s="1129" t="s">
        <v>3247</v>
      </c>
      <c r="D55" s="1129"/>
      <c r="E55" s="1130"/>
      <c r="F55" s="1130"/>
      <c r="G55" s="1130"/>
      <c r="H55" s="1129"/>
      <c r="I55" s="1131"/>
      <c r="J55" s="1132">
        <v>0</v>
      </c>
      <c r="K55" s="1132">
        <v>101.025488</v>
      </c>
      <c r="L55" s="1132">
        <v>624.68648254166692</v>
      </c>
      <c r="M55" s="1132">
        <v>621.94280946875006</v>
      </c>
      <c r="N55" s="1132">
        <v>573.12939763802103</v>
      </c>
      <c r="O55" s="1132">
        <v>610.42537477929704</v>
      </c>
      <c r="P55" s="1132">
        <v>594.65674488102229</v>
      </c>
    </row>
    <row r="56" spans="1:23" x14ac:dyDescent="0.3">
      <c r="C56" s="1129" t="s">
        <v>3248</v>
      </c>
      <c r="D56" s="1129"/>
      <c r="E56" s="1130"/>
      <c r="F56" s="1130"/>
      <c r="G56" s="1130"/>
      <c r="H56" s="1129"/>
      <c r="I56" s="1131"/>
      <c r="J56" s="1132">
        <v>0</v>
      </c>
      <c r="K56" s="1132">
        <v>110.81000079999998</v>
      </c>
      <c r="L56" s="1132">
        <v>697.65565713317483</v>
      </c>
      <c r="M56" s="1132">
        <v>671.13809475494952</v>
      </c>
      <c r="N56" s="1132">
        <v>607.22705877041676</v>
      </c>
      <c r="O56" s="1132">
        <v>598.44270387610561</v>
      </c>
      <c r="P56" s="1132">
        <v>596.85369655922602</v>
      </c>
    </row>
    <row r="57" spans="1:23" x14ac:dyDescent="0.3">
      <c r="C57" s="1129" t="s">
        <v>3249</v>
      </c>
      <c r="D57" s="1129"/>
      <c r="E57" s="1130"/>
      <c r="F57" s="1130"/>
      <c r="G57" s="1130"/>
      <c r="H57" s="1129"/>
      <c r="I57" s="1131"/>
      <c r="J57" s="1132">
        <v>0</v>
      </c>
      <c r="K57" s="1132">
        <v>13.430530600000001</v>
      </c>
      <c r="L57" s="1132">
        <v>79.318019776666659</v>
      </c>
      <c r="M57" s="1132">
        <v>82.260985697666669</v>
      </c>
      <c r="N57" s="1132">
        <v>96.916802911766652</v>
      </c>
      <c r="O57" s="1132">
        <v>113.76166510604332</v>
      </c>
      <c r="P57" s="1132">
        <v>117.74766107449099</v>
      </c>
    </row>
    <row r="59" spans="1:23" x14ac:dyDescent="0.3">
      <c r="B59" s="1127" t="s">
        <v>3237</v>
      </c>
      <c r="C59" s="1128" t="s">
        <v>167</v>
      </c>
    </row>
    <row r="61" spans="1:23" x14ac:dyDescent="0.3">
      <c r="C61" s="1129" t="s">
        <v>1167</v>
      </c>
      <c r="D61" s="1129"/>
      <c r="E61" s="1130"/>
      <c r="F61" s="1130"/>
      <c r="G61" s="1130"/>
      <c r="H61" s="1129"/>
      <c r="I61" s="1131"/>
      <c r="J61" s="1132">
        <v>0</v>
      </c>
      <c r="K61" s="1132">
        <v>79.021716400000003</v>
      </c>
      <c r="L61" s="1132">
        <v>547.84237603655458</v>
      </c>
      <c r="M61" s="1132">
        <v>773.90378413382359</v>
      </c>
      <c r="N61" s="1132">
        <v>886.68128095353643</v>
      </c>
      <c r="O61" s="1132">
        <v>726.92744936571546</v>
      </c>
      <c r="P61" s="1132">
        <v>765.98999259616505</v>
      </c>
    </row>
    <row r="62" spans="1:23" x14ac:dyDescent="0.3">
      <c r="C62" s="1129" t="s">
        <v>3250</v>
      </c>
      <c r="D62" s="1129"/>
      <c r="E62" s="1130"/>
      <c r="F62" s="1130"/>
      <c r="G62" s="1130"/>
      <c r="H62" s="1129"/>
      <c r="I62" s="1131"/>
      <c r="J62" s="1132">
        <v>0</v>
      </c>
      <c r="K62" s="1132">
        <v>188.52679319999999</v>
      </c>
      <c r="L62" s="1132">
        <v>1121.8478311533331</v>
      </c>
      <c r="M62" s="1132">
        <v>1207.2698263553334</v>
      </c>
      <c r="N62" s="1132">
        <v>900.20266695620001</v>
      </c>
      <c r="O62" s="1132">
        <v>770.75122103735328</v>
      </c>
      <c r="P62" s="1132">
        <v>856.79132523670864</v>
      </c>
    </row>
    <row r="63" spans="1:23" x14ac:dyDescent="0.3">
      <c r="C63" s="1129" t="s">
        <v>3233</v>
      </c>
      <c r="D63" s="1129"/>
      <c r="E63" s="1130"/>
      <c r="F63" s="1130"/>
      <c r="G63" s="1130"/>
      <c r="H63" s="1129">
        <f>362702000/10^6</f>
        <v>362.702</v>
      </c>
      <c r="I63" s="1131"/>
      <c r="J63" s="1132">
        <v>0</v>
      </c>
      <c r="K63" s="1132">
        <v>241.8</v>
      </c>
      <c r="L63" s="1132">
        <v>1454.8300111110805</v>
      </c>
      <c r="M63" s="1132">
        <v>314.74353555408203</v>
      </c>
      <c r="N63" s="1132">
        <v>370.80137810829274</v>
      </c>
      <c r="O63" s="1132">
        <v>439.35605848556509</v>
      </c>
      <c r="P63" s="1132">
        <v>520.37202551280393</v>
      </c>
      <c r="R63" s="1072">
        <f>H63+R27+K63</f>
        <v>358.6719888889196</v>
      </c>
      <c r="S63" s="1072">
        <f>R63+T27+L63</f>
        <v>1498.758464445918</v>
      </c>
      <c r="T63" s="1072">
        <f t="shared" ref="T63:W63" si="8">S63+U27+M63</f>
        <v>1442.7006218917072</v>
      </c>
      <c r="U63" s="1072">
        <f t="shared" si="8"/>
        <v>1374.145941514435</v>
      </c>
      <c r="V63" s="1072">
        <f t="shared" si="8"/>
        <v>1293.1299744871963</v>
      </c>
      <c r="W63" s="1072">
        <f t="shared" si="8"/>
        <v>1201.1875792574128</v>
      </c>
    </row>
    <row r="64" spans="1:23" x14ac:dyDescent="0.3">
      <c r="C64" s="1129" t="s">
        <v>3234</v>
      </c>
      <c r="D64" s="1129"/>
      <c r="E64" s="1130"/>
      <c r="F64" s="1130"/>
      <c r="G64" s="1130"/>
      <c r="H64" s="1129"/>
      <c r="I64" s="1131"/>
      <c r="J64" s="1132">
        <v>0</v>
      </c>
      <c r="K64" s="1132">
        <v>83.541663999999997</v>
      </c>
      <c r="L64" s="1132">
        <v>502.64351751530643</v>
      </c>
      <c r="M64" s="1132">
        <v>568.27830982848161</v>
      </c>
      <c r="N64" s="1132">
        <v>342.12610642290554</v>
      </c>
      <c r="O64" s="1132">
        <v>265.7421632008942</v>
      </c>
      <c r="P64" s="1132">
        <v>326.16281100666316</v>
      </c>
    </row>
    <row r="66" spans="1:17" x14ac:dyDescent="0.3">
      <c r="A66" s="1124"/>
      <c r="B66" s="1125" t="s">
        <v>3251</v>
      </c>
      <c r="C66" s="1125"/>
      <c r="D66" s="1125"/>
      <c r="E66" s="1125"/>
      <c r="F66" s="1125"/>
      <c r="G66" s="1125"/>
      <c r="H66" s="1125"/>
      <c r="I66" s="1126"/>
      <c r="J66" s="1125"/>
      <c r="K66" s="1125"/>
      <c r="L66" s="1125"/>
      <c r="M66" s="1125"/>
      <c r="N66" s="1125"/>
      <c r="O66" s="1125"/>
      <c r="P66" s="1125"/>
      <c r="Q66" s="1125"/>
    </row>
    <row r="68" spans="1:17" x14ac:dyDescent="0.3">
      <c r="B68" s="1127" t="s">
        <v>3237</v>
      </c>
      <c r="C68" s="1128" t="s">
        <v>237</v>
      </c>
    </row>
    <row r="69" spans="1:17" x14ac:dyDescent="0.3">
      <c r="C69" s="1133" t="s">
        <v>3244</v>
      </c>
    </row>
    <row r="70" spans="1:17" x14ac:dyDescent="0.3">
      <c r="E70" s="1078" t="s">
        <v>3252</v>
      </c>
      <c r="F70" s="1078" t="s">
        <v>3253</v>
      </c>
      <c r="G70" s="1134" t="s">
        <v>3254</v>
      </c>
      <c r="H70" s="1134"/>
      <c r="I70" s="1135"/>
      <c r="J70" s="1136" t="s">
        <v>3255</v>
      </c>
      <c r="K70" s="1136" t="s">
        <v>3256</v>
      </c>
      <c r="L70" s="1136" t="s">
        <v>3257</v>
      </c>
      <c r="M70" s="1136" t="s">
        <v>3258</v>
      </c>
      <c r="N70" s="1136" t="s">
        <v>3259</v>
      </c>
      <c r="O70" s="1136" t="s">
        <v>3260</v>
      </c>
    </row>
    <row r="71" spans="1:17" x14ac:dyDescent="0.3">
      <c r="E71" s="1072" t="s">
        <v>3255</v>
      </c>
      <c r="F71" s="1072">
        <v>0.31212000000000001</v>
      </c>
      <c r="G71" s="1072">
        <v>5</v>
      </c>
      <c r="J71" s="1137">
        <v>-5.202E-3</v>
      </c>
      <c r="K71" s="1137">
        <v>-6.2424E-2</v>
      </c>
      <c r="L71" s="1137">
        <v>-6.2424E-2</v>
      </c>
      <c r="M71" s="1137">
        <v>-6.2424E-2</v>
      </c>
      <c r="N71" s="1137">
        <v>-6.2424E-2</v>
      </c>
      <c r="O71" s="1137">
        <v>-5.7222000000000002E-2</v>
      </c>
    </row>
    <row r="72" spans="1:17" x14ac:dyDescent="0.3">
      <c r="E72" s="1072" t="s">
        <v>3256</v>
      </c>
      <c r="F72" s="1072">
        <v>1.8779293999999997</v>
      </c>
      <c r="G72" s="1072">
        <v>5</v>
      </c>
      <c r="J72" s="1138"/>
      <c r="K72" s="1137">
        <v>-0.18779293999999996</v>
      </c>
      <c r="L72" s="1137">
        <v>-0.37558587999999993</v>
      </c>
      <c r="M72" s="1137">
        <v>-0.37558587999999993</v>
      </c>
      <c r="N72" s="1137">
        <v>-0.37558587999999993</v>
      </c>
      <c r="O72" s="1137">
        <v>-0.37558587999999993</v>
      </c>
    </row>
    <row r="73" spans="1:17" x14ac:dyDescent="0.3">
      <c r="E73" s="1072" t="s">
        <v>3257</v>
      </c>
      <c r="F73" s="1072">
        <v>2.1229443399999997</v>
      </c>
      <c r="G73" s="1072">
        <v>5</v>
      </c>
      <c r="J73" s="1138"/>
      <c r="K73" s="1138"/>
      <c r="L73" s="1137">
        <v>-0.21229443399999998</v>
      </c>
      <c r="M73" s="1137">
        <v>-0.42458886799999995</v>
      </c>
      <c r="N73" s="1137">
        <v>-0.42458886799999995</v>
      </c>
      <c r="O73" s="1137">
        <v>-0.42458886799999995</v>
      </c>
    </row>
    <row r="74" spans="1:17" x14ac:dyDescent="0.3">
      <c r="E74" s="1072" t="s">
        <v>3258</v>
      </c>
      <c r="F74" s="1072">
        <v>2.1881831973333332</v>
      </c>
      <c r="G74" s="1072">
        <v>5</v>
      </c>
      <c r="J74" s="1138"/>
      <c r="K74" s="1138"/>
      <c r="L74" s="1138"/>
      <c r="M74" s="1137">
        <v>-0.21881831973333332</v>
      </c>
      <c r="N74" s="1137">
        <v>-0.43763663946666664</v>
      </c>
      <c r="O74" s="1137">
        <v>-0.43763663946666664</v>
      </c>
    </row>
    <row r="75" spans="1:17" x14ac:dyDescent="0.3">
      <c r="E75" s="1072" t="s">
        <v>3259</v>
      </c>
      <c r="F75" s="1072">
        <v>1.0814170677333332</v>
      </c>
      <c r="G75" s="1072">
        <v>5</v>
      </c>
      <c r="J75" s="1138"/>
      <c r="K75" s="1138"/>
      <c r="L75" s="1138"/>
      <c r="M75" s="1138"/>
      <c r="N75" s="1137">
        <v>-0.10814170677333332</v>
      </c>
      <c r="O75" s="1137">
        <v>-0.21628341354666664</v>
      </c>
    </row>
    <row r="76" spans="1:17" x14ac:dyDescent="0.3">
      <c r="E76" s="1072" t="s">
        <v>3260</v>
      </c>
      <c r="F76" s="1072">
        <v>1.4083770942399998</v>
      </c>
      <c r="G76" s="1072">
        <v>5</v>
      </c>
      <c r="J76" s="1138"/>
      <c r="K76" s="1138"/>
      <c r="L76" s="1138"/>
      <c r="M76" s="1138"/>
      <c r="N76" s="1138"/>
      <c r="O76" s="1137">
        <v>-0.14083770942399998</v>
      </c>
    </row>
    <row r="77" spans="1:17" x14ac:dyDescent="0.3">
      <c r="E77" s="1139" t="s">
        <v>3261</v>
      </c>
      <c r="F77" s="1140"/>
      <c r="G77" s="1140"/>
      <c r="H77" s="1140"/>
      <c r="I77" s="1141"/>
      <c r="J77" s="1142">
        <v>-5.202E-3</v>
      </c>
      <c r="K77" s="1142">
        <v>-0.25021693999999994</v>
      </c>
      <c r="L77" s="1142">
        <v>-0.65030431399999988</v>
      </c>
      <c r="M77" s="1142">
        <v>-1.0814170677333332</v>
      </c>
      <c r="N77" s="1142">
        <v>-1.4083770942399998</v>
      </c>
      <c r="O77" s="1142">
        <v>-1.6521545104373332</v>
      </c>
    </row>
    <row r="78" spans="1:17" x14ac:dyDescent="0.3">
      <c r="E78" s="1058"/>
      <c r="F78" s="1100"/>
      <c r="G78" s="1100"/>
      <c r="H78" s="1100"/>
      <c r="J78" s="1100"/>
      <c r="K78" s="1100"/>
      <c r="L78" s="1100"/>
      <c r="M78" s="1100"/>
      <c r="N78" s="1100"/>
      <c r="O78" s="1100"/>
    </row>
    <row r="79" spans="1:17" x14ac:dyDescent="0.3">
      <c r="C79" s="1133" t="s">
        <v>3245</v>
      </c>
    </row>
    <row r="80" spans="1:17" x14ac:dyDescent="0.3">
      <c r="E80" s="1078" t="s">
        <v>3252</v>
      </c>
      <c r="F80" s="1078" t="s">
        <v>3253</v>
      </c>
      <c r="G80" s="1134" t="s">
        <v>3254</v>
      </c>
      <c r="H80" s="1134"/>
      <c r="I80" s="1135"/>
      <c r="J80" s="1136" t="s">
        <v>3255</v>
      </c>
      <c r="K80" s="1136" t="s">
        <v>3256</v>
      </c>
      <c r="L80" s="1136" t="s">
        <v>3257</v>
      </c>
      <c r="M80" s="1136" t="s">
        <v>3258</v>
      </c>
      <c r="N80" s="1136" t="s">
        <v>3259</v>
      </c>
      <c r="O80" s="1136" t="s">
        <v>3260</v>
      </c>
    </row>
    <row r="81" spans="3:15" x14ac:dyDescent="0.3">
      <c r="E81" s="1072" t="s">
        <v>3255</v>
      </c>
      <c r="F81" s="1072">
        <v>3.2249620000000001</v>
      </c>
      <c r="G81" s="1072">
        <v>5</v>
      </c>
      <c r="J81" s="1137">
        <v>-5.3749366666666666E-2</v>
      </c>
      <c r="K81" s="1137">
        <v>-0.64499240000000002</v>
      </c>
      <c r="L81" s="1137">
        <v>-0.64499240000000002</v>
      </c>
      <c r="M81" s="1137">
        <v>-0.64499240000000002</v>
      </c>
      <c r="N81" s="1137">
        <v>-0.64499240000000002</v>
      </c>
      <c r="O81" s="1137">
        <v>-0.59124303333333339</v>
      </c>
    </row>
    <row r="82" spans="3:15" x14ac:dyDescent="0.3">
      <c r="E82" s="1072" t="s">
        <v>3256</v>
      </c>
      <c r="F82" s="1072">
        <v>19.403521166666668</v>
      </c>
      <c r="G82" s="1072">
        <v>5</v>
      </c>
      <c r="J82" s="1138"/>
      <c r="K82" s="1137">
        <v>-1.9403521166666668</v>
      </c>
      <c r="L82" s="1137">
        <v>-3.8807042333333337</v>
      </c>
      <c r="M82" s="1137">
        <v>-3.8807042333333337</v>
      </c>
      <c r="N82" s="1137">
        <v>-3.8807042333333337</v>
      </c>
      <c r="O82" s="1137">
        <v>-3.8807042333333337</v>
      </c>
    </row>
    <row r="83" spans="3:15" x14ac:dyDescent="0.3">
      <c r="E83" s="1072" t="s">
        <v>3257</v>
      </c>
      <c r="F83" s="1072">
        <v>21.935116316666665</v>
      </c>
      <c r="G83" s="1072">
        <v>5</v>
      </c>
      <c r="J83" s="1138"/>
      <c r="K83" s="1138"/>
      <c r="L83" s="1137">
        <v>-2.1935116316666665</v>
      </c>
      <c r="M83" s="1137">
        <v>-4.387023263333333</v>
      </c>
      <c r="N83" s="1137">
        <v>-4.387023263333333</v>
      </c>
      <c r="O83" s="1137">
        <v>-4.387023263333333</v>
      </c>
    </row>
    <row r="84" spans="3:15" x14ac:dyDescent="0.3">
      <c r="E84" s="1072" t="s">
        <v>3258</v>
      </c>
      <c r="F84" s="1072">
        <v>9.9441702316666678</v>
      </c>
      <c r="G84" s="1072">
        <v>5</v>
      </c>
      <c r="J84" s="1138"/>
      <c r="K84" s="1138"/>
      <c r="L84" s="1138"/>
      <c r="M84" s="1137">
        <v>-0.9944170231666668</v>
      </c>
      <c r="N84" s="1137">
        <v>-1.9888340463333336</v>
      </c>
      <c r="O84" s="1137">
        <v>-1.9888340463333336</v>
      </c>
    </row>
    <row r="85" spans="3:15" x14ac:dyDescent="0.3">
      <c r="E85" s="1072" t="s">
        <v>3259</v>
      </c>
      <c r="F85" s="1072">
        <v>9.9071369198333343</v>
      </c>
      <c r="G85" s="1072">
        <v>5</v>
      </c>
      <c r="J85" s="1138"/>
      <c r="K85" s="1138"/>
      <c r="L85" s="1138"/>
      <c r="M85" s="1138"/>
      <c r="N85" s="1137">
        <v>-0.99071369198333348</v>
      </c>
      <c r="O85" s="1137">
        <v>-1.981427383966667</v>
      </c>
    </row>
    <row r="86" spans="3:15" x14ac:dyDescent="0.3">
      <c r="E86" s="1072" t="s">
        <v>3260</v>
      </c>
      <c r="F86" s="1072">
        <v>11.892267634983336</v>
      </c>
      <c r="G86" s="1072">
        <v>5</v>
      </c>
      <c r="J86" s="1138"/>
      <c r="K86" s="1138"/>
      <c r="L86" s="1138"/>
      <c r="M86" s="1138"/>
      <c r="N86" s="1138"/>
      <c r="O86" s="1137">
        <v>-1.1892267634983336</v>
      </c>
    </row>
    <row r="87" spans="3:15" x14ac:dyDescent="0.3">
      <c r="E87" s="1139" t="s">
        <v>3261</v>
      </c>
      <c r="F87" s="1140"/>
      <c r="G87" s="1140"/>
      <c r="H87" s="1140"/>
      <c r="I87" s="1141"/>
      <c r="J87" s="1142">
        <v>-5.3749366666666666E-2</v>
      </c>
      <c r="K87" s="1142">
        <v>-2.5853445166666669</v>
      </c>
      <c r="L87" s="1142">
        <v>-6.7192082650000007</v>
      </c>
      <c r="M87" s="1142">
        <v>-9.9071369198333343</v>
      </c>
      <c r="N87" s="1142">
        <v>-11.892267634983336</v>
      </c>
      <c r="O87" s="1142">
        <v>-14.018458723798336</v>
      </c>
    </row>
    <row r="88" spans="3:15" x14ac:dyDescent="0.3">
      <c r="E88" s="1058"/>
      <c r="F88" s="1100"/>
      <c r="G88" s="1100"/>
      <c r="H88" s="1100"/>
      <c r="J88" s="1058"/>
      <c r="K88" s="1058"/>
      <c r="L88" s="1058"/>
      <c r="M88" s="1058"/>
      <c r="N88" s="1058"/>
      <c r="O88" s="1058"/>
    </row>
    <row r="89" spans="3:15" x14ac:dyDescent="0.3">
      <c r="C89" s="1133" t="s">
        <v>3246</v>
      </c>
    </row>
    <row r="90" spans="3:15" x14ac:dyDescent="0.3">
      <c r="E90" s="1078" t="s">
        <v>3252</v>
      </c>
      <c r="F90" s="1078" t="s">
        <v>3253</v>
      </c>
      <c r="G90" s="1134" t="s">
        <v>3254</v>
      </c>
      <c r="H90" s="1134"/>
      <c r="I90" s="1135"/>
      <c r="J90" s="1136" t="s">
        <v>3255</v>
      </c>
      <c r="K90" s="1136" t="s">
        <v>3256</v>
      </c>
      <c r="L90" s="1136" t="s">
        <v>3257</v>
      </c>
      <c r="M90" s="1136" t="s">
        <v>3258</v>
      </c>
      <c r="N90" s="1136" t="s">
        <v>3259</v>
      </c>
      <c r="O90" s="1136" t="s">
        <v>3260</v>
      </c>
    </row>
    <row r="91" spans="3:15" x14ac:dyDescent="0.3">
      <c r="E91" s="1072" t="s">
        <v>3255</v>
      </c>
      <c r="F91" s="1072">
        <v>3.2970114000000001</v>
      </c>
      <c r="G91" s="1072">
        <v>5</v>
      </c>
      <c r="J91" s="1137">
        <v>-5.4950190000000003E-2</v>
      </c>
      <c r="K91" s="1137">
        <v>-0.65940228000000001</v>
      </c>
      <c r="L91" s="1137">
        <v>-0.65940228000000001</v>
      </c>
      <c r="M91" s="1137">
        <v>-0.65940228000000001</v>
      </c>
      <c r="N91" s="1137">
        <v>-0.65940228000000001</v>
      </c>
      <c r="O91" s="1137">
        <v>-0.60445208999999978</v>
      </c>
    </row>
    <row r="92" spans="3:15" x14ac:dyDescent="0.3">
      <c r="E92" s="1072" t="s">
        <v>3256</v>
      </c>
      <c r="F92" s="1072">
        <v>18.543787956666666</v>
      </c>
      <c r="G92" s="1072">
        <v>5</v>
      </c>
      <c r="J92" s="1138"/>
      <c r="K92" s="1137">
        <v>-1.8543787956666666</v>
      </c>
      <c r="L92" s="1137">
        <v>-3.7087575913333333</v>
      </c>
      <c r="M92" s="1137">
        <v>-3.7087575913333333</v>
      </c>
      <c r="N92" s="1137">
        <v>-3.7087575913333333</v>
      </c>
      <c r="O92" s="1137">
        <v>-3.7087575913333333</v>
      </c>
    </row>
    <row r="93" spans="3:15" x14ac:dyDescent="0.3">
      <c r="E93" s="1072" t="s">
        <v>3257</v>
      </c>
      <c r="F93" s="1072">
        <v>12.628732409000001</v>
      </c>
      <c r="G93" s="1072">
        <v>5</v>
      </c>
      <c r="J93" s="1138"/>
      <c r="K93" s="1138"/>
      <c r="L93" s="1137">
        <v>-1.2628732409000001</v>
      </c>
      <c r="M93" s="1137">
        <v>-2.5257464818000002</v>
      </c>
      <c r="N93" s="1137">
        <v>-2.5257464818000002</v>
      </c>
      <c r="O93" s="1137">
        <v>-2.5257464818000002</v>
      </c>
    </row>
    <row r="94" spans="3:15" x14ac:dyDescent="0.3">
      <c r="E94" s="1072" t="s">
        <v>3258</v>
      </c>
      <c r="F94" s="1072">
        <v>14.593651112233335</v>
      </c>
      <c r="G94" s="1072">
        <v>5</v>
      </c>
      <c r="J94" s="1138"/>
      <c r="K94" s="1138"/>
      <c r="L94" s="1138"/>
      <c r="M94" s="1137">
        <v>-1.4593651112233335</v>
      </c>
      <c r="N94" s="1137">
        <v>-2.9187302224466669</v>
      </c>
      <c r="O94" s="1137">
        <v>-2.9187302224466669</v>
      </c>
    </row>
    <row r="95" spans="3:15" x14ac:dyDescent="0.3">
      <c r="E95" s="1072" t="s">
        <v>3259</v>
      </c>
      <c r="F95" s="1072">
        <v>17.315889464356665</v>
      </c>
      <c r="G95" s="1072">
        <v>5</v>
      </c>
      <c r="J95" s="1138"/>
      <c r="K95" s="1138"/>
      <c r="L95" s="1138"/>
      <c r="M95" s="1138"/>
      <c r="N95" s="1137">
        <v>-1.7315889464356666</v>
      </c>
      <c r="O95" s="1137">
        <v>-3.4631778928713333</v>
      </c>
    </row>
    <row r="96" spans="3:15" x14ac:dyDescent="0.3">
      <c r="E96" s="1072" t="s">
        <v>3260</v>
      </c>
      <c r="F96" s="1072">
        <v>20.204500355349001</v>
      </c>
      <c r="G96" s="1072">
        <v>5</v>
      </c>
      <c r="J96" s="1138"/>
      <c r="K96" s="1138"/>
      <c r="L96" s="1138"/>
      <c r="M96" s="1138"/>
      <c r="N96" s="1138"/>
      <c r="O96" s="1137">
        <v>-2.0204500355349002</v>
      </c>
    </row>
    <row r="97" spans="3:15" x14ac:dyDescent="0.3">
      <c r="E97" s="1139" t="s">
        <v>3261</v>
      </c>
      <c r="F97" s="1139"/>
      <c r="G97" s="1139"/>
      <c r="H97" s="1139"/>
      <c r="I97" s="1143"/>
      <c r="J97" s="1142">
        <v>-5.4950190000000003E-2</v>
      </c>
      <c r="K97" s="1142">
        <v>-2.5137810756666665</v>
      </c>
      <c r="L97" s="1142">
        <v>-5.6310331122333332</v>
      </c>
      <c r="M97" s="1142">
        <v>-8.3532714643566663</v>
      </c>
      <c r="N97" s="1142">
        <v>-11.544225522015667</v>
      </c>
      <c r="O97" s="1142">
        <v>-15.241314313986233</v>
      </c>
    </row>
    <row r="98" spans="3:15" x14ac:dyDescent="0.3">
      <c r="E98" s="1058"/>
      <c r="F98" s="1058"/>
      <c r="G98" s="1058"/>
      <c r="H98" s="1058"/>
      <c r="I98" s="1144"/>
      <c r="J98" s="1058"/>
      <c r="K98" s="1058"/>
      <c r="L98" s="1058"/>
      <c r="M98" s="1058"/>
      <c r="N98" s="1058"/>
      <c r="O98" s="1058"/>
    </row>
    <row r="99" spans="3:15" x14ac:dyDescent="0.3">
      <c r="C99" s="1133" t="s">
        <v>3247</v>
      </c>
    </row>
    <row r="100" spans="3:15" x14ac:dyDescent="0.3">
      <c r="E100" s="1078" t="s">
        <v>3252</v>
      </c>
      <c r="F100" s="1078" t="s">
        <v>3253</v>
      </c>
      <c r="G100" s="1134" t="s">
        <v>3254</v>
      </c>
      <c r="H100" s="1134"/>
      <c r="I100" s="1135"/>
      <c r="J100" s="1136" t="s">
        <v>3255</v>
      </c>
      <c r="K100" s="1136" t="s">
        <v>3256</v>
      </c>
      <c r="L100" s="1136" t="s">
        <v>3257</v>
      </c>
      <c r="M100" s="1136" t="s">
        <v>3258</v>
      </c>
      <c r="N100" s="1136" t="s">
        <v>3259</v>
      </c>
      <c r="O100" s="1136" t="s">
        <v>3260</v>
      </c>
    </row>
    <row r="101" spans="3:15" x14ac:dyDescent="0.3">
      <c r="E101" s="1072" t="s">
        <v>3255</v>
      </c>
      <c r="F101" s="1072">
        <v>101.025488</v>
      </c>
      <c r="G101" s="1072">
        <v>2</v>
      </c>
      <c r="J101" s="1137">
        <v>-4.2093953333333332</v>
      </c>
      <c r="K101" s="1137">
        <v>-50.512743999999998</v>
      </c>
      <c r="L101" s="1137">
        <v>-46.303348666666665</v>
      </c>
      <c r="M101" s="1137">
        <v>0</v>
      </c>
      <c r="N101" s="1137">
        <v>0</v>
      </c>
      <c r="O101" s="1137">
        <v>0</v>
      </c>
    </row>
    <row r="102" spans="3:15" x14ac:dyDescent="0.3">
      <c r="E102" s="1072" t="s">
        <v>3256</v>
      </c>
      <c r="F102" s="1072">
        <v>624.68648254166692</v>
      </c>
      <c r="G102" s="1072">
        <v>2</v>
      </c>
      <c r="J102" s="1138"/>
      <c r="K102" s="1137">
        <v>-156.17162063541673</v>
      </c>
      <c r="L102" s="1137">
        <v>-312.34324127083346</v>
      </c>
      <c r="M102" s="1137">
        <v>-156.17162063541673</v>
      </c>
      <c r="N102" s="1137">
        <v>0</v>
      </c>
      <c r="O102" s="1137">
        <v>0</v>
      </c>
    </row>
    <row r="103" spans="3:15" x14ac:dyDescent="0.3">
      <c r="E103" s="1072" t="s">
        <v>3257</v>
      </c>
      <c r="F103" s="1072">
        <v>621.94280946875006</v>
      </c>
      <c r="G103" s="1072">
        <v>2</v>
      </c>
      <c r="J103" s="1138"/>
      <c r="K103" s="1138"/>
      <c r="L103" s="1137">
        <v>-155.48570236718751</v>
      </c>
      <c r="M103" s="1137">
        <v>-310.97140473437503</v>
      </c>
      <c r="N103" s="1137">
        <v>-155.48570236718751</v>
      </c>
      <c r="O103" s="1137">
        <v>0</v>
      </c>
    </row>
    <row r="104" spans="3:15" x14ac:dyDescent="0.3">
      <c r="E104" s="1072" t="s">
        <v>3258</v>
      </c>
      <c r="F104" s="1072">
        <v>573.12939763802103</v>
      </c>
      <c r="G104" s="1072">
        <v>2</v>
      </c>
      <c r="J104" s="1138"/>
      <c r="K104" s="1138"/>
      <c r="L104" s="1138"/>
      <c r="M104" s="1137">
        <v>-143.28234940950526</v>
      </c>
      <c r="N104" s="1137">
        <v>-286.56469881901052</v>
      </c>
      <c r="O104" s="1137">
        <v>-143.28234940950523</v>
      </c>
    </row>
    <row r="105" spans="3:15" x14ac:dyDescent="0.3">
      <c r="E105" s="1072" t="s">
        <v>3259</v>
      </c>
      <c r="F105" s="1072">
        <v>610.42537477929704</v>
      </c>
      <c r="G105" s="1072">
        <v>2</v>
      </c>
      <c r="J105" s="1138"/>
      <c r="K105" s="1138"/>
      <c r="L105" s="1138"/>
      <c r="M105" s="1138"/>
      <c r="N105" s="1137">
        <v>-152.60634369482426</v>
      </c>
      <c r="O105" s="1137">
        <v>-305.21268738964852</v>
      </c>
    </row>
    <row r="106" spans="3:15" x14ac:dyDescent="0.3">
      <c r="E106" s="1072" t="s">
        <v>3260</v>
      </c>
      <c r="F106" s="1072">
        <v>594.65674488102229</v>
      </c>
      <c r="G106" s="1072">
        <v>2</v>
      </c>
      <c r="J106" s="1138"/>
      <c r="K106" s="1138"/>
      <c r="L106" s="1138"/>
      <c r="M106" s="1138"/>
      <c r="N106" s="1138"/>
      <c r="O106" s="1137">
        <v>-148.66418622025557</v>
      </c>
    </row>
    <row r="107" spans="3:15" x14ac:dyDescent="0.3">
      <c r="E107" s="1139" t="s">
        <v>3261</v>
      </c>
      <c r="F107" s="1139"/>
      <c r="G107" s="1139"/>
      <c r="H107" s="1139"/>
      <c r="I107" s="1143"/>
      <c r="J107" s="1142">
        <v>-4.2093953333333332</v>
      </c>
      <c r="K107" s="1142">
        <v>-206.68436463541673</v>
      </c>
      <c r="L107" s="1142">
        <v>-514.13229230468767</v>
      </c>
      <c r="M107" s="1142">
        <v>-610.42537477929704</v>
      </c>
      <c r="N107" s="1142">
        <v>-594.65674488102229</v>
      </c>
      <c r="O107" s="1142">
        <v>-597.1592230194093</v>
      </c>
    </row>
    <row r="108" spans="3:15" x14ac:dyDescent="0.3">
      <c r="E108" s="1058"/>
      <c r="F108" s="1058"/>
      <c r="G108" s="1058"/>
      <c r="H108" s="1058"/>
      <c r="I108" s="1144"/>
      <c r="J108" s="1058"/>
      <c r="K108" s="1058"/>
      <c r="L108" s="1058"/>
      <c r="M108" s="1058"/>
      <c r="N108" s="1058"/>
      <c r="O108" s="1058"/>
    </row>
    <row r="109" spans="3:15" x14ac:dyDescent="0.3">
      <c r="C109" s="1133" t="s">
        <v>3248</v>
      </c>
    </row>
    <row r="110" spans="3:15" x14ac:dyDescent="0.3">
      <c r="E110" s="1078" t="s">
        <v>3252</v>
      </c>
      <c r="F110" s="1078" t="s">
        <v>3253</v>
      </c>
      <c r="G110" s="1134" t="s">
        <v>3254</v>
      </c>
      <c r="H110" s="1134"/>
      <c r="I110" s="1135"/>
      <c r="J110" s="1136" t="s">
        <v>3255</v>
      </c>
      <c r="K110" s="1136" t="s">
        <v>3256</v>
      </c>
      <c r="L110" s="1136" t="s">
        <v>3257</v>
      </c>
      <c r="M110" s="1136" t="s">
        <v>3258</v>
      </c>
      <c r="N110" s="1136" t="s">
        <v>3259</v>
      </c>
      <c r="O110" s="1136" t="s">
        <v>3260</v>
      </c>
    </row>
    <row r="111" spans="3:15" x14ac:dyDescent="0.3">
      <c r="E111" s="1072" t="s">
        <v>3255</v>
      </c>
      <c r="F111" s="1072">
        <v>110.81000079999998</v>
      </c>
      <c r="G111" s="1072">
        <v>4.4401478179492413</v>
      </c>
      <c r="J111" s="1137">
        <v>-2.0796980442867983</v>
      </c>
      <c r="K111" s="1137">
        <v>-24.956376531441578</v>
      </c>
      <c r="L111" s="1137">
        <v>-24.956376531441578</v>
      </c>
      <c r="M111" s="1137">
        <v>-24.956376531441578</v>
      </c>
      <c r="N111" s="1137">
        <v>-24.956376531441578</v>
      </c>
      <c r="O111" s="1137">
        <v>-8.9047966299468726</v>
      </c>
    </row>
    <row r="112" spans="3:15" x14ac:dyDescent="0.3">
      <c r="E112" s="1072" t="s">
        <v>3256</v>
      </c>
      <c r="F112" s="1072">
        <v>697.65565713317483</v>
      </c>
      <c r="G112" s="1072">
        <v>4.4401478179492413</v>
      </c>
      <c r="J112" s="1138"/>
      <c r="K112" s="1137">
        <v>-78.562210734619086</v>
      </c>
      <c r="L112" s="1137">
        <v>-157.12442146923817</v>
      </c>
      <c r="M112" s="1137">
        <v>-157.12442146923817</v>
      </c>
      <c r="N112" s="1137">
        <v>-157.12442146923817</v>
      </c>
      <c r="O112" s="1137">
        <v>-147.72018199084121</v>
      </c>
    </row>
    <row r="113" spans="3:15" x14ac:dyDescent="0.3">
      <c r="E113" s="1072" t="s">
        <v>3257</v>
      </c>
      <c r="F113" s="1072">
        <v>671.13809475494952</v>
      </c>
      <c r="G113" s="1072">
        <v>4.4401478179492413</v>
      </c>
      <c r="J113" s="1138"/>
      <c r="K113" s="1138"/>
      <c r="L113" s="1137">
        <v>-75.576098169736852</v>
      </c>
      <c r="M113" s="1137">
        <v>-151.1521963394737</v>
      </c>
      <c r="N113" s="1137">
        <v>-151.1521963394737</v>
      </c>
      <c r="O113" s="1137">
        <v>-151.1521963394737</v>
      </c>
    </row>
    <row r="114" spans="3:15" x14ac:dyDescent="0.3">
      <c r="E114" s="1072" t="s">
        <v>3258</v>
      </c>
      <c r="F114" s="1072">
        <v>607.22705877041676</v>
      </c>
      <c r="G114" s="1072">
        <v>4.4401478179492413</v>
      </c>
      <c r="J114" s="1138"/>
      <c r="K114" s="1138"/>
      <c r="L114" s="1138"/>
      <c r="M114" s="1137">
        <v>-68.379149035952025</v>
      </c>
      <c r="N114" s="1137">
        <v>-136.75829807190405</v>
      </c>
      <c r="O114" s="1137">
        <v>-136.75829807190405</v>
      </c>
    </row>
    <row r="115" spans="3:15" x14ac:dyDescent="0.3">
      <c r="E115" s="1072" t="s">
        <v>3259</v>
      </c>
      <c r="F115" s="1072">
        <v>598.44270387610561</v>
      </c>
      <c r="G115" s="1072">
        <v>4.4401478179492413</v>
      </c>
      <c r="J115" s="1138"/>
      <c r="K115" s="1138"/>
      <c r="L115" s="1138"/>
      <c r="M115" s="1138"/>
      <c r="N115" s="1137">
        <v>-67.389952813835222</v>
      </c>
      <c r="O115" s="1137">
        <v>-134.77990562767044</v>
      </c>
    </row>
    <row r="116" spans="3:15" x14ac:dyDescent="0.3">
      <c r="E116" s="1072" t="s">
        <v>3260</v>
      </c>
      <c r="F116" s="1072">
        <v>596.85369655922602</v>
      </c>
      <c r="G116" s="1072">
        <v>4.4401478179492413</v>
      </c>
      <c r="J116" s="1138"/>
      <c r="K116" s="1138"/>
      <c r="L116" s="1138"/>
      <c r="M116" s="1138"/>
      <c r="N116" s="1138"/>
      <c r="O116" s="1137">
        <v>-67.21101650562764</v>
      </c>
    </row>
    <row r="117" spans="3:15" x14ac:dyDescent="0.3">
      <c r="E117" s="1139" t="s">
        <v>3261</v>
      </c>
      <c r="F117" s="1139"/>
      <c r="G117" s="1139"/>
      <c r="H117" s="1139"/>
      <c r="I117" s="1143"/>
      <c r="J117" s="1142">
        <v>-2.0796980442867983</v>
      </c>
      <c r="K117" s="1142">
        <v>-103.51858726606066</v>
      </c>
      <c r="L117" s="1142">
        <v>-257.65689617041659</v>
      </c>
      <c r="M117" s="1142">
        <v>-401.61214337610551</v>
      </c>
      <c r="N117" s="1142">
        <v>-537.38124522589271</v>
      </c>
      <c r="O117" s="1142">
        <v>-646.5263951654639</v>
      </c>
    </row>
    <row r="118" spans="3:15" x14ac:dyDescent="0.3">
      <c r="E118" s="1058"/>
      <c r="F118" s="1058"/>
      <c r="G118" s="1058"/>
      <c r="H118" s="1058"/>
      <c r="I118" s="1144"/>
      <c r="J118" s="1058"/>
      <c r="K118" s="1058"/>
      <c r="L118" s="1058"/>
      <c r="M118" s="1058"/>
      <c r="N118" s="1058"/>
      <c r="O118" s="1058"/>
    </row>
    <row r="119" spans="3:15" x14ac:dyDescent="0.3">
      <c r="C119" s="1133" t="s">
        <v>3249</v>
      </c>
    </row>
    <row r="120" spans="3:15" x14ac:dyDescent="0.3">
      <c r="E120" s="1078" t="s">
        <v>3252</v>
      </c>
      <c r="F120" s="1078" t="s">
        <v>3253</v>
      </c>
      <c r="G120" s="1134" t="s">
        <v>3254</v>
      </c>
      <c r="H120" s="1134"/>
      <c r="I120" s="1135"/>
      <c r="J120" s="1136" t="s">
        <v>3255</v>
      </c>
      <c r="K120" s="1136" t="s">
        <v>3256</v>
      </c>
      <c r="L120" s="1136" t="s">
        <v>3257</v>
      </c>
      <c r="M120" s="1136" t="s">
        <v>3258</v>
      </c>
      <c r="N120" s="1136" t="s">
        <v>3259</v>
      </c>
      <c r="O120" s="1136" t="s">
        <v>3260</v>
      </c>
    </row>
    <row r="121" spans="3:15" x14ac:dyDescent="0.3">
      <c r="E121" s="1072" t="s">
        <v>3255</v>
      </c>
      <c r="F121" s="1072">
        <v>13.430530600000001</v>
      </c>
      <c r="G121" s="1072">
        <v>5</v>
      </c>
      <c r="J121" s="1137">
        <v>-0.2238421766666667</v>
      </c>
      <c r="K121" s="1137">
        <v>-2.6861061200000003</v>
      </c>
      <c r="L121" s="1137">
        <v>-2.6861061200000003</v>
      </c>
      <c r="M121" s="1137">
        <v>-2.6861061200000003</v>
      </c>
      <c r="N121" s="1137">
        <v>-2.6861061200000003</v>
      </c>
      <c r="O121" s="1137">
        <v>-2.4622639433333346</v>
      </c>
    </row>
    <row r="122" spans="3:15" x14ac:dyDescent="0.3">
      <c r="E122" s="1072" t="s">
        <v>3256</v>
      </c>
      <c r="F122" s="1072">
        <v>79.318019776666659</v>
      </c>
      <c r="G122" s="1072">
        <v>5</v>
      </c>
      <c r="J122" s="1138"/>
      <c r="K122" s="1137">
        <v>-7.9318019776666659</v>
      </c>
      <c r="L122" s="1137">
        <v>-15.863603955333332</v>
      </c>
      <c r="M122" s="1137">
        <v>-15.863603955333332</v>
      </c>
      <c r="N122" s="1137">
        <v>-15.863603955333332</v>
      </c>
      <c r="O122" s="1137">
        <v>-15.863603955333332</v>
      </c>
    </row>
    <row r="123" spans="3:15" x14ac:dyDescent="0.3">
      <c r="E123" s="1072" t="s">
        <v>3257</v>
      </c>
      <c r="F123" s="1072">
        <v>82.260985697666669</v>
      </c>
      <c r="G123" s="1072">
        <v>5</v>
      </c>
      <c r="J123" s="1138"/>
      <c r="K123" s="1138"/>
      <c r="L123" s="1137">
        <v>-8.2260985697666662</v>
      </c>
      <c r="M123" s="1137">
        <v>-16.452197139533332</v>
      </c>
      <c r="N123" s="1137">
        <v>-16.452197139533332</v>
      </c>
      <c r="O123" s="1137">
        <v>-16.452197139533332</v>
      </c>
    </row>
    <row r="124" spans="3:15" x14ac:dyDescent="0.3">
      <c r="E124" s="1072" t="s">
        <v>3258</v>
      </c>
      <c r="F124" s="1072">
        <v>96.916802911766652</v>
      </c>
      <c r="G124" s="1072">
        <v>5</v>
      </c>
      <c r="J124" s="1138"/>
      <c r="K124" s="1138"/>
      <c r="L124" s="1138"/>
      <c r="M124" s="1137">
        <v>-9.6916802911766649</v>
      </c>
      <c r="N124" s="1137">
        <v>-19.38336058235333</v>
      </c>
      <c r="O124" s="1137">
        <v>-19.38336058235333</v>
      </c>
    </row>
    <row r="125" spans="3:15" x14ac:dyDescent="0.3">
      <c r="E125" s="1072" t="s">
        <v>3259</v>
      </c>
      <c r="F125" s="1072">
        <v>113.76166510604332</v>
      </c>
      <c r="G125" s="1072">
        <v>5</v>
      </c>
      <c r="J125" s="1138"/>
      <c r="K125" s="1138"/>
      <c r="L125" s="1138"/>
      <c r="M125" s="1138"/>
      <c r="N125" s="1137">
        <v>-11.376166510604332</v>
      </c>
      <c r="O125" s="1137">
        <v>-22.752333021208663</v>
      </c>
    </row>
    <row r="126" spans="3:15" x14ac:dyDescent="0.3">
      <c r="E126" s="1072" t="s">
        <v>3260</v>
      </c>
      <c r="F126" s="1072">
        <v>117.74766107449099</v>
      </c>
      <c r="G126" s="1072">
        <v>5</v>
      </c>
      <c r="J126" s="1138"/>
      <c r="K126" s="1138"/>
      <c r="L126" s="1138"/>
      <c r="M126" s="1138"/>
      <c r="N126" s="1138"/>
      <c r="O126" s="1137">
        <v>-11.7747661074491</v>
      </c>
    </row>
    <row r="127" spans="3:15" x14ac:dyDescent="0.3">
      <c r="E127" s="1139" t="s">
        <v>3261</v>
      </c>
      <c r="F127" s="1139"/>
      <c r="G127" s="1139"/>
      <c r="H127" s="1139"/>
      <c r="I127" s="1143"/>
      <c r="J127" s="1142">
        <v>-0.2238421766666667</v>
      </c>
      <c r="K127" s="1142">
        <v>-10.617908097666666</v>
      </c>
      <c r="L127" s="1142">
        <v>-26.7758086451</v>
      </c>
      <c r="M127" s="1142">
        <v>-44.693587506043329</v>
      </c>
      <c r="N127" s="1142">
        <v>-65.761434307824331</v>
      </c>
      <c r="O127" s="1142">
        <v>-88.688524749211098</v>
      </c>
    </row>
    <row r="128" spans="3:15" x14ac:dyDescent="0.3">
      <c r="E128" s="1058"/>
      <c r="F128" s="1058"/>
      <c r="G128" s="1058"/>
      <c r="H128" s="1058"/>
      <c r="I128" s="1144"/>
      <c r="J128" s="1058"/>
      <c r="K128" s="1058"/>
      <c r="L128" s="1058"/>
      <c r="M128" s="1058"/>
      <c r="N128" s="1058"/>
      <c r="O128" s="1058"/>
    </row>
    <row r="129" spans="2:15" x14ac:dyDescent="0.3">
      <c r="B129" s="1127" t="s">
        <v>3237</v>
      </c>
      <c r="C129" s="1128" t="s">
        <v>167</v>
      </c>
    </row>
    <row r="130" spans="2:15" x14ac:dyDescent="0.3">
      <c r="C130" s="1133" t="s">
        <v>3262</v>
      </c>
    </row>
    <row r="131" spans="2:15" x14ac:dyDescent="0.3">
      <c r="E131" s="1078" t="s">
        <v>3252</v>
      </c>
      <c r="F131" s="1078" t="s">
        <v>3253</v>
      </c>
      <c r="G131" s="1134" t="s">
        <v>3254</v>
      </c>
      <c r="H131" s="1134"/>
      <c r="I131" s="1135"/>
      <c r="J131" s="1136" t="s">
        <v>3255</v>
      </c>
      <c r="K131" s="1136" t="s">
        <v>3256</v>
      </c>
      <c r="L131" s="1136" t="s">
        <v>3257</v>
      </c>
      <c r="M131" s="1136" t="s">
        <v>3258</v>
      </c>
      <c r="N131" s="1136" t="s">
        <v>3259</v>
      </c>
      <c r="O131" s="1136" t="s">
        <v>3260</v>
      </c>
    </row>
    <row r="132" spans="2:15" x14ac:dyDescent="0.3">
      <c r="E132" s="1072" t="s">
        <v>3255</v>
      </c>
      <c r="F132" s="1072">
        <v>79.021716400000003</v>
      </c>
      <c r="G132" s="1072">
        <v>3</v>
      </c>
      <c r="J132" s="1137">
        <v>-2.1950476777777781</v>
      </c>
      <c r="K132" s="1137">
        <v>-26.340572133333335</v>
      </c>
      <c r="L132" s="1137">
        <v>-26.340572133333335</v>
      </c>
      <c r="M132" s="1137">
        <v>-24.145524455555549</v>
      </c>
      <c r="N132" s="1137">
        <v>0</v>
      </c>
      <c r="O132" s="1137">
        <v>0</v>
      </c>
    </row>
    <row r="133" spans="2:15" x14ac:dyDescent="0.3">
      <c r="E133" s="1072" t="s">
        <v>3256</v>
      </c>
      <c r="F133" s="1072">
        <v>547.84237603655458</v>
      </c>
      <c r="G133" s="1072">
        <v>3</v>
      </c>
      <c r="J133" s="1138"/>
      <c r="K133" s="1137">
        <v>-91.307062672759102</v>
      </c>
      <c r="L133" s="1137">
        <v>-182.6141253455182</v>
      </c>
      <c r="M133" s="1137">
        <v>-182.6141253455182</v>
      </c>
      <c r="N133" s="1137">
        <v>-91.307062672759031</v>
      </c>
      <c r="O133" s="1137">
        <v>0</v>
      </c>
    </row>
    <row r="134" spans="2:15" x14ac:dyDescent="0.3">
      <c r="E134" s="1072" t="s">
        <v>3257</v>
      </c>
      <c r="F134" s="1072">
        <v>773.90378413382359</v>
      </c>
      <c r="G134" s="1072">
        <v>3</v>
      </c>
      <c r="J134" s="1138"/>
      <c r="K134" s="1138"/>
      <c r="L134" s="1137">
        <v>-128.98396402230392</v>
      </c>
      <c r="M134" s="1137">
        <v>-257.96792804460785</v>
      </c>
      <c r="N134" s="1137">
        <v>-257.96792804460785</v>
      </c>
      <c r="O134" s="1137">
        <v>-128.98396402230401</v>
      </c>
    </row>
    <row r="135" spans="2:15" x14ac:dyDescent="0.3">
      <c r="E135" s="1072" t="s">
        <v>3258</v>
      </c>
      <c r="F135" s="1072">
        <v>886.68128095353643</v>
      </c>
      <c r="G135" s="1072">
        <v>3</v>
      </c>
      <c r="J135" s="1138"/>
      <c r="K135" s="1138"/>
      <c r="L135" s="1138"/>
      <c r="M135" s="1137">
        <v>-147.78021349225608</v>
      </c>
      <c r="N135" s="1137">
        <v>-295.56042698451216</v>
      </c>
      <c r="O135" s="1137">
        <v>-295.56042698451216</v>
      </c>
    </row>
    <row r="136" spans="2:15" x14ac:dyDescent="0.3">
      <c r="E136" s="1072" t="s">
        <v>3259</v>
      </c>
      <c r="F136" s="1072">
        <v>726.92744936571546</v>
      </c>
      <c r="G136" s="1072">
        <v>3</v>
      </c>
      <c r="J136" s="1138"/>
      <c r="K136" s="1138"/>
      <c r="L136" s="1138"/>
      <c r="M136" s="1138"/>
      <c r="N136" s="1137">
        <v>-121.15457489428591</v>
      </c>
      <c r="O136" s="1137">
        <v>-242.30914978857183</v>
      </c>
    </row>
    <row r="137" spans="2:15" x14ac:dyDescent="0.3">
      <c r="E137" s="1072" t="s">
        <v>3260</v>
      </c>
      <c r="F137" s="1072">
        <v>765.98999259616505</v>
      </c>
      <c r="G137" s="1072">
        <v>3</v>
      </c>
      <c r="J137" s="1138"/>
      <c r="K137" s="1138"/>
      <c r="L137" s="1138"/>
      <c r="M137" s="1138"/>
      <c r="N137" s="1138"/>
      <c r="O137" s="1137">
        <v>-127.66499876602751</v>
      </c>
    </row>
    <row r="138" spans="2:15" x14ac:dyDescent="0.3">
      <c r="E138" s="1139" t="s">
        <v>3261</v>
      </c>
      <c r="F138" s="1139"/>
      <c r="G138" s="1139"/>
      <c r="H138" s="1139"/>
      <c r="I138" s="1143"/>
      <c r="J138" s="1142">
        <v>-2.1950476777777781</v>
      </c>
      <c r="K138" s="1142">
        <v>-117.64763480609244</v>
      </c>
      <c r="L138" s="1142">
        <v>-337.93866150115548</v>
      </c>
      <c r="M138" s="1142">
        <v>-612.50779133793765</v>
      </c>
      <c r="N138" s="1142">
        <v>-765.98999259616505</v>
      </c>
      <c r="O138" s="1142">
        <v>-794.51853956141554</v>
      </c>
    </row>
    <row r="139" spans="2:15" x14ac:dyDescent="0.3">
      <c r="E139" s="1058"/>
      <c r="F139" s="1058"/>
      <c r="G139" s="1058"/>
      <c r="H139" s="1058"/>
      <c r="I139" s="1144"/>
      <c r="J139" s="1058"/>
      <c r="K139" s="1058"/>
      <c r="L139" s="1058"/>
      <c r="M139" s="1058"/>
      <c r="N139" s="1058"/>
      <c r="O139" s="1058"/>
    </row>
    <row r="140" spans="2:15" x14ac:dyDescent="0.3">
      <c r="C140" s="1133" t="s">
        <v>3250</v>
      </c>
    </row>
    <row r="141" spans="2:15" x14ac:dyDescent="0.3">
      <c r="E141" s="1078" t="s">
        <v>3252</v>
      </c>
      <c r="F141" s="1078" t="s">
        <v>3253</v>
      </c>
      <c r="G141" s="1134" t="s">
        <v>3254</v>
      </c>
      <c r="H141" s="1134"/>
      <c r="I141" s="1135"/>
      <c r="J141" s="1136" t="s">
        <v>3255</v>
      </c>
      <c r="K141" s="1136" t="s">
        <v>3256</v>
      </c>
      <c r="L141" s="1136" t="s">
        <v>3257</v>
      </c>
      <c r="M141" s="1136" t="s">
        <v>3258</v>
      </c>
      <c r="N141" s="1136" t="s">
        <v>3259</v>
      </c>
      <c r="O141" s="1136" t="s">
        <v>3260</v>
      </c>
    </row>
    <row r="142" spans="2:15" x14ac:dyDescent="0.3">
      <c r="E142" s="1072" t="s">
        <v>3255</v>
      </c>
      <c r="F142" s="1072">
        <v>188.52679319999999</v>
      </c>
      <c r="G142" s="1072">
        <v>5</v>
      </c>
      <c r="J142" s="1137">
        <v>-3.1421132200000002</v>
      </c>
      <c r="K142" s="1137">
        <v>-37.70535864</v>
      </c>
      <c r="L142" s="1137">
        <v>-37.70535864</v>
      </c>
      <c r="M142" s="1137">
        <v>-37.70535864</v>
      </c>
      <c r="N142" s="1137">
        <v>-37.70535864</v>
      </c>
      <c r="O142" s="1137">
        <v>-34.563245420000001</v>
      </c>
    </row>
    <row r="143" spans="2:15" x14ac:dyDescent="0.3">
      <c r="E143" s="1072" t="s">
        <v>3256</v>
      </c>
      <c r="F143" s="1072">
        <v>1121.8478311533331</v>
      </c>
      <c r="G143" s="1072">
        <v>5</v>
      </c>
      <c r="J143" s="1138"/>
      <c r="K143" s="1137">
        <v>-112.18478311533332</v>
      </c>
      <c r="L143" s="1137">
        <v>-224.36956623066663</v>
      </c>
      <c r="M143" s="1137">
        <v>-224.36956623066663</v>
      </c>
      <c r="N143" s="1137">
        <v>-224.36956623066663</v>
      </c>
      <c r="O143" s="1137">
        <v>-224.36956623066663</v>
      </c>
    </row>
    <row r="144" spans="2:15" x14ac:dyDescent="0.3">
      <c r="E144" s="1072" t="s">
        <v>3257</v>
      </c>
      <c r="F144" s="1072">
        <v>1207.2698263553334</v>
      </c>
      <c r="G144" s="1072">
        <v>5</v>
      </c>
      <c r="J144" s="1138"/>
      <c r="K144" s="1138"/>
      <c r="L144" s="1137">
        <v>-120.72698263553335</v>
      </c>
      <c r="M144" s="1137">
        <v>-241.45396527106669</v>
      </c>
      <c r="N144" s="1137">
        <v>-241.45396527106669</v>
      </c>
      <c r="O144" s="1137">
        <v>-241.45396527106669</v>
      </c>
    </row>
    <row r="145" spans="3:15" x14ac:dyDescent="0.3">
      <c r="E145" s="1072" t="s">
        <v>3258</v>
      </c>
      <c r="F145" s="1072">
        <v>900.20266695620001</v>
      </c>
      <c r="G145" s="1072">
        <v>5</v>
      </c>
      <c r="J145" s="1138"/>
      <c r="K145" s="1138"/>
      <c r="L145" s="1138"/>
      <c r="M145" s="1137">
        <v>-90.020266695619995</v>
      </c>
      <c r="N145" s="1137">
        <v>-180.04053339123999</v>
      </c>
      <c r="O145" s="1137">
        <v>-180.04053339123999</v>
      </c>
    </row>
    <row r="146" spans="3:15" x14ac:dyDescent="0.3">
      <c r="E146" s="1072" t="s">
        <v>3259</v>
      </c>
      <c r="F146" s="1072">
        <v>770.75122103735328</v>
      </c>
      <c r="G146" s="1072">
        <v>5</v>
      </c>
      <c r="J146" s="1138"/>
      <c r="K146" s="1138"/>
      <c r="L146" s="1138"/>
      <c r="M146" s="1138"/>
      <c r="N146" s="1137">
        <v>-77.075122103735325</v>
      </c>
      <c r="O146" s="1137">
        <v>-154.15024420747065</v>
      </c>
    </row>
    <row r="147" spans="3:15" x14ac:dyDescent="0.3">
      <c r="E147" s="1072" t="s">
        <v>3260</v>
      </c>
      <c r="F147" s="1072">
        <v>856.79132523670864</v>
      </c>
      <c r="G147" s="1072">
        <v>5</v>
      </c>
      <c r="J147" s="1138"/>
      <c r="K147" s="1138"/>
      <c r="L147" s="1138"/>
      <c r="M147" s="1138"/>
      <c r="N147" s="1138"/>
      <c r="O147" s="1137">
        <v>-85.679132523670859</v>
      </c>
    </row>
    <row r="148" spans="3:15" x14ac:dyDescent="0.3">
      <c r="E148" s="1139" t="s">
        <v>3261</v>
      </c>
      <c r="F148" s="1139"/>
      <c r="G148" s="1139"/>
      <c r="H148" s="1139"/>
      <c r="I148" s="1143"/>
      <c r="J148" s="1142">
        <v>-3.1421132200000002</v>
      </c>
      <c r="K148" s="1142">
        <v>-149.89014175533333</v>
      </c>
      <c r="L148" s="1142">
        <v>-382.8019075062</v>
      </c>
      <c r="M148" s="1142">
        <v>-593.54915683735328</v>
      </c>
      <c r="N148" s="1142">
        <v>-760.6445456367087</v>
      </c>
      <c r="O148" s="1142">
        <v>-920.25668704411487</v>
      </c>
    </row>
    <row r="149" spans="3:15" x14ac:dyDescent="0.3">
      <c r="E149" s="1058"/>
      <c r="F149" s="1058"/>
      <c r="G149" s="1058"/>
      <c r="H149" s="1058"/>
      <c r="I149" s="1144"/>
      <c r="J149" s="1058"/>
      <c r="K149" s="1058"/>
      <c r="L149" s="1058"/>
      <c r="M149" s="1058"/>
      <c r="N149" s="1058"/>
      <c r="O149" s="1058"/>
    </row>
    <row r="150" spans="3:15" x14ac:dyDescent="0.3">
      <c r="C150" s="1133" t="s">
        <v>3233</v>
      </c>
    </row>
    <row r="151" spans="3:15" x14ac:dyDescent="0.3">
      <c r="E151" s="1078" t="s">
        <v>3252</v>
      </c>
      <c r="F151" s="1078" t="s">
        <v>3253</v>
      </c>
      <c r="G151" s="1134" t="s">
        <v>3254</v>
      </c>
      <c r="H151" s="1134"/>
      <c r="I151" s="1135"/>
      <c r="J151" s="1136" t="s">
        <v>3255</v>
      </c>
      <c r="K151" s="1136" t="s">
        <v>3256</v>
      </c>
      <c r="L151" s="1136" t="s">
        <v>3257</v>
      </c>
      <c r="M151" s="1136" t="s">
        <v>3258</v>
      </c>
      <c r="N151" s="1136" t="s">
        <v>3259</v>
      </c>
      <c r="O151" s="1136" t="s">
        <v>3260</v>
      </c>
    </row>
    <row r="152" spans="3:15" x14ac:dyDescent="0.3">
      <c r="E152" s="1072" t="s">
        <v>3255</v>
      </c>
      <c r="F152" s="1072">
        <v>241.8</v>
      </c>
      <c r="G152" s="1072">
        <v>4.9999862145783593</v>
      </c>
      <c r="J152" s="1137">
        <v>-4.0300111110804773</v>
      </c>
      <c r="K152" s="1137">
        <v>-48.360133332965724</v>
      </c>
      <c r="L152" s="1137">
        <v>-48.360133332965724</v>
      </c>
      <c r="M152" s="1137">
        <v>-48.360133332965724</v>
      </c>
      <c r="N152" s="1137">
        <v>-48.360133332965724</v>
      </c>
      <c r="O152" s="1137">
        <v>-44.329455557056654</v>
      </c>
    </row>
    <row r="153" spans="3:15" x14ac:dyDescent="0.3">
      <c r="E153" s="1072" t="s">
        <v>3256</v>
      </c>
      <c r="F153" s="1072">
        <v>1454.8300111110805</v>
      </c>
      <c r="G153" s="1072">
        <v>4.9999862145783593</v>
      </c>
      <c r="J153" s="1138"/>
      <c r="K153" s="1137">
        <v>-145.48340222111631</v>
      </c>
      <c r="L153" s="1137">
        <v>-290.96680444223261</v>
      </c>
      <c r="M153" s="1137">
        <v>-290.96680444223261</v>
      </c>
      <c r="N153" s="1137">
        <v>-290.96680444223261</v>
      </c>
      <c r="O153" s="1137">
        <v>-290.96680444223261</v>
      </c>
    </row>
    <row r="154" spans="3:15" x14ac:dyDescent="0.3">
      <c r="E154" s="1072" t="s">
        <v>3257</v>
      </c>
      <c r="F154" s="1072">
        <v>314.74353555408203</v>
      </c>
      <c r="G154" s="1072">
        <v>4.9999862145783593</v>
      </c>
      <c r="J154" s="1138"/>
      <c r="K154" s="1138"/>
      <c r="L154" s="1137">
        <v>-31.474440333094382</v>
      </c>
      <c r="M154" s="1137">
        <v>-62.948880666188764</v>
      </c>
      <c r="N154" s="1137">
        <v>-62.948880666188764</v>
      </c>
      <c r="O154" s="1137">
        <v>-62.948880666188764</v>
      </c>
    </row>
    <row r="155" spans="3:15" x14ac:dyDescent="0.3">
      <c r="E155" s="1072" t="s">
        <v>3258</v>
      </c>
      <c r="F155" s="1072">
        <v>370.80137810829274</v>
      </c>
      <c r="G155" s="1072">
        <v>4.9999862145783593</v>
      </c>
      <c r="J155" s="1138"/>
      <c r="K155" s="1138"/>
      <c r="L155" s="1138"/>
      <c r="M155" s="1137">
        <v>-37.080240044177984</v>
      </c>
      <c r="N155" s="1137">
        <v>-74.160480088355968</v>
      </c>
      <c r="O155" s="1137">
        <v>-74.160480088355968</v>
      </c>
    </row>
    <row r="156" spans="3:15" x14ac:dyDescent="0.3">
      <c r="E156" s="1072" t="s">
        <v>3259</v>
      </c>
      <c r="F156" s="1072">
        <v>439.35605848556509</v>
      </c>
      <c r="G156" s="1072">
        <v>4.9999862145783593</v>
      </c>
      <c r="J156" s="1138"/>
      <c r="K156" s="1138"/>
      <c r="L156" s="1138"/>
      <c r="M156" s="1138"/>
      <c r="N156" s="1137">
        <v>-43.935726983060817</v>
      </c>
      <c r="O156" s="1137">
        <v>-87.871453966121635</v>
      </c>
    </row>
    <row r="157" spans="3:15" x14ac:dyDescent="0.3">
      <c r="E157" s="1072" t="s">
        <v>3260</v>
      </c>
      <c r="F157" s="1072">
        <v>520.37202551280393</v>
      </c>
      <c r="G157" s="1072">
        <v>4.9999862145783593</v>
      </c>
      <c r="J157" s="1138"/>
      <c r="K157" s="1138"/>
      <c r="L157" s="1138"/>
      <c r="M157" s="1138"/>
      <c r="N157" s="1138"/>
      <c r="O157" s="1137">
        <v>-52.037346022631588</v>
      </c>
    </row>
    <row r="158" spans="3:15" x14ac:dyDescent="0.3">
      <c r="E158" s="1139" t="s">
        <v>3261</v>
      </c>
      <c r="F158" s="1139"/>
      <c r="G158" s="1139"/>
      <c r="H158" s="1139"/>
      <c r="I158" s="1143"/>
      <c r="J158" s="1142">
        <v>-4.0300111110804773</v>
      </c>
      <c r="K158" s="1142">
        <v>-193.84353555408202</v>
      </c>
      <c r="L158" s="1142">
        <v>-370.80137810829274</v>
      </c>
      <c r="M158" s="1142">
        <v>-439.35605848556509</v>
      </c>
      <c r="N158" s="1142">
        <v>-520.37202551280393</v>
      </c>
      <c r="O158" s="1142">
        <v>-612.31442074258723</v>
      </c>
    </row>
    <row r="159" spans="3:15" x14ac:dyDescent="0.3">
      <c r="E159" s="1058"/>
      <c r="F159" s="1058"/>
      <c r="G159" s="1058"/>
      <c r="H159" s="1058"/>
      <c r="I159" s="1144"/>
      <c r="J159" s="1058"/>
      <c r="K159" s="1058"/>
      <c r="L159" s="1058"/>
      <c r="M159" s="1058"/>
      <c r="N159" s="1058"/>
      <c r="O159" s="1058"/>
    </row>
    <row r="160" spans="3:15" x14ac:dyDescent="0.3">
      <c r="C160" s="1133" t="s">
        <v>3234</v>
      </c>
    </row>
    <row r="161" spans="5:15" x14ac:dyDescent="0.3">
      <c r="E161" s="1078" t="s">
        <v>3252</v>
      </c>
      <c r="F161" s="1078" t="s">
        <v>3253</v>
      </c>
      <c r="G161" s="1134" t="s">
        <v>3254</v>
      </c>
      <c r="H161" s="1134"/>
      <c r="I161" s="1135"/>
      <c r="J161" s="1136" t="s">
        <v>3255</v>
      </c>
      <c r="K161" s="1136" t="s">
        <v>3256</v>
      </c>
      <c r="L161" s="1136" t="s">
        <v>3257</v>
      </c>
      <c r="M161" s="1136" t="s">
        <v>3258</v>
      </c>
      <c r="N161" s="1136" t="s">
        <v>3259</v>
      </c>
      <c r="O161" s="1136" t="s">
        <v>3260</v>
      </c>
    </row>
    <row r="162" spans="5:15" x14ac:dyDescent="0.3">
      <c r="E162" s="1072" t="s">
        <v>3255</v>
      </c>
      <c r="F162" s="1072">
        <v>83.541663999999997</v>
      </c>
      <c r="G162" s="1072">
        <v>4.9958506131891669</v>
      </c>
      <c r="J162" s="1137">
        <v>-1.3935175153064021</v>
      </c>
      <c r="K162" s="1137">
        <v>-16.722210183676825</v>
      </c>
      <c r="L162" s="1137">
        <v>-16.722210183676825</v>
      </c>
      <c r="M162" s="1137">
        <v>-16.722210183676825</v>
      </c>
      <c r="N162" s="1137">
        <v>-16.722210183676825</v>
      </c>
      <c r="O162" s="1137">
        <v>-15.259305749986304</v>
      </c>
    </row>
    <row r="163" spans="5:15" x14ac:dyDescent="0.3">
      <c r="E163" s="1072" t="s">
        <v>3256</v>
      </c>
      <c r="F163" s="1072">
        <v>502.64351751530643</v>
      </c>
      <c r="G163" s="1072">
        <v>4.9958506131891669</v>
      </c>
      <c r="J163" s="1138"/>
      <c r="K163" s="1137">
        <v>-50.306099644804767</v>
      </c>
      <c r="L163" s="1137">
        <v>-100.61219928960953</v>
      </c>
      <c r="M163" s="1137">
        <v>-100.61219928960953</v>
      </c>
      <c r="N163" s="1137">
        <v>-100.61219928960953</v>
      </c>
      <c r="O163" s="1137">
        <v>-100.61219928960953</v>
      </c>
    </row>
    <row r="164" spans="5:15" x14ac:dyDescent="0.3">
      <c r="E164" s="1072" t="s">
        <v>3257</v>
      </c>
      <c r="F164" s="1072">
        <v>568.27830982848161</v>
      </c>
      <c r="G164" s="1072">
        <v>4.9958506131891669</v>
      </c>
      <c r="J164" s="1138"/>
      <c r="K164" s="1138"/>
      <c r="L164" s="1137">
        <v>-56.875030282952522</v>
      </c>
      <c r="M164" s="1137">
        <v>-113.75006056590504</v>
      </c>
      <c r="N164" s="1137">
        <v>-113.75006056590504</v>
      </c>
      <c r="O164" s="1137">
        <v>-113.75006056590504</v>
      </c>
    </row>
    <row r="165" spans="5:15" x14ac:dyDescent="0.3">
      <c r="E165" s="1072" t="s">
        <v>3258</v>
      </c>
      <c r="F165" s="1072">
        <v>342.12610642290554</v>
      </c>
      <c r="G165" s="1072">
        <v>4.9958506131891669</v>
      </c>
      <c r="J165" s="1138"/>
      <c r="K165" s="1138"/>
      <c r="L165" s="1138"/>
      <c r="M165" s="1137">
        <v>-34.241026495036131</v>
      </c>
      <c r="N165" s="1137">
        <v>-68.482052990072262</v>
      </c>
      <c r="O165" s="1137">
        <v>-68.482052990072262</v>
      </c>
    </row>
    <row r="166" spans="5:15" x14ac:dyDescent="0.3">
      <c r="E166" s="1072" t="s">
        <v>3259</v>
      </c>
      <c r="F166" s="1072">
        <v>265.7421632008942</v>
      </c>
      <c r="G166" s="1072">
        <v>4.9958506131891669</v>
      </c>
      <c r="J166" s="1138"/>
      <c r="K166" s="1138"/>
      <c r="L166" s="1138"/>
      <c r="M166" s="1138"/>
      <c r="N166" s="1137">
        <v>-26.596287977399527</v>
      </c>
      <c r="O166" s="1137">
        <v>-53.192575954799054</v>
      </c>
    </row>
    <row r="167" spans="5:15" x14ac:dyDescent="0.3">
      <c r="E167" s="1072" t="s">
        <v>3260</v>
      </c>
      <c r="F167" s="1072">
        <v>326.16281100666316</v>
      </c>
      <c r="G167" s="1072">
        <v>4.9958506131891669</v>
      </c>
      <c r="J167" s="1138"/>
      <c r="K167" s="1138"/>
      <c r="L167" s="1138"/>
      <c r="M167" s="1138"/>
      <c r="N167" s="1138"/>
      <c r="O167" s="1137">
        <v>-32.643371095363165</v>
      </c>
    </row>
    <row r="168" spans="5:15" x14ac:dyDescent="0.3">
      <c r="E168" s="1139" t="s">
        <v>3261</v>
      </c>
      <c r="F168" s="1139"/>
      <c r="G168" s="1139"/>
      <c r="H168" s="1139"/>
      <c r="I168" s="1143"/>
      <c r="J168" s="1142">
        <v>-1.3935175153064021</v>
      </c>
      <c r="K168" s="1142">
        <v>-67.028309828481596</v>
      </c>
      <c r="L168" s="1142">
        <v>-174.20943975623888</v>
      </c>
      <c r="M168" s="1142">
        <v>-265.32549653422751</v>
      </c>
      <c r="N168" s="1142">
        <v>-326.16281100666316</v>
      </c>
      <c r="O168" s="1142">
        <v>-383.93956564573534</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65887-B6A7-4F79-A2F5-D9E39A8A8EBC}">
  <sheetPr>
    <tabColor theme="1" tint="0.34998626667073579"/>
  </sheetPr>
  <dimension ref="A1:U43"/>
  <sheetViews>
    <sheetView workbookViewId="0">
      <selection activeCell="C17" sqref="C17"/>
    </sheetView>
  </sheetViews>
  <sheetFormatPr defaultColWidth="8" defaultRowHeight="12" x14ac:dyDescent="0.3"/>
  <cols>
    <col min="1" max="1" width="3" style="1009" customWidth="1"/>
    <col min="2" max="2" width="2.75" style="1009" customWidth="1"/>
    <col min="3" max="13" width="8" style="1009"/>
    <col min="14" max="21" width="9.25" style="1009" customWidth="1"/>
    <col min="22" max="16384" width="8" style="1009"/>
  </cols>
  <sheetData>
    <row r="1" spans="1:21" s="1072" customFormat="1" x14ac:dyDescent="0.3">
      <c r="A1" s="1006"/>
      <c r="B1" s="1007" t="s">
        <v>3263</v>
      </c>
      <c r="C1" s="1007"/>
      <c r="D1" s="1007"/>
      <c r="E1" s="1007"/>
      <c r="F1" s="1007"/>
      <c r="G1" s="1007"/>
      <c r="H1" s="1007"/>
      <c r="I1" s="1007"/>
      <c r="J1" s="1007"/>
      <c r="K1" s="1007"/>
      <c r="L1" s="1007"/>
      <c r="M1" s="1008"/>
      <c r="N1" s="1007"/>
      <c r="O1" s="1007"/>
      <c r="P1" s="1007"/>
      <c r="Q1" s="1007"/>
      <c r="R1" s="1007"/>
      <c r="S1" s="1007"/>
      <c r="T1" s="1007"/>
      <c r="U1" s="1007"/>
    </row>
    <row r="2" spans="1:21" s="1072" customFormat="1" x14ac:dyDescent="0.3">
      <c r="H2" s="1145" t="s">
        <v>3264</v>
      </c>
      <c r="I2" s="1145"/>
      <c r="J2" s="1145">
        <v>365</v>
      </c>
      <c r="K2" s="1145">
        <v>366</v>
      </c>
      <c r="L2" s="1145">
        <v>365</v>
      </c>
      <c r="M2" s="1146">
        <v>304</v>
      </c>
      <c r="N2" s="1145">
        <v>61</v>
      </c>
      <c r="O2" s="1145">
        <v>365</v>
      </c>
      <c r="P2" s="1145">
        <v>365</v>
      </c>
      <c r="Q2" s="1145">
        <v>366</v>
      </c>
      <c r="R2" s="1145">
        <v>365</v>
      </c>
      <c r="S2" s="1145">
        <v>365</v>
      </c>
      <c r="T2" s="1145">
        <v>365</v>
      </c>
    </row>
    <row r="3" spans="1:21" s="1072" customFormat="1" x14ac:dyDescent="0.3">
      <c r="B3" s="1073" t="s">
        <v>3218</v>
      </c>
      <c r="C3" s="1073"/>
      <c r="D3" s="1074"/>
      <c r="E3" s="1074"/>
      <c r="F3" s="1074"/>
      <c r="G3" s="1074"/>
      <c r="H3" s="1074"/>
      <c r="I3" s="1074"/>
      <c r="J3" s="1075" t="s">
        <v>3219</v>
      </c>
      <c r="K3" s="1076"/>
      <c r="L3" s="1076"/>
      <c r="M3" s="1077"/>
      <c r="N3" s="1074" t="s">
        <v>3220</v>
      </c>
      <c r="O3" s="1074"/>
      <c r="P3" s="1076"/>
      <c r="Q3" s="1076"/>
      <c r="R3" s="1076"/>
      <c r="S3" s="1076"/>
      <c r="T3" s="1076"/>
      <c r="U3" s="1076"/>
    </row>
    <row r="4" spans="1:21" s="1072" customFormat="1" ht="14.25" x14ac:dyDescent="0.3">
      <c r="B4" s="1078"/>
      <c r="C4" s="1078"/>
      <c r="D4" s="1079"/>
      <c r="E4" s="1079"/>
      <c r="F4" s="1147" t="s">
        <v>3265</v>
      </c>
      <c r="G4" s="1148"/>
      <c r="H4" s="1149" t="s">
        <v>3266</v>
      </c>
      <c r="I4" s="1149" t="s">
        <v>3267</v>
      </c>
      <c r="J4" s="1080">
        <v>2019</v>
      </c>
      <c r="K4" s="1080">
        <v>2020</v>
      </c>
      <c r="L4" s="1080">
        <v>2021</v>
      </c>
      <c r="M4" s="1081" t="s">
        <v>3221</v>
      </c>
      <c r="N4" s="1079" t="s">
        <v>3222</v>
      </c>
      <c r="O4" s="1082">
        <v>2022</v>
      </c>
      <c r="P4" s="1082">
        <v>2023</v>
      </c>
      <c r="Q4" s="1082">
        <v>2024</v>
      </c>
      <c r="R4" s="1082">
        <v>2025</v>
      </c>
      <c r="S4" s="1082">
        <v>2026</v>
      </c>
      <c r="T4" s="1082">
        <v>2027</v>
      </c>
      <c r="U4" s="1079" t="s">
        <v>3223</v>
      </c>
    </row>
    <row r="5" spans="1:21" x14ac:dyDescent="0.3">
      <c r="M5" s="1071"/>
    </row>
    <row r="6" spans="1:21" x14ac:dyDescent="0.3">
      <c r="C6" s="1014" t="s">
        <v>173</v>
      </c>
      <c r="J6" s="1150">
        <v>25863.205999999998</v>
      </c>
      <c r="K6" s="1150">
        <v>22027.083809</v>
      </c>
      <c r="L6" s="1150">
        <v>18943.519466000002</v>
      </c>
      <c r="M6" s="1151">
        <v>21378.422137000001</v>
      </c>
      <c r="N6" s="1150">
        <v>21698.469318828156</v>
      </c>
      <c r="O6" s="1152">
        <v>21698.469318828156</v>
      </c>
      <c r="P6" s="1152">
        <v>23214.152454490988</v>
      </c>
      <c r="Q6" s="1152">
        <v>29717.378400866914</v>
      </c>
      <c r="R6" s="1152">
        <v>37445.863916775066</v>
      </c>
      <c r="S6" s="1152">
        <v>46385.688288949772</v>
      </c>
      <c r="T6" s="1152">
        <v>54340.902893506871</v>
      </c>
      <c r="U6" s="1152">
        <v>54884.311922441935</v>
      </c>
    </row>
    <row r="7" spans="1:21" x14ac:dyDescent="0.3">
      <c r="C7" s="1014" t="s">
        <v>175</v>
      </c>
      <c r="J7" s="1152">
        <v>7130.2146860000003</v>
      </c>
      <c r="K7" s="1152">
        <v>4636.1970579999997</v>
      </c>
      <c r="L7" s="1152">
        <v>7658.4428239999997</v>
      </c>
      <c r="M7" s="1153">
        <v>14376.601355000001</v>
      </c>
      <c r="N7" s="1152">
        <v>15008.287529809893</v>
      </c>
      <c r="O7" s="1152">
        <v>15008.287529809893</v>
      </c>
      <c r="P7" s="1152">
        <v>14785.686622578842</v>
      </c>
      <c r="Q7" s="1152">
        <v>18186.749184589895</v>
      </c>
      <c r="R7" s="1152">
        <v>24750.792918106177</v>
      </c>
      <c r="S7" s="1152">
        <v>30846.900864580814</v>
      </c>
      <c r="T7" s="1152">
        <v>36210.117267880472</v>
      </c>
      <c r="U7" s="1152">
        <v>36572.218440559271</v>
      </c>
    </row>
    <row r="8" spans="1:21" x14ac:dyDescent="0.3">
      <c r="C8" s="1014" t="s">
        <v>178</v>
      </c>
      <c r="J8" s="1152">
        <v>-27341.940999999999</v>
      </c>
      <c r="K8" s="1152">
        <v>-32668.528966999998</v>
      </c>
      <c r="L8" s="1152">
        <v>-34914.087395000002</v>
      </c>
      <c r="M8" s="1153">
        <v>-39259.372795000003</v>
      </c>
      <c r="N8" s="1152">
        <v>-40453.127313309764</v>
      </c>
      <c r="O8" s="1152">
        <v>-40453.127313309764</v>
      </c>
      <c r="P8" s="1152">
        <v>-43107.214984451144</v>
      </c>
      <c r="Q8" s="1152">
        <v>-56031.014800743244</v>
      </c>
      <c r="R8" s="1152">
        <v>-70667.199081873492</v>
      </c>
      <c r="S8" s="1152">
        <v>-87290.841577704065</v>
      </c>
      <c r="T8" s="1152">
        <v>-102535.7736983256</v>
      </c>
      <c r="U8" s="1152">
        <v>-103561.13143530887</v>
      </c>
    </row>
    <row r="9" spans="1:21" ht="12.75" thickBot="1" x14ac:dyDescent="0.35">
      <c r="C9" s="1154" t="s">
        <v>3268</v>
      </c>
      <c r="D9" s="1155"/>
      <c r="E9" s="1155"/>
      <c r="F9" s="1155"/>
      <c r="G9" s="1155"/>
      <c r="H9" s="1155"/>
      <c r="I9" s="1155"/>
      <c r="J9" s="1156">
        <v>5651.4796859999988</v>
      </c>
      <c r="K9" s="1156">
        <v>-6005.2480999999971</v>
      </c>
      <c r="L9" s="1156">
        <v>-8312.1251049999992</v>
      </c>
      <c r="M9" s="1157">
        <v>-3504.3493030000027</v>
      </c>
      <c r="N9" s="1156">
        <v>-3746.370464671716</v>
      </c>
      <c r="O9" s="1156">
        <v>-3746.370464671716</v>
      </c>
      <c r="P9" s="1156">
        <v>-5107.3759073813126</v>
      </c>
      <c r="Q9" s="1156">
        <v>-8126.8872152864351</v>
      </c>
      <c r="R9" s="1156">
        <v>-8470.5422469922487</v>
      </c>
      <c r="S9" s="1156">
        <v>-10058.252424173479</v>
      </c>
      <c r="T9" s="1156">
        <v>-11984.753536938268</v>
      </c>
      <c r="U9" s="1156">
        <v>-12104.601072307662</v>
      </c>
    </row>
    <row r="10" spans="1:21" ht="12.75" thickTop="1" x14ac:dyDescent="0.3">
      <c r="C10" s="1158" t="s">
        <v>3269</v>
      </c>
      <c r="J10" s="1152"/>
      <c r="K10" s="1152">
        <v>11656.727785999996</v>
      </c>
      <c r="L10" s="1152">
        <v>2306.8770050000021</v>
      </c>
      <c r="M10" s="1153">
        <v>-4807.7758019999965</v>
      </c>
      <c r="N10" s="1152">
        <v>242.02116167171334</v>
      </c>
      <c r="O10" s="1152">
        <v>-4565.7546403282831</v>
      </c>
      <c r="P10" s="1152">
        <v>1361.0054427095965</v>
      </c>
      <c r="Q10" s="1152">
        <v>3019.5113079051225</v>
      </c>
      <c r="R10" s="1152">
        <v>343.6550317058136</v>
      </c>
      <c r="S10" s="1152">
        <v>1587.7101771812304</v>
      </c>
      <c r="T10" s="1152">
        <v>1926.5011127647886</v>
      </c>
      <c r="U10" s="1152">
        <v>119.84753536939388</v>
      </c>
    </row>
    <row r="13" spans="1:21" x14ac:dyDescent="0.3">
      <c r="B13" s="1007" t="s">
        <v>3270</v>
      </c>
      <c r="C13" s="1007"/>
      <c r="D13" s="1007"/>
      <c r="E13" s="1007"/>
      <c r="F13" s="1007"/>
      <c r="G13" s="1007"/>
      <c r="H13" s="1007"/>
      <c r="I13" s="1007"/>
      <c r="J13" s="1007"/>
      <c r="K13" s="1007"/>
      <c r="L13" s="1007"/>
      <c r="M13" s="1008"/>
      <c r="N13" s="1007"/>
      <c r="O13" s="1007"/>
      <c r="P13" s="1007"/>
      <c r="Q13" s="1007"/>
      <c r="R13" s="1007"/>
      <c r="S13" s="1007"/>
      <c r="T13" s="1007"/>
      <c r="U13" s="1007"/>
    </row>
    <row r="14" spans="1:21" x14ac:dyDescent="0.3">
      <c r="B14" s="1073" t="s">
        <v>3218</v>
      </c>
      <c r="C14" s="1073"/>
      <c r="D14" s="1074"/>
      <c r="E14" s="1074"/>
      <c r="F14" s="1074"/>
      <c r="G14" s="1074"/>
      <c r="H14" s="1074"/>
      <c r="I14" s="1074"/>
      <c r="J14" s="1075" t="s">
        <v>3219</v>
      </c>
      <c r="K14" s="1076"/>
      <c r="L14" s="1076"/>
      <c r="M14" s="1077"/>
      <c r="N14" s="1074" t="s">
        <v>3220</v>
      </c>
      <c r="O14" s="1074"/>
      <c r="P14" s="1076"/>
      <c r="Q14" s="1076"/>
      <c r="R14" s="1076"/>
      <c r="S14" s="1076"/>
      <c r="T14" s="1076"/>
      <c r="U14" s="1076"/>
    </row>
    <row r="15" spans="1:21" ht="14.25" x14ac:dyDescent="0.3">
      <c r="B15" s="1078"/>
      <c r="C15" s="1078"/>
      <c r="D15" s="1079"/>
      <c r="E15" s="1079"/>
      <c r="F15" s="1147"/>
      <c r="G15" s="1148"/>
      <c r="H15" s="1149"/>
      <c r="I15" s="1149"/>
      <c r="J15" s="1080">
        <v>2019</v>
      </c>
      <c r="K15" s="1080">
        <v>2020</v>
      </c>
      <c r="L15" s="1080">
        <v>2021</v>
      </c>
      <c r="M15" s="1081" t="s">
        <v>3221</v>
      </c>
      <c r="N15" s="1079" t="s">
        <v>3222</v>
      </c>
      <c r="O15" s="1082">
        <v>2022</v>
      </c>
      <c r="P15" s="1082">
        <v>2023</v>
      </c>
      <c r="Q15" s="1082">
        <v>2024</v>
      </c>
      <c r="R15" s="1082">
        <v>2025</v>
      </c>
      <c r="S15" s="1082">
        <v>2026</v>
      </c>
      <c r="T15" s="1082">
        <v>2027</v>
      </c>
      <c r="U15" s="1079" t="s">
        <v>3223</v>
      </c>
    </row>
    <row r="16" spans="1:21" x14ac:dyDescent="0.3">
      <c r="C16" s="1014" t="s">
        <v>24</v>
      </c>
      <c r="J16" s="1159">
        <v>196961.16268400001</v>
      </c>
      <c r="K16" s="1159">
        <v>226329.072223</v>
      </c>
      <c r="L16" s="1159">
        <v>244189.26450200001</v>
      </c>
      <c r="M16" s="1160">
        <v>222552.49327100001</v>
      </c>
      <c r="N16" s="1159">
        <v>48657.192125095164</v>
      </c>
      <c r="O16" s="1159">
        <v>271209.68539609516</v>
      </c>
      <c r="P16" s="1159">
        <v>290154.24504881649</v>
      </c>
      <c r="Q16" s="1159">
        <v>371438.22121601598</v>
      </c>
      <c r="R16" s="1159">
        <v>468036.74595798738</v>
      </c>
      <c r="S16" s="1159">
        <v>579775.82394769625</v>
      </c>
      <c r="T16" s="1159">
        <v>679208.24097483756</v>
      </c>
      <c r="U16" s="1159">
        <v>686000.32338458591</v>
      </c>
    </row>
    <row r="17" spans="2:21" x14ac:dyDescent="0.3">
      <c r="C17" s="1161" t="s">
        <v>3271</v>
      </c>
      <c r="J17" s="1152">
        <v>63804.303719999996</v>
      </c>
      <c r="K17" s="1152">
        <v>103763.21176300001</v>
      </c>
      <c r="L17" s="1152">
        <v>129895.49370799999</v>
      </c>
      <c r="M17" s="1153">
        <v>98886.892831999998</v>
      </c>
      <c r="N17" s="1152">
        <v>19247.141654930729</v>
      </c>
      <c r="O17" s="1152">
        <v>118134.03448693073</v>
      </c>
      <c r="P17" s="1152">
        <v>130692.09550532662</v>
      </c>
      <c r="Q17" s="1152">
        <v>171458.49893927449</v>
      </c>
      <c r="R17" s="1152">
        <v>205804.49096797235</v>
      </c>
      <c r="S17" s="1152">
        <v>255251.58415975946</v>
      </c>
      <c r="T17" s="1152">
        <v>299254.88160580199</v>
      </c>
      <c r="U17" s="1152">
        <v>302247.43042186002</v>
      </c>
    </row>
    <row r="18" spans="2:21" x14ac:dyDescent="0.3">
      <c r="C18" s="1161" t="s">
        <v>3272</v>
      </c>
      <c r="J18" s="1152">
        <v>79446.629245999997</v>
      </c>
      <c r="K18" s="1152">
        <v>76281.010041000001</v>
      </c>
      <c r="L18" s="1152">
        <v>60753.975505148373</v>
      </c>
      <c r="M18" s="1153">
        <v>84902.404272</v>
      </c>
      <c r="N18" s="1152">
        <v>19974.94142116444</v>
      </c>
      <c r="O18" s="1152">
        <v>104877.34569316445</v>
      </c>
      <c r="P18" s="1152">
        <v>92335.607103489863</v>
      </c>
      <c r="Q18" s="1152">
        <v>106206.59261099293</v>
      </c>
      <c r="R18" s="1152">
        <v>151145.35773009725</v>
      </c>
      <c r="S18" s="1152">
        <v>187621.44351205495</v>
      </c>
      <c r="T18" s="1152">
        <v>222882.77251263213</v>
      </c>
      <c r="U18" s="1152">
        <v>225111.60023775845</v>
      </c>
    </row>
    <row r="19" spans="2:21" x14ac:dyDescent="0.3">
      <c r="C19" s="1161" t="s">
        <v>3273</v>
      </c>
      <c r="J19" s="1152">
        <v>7340.7103939999997</v>
      </c>
      <c r="K19" s="1152">
        <v>4167.6853740000006</v>
      </c>
      <c r="L19" s="1152">
        <v>8804.3208840000007</v>
      </c>
      <c r="M19" s="1153">
        <v>5078.072416</v>
      </c>
      <c r="N19" s="1152">
        <v>2177.5090489999993</v>
      </c>
      <c r="O19" s="1152">
        <v>7255.5814649999993</v>
      </c>
      <c r="P19" s="1152">
        <v>14466.55</v>
      </c>
      <c r="Q19" s="1152">
        <v>27414.752972400001</v>
      </c>
      <c r="R19" s="1152">
        <v>29833.22826964</v>
      </c>
      <c r="S19" s="1152">
        <v>36798.551096604002</v>
      </c>
      <c r="T19" s="1152">
        <v>44670.406206264408</v>
      </c>
      <c r="U19" s="1152">
        <v>45117.110268327051</v>
      </c>
    </row>
    <row r="20" spans="2:21" x14ac:dyDescent="0.3">
      <c r="B20" s="1162"/>
      <c r="C20" s="1163" t="s">
        <v>3274</v>
      </c>
      <c r="D20" s="1162"/>
      <c r="E20" s="1162"/>
      <c r="F20" s="1162"/>
      <c r="G20" s="1162"/>
      <c r="H20" s="1162"/>
      <c r="I20" s="1162"/>
      <c r="J20" s="1164">
        <v>46369.519323999994</v>
      </c>
      <c r="K20" s="1164">
        <v>42117.165045000002</v>
      </c>
      <c r="L20" s="1164">
        <v>44735.474404851637</v>
      </c>
      <c r="M20" s="1165">
        <v>33685.123750999999</v>
      </c>
      <c r="N20" s="1164">
        <v>7257.5999999999985</v>
      </c>
      <c r="O20" s="1164">
        <v>40942.723750999998</v>
      </c>
      <c r="P20" s="1164">
        <v>52659.992439999995</v>
      </c>
      <c r="Q20" s="1164">
        <v>66358.376693348546</v>
      </c>
      <c r="R20" s="1164">
        <v>81253.668990277816</v>
      </c>
      <c r="S20" s="1164">
        <v>100104.24517927779</v>
      </c>
      <c r="T20" s="1164">
        <v>112400.18065013899</v>
      </c>
      <c r="U20" s="1164">
        <v>113524.18245664038</v>
      </c>
    </row>
    <row r="21" spans="2:21" x14ac:dyDescent="0.3">
      <c r="C21" s="1014" t="s">
        <v>44</v>
      </c>
      <c r="J21" s="1159">
        <v>166303.13171700001</v>
      </c>
      <c r="K21" s="1159">
        <v>181205.387327</v>
      </c>
      <c r="L21" s="1159">
        <v>184688.31035399999</v>
      </c>
      <c r="M21" s="1160">
        <v>172448.60442300001</v>
      </c>
      <c r="N21" s="1159">
        <v>40898.96975356809</v>
      </c>
      <c r="O21" s="1159">
        <v>213347.57417656807</v>
      </c>
      <c r="P21" s="1159">
        <v>227345.0869499167</v>
      </c>
      <c r="Q21" s="1159">
        <v>295504.49817650707</v>
      </c>
      <c r="R21" s="1159">
        <v>372694.93112859601</v>
      </c>
      <c r="S21" s="1159">
        <v>460367.10967230698</v>
      </c>
      <c r="T21" s="1159">
        <v>540768.04533373681</v>
      </c>
      <c r="U21" s="1159">
        <v>546175.72578707419</v>
      </c>
    </row>
    <row r="22" spans="2:21" x14ac:dyDescent="0.3">
      <c r="C22" s="1161" t="s">
        <v>3271</v>
      </c>
      <c r="J22" s="1152">
        <v>48754.928872000004</v>
      </c>
      <c r="K22" s="1152">
        <v>83216.971754999991</v>
      </c>
      <c r="L22" s="1152">
        <v>98000.613725000003</v>
      </c>
      <c r="M22" s="1153">
        <v>77166.395694000006</v>
      </c>
      <c r="N22" s="1152">
        <v>15525.485097526076</v>
      </c>
      <c r="O22" s="1152">
        <v>92691.880791526084</v>
      </c>
      <c r="P22" s="1152">
        <v>101720.86903507868</v>
      </c>
      <c r="Q22" s="1152">
        <v>133874.4123517999</v>
      </c>
      <c r="R22" s="1152">
        <v>159783.04762128982</v>
      </c>
      <c r="S22" s="1152">
        <v>195715.5505340106</v>
      </c>
      <c r="T22" s="1152">
        <v>229726.39705256379</v>
      </c>
      <c r="U22" s="1152">
        <v>232023.66102308943</v>
      </c>
    </row>
    <row r="23" spans="2:21" x14ac:dyDescent="0.3">
      <c r="C23" s="1161" t="s">
        <v>3272</v>
      </c>
      <c r="J23" s="1152">
        <v>69998.642852000004</v>
      </c>
      <c r="K23" s="1152">
        <v>63347.770428000011</v>
      </c>
      <c r="L23" s="1152">
        <v>46158.442199999998</v>
      </c>
      <c r="M23" s="1153">
        <v>66340.188827999998</v>
      </c>
      <c r="N23" s="1152">
        <v>17437.479998042014</v>
      </c>
      <c r="O23" s="1152">
        <v>83777.66882604202</v>
      </c>
      <c r="P23" s="1152">
        <v>73437.991348771349</v>
      </c>
      <c r="Q23" s="1152">
        <v>88922.45327621352</v>
      </c>
      <c r="R23" s="1152">
        <v>127404.76778917677</v>
      </c>
      <c r="S23" s="1152">
        <v>159858.83392445164</v>
      </c>
      <c r="T23" s="1152">
        <v>191274.58611576041</v>
      </c>
      <c r="U23" s="1152">
        <v>193187.33197691801</v>
      </c>
    </row>
    <row r="24" spans="2:21" x14ac:dyDescent="0.3">
      <c r="C24" s="1161" t="s">
        <v>3273</v>
      </c>
      <c r="J24" s="1152">
        <v>6535.2977799999999</v>
      </c>
      <c r="K24" s="1152">
        <v>3905.8196450000005</v>
      </c>
      <c r="L24" s="1152">
        <v>7702.1458970000003</v>
      </c>
      <c r="M24" s="1153">
        <v>5145.2355589999997</v>
      </c>
      <c r="N24" s="1152">
        <v>2531.6046580000002</v>
      </c>
      <c r="O24" s="1152">
        <v>7676.8402169999999</v>
      </c>
      <c r="P24" s="1152">
        <v>14321.051940499998</v>
      </c>
      <c r="Q24" s="1152">
        <v>24724.522038788924</v>
      </c>
      <c r="R24" s="1152">
        <v>26593.744723437048</v>
      </c>
      <c r="S24" s="1152">
        <v>32443.35573424229</v>
      </c>
      <c r="T24" s="1152">
        <v>38460.415153820366</v>
      </c>
      <c r="U24" s="1152">
        <v>38845.019305358568</v>
      </c>
    </row>
    <row r="25" spans="2:21" x14ac:dyDescent="0.3">
      <c r="B25" s="1166"/>
      <c r="C25" s="1167" t="s">
        <v>3274</v>
      </c>
      <c r="D25" s="1166"/>
      <c r="E25" s="1166"/>
      <c r="F25" s="1166"/>
      <c r="G25" s="1166"/>
      <c r="H25" s="1166"/>
      <c r="I25" s="1166"/>
      <c r="J25" s="1168">
        <v>41014.262213000009</v>
      </c>
      <c r="K25" s="1168">
        <v>30734.825499000002</v>
      </c>
      <c r="L25" s="1168">
        <v>32827.108531999998</v>
      </c>
      <c r="M25" s="1169">
        <v>23796.784341999999</v>
      </c>
      <c r="N25" s="1168">
        <v>5404.3999999999978</v>
      </c>
      <c r="O25" s="1168">
        <v>29201.184341999997</v>
      </c>
      <c r="P25" s="1168">
        <v>37865.174625566666</v>
      </c>
      <c r="Q25" s="1168">
        <v>47983.110509704726</v>
      </c>
      <c r="R25" s="1168">
        <v>58913.370994692363</v>
      </c>
      <c r="S25" s="1168">
        <v>72349.369479602436</v>
      </c>
      <c r="T25" s="1168">
        <v>81306.647011592257</v>
      </c>
      <c r="U25" s="1168">
        <v>82119.713481708182</v>
      </c>
    </row>
    <row r="26" spans="2:21" x14ac:dyDescent="0.3">
      <c r="J26" s="1152"/>
      <c r="K26" s="1152"/>
      <c r="L26" s="1152"/>
      <c r="M26" s="1153"/>
      <c r="N26" s="1152"/>
      <c r="O26" s="1040">
        <v>0</v>
      </c>
      <c r="P26" s="1152"/>
      <c r="Q26" s="1152"/>
      <c r="R26" s="1152"/>
      <c r="S26" s="1152"/>
      <c r="T26" s="1152"/>
      <c r="U26" s="1152"/>
    </row>
    <row r="27" spans="2:21" x14ac:dyDescent="0.3">
      <c r="C27" s="1014" t="s">
        <v>3275</v>
      </c>
      <c r="J27" s="1159">
        <v>25863.205999999998</v>
      </c>
      <c r="K27" s="1159">
        <v>22027.083809</v>
      </c>
      <c r="L27" s="1159">
        <v>18943.519466000002</v>
      </c>
      <c r="M27" s="1160">
        <v>21378.422137000001</v>
      </c>
      <c r="N27" s="1159">
        <v>21698.469318828156</v>
      </c>
      <c r="O27" s="1159">
        <v>21698.469318828156</v>
      </c>
      <c r="P27" s="1159">
        <v>23214.152454490988</v>
      </c>
      <c r="Q27" s="1159">
        <v>29717.378400866914</v>
      </c>
      <c r="R27" s="1159">
        <v>37445.863916775066</v>
      </c>
      <c r="S27" s="1159">
        <v>46385.688288949772</v>
      </c>
      <c r="T27" s="1159">
        <v>54340.902893506871</v>
      </c>
      <c r="U27" s="1159">
        <v>54884.311922441935</v>
      </c>
    </row>
    <row r="28" spans="2:21" x14ac:dyDescent="0.3">
      <c r="C28" s="1009" t="s">
        <v>3276</v>
      </c>
      <c r="J28" s="1152">
        <v>196961.16268400001</v>
      </c>
      <c r="K28" s="1152">
        <v>226329.072223</v>
      </c>
      <c r="L28" s="1152">
        <v>244189.26450200001</v>
      </c>
      <c r="M28" s="1153">
        <v>222552.49327100001</v>
      </c>
      <c r="N28" s="1152"/>
      <c r="O28" s="1152">
        <v>271209.68539609516</v>
      </c>
      <c r="P28" s="1152">
        <v>290154.24504881649</v>
      </c>
      <c r="Q28" s="1152">
        <v>371438.22121601598</v>
      </c>
      <c r="R28" s="1152">
        <v>468036.74595798738</v>
      </c>
      <c r="S28" s="1152">
        <v>579775.82394769625</v>
      </c>
      <c r="T28" s="1152">
        <v>679208.24097483756</v>
      </c>
      <c r="U28" s="1152">
        <v>686000.32338458591</v>
      </c>
    </row>
    <row r="29" spans="2:21" x14ac:dyDescent="0.3">
      <c r="B29" s="1166"/>
      <c r="C29" s="1170" t="s">
        <v>3277</v>
      </c>
      <c r="D29" s="1166"/>
      <c r="E29" s="1166"/>
      <c r="F29" s="1171"/>
      <c r="G29" s="1051"/>
      <c r="H29" s="1166"/>
      <c r="I29" s="1166"/>
      <c r="J29" s="1172">
        <v>7.6154968059257628</v>
      </c>
      <c r="K29" s="1172">
        <v>10.275035687226318</v>
      </c>
      <c r="L29" s="1172">
        <v>12.89038528137673</v>
      </c>
      <c r="M29" s="1173">
        <v>12.499023844081092</v>
      </c>
      <c r="N29" s="1172"/>
      <c r="O29" s="1172">
        <v>12.499023844081092</v>
      </c>
      <c r="P29" s="1172">
        <v>12.499023844081092</v>
      </c>
      <c r="Q29" s="1172">
        <v>12.499023844081092</v>
      </c>
      <c r="R29" s="1172">
        <v>12.499023844081092</v>
      </c>
      <c r="S29" s="1172">
        <v>12.499023844081092</v>
      </c>
      <c r="T29" s="1172">
        <v>12.499023844081092</v>
      </c>
      <c r="U29" s="1172">
        <v>12.499023844081092</v>
      </c>
    </row>
    <row r="30" spans="2:21" x14ac:dyDescent="0.3">
      <c r="F30" s="1174"/>
      <c r="G30" s="1037"/>
      <c r="J30" s="1152">
        <v>47.928586840977538</v>
      </c>
      <c r="K30" s="1152">
        <v>35.620314239395057</v>
      </c>
      <c r="L30" s="1152">
        <v>28.315678083519391</v>
      </c>
      <c r="M30" s="1152">
        <v>24.321899357281335</v>
      </c>
      <c r="N30" s="1152"/>
      <c r="O30" s="1152"/>
      <c r="P30" s="1152"/>
      <c r="Q30" s="1152"/>
      <c r="R30" s="1152"/>
      <c r="S30" s="1152"/>
      <c r="T30" s="1152"/>
      <c r="U30" s="1152"/>
    </row>
    <row r="31" spans="2:21" x14ac:dyDescent="0.3">
      <c r="F31" s="1174"/>
      <c r="J31" s="1152"/>
      <c r="K31" s="1152"/>
      <c r="L31" s="1152"/>
      <c r="M31" s="1152"/>
      <c r="N31" s="1152"/>
      <c r="O31" s="1152"/>
      <c r="P31" s="1152"/>
      <c r="Q31" s="1152"/>
      <c r="R31" s="1152"/>
      <c r="S31" s="1152"/>
      <c r="T31" s="1152"/>
      <c r="U31" s="1152"/>
    </row>
    <row r="32" spans="2:21" x14ac:dyDescent="0.3">
      <c r="F32" s="1174"/>
      <c r="J32" s="1152"/>
      <c r="K32" s="1152"/>
      <c r="L32" s="1152"/>
      <c r="M32" s="1152"/>
      <c r="N32" s="1152"/>
      <c r="O32" s="1040">
        <v>0</v>
      </c>
      <c r="P32" s="1152"/>
      <c r="Q32" s="1152"/>
      <c r="R32" s="1152"/>
      <c r="S32" s="1152"/>
      <c r="T32" s="1152"/>
      <c r="U32" s="1152"/>
    </row>
    <row r="33" spans="2:21" x14ac:dyDescent="0.3">
      <c r="C33" s="1014" t="s">
        <v>3278</v>
      </c>
      <c r="J33" s="1159">
        <v>7130.2146860000003</v>
      </c>
      <c r="K33" s="1159">
        <v>4636.1970579999997</v>
      </c>
      <c r="L33" s="1159">
        <v>7658.4428239999997</v>
      </c>
      <c r="M33" s="1160">
        <v>14376.601355000001</v>
      </c>
      <c r="N33" s="1159">
        <v>15008.287529809893</v>
      </c>
      <c r="O33" s="1159">
        <v>15008.287529809893</v>
      </c>
      <c r="P33" s="1159">
        <v>14785.686622578842</v>
      </c>
      <c r="Q33" s="1159">
        <v>18186.749184589895</v>
      </c>
      <c r="R33" s="1159">
        <v>24750.792918106177</v>
      </c>
      <c r="S33" s="1159">
        <v>30846.900864580814</v>
      </c>
      <c r="T33" s="1159">
        <v>36210.117267880472</v>
      </c>
      <c r="U33" s="1159">
        <v>36572.218440559271</v>
      </c>
    </row>
    <row r="34" spans="2:21" x14ac:dyDescent="0.3">
      <c r="C34" s="1009" t="s">
        <v>3279</v>
      </c>
      <c r="J34" s="1152">
        <v>111012.90506500001</v>
      </c>
      <c r="K34" s="1152">
        <v>94082.595927000017</v>
      </c>
      <c r="L34" s="1152">
        <v>78985.550732000003</v>
      </c>
      <c r="M34" s="1153">
        <v>90136.973169999997</v>
      </c>
      <c r="N34" s="1152"/>
      <c r="O34" s="1152">
        <v>112978.85316804201</v>
      </c>
      <c r="P34" s="1152">
        <v>111303.16597433802</v>
      </c>
      <c r="Q34" s="1152">
        <v>136905.56378591823</v>
      </c>
      <c r="R34" s="1152">
        <v>186318.13878386913</v>
      </c>
      <c r="S34" s="1152">
        <v>232208.20340405407</v>
      </c>
      <c r="T34" s="1152">
        <v>272581.23312735267</v>
      </c>
      <c r="U34" s="1152">
        <v>275307.04545862618</v>
      </c>
    </row>
    <row r="35" spans="2:21" x14ac:dyDescent="0.3">
      <c r="B35" s="1166"/>
      <c r="C35" s="1170" t="s">
        <v>3280</v>
      </c>
      <c r="D35" s="1166"/>
      <c r="E35" s="1166"/>
      <c r="F35" s="1171"/>
      <c r="G35" s="1051"/>
      <c r="H35" s="1166"/>
      <c r="I35" s="1166"/>
      <c r="J35" s="1172">
        <v>15.569363610182888</v>
      </c>
      <c r="K35" s="1172">
        <v>20.293053714068428</v>
      </c>
      <c r="L35" s="1172">
        <v>10.313526202020517</v>
      </c>
      <c r="M35" s="1173">
        <v>7.5277644397230636</v>
      </c>
      <c r="N35" s="1172"/>
      <c r="O35" s="1172">
        <v>7.5277644397230636</v>
      </c>
      <c r="P35" s="1172">
        <v>7.5277644397230636</v>
      </c>
      <c r="Q35" s="1172">
        <v>7.5277644397230636</v>
      </c>
      <c r="R35" s="1172">
        <v>7.5277644397230636</v>
      </c>
      <c r="S35" s="1172">
        <v>7.5277644397230636</v>
      </c>
      <c r="T35" s="1172">
        <v>7.5277644397230636</v>
      </c>
      <c r="U35" s="1172">
        <v>7.5277644397230636</v>
      </c>
    </row>
    <row r="36" spans="2:21" x14ac:dyDescent="0.3">
      <c r="F36" s="1174"/>
      <c r="G36" s="1037"/>
      <c r="J36" s="1152">
        <v>23.443475863154593</v>
      </c>
      <c r="K36" s="1152">
        <v>18.035728144072554</v>
      </c>
      <c r="L36" s="1152">
        <v>35.390417675818099</v>
      </c>
      <c r="M36" s="1152">
        <v>40.383835391531427</v>
      </c>
      <c r="N36" s="1152"/>
      <c r="O36" s="1152"/>
      <c r="P36" s="1152"/>
      <c r="Q36" s="1152"/>
      <c r="R36" s="1152"/>
      <c r="S36" s="1152"/>
      <c r="T36" s="1152"/>
      <c r="U36" s="1152"/>
    </row>
    <row r="37" spans="2:21" x14ac:dyDescent="0.3">
      <c r="F37" s="1174"/>
      <c r="J37" s="1152"/>
      <c r="K37" s="1152"/>
      <c r="L37" s="1152"/>
      <c r="M37" s="1152"/>
      <c r="N37" s="1152"/>
      <c r="O37" s="1152"/>
      <c r="P37" s="1152"/>
      <c r="Q37" s="1152"/>
      <c r="R37" s="1152"/>
      <c r="S37" s="1152"/>
      <c r="T37" s="1152"/>
      <c r="U37" s="1152"/>
    </row>
    <row r="38" spans="2:21" x14ac:dyDescent="0.3">
      <c r="F38" s="1174"/>
      <c r="J38" s="1152"/>
      <c r="K38" s="1152"/>
      <c r="L38" s="1152"/>
      <c r="M38" s="1152"/>
      <c r="N38" s="1152"/>
      <c r="O38" s="1040">
        <v>0</v>
      </c>
      <c r="P38" s="1152"/>
      <c r="Q38" s="1152"/>
      <c r="R38" s="1152"/>
      <c r="S38" s="1152"/>
      <c r="T38" s="1152"/>
      <c r="U38" s="1152"/>
    </row>
    <row r="39" spans="2:21" x14ac:dyDescent="0.3">
      <c r="C39" s="1014" t="s">
        <v>3281</v>
      </c>
      <c r="J39" s="1159">
        <v>27341.940999999999</v>
      </c>
      <c r="K39" s="1159">
        <v>32668.528966999998</v>
      </c>
      <c r="L39" s="1159">
        <v>34914.087395000002</v>
      </c>
      <c r="M39" s="1160">
        <v>39259.372795000003</v>
      </c>
      <c r="N39" s="1159">
        <v>40453.127313309764</v>
      </c>
      <c r="O39" s="1159">
        <v>40453.127313309764</v>
      </c>
      <c r="P39" s="1159">
        <v>43107.214984451144</v>
      </c>
      <c r="Q39" s="1159">
        <v>56031.014800743244</v>
      </c>
      <c r="R39" s="1159">
        <v>70667.199081873492</v>
      </c>
      <c r="S39" s="1159">
        <v>87290.841577704065</v>
      </c>
      <c r="T39" s="1159">
        <v>102535.7736983256</v>
      </c>
      <c r="U39" s="1159">
        <v>103561.13143530887</v>
      </c>
    </row>
    <row r="40" spans="2:21" x14ac:dyDescent="0.3">
      <c r="C40" s="1009" t="s">
        <v>3279</v>
      </c>
      <c r="J40" s="1152">
        <v>166303.13171700001</v>
      </c>
      <c r="K40" s="1152">
        <v>181205.387327</v>
      </c>
      <c r="L40" s="1152">
        <v>184688.31035399999</v>
      </c>
      <c r="M40" s="1153">
        <v>172448.60442300001</v>
      </c>
      <c r="N40" s="1152"/>
      <c r="O40" s="1152">
        <v>213347.57417656807</v>
      </c>
      <c r="P40" s="1152">
        <v>227345.0869499167</v>
      </c>
      <c r="Q40" s="1152">
        <v>295504.49817650707</v>
      </c>
      <c r="R40" s="1152">
        <v>372694.93112859601</v>
      </c>
      <c r="S40" s="1152">
        <v>460367.10967230698</v>
      </c>
      <c r="T40" s="1152">
        <v>540768.04533373681</v>
      </c>
      <c r="U40" s="1152">
        <v>546175.72578707419</v>
      </c>
    </row>
    <row r="41" spans="2:21" x14ac:dyDescent="0.3">
      <c r="B41" s="1166"/>
      <c r="C41" s="1170" t="s">
        <v>3282</v>
      </c>
      <c r="D41" s="1166"/>
      <c r="E41" s="1166"/>
      <c r="F41" s="1171"/>
      <c r="G41" s="1051"/>
      <c r="H41" s="1166"/>
      <c r="I41" s="1166"/>
      <c r="J41" s="1172">
        <v>6.0823454968687125</v>
      </c>
      <c r="K41" s="1172">
        <v>5.546787475801068</v>
      </c>
      <c r="L41" s="1172">
        <v>5.2897934368019293</v>
      </c>
      <c r="M41" s="1173">
        <v>5.2739451396226942</v>
      </c>
      <c r="N41" s="1172"/>
      <c r="O41" s="1172">
        <v>5.2739451396226942</v>
      </c>
      <c r="P41" s="1172">
        <v>5.2739451396226942</v>
      </c>
      <c r="Q41" s="1172">
        <v>5.2739451396226942</v>
      </c>
      <c r="R41" s="1172">
        <v>5.2739451396226942</v>
      </c>
      <c r="S41" s="1172">
        <v>5.2739451396226942</v>
      </c>
      <c r="T41" s="1172">
        <v>5.2739451396226942</v>
      </c>
      <c r="U41" s="1172">
        <v>5.2739451396226942</v>
      </c>
    </row>
    <row r="42" spans="2:21" x14ac:dyDescent="0.3">
      <c r="F42" s="1174"/>
      <c r="G42" s="1037"/>
      <c r="J42" s="1152">
        <v>60.009744626954806</v>
      </c>
      <c r="K42" s="1152">
        <v>65.984139755984103</v>
      </c>
      <c r="L42" s="1152">
        <v>69.00080397480879</v>
      </c>
      <c r="M42" s="1152">
        <v>57.641858599566056</v>
      </c>
      <c r="N42" s="1152"/>
      <c r="O42" s="1152"/>
      <c r="P42" s="1152"/>
      <c r="Q42" s="1152"/>
      <c r="R42" s="1152"/>
      <c r="S42" s="1152"/>
      <c r="T42" s="1152"/>
      <c r="U42" s="1152"/>
    </row>
    <row r="43" spans="2:21" x14ac:dyDescent="0.3">
      <c r="F43" s="1174"/>
      <c r="J43" s="1152"/>
      <c r="K43" s="1152"/>
      <c r="L43" s="1152"/>
      <c r="M43" s="1152"/>
      <c r="N43" s="1152"/>
      <c r="O43" s="1152"/>
      <c r="P43" s="1152"/>
      <c r="Q43" s="1152"/>
      <c r="R43" s="1152"/>
      <c r="S43" s="1152"/>
      <c r="T43" s="1152"/>
      <c r="U43" s="1152"/>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FF722-BC09-4B3B-B701-2904BEABB3A7}">
  <sheetPr>
    <tabColor theme="1"/>
  </sheetPr>
  <dimension ref="A1"/>
  <sheetViews>
    <sheetView workbookViewId="0"/>
  </sheetViews>
  <sheetFormatPr defaultRowHeight="16.5" x14ac:dyDescent="0.3"/>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C896D-E7D8-4FF8-BD76-F8E716800766}">
  <sheetPr>
    <tabColor theme="1" tint="0.34998626667073579"/>
  </sheetPr>
  <dimension ref="B1:DC91"/>
  <sheetViews>
    <sheetView workbookViewId="0"/>
  </sheetViews>
  <sheetFormatPr defaultRowHeight="16.5" x14ac:dyDescent="0.3"/>
  <cols>
    <col min="1" max="1" width="2.375" customWidth="1"/>
    <col min="2" max="4" width="2.625" hidden="1" customWidth="1"/>
    <col min="5" max="5" width="24.75" hidden="1" customWidth="1"/>
    <col min="6" max="10" width="9.625" hidden="1" customWidth="1"/>
    <col min="11" max="11" width="0" hidden="1" customWidth="1"/>
    <col min="12" max="12" width="1" customWidth="1"/>
    <col min="13" max="13" width="2.625" customWidth="1"/>
    <col min="18" max="18" width="8.75" customWidth="1"/>
    <col min="24" max="24" width="1.75" customWidth="1"/>
    <col min="25" max="25" width="2.625" customWidth="1"/>
    <col min="36" max="36" width="1.75" customWidth="1"/>
    <col min="37" max="37" width="2.625" customWidth="1"/>
    <col min="48" max="48" width="1.75" customWidth="1"/>
    <col min="49" max="49" width="2.625" customWidth="1"/>
    <col min="60" max="60" width="1.75" customWidth="1"/>
    <col min="61" max="61" width="2.625" customWidth="1"/>
    <col min="72" max="72" width="1.75" customWidth="1"/>
    <col min="73" max="73" width="2.625" customWidth="1"/>
    <col min="84" max="84" width="1.75" customWidth="1"/>
    <col min="85" max="85" width="2.625" customWidth="1"/>
    <col min="96" max="96" width="1.75" customWidth="1"/>
    <col min="97" max="97" width="2.625" customWidth="1"/>
  </cols>
  <sheetData>
    <row r="1" spans="2:107" ht="17.25" thickBot="1" x14ac:dyDescent="0.35">
      <c r="B1" s="258" t="s">
        <v>3283</v>
      </c>
      <c r="C1" s="259"/>
      <c r="D1" s="259"/>
      <c r="E1" s="259"/>
      <c r="F1" s="259"/>
      <c r="G1" s="259"/>
      <c r="H1" s="259"/>
      <c r="I1" s="259"/>
      <c r="J1" s="259"/>
      <c r="L1" s="258" t="s">
        <v>3284</v>
      </c>
      <c r="M1" s="259"/>
      <c r="N1" s="259"/>
      <c r="O1" s="259"/>
      <c r="P1" s="259"/>
      <c r="Q1" s="259"/>
      <c r="R1" s="259"/>
      <c r="S1" s="259"/>
      <c r="T1" s="259"/>
      <c r="U1" s="259"/>
      <c r="V1" s="259"/>
      <c r="W1" s="259"/>
      <c r="Y1" t="s">
        <v>3285</v>
      </c>
      <c r="AD1" s="260"/>
      <c r="AE1" s="260"/>
      <c r="AF1" s="260"/>
      <c r="AG1" s="260"/>
      <c r="AH1" s="260"/>
      <c r="AK1" t="s">
        <v>3286</v>
      </c>
      <c r="AW1" t="s">
        <v>3287</v>
      </c>
      <c r="BI1" t="s">
        <v>3288</v>
      </c>
      <c r="BU1" t="s">
        <v>3289</v>
      </c>
      <c r="CG1" t="s">
        <v>3290</v>
      </c>
      <c r="CS1" t="s">
        <v>3291</v>
      </c>
    </row>
    <row r="2" spans="2:107" ht="6" customHeight="1" x14ac:dyDescent="0.3"/>
    <row r="3" spans="2:107" s="21" customFormat="1" ht="13.5" x14ac:dyDescent="0.3">
      <c r="C3" s="1775" t="s">
        <v>3292</v>
      </c>
      <c r="D3" s="1776"/>
      <c r="E3" s="1777"/>
      <c r="F3" s="261" t="s">
        <v>3293</v>
      </c>
      <c r="G3" s="261" t="s">
        <v>3294</v>
      </c>
      <c r="H3" s="261" t="s">
        <v>3295</v>
      </c>
      <c r="I3" s="261" t="s">
        <v>3296</v>
      </c>
      <c r="J3" s="261" t="s">
        <v>51</v>
      </c>
      <c r="M3" s="1775" t="s">
        <v>3292</v>
      </c>
      <c r="N3" s="1776"/>
      <c r="O3" s="1777"/>
      <c r="P3" s="261" t="s">
        <v>3293</v>
      </c>
      <c r="Q3" s="261" t="s">
        <v>3294</v>
      </c>
      <c r="R3" s="261" t="s">
        <v>3295</v>
      </c>
      <c r="S3" s="261" t="s">
        <v>3296</v>
      </c>
      <c r="T3" s="261" t="s">
        <v>3297</v>
      </c>
      <c r="U3" s="261" t="s">
        <v>3298</v>
      </c>
      <c r="V3" s="261" t="s">
        <v>3299</v>
      </c>
      <c r="W3" s="261" t="s">
        <v>51</v>
      </c>
      <c r="Y3" s="1775" t="s">
        <v>3292</v>
      </c>
      <c r="Z3" s="1776"/>
      <c r="AA3" s="1777"/>
      <c r="AB3" s="261" t="s">
        <v>3293</v>
      </c>
      <c r="AC3" s="261" t="s">
        <v>3294</v>
      </c>
      <c r="AD3" s="261" t="s">
        <v>3295</v>
      </c>
      <c r="AE3" s="261" t="s">
        <v>3296</v>
      </c>
      <c r="AF3" s="261" t="s">
        <v>3297</v>
      </c>
      <c r="AG3" s="261" t="s">
        <v>3298</v>
      </c>
      <c r="AH3" s="261" t="s">
        <v>3299</v>
      </c>
      <c r="AI3" s="261" t="s">
        <v>51</v>
      </c>
      <c r="AK3" s="1775" t="s">
        <v>3292</v>
      </c>
      <c r="AL3" s="1776"/>
      <c r="AM3" s="1777"/>
      <c r="AN3" s="261" t="s">
        <v>3293</v>
      </c>
      <c r="AO3" s="261" t="s">
        <v>3294</v>
      </c>
      <c r="AP3" s="261" t="s">
        <v>3295</v>
      </c>
      <c r="AQ3" s="261" t="s">
        <v>3296</v>
      </c>
      <c r="AR3" s="261" t="s">
        <v>3297</v>
      </c>
      <c r="AS3" s="261" t="s">
        <v>3298</v>
      </c>
      <c r="AT3" s="261" t="s">
        <v>3299</v>
      </c>
      <c r="AU3" s="261" t="s">
        <v>51</v>
      </c>
      <c r="AW3" s="1775" t="s">
        <v>3292</v>
      </c>
      <c r="AX3" s="1776"/>
      <c r="AY3" s="1777"/>
      <c r="AZ3" s="261" t="s">
        <v>3293</v>
      </c>
      <c r="BA3" s="261" t="s">
        <v>3294</v>
      </c>
      <c r="BB3" s="261" t="s">
        <v>3295</v>
      </c>
      <c r="BC3" s="261" t="s">
        <v>3296</v>
      </c>
      <c r="BD3" s="261" t="s">
        <v>3297</v>
      </c>
      <c r="BE3" s="261" t="s">
        <v>3298</v>
      </c>
      <c r="BF3" s="261" t="s">
        <v>3299</v>
      </c>
      <c r="BG3" s="261" t="s">
        <v>51</v>
      </c>
      <c r="BI3" s="1775" t="s">
        <v>3292</v>
      </c>
      <c r="BJ3" s="1776"/>
      <c r="BK3" s="1777"/>
      <c r="BL3" s="261" t="s">
        <v>3293</v>
      </c>
      <c r="BM3" s="261" t="s">
        <v>3294</v>
      </c>
      <c r="BN3" s="261" t="s">
        <v>3295</v>
      </c>
      <c r="BO3" s="261" t="s">
        <v>3296</v>
      </c>
      <c r="BP3" s="261" t="s">
        <v>3297</v>
      </c>
      <c r="BQ3" s="261" t="s">
        <v>3298</v>
      </c>
      <c r="BR3" s="261" t="s">
        <v>3299</v>
      </c>
      <c r="BS3" s="261" t="s">
        <v>51</v>
      </c>
      <c r="BU3" s="1775" t="s">
        <v>3292</v>
      </c>
      <c r="BV3" s="1776"/>
      <c r="BW3" s="1777"/>
      <c r="BX3" s="261" t="s">
        <v>3293</v>
      </c>
      <c r="BY3" s="261" t="s">
        <v>3294</v>
      </c>
      <c r="BZ3" s="261" t="s">
        <v>3295</v>
      </c>
      <c r="CA3" s="261" t="s">
        <v>3296</v>
      </c>
      <c r="CB3" s="261" t="s">
        <v>3297</v>
      </c>
      <c r="CC3" s="261" t="s">
        <v>3298</v>
      </c>
      <c r="CD3" s="261" t="s">
        <v>3299</v>
      </c>
      <c r="CE3" s="261" t="s">
        <v>51</v>
      </c>
      <c r="CG3" s="1775" t="s">
        <v>3292</v>
      </c>
      <c r="CH3" s="1776"/>
      <c r="CI3" s="1777"/>
      <c r="CJ3" s="261" t="s">
        <v>3293</v>
      </c>
      <c r="CK3" s="261" t="s">
        <v>3294</v>
      </c>
      <c r="CL3" s="261" t="s">
        <v>3295</v>
      </c>
      <c r="CM3" s="261" t="s">
        <v>3296</v>
      </c>
      <c r="CN3" s="261" t="s">
        <v>3297</v>
      </c>
      <c r="CO3" s="261" t="s">
        <v>3298</v>
      </c>
      <c r="CP3" s="261" t="s">
        <v>3299</v>
      </c>
      <c r="CQ3" s="261" t="s">
        <v>51</v>
      </c>
      <c r="CS3" s="1775" t="s">
        <v>3292</v>
      </c>
      <c r="CT3" s="1776"/>
      <c r="CU3" s="1777"/>
      <c r="CV3" s="261" t="s">
        <v>3293</v>
      </c>
      <c r="CW3" s="261" t="s">
        <v>3294</v>
      </c>
      <c r="CX3" s="261" t="s">
        <v>3295</v>
      </c>
      <c r="CY3" s="261" t="s">
        <v>3296</v>
      </c>
      <c r="CZ3" s="261" t="s">
        <v>3297</v>
      </c>
      <c r="DA3" s="261" t="s">
        <v>3298</v>
      </c>
      <c r="DB3" s="261" t="s">
        <v>3299</v>
      </c>
      <c r="DC3" s="261" t="s">
        <v>51</v>
      </c>
    </row>
    <row r="4" spans="2:107" s="21" customFormat="1" ht="13.5" x14ac:dyDescent="0.3">
      <c r="C4" s="262" t="s">
        <v>161</v>
      </c>
      <c r="D4" s="263"/>
      <c r="E4" s="264"/>
      <c r="F4" s="265">
        <f>SUM(F5,F10,F15,F19,F26,F24,F25)</f>
        <v>2441.8874304177211</v>
      </c>
      <c r="G4" s="265">
        <f>SUM(G5,G10,G15,G19,G26,G24,G25)</f>
        <v>2712.0968539609516</v>
      </c>
      <c r="H4" s="265">
        <f t="shared" ref="H4:I4" si="0">SUM(H5,H10,H15,H19,H26,H24,H25)</f>
        <v>2891.8200504881652</v>
      </c>
      <c r="I4" s="265">
        <f t="shared" si="0"/>
        <v>3817.2500597425542</v>
      </c>
      <c r="J4" s="266">
        <f>IFERROR((I4/G4)^(1/2)-1,0)</f>
        <v>0.18637697071419845</v>
      </c>
      <c r="K4" s="267"/>
      <c r="L4" s="267"/>
      <c r="M4" s="262" t="s">
        <v>161</v>
      </c>
      <c r="N4" s="263"/>
      <c r="O4" s="264"/>
      <c r="P4" s="265">
        <f>SUM(P5,P6,P7,P8,P11,P9,P10)</f>
        <v>2441.8874304177211</v>
      </c>
      <c r="Q4" s="265">
        <f>SUM(Q5,Q6,Q7,Q8,Q11,Q9,Q10)</f>
        <v>2712.0968539609516</v>
      </c>
      <c r="R4" s="265">
        <f>SUM(R5,R6,R7,R8,R11,R9,R10)</f>
        <v>2891.8200504881652</v>
      </c>
      <c r="S4" s="265">
        <f>SUM(S5,S6,S7,S8,S11,S9,S10)</f>
        <v>3817.2500597425542</v>
      </c>
      <c r="T4" s="265">
        <f t="shared" ref="T4:V4" si="1">SUM(T5,T6,T7,T8,T11,T9,T10)</f>
        <v>4870.5927547446609</v>
      </c>
      <c r="U4" s="265">
        <f t="shared" si="1"/>
        <v>6100.8753822241397</v>
      </c>
      <c r="V4" s="265">
        <f t="shared" si="1"/>
        <v>7208.4499415821556</v>
      </c>
      <c r="W4" s="266">
        <f>IFERROR((V4/Q4)^(1/5)-1,0)</f>
        <v>0.2159265413760163</v>
      </c>
      <c r="Y4" s="262" t="s">
        <v>161</v>
      </c>
      <c r="Z4" s="263"/>
      <c r="AA4" s="264"/>
      <c r="AB4" s="265">
        <f>SUM(AB5,AB6,AB7,AB8,AB11,AB9,AB10)</f>
        <v>1296.1325224727209</v>
      </c>
      <c r="AC4" s="265">
        <f>SUM(AC5,AC6,AC7,AC8,AC11,AC9,AC10)</f>
        <v>1177.3142472593074</v>
      </c>
      <c r="AD4" s="265">
        <f>SUM(AD5,AD6,AD7,AD8,AD11,AD9,AD10)</f>
        <v>1290.6957550532661</v>
      </c>
      <c r="AE4" s="265">
        <f>SUM(AE5,AE6,AE7,AE8,AE11,AE9,AE10)</f>
        <v>1714.043549392748</v>
      </c>
      <c r="AF4" s="265">
        <f t="shared" ref="AF4:AH4" si="2">SUM(AF5,AF6,AF7,AF8,AF11,AF9,AF10)</f>
        <v>2045.6929096797269</v>
      </c>
      <c r="AG4" s="265">
        <f t="shared" si="2"/>
        <v>2556.7670415975972</v>
      </c>
      <c r="AH4" s="265">
        <f t="shared" si="2"/>
        <v>3008.7617575622339</v>
      </c>
      <c r="AI4" s="266">
        <f>IFERROR((AH4/AC4)^(1/5)-1,0)</f>
        <v>0.20642153295357546</v>
      </c>
      <c r="AK4" s="262" t="s">
        <v>161</v>
      </c>
      <c r="AL4" s="263"/>
      <c r="AM4" s="264"/>
      <c r="AN4" s="265">
        <f>SUM(AN5,AN6,AN7,AN8,AN11,AN9,AN10)</f>
        <v>566.73654399648365</v>
      </c>
      <c r="AO4" s="265">
        <f>SUM(AO5,AO6,AO7,AO8,AO11,AO9,AO10)</f>
        <v>894.72338700660453</v>
      </c>
      <c r="AP4" s="265">
        <f>SUM(AP5,AP6,AP7,AP8,AP11,AP9,AP10)</f>
        <v>739.25907309689876</v>
      </c>
      <c r="AQ4" s="265">
        <f>SUM(AQ5,AQ6,AQ7,AQ8,AQ11,AQ9,AQ10)</f>
        <v>924.95639613636854</v>
      </c>
      <c r="AR4" s="265">
        <f t="shared" ref="AR4:AT4" si="3">SUM(AR5,AR6,AR7,AR8,AR11,AR9,AR10)</f>
        <v>1424.7752454046247</v>
      </c>
      <c r="AS4" s="265">
        <f t="shared" si="3"/>
        <v>1847.3450838243705</v>
      </c>
      <c r="AT4" s="265">
        <f t="shared" si="3"/>
        <v>2250.1800567550085</v>
      </c>
      <c r="AU4" s="266">
        <f>IFERROR((AT4/AO4)^(1/5)-1,0)</f>
        <v>0.2025570711684761</v>
      </c>
      <c r="AW4" s="262" t="s">
        <v>161</v>
      </c>
      <c r="AX4" s="263"/>
      <c r="AY4" s="264"/>
      <c r="AZ4" s="265">
        <f>SUM(AZ5,AZ6,AZ7,AZ8,AZ11,AZ9,AZ10)</f>
        <v>88.043208840000005</v>
      </c>
      <c r="BA4" s="265">
        <f>SUM(BA5,BA6,BA7,BA8,BA11,BA9,BA10)</f>
        <v>72.555814650000002</v>
      </c>
      <c r="BB4" s="265">
        <f>SUM(BB5,BB6,BB7,BB8,BB11,BB9,BB10)</f>
        <v>144.66550000000001</v>
      </c>
      <c r="BC4" s="265">
        <f>SUM(BC5,BC6,BC7,BC8,BC11,BC9,BC10)</f>
        <v>274.14752972400004</v>
      </c>
      <c r="BD4" s="265">
        <f t="shared" ref="BD4:BF4" si="4">SUM(BD5,BD6,BD7,BD8,BD11,BD9,BD10)</f>
        <v>223.3322826964</v>
      </c>
      <c r="BE4" s="265">
        <f t="shared" si="4"/>
        <v>223.98551096604001</v>
      </c>
      <c r="BF4" s="265">
        <f t="shared" si="4"/>
        <v>370.70406206264403</v>
      </c>
      <c r="BG4" s="266">
        <f t="shared" ref="BG4:BG34" si="5">IFERROR((BF4/BA4)^(1/5)-1,0)</f>
        <v>0.38570576712544291</v>
      </c>
      <c r="BI4" s="262" t="s">
        <v>161</v>
      </c>
      <c r="BJ4" s="263"/>
      <c r="BK4" s="264"/>
      <c r="BL4" s="265">
        <f>SUM(BL5,BL6,BL7,BL8,BL11,BL9,BL10)</f>
        <v>447.35474404851635</v>
      </c>
      <c r="BM4" s="265">
        <f>SUM(BM5,BM6,BM7,BM8,BM11,BM9,BM10)</f>
        <v>409.42723750999994</v>
      </c>
      <c r="BN4" s="265">
        <f>SUM(BN5,BN6,BN7,BN8,BN11,BN9,BN10)</f>
        <v>526.59992439999996</v>
      </c>
      <c r="BO4" s="265">
        <f>SUM(BO5,BO6,BO7,BO8,BO11,BO9,BO10)</f>
        <v>663.58376693348532</v>
      </c>
      <c r="BP4" s="265">
        <f t="shared" ref="BP4:BR4" si="6">SUM(BP5,BP6,BP7,BP8,BP11,BP9,BP10)</f>
        <v>812.53668990277822</v>
      </c>
      <c r="BQ4" s="265">
        <f t="shared" si="6"/>
        <v>1001.0424517927778</v>
      </c>
      <c r="BR4" s="265">
        <f t="shared" si="6"/>
        <v>1124.0018065013901</v>
      </c>
      <c r="BS4" s="266">
        <f t="shared" ref="BS4:BS20" si="7">IFERROR((BR4/BM4)^(1/5)-1,0)</f>
        <v>0.22382143531436727</v>
      </c>
      <c r="BU4" s="262" t="s">
        <v>161</v>
      </c>
      <c r="BV4" s="263"/>
      <c r="BW4" s="264"/>
      <c r="BX4" s="265">
        <f>LDC!E4</f>
        <v>40.803211060000002</v>
      </c>
      <c r="BY4" s="265">
        <f>SUM(BY5,BY6,BY7,BY8,BY11,BY9,BY10)</f>
        <v>163.46791878588073</v>
      </c>
      <c r="BZ4" s="265">
        <f>SUM(BZ5,BZ6,BZ7,BZ8,BZ11,BZ9,BZ10)</f>
        <v>186.9895435</v>
      </c>
      <c r="CA4" s="265">
        <f>SUM(CA5,CA6,CA7,CA8,CA11,CA9,CA10)</f>
        <v>233.39817755595237</v>
      </c>
      <c r="CB4" s="265">
        <f t="shared" ref="CB4:CD4" si="8">SUM(CB5,CB6,CB7,CB8,CB11,CB9,CB10)</f>
        <v>269.25562706113095</v>
      </c>
      <c r="CC4" s="265">
        <f t="shared" si="8"/>
        <v>297.7352940433542</v>
      </c>
      <c r="CD4" s="265">
        <f t="shared" si="8"/>
        <v>333.80225870087901</v>
      </c>
      <c r="CE4" s="266">
        <f t="shared" ref="CE4:CE20" si="9">IFERROR((CD4/BY4)^(1/5)-1,0)</f>
        <v>0.15348339640245356</v>
      </c>
      <c r="CG4" s="262" t="s">
        <v>161</v>
      </c>
      <c r="CH4" s="263"/>
      <c r="CI4" s="264"/>
      <c r="CJ4" s="265">
        <f>돌핀!E4</f>
        <v>2.8172000000000001</v>
      </c>
      <c r="CK4" s="265">
        <f>SUM(CK5,CK6,CK7,CK8,CK11,CK9,CK10)</f>
        <v>21.000342920000001</v>
      </c>
      <c r="CL4" s="265">
        <f>SUM(CL5,CL6,CL7,CL8,CL11,CL9,CL10)</f>
        <v>16.225200000000001</v>
      </c>
      <c r="CM4" s="265">
        <f>SUM(CM5,CM6,CM7,CM8,CM11,CM9,CM10)</f>
        <v>20.541440000000001</v>
      </c>
      <c r="CN4" s="265">
        <f t="shared" ref="CN4:CP4" si="10">SUM(CN5,CN6,CN7,CN8,CN11,CN9,CN10)</f>
        <v>34.351999999999997</v>
      </c>
      <c r="CO4" s="265">
        <f t="shared" si="10"/>
        <v>45.748800000000003</v>
      </c>
      <c r="CP4" s="265">
        <f t="shared" si="10"/>
        <v>62.844000000000001</v>
      </c>
      <c r="CQ4" s="266">
        <f t="shared" ref="CQ4:CQ20" si="11">IFERROR((CP4/CK4)^(1/5)-1,0)</f>
        <v>0.24510932784858541</v>
      </c>
      <c r="CS4" s="262" t="s">
        <v>161</v>
      </c>
      <c r="CT4" s="263"/>
      <c r="CU4" s="264"/>
      <c r="CV4" s="265">
        <f>SUM(CV5,CV6,CV7,CV8,CV11,CV9,CV10)</f>
        <v>0</v>
      </c>
      <c r="CW4" s="265">
        <f>SUM(CW5,CW6,CW7,CW8,CW11,CW9,CW10)</f>
        <v>0</v>
      </c>
      <c r="CX4" s="265">
        <f>SUM(CX5,CX6,CX7,CX8,CX11,CX9,CX10)</f>
        <v>0</v>
      </c>
      <c r="CY4" s="265">
        <f>SUM(CY5,CY6,CY7,CY8,CY11,CY9,CY10)</f>
        <v>0</v>
      </c>
      <c r="CZ4" s="265">
        <f t="shared" ref="CZ4:DB4" si="12">SUM(CZ5,CZ6,CZ7,CZ8,CZ11,CZ9,CZ10)</f>
        <v>0</v>
      </c>
      <c r="DA4" s="265">
        <f t="shared" si="12"/>
        <v>0</v>
      </c>
      <c r="DB4" s="265">
        <f t="shared" si="12"/>
        <v>0</v>
      </c>
      <c r="DC4" s="266">
        <f>IFERROR((CY4/CW4)^(1/2)-1,0)</f>
        <v>0</v>
      </c>
    </row>
    <row r="5" spans="2:107" s="21" customFormat="1" ht="13.5" x14ac:dyDescent="0.3">
      <c r="C5" s="268"/>
      <c r="D5" s="269" t="s">
        <v>3271</v>
      </c>
      <c r="E5" s="270"/>
      <c r="F5" s="271">
        <f>SUM(F6:F9)</f>
        <v>1296.1325224727209</v>
      </c>
      <c r="G5" s="271">
        <f>SUM(G6:G9)</f>
        <v>1177.3142472593074</v>
      </c>
      <c r="H5" s="271">
        <f t="shared" ref="H5:I5" si="13">SUM(H6:H9)</f>
        <v>1290.6957550532661</v>
      </c>
      <c r="I5" s="271">
        <f t="shared" si="13"/>
        <v>1714.043549392748</v>
      </c>
      <c r="J5" s="272">
        <f t="shared" ref="J5:J29" si="14">IFERROR((I5/G5)^(1/2)-1,0)</f>
        <v>0.2066039040712162</v>
      </c>
      <c r="M5" s="268"/>
      <c r="N5" s="273" t="s">
        <v>3271</v>
      </c>
      <c r="O5" s="274"/>
      <c r="P5" s="275">
        <f>플랫폼!E4</f>
        <v>1296.1325224727209</v>
      </c>
      <c r="Q5" s="275">
        <f>플랫폼!F4</f>
        <v>1177.3142472593074</v>
      </c>
      <c r="R5" s="275">
        <f>플랫폼!G4</f>
        <v>1290.6957550532661</v>
      </c>
      <c r="S5" s="275">
        <f>플랫폼!H4</f>
        <v>1714.043549392748</v>
      </c>
      <c r="T5" s="275">
        <f>플랫폼!I4</f>
        <v>2045.6929096797269</v>
      </c>
      <c r="U5" s="275">
        <f>플랫폼!J4</f>
        <v>2556.7670415975972</v>
      </c>
      <c r="V5" s="275">
        <f>플랫폼!K4</f>
        <v>3008.7617575622339</v>
      </c>
      <c r="W5" s="276">
        <f t="shared" ref="W5:W20" si="15">IFERROR((V5/Q5)^(1/5)-1,0)</f>
        <v>0.20642153295357546</v>
      </c>
      <c r="Y5" s="268"/>
      <c r="Z5" s="273" t="s">
        <v>3300</v>
      </c>
      <c r="AA5" s="274"/>
      <c r="AB5" s="275">
        <f>플랫폼!E5+플랫폼!E10</f>
        <v>1266.2735776327208</v>
      </c>
      <c r="AC5" s="275">
        <f>플랫폼!F5+플랫폼!F10</f>
        <v>1157.4104339393075</v>
      </c>
      <c r="AD5" s="275">
        <f>플랫폼!G5+플랫폼!G10</f>
        <v>1250.6326310974532</v>
      </c>
      <c r="AE5" s="275">
        <f>플랫폼!H5+플랫폼!H10</f>
        <v>1629.035567000532</v>
      </c>
      <c r="AF5" s="275">
        <f>플랫폼!I5+플랫폼!I10</f>
        <v>1887.2985466222306</v>
      </c>
      <c r="AG5" s="275">
        <f>플랫폼!J5+플랫폼!J10</f>
        <v>2189.0201287269792</v>
      </c>
      <c r="AH5" s="275">
        <f>플랫폼!K5+플랫폼!K10</f>
        <v>2551.6583218923956</v>
      </c>
      <c r="AI5" s="276">
        <f t="shared" ref="AI5:AI20" si="16">IFERROR((AH5/AC5)^(1/5)-1,0)</f>
        <v>0.17129698497143742</v>
      </c>
      <c r="AK5" s="268"/>
      <c r="AL5" s="273" t="s">
        <v>77</v>
      </c>
      <c r="AM5" s="274"/>
      <c r="AN5" s="275">
        <f>콘텐츠!E5</f>
        <v>126.299816295</v>
      </c>
      <c r="AO5" s="275">
        <f>콘텐츠!F5</f>
        <v>123.09561636000002</v>
      </c>
      <c r="AP5" s="275">
        <f>콘텐츠!G5</f>
        <v>70.134635464149113</v>
      </c>
      <c r="AQ5" s="275">
        <f>콘텐츠!H5</f>
        <v>90.675006366812156</v>
      </c>
      <c r="AR5" s="275">
        <f>콘텐츠!I5</f>
        <v>143.31575354015882</v>
      </c>
      <c r="AS5" s="275">
        <f>콘텐츠!J5</f>
        <v>183.70697276035452</v>
      </c>
      <c r="AT5" s="275">
        <f>콘텐츠!K5</f>
        <v>226.37157842896056</v>
      </c>
      <c r="AU5" s="276">
        <f t="shared" ref="AU5:AU20" si="17">IFERROR((AT5/AO5)^(1/5)-1,0)</f>
        <v>0.12957705591790769</v>
      </c>
      <c r="AW5" s="268"/>
      <c r="AX5" s="273" t="s">
        <v>3301</v>
      </c>
      <c r="AY5" s="274"/>
      <c r="AZ5" s="275">
        <f>엔터!E5</f>
        <v>88.043208840000005</v>
      </c>
      <c r="BA5" s="275">
        <f>엔터!F5</f>
        <v>68.649013920000002</v>
      </c>
      <c r="BB5" s="275">
        <f>엔터!G5</f>
        <v>70.515500000000003</v>
      </c>
      <c r="BC5" s="275">
        <f>엔터!H5</f>
        <v>116.84752972400001</v>
      </c>
      <c r="BD5" s="275">
        <f>엔터!I5</f>
        <v>146.53228269640002</v>
      </c>
      <c r="BE5" s="275">
        <f>엔터!J5</f>
        <v>177.18551096604003</v>
      </c>
      <c r="BF5" s="275">
        <f>엔터!K5</f>
        <v>208.90406206264404</v>
      </c>
      <c r="BG5" s="276">
        <f t="shared" si="5"/>
        <v>0.24928785008423193</v>
      </c>
      <c r="BI5" s="268"/>
      <c r="BJ5" s="273" t="s">
        <v>96</v>
      </c>
      <c r="BK5" s="274"/>
      <c r="BL5" s="275">
        <f>IRIVER!E5</f>
        <v>181.93526825094207</v>
      </c>
      <c r="BM5" s="275">
        <f>IRIVER!F5</f>
        <v>221.37407915999995</v>
      </c>
      <c r="BN5" s="275">
        <f>IRIVER!G5</f>
        <v>311.95934999999997</v>
      </c>
      <c r="BO5" s="275">
        <f>IRIVER!H5</f>
        <v>446.51615794499997</v>
      </c>
      <c r="BP5" s="275">
        <f>IRIVER!I5</f>
        <v>581.07296588999998</v>
      </c>
      <c r="BQ5" s="275">
        <f>IRIVER!J5</f>
        <v>738.58658177999985</v>
      </c>
      <c r="BR5" s="275">
        <f>IRIVER!K5</f>
        <v>845.24338972500004</v>
      </c>
      <c r="BS5" s="276">
        <f t="shared" si="7"/>
        <v>0.30728718242465036</v>
      </c>
      <c r="BU5" s="268"/>
      <c r="BV5" s="273" t="s">
        <v>83</v>
      </c>
      <c r="BW5" s="274"/>
      <c r="BX5" s="275">
        <f>LDC!E5</f>
        <v>0</v>
      </c>
      <c r="BY5" s="275">
        <f>LDC!F5</f>
        <v>152.62251055782272</v>
      </c>
      <c r="BZ5" s="275">
        <f>LDC!G5</f>
        <v>166.46894</v>
      </c>
      <c r="CA5" s="275">
        <f>LDC!H5</f>
        <v>211.85154388095236</v>
      </c>
      <c r="CB5" s="275">
        <f>LDC!I5</f>
        <v>246.63166170238097</v>
      </c>
      <c r="CC5" s="275">
        <f>LDC!J5</f>
        <v>273.98013041666667</v>
      </c>
      <c r="CD5" s="275">
        <f>LDC!K5</f>
        <v>308.85933689285713</v>
      </c>
      <c r="CE5" s="276">
        <f t="shared" si="9"/>
        <v>0.1514058410872261</v>
      </c>
      <c r="CG5" s="268"/>
      <c r="CH5" s="273" t="s">
        <v>3302</v>
      </c>
      <c r="CI5" s="274"/>
      <c r="CJ5" s="275">
        <f>돌핀!E5</f>
        <v>0</v>
      </c>
      <c r="CK5" s="275">
        <f>돌핀!F5</f>
        <v>20.215262720000002</v>
      </c>
      <c r="CL5" s="275">
        <f>돌핀!G5</f>
        <v>11.558400000000001</v>
      </c>
      <c r="CM5" s="275">
        <f>돌핀!H5</f>
        <v>11.558400000000001</v>
      </c>
      <c r="CN5" s="275">
        <f>돌핀!I5</f>
        <v>11.558400000000001</v>
      </c>
      <c r="CO5" s="275">
        <f>돌핀!J5</f>
        <v>11.558400000000001</v>
      </c>
      <c r="CP5" s="275">
        <f>돌핀!K5</f>
        <v>11.558400000000001</v>
      </c>
      <c r="CQ5" s="276">
        <f t="shared" si="11"/>
        <v>-0.10578146805422162</v>
      </c>
      <c r="CS5" s="268"/>
      <c r="CT5" s="273"/>
      <c r="CU5" s="274"/>
      <c r="CV5" s="275"/>
      <c r="CW5" s="275"/>
      <c r="CX5" s="275"/>
      <c r="CY5" s="275"/>
      <c r="CZ5" s="275"/>
      <c r="DA5" s="275"/>
      <c r="DB5" s="275"/>
      <c r="DC5" s="276">
        <f t="shared" ref="DC5:DC11" si="18">IFERROR((CY5/CW5)^(1/2)-1,0)</f>
        <v>0</v>
      </c>
    </row>
    <row r="6" spans="2:107" s="21" customFormat="1" ht="13.5" x14ac:dyDescent="0.3">
      <c r="C6" s="277"/>
      <c r="D6" s="277"/>
      <c r="E6" s="278" t="s">
        <v>3303</v>
      </c>
      <c r="F6" s="275">
        <f>플랫폼!E5+플랫폼!E10</f>
        <v>1266.2735776327208</v>
      </c>
      <c r="G6" s="275">
        <f>플랫폼!F5+플랫폼!F10</f>
        <v>1157.4104339393075</v>
      </c>
      <c r="H6" s="275">
        <f>플랫폼!G5+플랫폼!G10</f>
        <v>1250.6326310974532</v>
      </c>
      <c r="I6" s="275">
        <f>플랫폼!H5+플랫폼!H10</f>
        <v>1629.035567000532</v>
      </c>
      <c r="J6" s="276">
        <f t="shared" si="14"/>
        <v>0.18637390793453945</v>
      </c>
      <c r="M6" s="277"/>
      <c r="N6" s="279" t="s">
        <v>3272</v>
      </c>
      <c r="O6" s="280"/>
      <c r="P6" s="281">
        <f>콘텐츠!E4</f>
        <v>566.73654399648365</v>
      </c>
      <c r="Q6" s="281">
        <f>콘텐츠!F4</f>
        <v>894.72338700660453</v>
      </c>
      <c r="R6" s="281">
        <f>콘텐츠!G4</f>
        <v>739.25907309689876</v>
      </c>
      <c r="S6" s="281">
        <f>콘텐츠!H4</f>
        <v>924.95639613636854</v>
      </c>
      <c r="T6" s="281">
        <f>콘텐츠!I4</f>
        <v>1424.7752454046247</v>
      </c>
      <c r="U6" s="281">
        <f>콘텐츠!J4</f>
        <v>1847.3450838243705</v>
      </c>
      <c r="V6" s="281">
        <f>콘텐츠!K4</f>
        <v>2250.1800567550085</v>
      </c>
      <c r="W6" s="282">
        <f t="shared" si="15"/>
        <v>0.2025570711684761</v>
      </c>
      <c r="Y6" s="277"/>
      <c r="Z6" s="279" t="s">
        <v>1527</v>
      </c>
      <c r="AA6" s="280"/>
      <c r="AB6" s="281">
        <f>플랫폼!E15</f>
        <v>29.858944839999999</v>
      </c>
      <c r="AC6" s="281">
        <f>플랫폼!F15</f>
        <v>19.903813320000001</v>
      </c>
      <c r="AD6" s="281">
        <f>플랫폼!G15</f>
        <v>19.010000000000002</v>
      </c>
      <c r="AE6" s="281">
        <f>플랫폼!H15</f>
        <v>20.036540000000002</v>
      </c>
      <c r="AF6" s="281">
        <f>플랫폼!I15</f>
        <v>21.118513160000003</v>
      </c>
      <c r="AG6" s="281">
        <f>플랫폼!J15</f>
        <v>22.258912870640003</v>
      </c>
      <c r="AH6" s="281">
        <f>플랫폼!K15</f>
        <v>23.460894165654565</v>
      </c>
      <c r="AI6" s="282">
        <f t="shared" si="16"/>
        <v>3.3431402429529467E-2</v>
      </c>
      <c r="AK6" s="277"/>
      <c r="AL6" s="279" t="s">
        <v>80</v>
      </c>
      <c r="AM6" s="280"/>
      <c r="AN6" s="281">
        <f>콘텐츠!E12</f>
        <v>405.15438475000002</v>
      </c>
      <c r="AO6" s="281">
        <f>콘텐츠!F12</f>
        <v>538.3043290566045</v>
      </c>
      <c r="AP6" s="281">
        <f>콘텐츠!G12</f>
        <v>571.79443763274958</v>
      </c>
      <c r="AQ6" s="281">
        <f>콘텐츠!H12</f>
        <v>753.48138976955647</v>
      </c>
      <c r="AR6" s="281">
        <f>콘텐츠!I12</f>
        <v>1112.1794918644659</v>
      </c>
      <c r="AS6" s="281">
        <f>콘텐츠!J12</f>
        <v>1427.6381110640159</v>
      </c>
      <c r="AT6" s="281">
        <f>콘텐츠!K12</f>
        <v>1744.208478326048</v>
      </c>
      <c r="AU6" s="282">
        <f t="shared" si="17"/>
        <v>0.26506868102376324</v>
      </c>
      <c r="AW6" s="277"/>
      <c r="AX6" s="279" t="s">
        <v>3304</v>
      </c>
      <c r="AY6" s="280"/>
      <c r="AZ6" s="281">
        <f>엔터!E6</f>
        <v>0</v>
      </c>
      <c r="BA6" s="281">
        <f>엔터!F6</f>
        <v>3.1139999999999999</v>
      </c>
      <c r="BB6" s="281">
        <f>엔터!G6</f>
        <v>16.8</v>
      </c>
      <c r="BC6" s="281">
        <f>엔터!H6</f>
        <v>26.8</v>
      </c>
      <c r="BD6" s="281">
        <f>엔터!I6</f>
        <v>36.799999999999997</v>
      </c>
      <c r="BE6" s="281">
        <f>엔터!J6</f>
        <v>46.8</v>
      </c>
      <c r="BF6" s="281">
        <f>엔터!K6</f>
        <v>56.8</v>
      </c>
      <c r="BG6" s="282">
        <f t="shared" si="5"/>
        <v>0.78733494071402599</v>
      </c>
      <c r="BI6" s="277"/>
      <c r="BJ6" s="279" t="s">
        <v>98</v>
      </c>
      <c r="BK6" s="280"/>
      <c r="BL6" s="281">
        <f>IRIVER!E6</f>
        <v>174.14993767757423</v>
      </c>
      <c r="BM6" s="281">
        <f>IRIVER!F6</f>
        <v>127.80878485</v>
      </c>
      <c r="BN6" s="281">
        <f>IRIVER!G6</f>
        <v>132.8059744</v>
      </c>
      <c r="BO6" s="281">
        <f>IRIVER!H6</f>
        <v>133.64300898848529</v>
      </c>
      <c r="BP6" s="281">
        <f>IRIVER!I6</f>
        <v>154.27612401277824</v>
      </c>
      <c r="BQ6" s="281">
        <f>IRIVER!J6</f>
        <v>174.04167001277784</v>
      </c>
      <c r="BR6" s="281">
        <f>IRIVER!K6</f>
        <v>186.9762367763901</v>
      </c>
      <c r="BS6" s="282">
        <f t="shared" si="7"/>
        <v>7.9058876747368556E-2</v>
      </c>
      <c r="BU6" s="277"/>
      <c r="BV6" s="279" t="s">
        <v>3305</v>
      </c>
      <c r="BW6" s="280"/>
      <c r="BX6" s="281">
        <f>LDC!E6</f>
        <v>0</v>
      </c>
      <c r="BY6" s="281">
        <f>LDC!F6</f>
        <v>10.845408228058</v>
      </c>
      <c r="BZ6" s="281">
        <f>LDC!G6</f>
        <v>20.5206035</v>
      </c>
      <c r="CA6" s="281">
        <f>LDC!H6</f>
        <v>21.546633675000002</v>
      </c>
      <c r="CB6" s="281">
        <f>LDC!I6</f>
        <v>22.623965358750002</v>
      </c>
      <c r="CC6" s="281">
        <f>LDC!J6</f>
        <v>23.755163626687505</v>
      </c>
      <c r="CD6" s="281">
        <f>LDC!K6</f>
        <v>24.942921808021882</v>
      </c>
      <c r="CE6" s="282">
        <f t="shared" si="9"/>
        <v>0.18124581888498859</v>
      </c>
      <c r="CG6" s="277"/>
      <c r="CH6" s="279" t="s">
        <v>3306</v>
      </c>
      <c r="CI6" s="280"/>
      <c r="CJ6" s="281">
        <f>돌핀!E6</f>
        <v>0</v>
      </c>
      <c r="CK6" s="281">
        <f>돌핀!F6</f>
        <v>0.5292</v>
      </c>
      <c r="CL6" s="281">
        <f>돌핀!G6</f>
        <v>3.2004000000000001</v>
      </c>
      <c r="CM6" s="281">
        <f>돌핀!H6</f>
        <v>5.1206399999999999</v>
      </c>
      <c r="CN6" s="281">
        <f>돌핀!I6</f>
        <v>10</v>
      </c>
      <c r="CO6" s="281">
        <f>돌핀!J6</f>
        <v>15</v>
      </c>
      <c r="CP6" s="281">
        <f>돌핀!K6</f>
        <v>22.5</v>
      </c>
      <c r="CQ6" s="282">
        <f t="shared" si="11"/>
        <v>1.1169594366312467</v>
      </c>
      <c r="CS6" s="277"/>
      <c r="CT6" s="279"/>
      <c r="CU6" s="280"/>
      <c r="CV6" s="281"/>
      <c r="CW6" s="281"/>
      <c r="CX6" s="281"/>
      <c r="CY6" s="281"/>
      <c r="CZ6" s="281"/>
      <c r="DA6" s="281"/>
      <c r="DB6" s="281"/>
      <c r="DC6" s="282">
        <f t="shared" si="18"/>
        <v>0</v>
      </c>
    </row>
    <row r="7" spans="2:107" s="21" customFormat="1" ht="13.5" x14ac:dyDescent="0.3">
      <c r="C7" s="277"/>
      <c r="D7" s="277"/>
      <c r="E7" s="283" t="s">
        <v>3307</v>
      </c>
      <c r="F7" s="281">
        <f>플랫폼!E15</f>
        <v>29.858944839999999</v>
      </c>
      <c r="G7" s="281">
        <f>플랫폼!F15</f>
        <v>19.903813320000001</v>
      </c>
      <c r="H7" s="281">
        <f>플랫폼!G15</f>
        <v>19.010000000000002</v>
      </c>
      <c r="I7" s="281">
        <f>플랫폼!H15</f>
        <v>20.036540000000002</v>
      </c>
      <c r="J7" s="282">
        <f t="shared" si="14"/>
        <v>3.3286622961072876E-3</v>
      </c>
      <c r="M7" s="277"/>
      <c r="N7" s="279" t="s">
        <v>208</v>
      </c>
      <c r="O7" s="280"/>
      <c r="P7" s="281">
        <f>엔터!E4</f>
        <v>88.043208840000005</v>
      </c>
      <c r="Q7" s="281">
        <f>엔터!F4</f>
        <v>72.555814650000002</v>
      </c>
      <c r="R7" s="281">
        <f>엔터!G4</f>
        <v>144.66550000000001</v>
      </c>
      <c r="S7" s="281">
        <f>엔터!H4</f>
        <v>274.14752972400004</v>
      </c>
      <c r="T7" s="281">
        <f>엔터!I4</f>
        <v>298.3322826964</v>
      </c>
      <c r="U7" s="281">
        <f>엔터!J4</f>
        <v>367.98551096604001</v>
      </c>
      <c r="V7" s="281">
        <f>엔터!K4</f>
        <v>446.70406206264403</v>
      </c>
      <c r="W7" s="282">
        <f t="shared" si="15"/>
        <v>0.4383664210067193</v>
      </c>
      <c r="Y7" s="277"/>
      <c r="Z7" s="279" t="s">
        <v>67</v>
      </c>
      <c r="AA7" s="280"/>
      <c r="AB7" s="281">
        <f>플랫폼!E19</f>
        <v>0</v>
      </c>
      <c r="AC7" s="281">
        <f>플랫폼!F19</f>
        <v>0</v>
      </c>
      <c r="AD7" s="281">
        <f>플랫폼!G19</f>
        <v>21.053123955812897</v>
      </c>
      <c r="AE7" s="281">
        <f>플랫폼!H19</f>
        <v>44.971442392215891</v>
      </c>
      <c r="AF7" s="281">
        <f>플랫폼!I19</f>
        <v>115.27584989749633</v>
      </c>
      <c r="AG7" s="281">
        <f>플랫폼!J19</f>
        <v>295.48799999997811</v>
      </c>
      <c r="AH7" s="281">
        <f>플랫폼!K19</f>
        <v>354.58559999997374</v>
      </c>
      <c r="AI7" s="282">
        <f t="shared" si="16"/>
        <v>0</v>
      </c>
      <c r="AK7" s="277"/>
      <c r="AL7" s="279" t="s">
        <v>83</v>
      </c>
      <c r="AM7" s="280"/>
      <c r="AN7" s="281">
        <f>콘텐츠!E20</f>
        <v>35.282342951483692</v>
      </c>
      <c r="AO7" s="281">
        <f>콘텐츠!F20</f>
        <v>233.32344158999999</v>
      </c>
      <c r="AP7" s="281">
        <f>콘텐츠!G20</f>
        <v>94.33</v>
      </c>
      <c r="AQ7" s="281">
        <f>콘텐츠!H20</f>
        <v>40.799999999999997</v>
      </c>
      <c r="AR7" s="281">
        <f>콘텐츠!I20</f>
        <v>99.28</v>
      </c>
      <c r="AS7" s="281">
        <f>콘텐츠!J20</f>
        <v>136</v>
      </c>
      <c r="AT7" s="281">
        <f>콘텐츠!K20</f>
        <v>149.6</v>
      </c>
      <c r="AU7" s="282">
        <f t="shared" si="17"/>
        <v>-8.5055725136854887E-2</v>
      </c>
      <c r="AW7" s="277"/>
      <c r="AX7" s="279" t="s">
        <v>92</v>
      </c>
      <c r="AY7" s="280"/>
      <c r="AZ7" s="281">
        <f>엔터!E7+엔터!E12+엔터!E17+엔터!E32</f>
        <v>0</v>
      </c>
      <c r="BA7" s="281">
        <f>엔터!F7+엔터!F12+엔터!F17+엔터!F32</f>
        <v>0.79280073000000006</v>
      </c>
      <c r="BB7" s="281">
        <f>엔터!G7+엔터!G12+엔터!G17+엔터!G32</f>
        <v>57.349999999999994</v>
      </c>
      <c r="BC7" s="281">
        <f>엔터!H7+엔터!H12+엔터!H17+엔터!H32</f>
        <v>130.5</v>
      </c>
      <c r="BD7" s="281">
        <f>엔터!I7+엔터!I12+엔터!I17+엔터!I32</f>
        <v>40</v>
      </c>
      <c r="BE7" s="281">
        <f>엔터!J7+엔터!J12+엔터!J17+엔터!J32</f>
        <v>0</v>
      </c>
      <c r="BF7" s="281">
        <f>엔터!K7+엔터!K12+엔터!K17+엔터!K32</f>
        <v>105</v>
      </c>
      <c r="BG7" s="282">
        <f t="shared" si="5"/>
        <v>1.657082576299072</v>
      </c>
      <c r="BI7" s="277"/>
      <c r="BJ7" s="279" t="s">
        <v>100</v>
      </c>
      <c r="BK7" s="280"/>
      <c r="BL7" s="281">
        <f>IRIVER!E7</f>
        <v>89.163400139999993</v>
      </c>
      <c r="BM7" s="281">
        <f>IRIVER!F7</f>
        <v>59.286567020000007</v>
      </c>
      <c r="BN7" s="281">
        <f>IRIVER!G7</f>
        <v>81.834599999999995</v>
      </c>
      <c r="BO7" s="281">
        <f>IRIVER!H7</f>
        <v>83.424600000000012</v>
      </c>
      <c r="BP7" s="281">
        <f>IRIVER!I7</f>
        <v>77.187600000000003</v>
      </c>
      <c r="BQ7" s="281">
        <f>IRIVER!J7</f>
        <v>88.414200000000022</v>
      </c>
      <c r="BR7" s="281">
        <f>IRIVER!K7</f>
        <v>91.782180000000011</v>
      </c>
      <c r="BS7" s="282">
        <f t="shared" si="7"/>
        <v>9.1340853778743458E-2</v>
      </c>
      <c r="BU7" s="277"/>
      <c r="BV7" s="279"/>
      <c r="BW7" s="280"/>
      <c r="BX7" s="281"/>
      <c r="BY7" s="281"/>
      <c r="BZ7" s="281"/>
      <c r="CA7" s="281"/>
      <c r="CB7" s="281"/>
      <c r="CC7" s="281"/>
      <c r="CD7" s="281"/>
      <c r="CE7" s="282">
        <f t="shared" si="9"/>
        <v>0</v>
      </c>
      <c r="CG7" s="277"/>
      <c r="CH7" s="279" t="s">
        <v>71</v>
      </c>
      <c r="CI7" s="280"/>
      <c r="CJ7" s="281">
        <f>돌핀!E7</f>
        <v>0</v>
      </c>
      <c r="CK7" s="281">
        <f>돌핀!F7</f>
        <v>0.2558802</v>
      </c>
      <c r="CL7" s="281">
        <f>돌핀!G7</f>
        <v>1.4663999999999999</v>
      </c>
      <c r="CM7" s="281">
        <f>돌핀!H7</f>
        <v>3.8624000000000001</v>
      </c>
      <c r="CN7" s="281">
        <f>돌핀!I7</f>
        <v>12.7936</v>
      </c>
      <c r="CO7" s="281">
        <f>돌핀!J7</f>
        <v>19.1904</v>
      </c>
      <c r="CP7" s="281">
        <f>돌핀!K7</f>
        <v>28.785600000000002</v>
      </c>
      <c r="CQ7" s="282">
        <f t="shared" si="11"/>
        <v>1.5717439151126227</v>
      </c>
      <c r="CS7" s="277"/>
      <c r="CT7" s="279"/>
      <c r="CU7" s="280"/>
      <c r="CV7" s="281"/>
      <c r="CW7" s="281"/>
      <c r="CX7" s="281"/>
      <c r="CY7" s="281"/>
      <c r="CZ7" s="281"/>
      <c r="DA7" s="281"/>
      <c r="DB7" s="281"/>
      <c r="DC7" s="282">
        <f t="shared" si="18"/>
        <v>0</v>
      </c>
    </row>
    <row r="8" spans="2:107" s="21" customFormat="1" ht="13.5" x14ac:dyDescent="0.3">
      <c r="C8" s="277"/>
      <c r="D8" s="277"/>
      <c r="E8" s="283" t="s">
        <v>3308</v>
      </c>
      <c r="F8" s="281">
        <f>플랫폼!E19</f>
        <v>0</v>
      </c>
      <c r="G8" s="281">
        <f>플랫폼!F19</f>
        <v>0</v>
      </c>
      <c r="H8" s="281">
        <f>플랫폼!G19</f>
        <v>21.053123955812897</v>
      </c>
      <c r="I8" s="281">
        <f>플랫폼!H19</f>
        <v>44.971442392215891</v>
      </c>
      <c r="J8" s="282">
        <f t="shared" si="14"/>
        <v>0</v>
      </c>
      <c r="M8" s="277"/>
      <c r="N8" s="279" t="s">
        <v>3309</v>
      </c>
      <c r="O8" s="280"/>
      <c r="P8" s="281">
        <f>IRIVER!E4</f>
        <v>447.35474404851635</v>
      </c>
      <c r="Q8" s="281">
        <f>IRIVER!F4</f>
        <v>409.42723750999994</v>
      </c>
      <c r="R8" s="281">
        <f>IRIVER!G4</f>
        <v>526.59992439999996</v>
      </c>
      <c r="S8" s="281">
        <f>IRIVER!H4</f>
        <v>663.58376693348532</v>
      </c>
      <c r="T8" s="281">
        <f>IRIVER!I4</f>
        <v>812.53668990277822</v>
      </c>
      <c r="U8" s="281">
        <f>IRIVER!J4</f>
        <v>1001.0424517927778</v>
      </c>
      <c r="V8" s="281">
        <f>IRIVER!K4</f>
        <v>1124.0018065013901</v>
      </c>
      <c r="W8" s="282">
        <f t="shared" si="15"/>
        <v>0.22382143531436727</v>
      </c>
      <c r="Y8" s="277"/>
      <c r="Z8" s="279" t="s">
        <v>3310</v>
      </c>
      <c r="AA8" s="280"/>
      <c r="AB8" s="281">
        <f>플랫폼!E24</f>
        <v>0</v>
      </c>
      <c r="AC8" s="281">
        <f>플랫폼!F24</f>
        <v>0</v>
      </c>
      <c r="AD8" s="281">
        <f>플랫폼!G24</f>
        <v>0</v>
      </c>
      <c r="AE8" s="281">
        <f>플랫폼!H24</f>
        <v>0</v>
      </c>
      <c r="AF8" s="281">
        <f>플랫폼!I24</f>
        <v>0</v>
      </c>
      <c r="AG8" s="281">
        <f>플랫폼!J24</f>
        <v>0</v>
      </c>
      <c r="AH8" s="281">
        <f>플랫폼!K24</f>
        <v>0</v>
      </c>
      <c r="AI8" s="282">
        <f t="shared" si="16"/>
        <v>0</v>
      </c>
      <c r="AK8" s="277"/>
      <c r="AL8" s="279" t="s">
        <v>3311</v>
      </c>
      <c r="AM8" s="280"/>
      <c r="AN8" s="281">
        <f>콘텐츠!E25</f>
        <v>0</v>
      </c>
      <c r="AO8" s="281">
        <f>콘텐츠!F25</f>
        <v>0</v>
      </c>
      <c r="AP8" s="281">
        <f>콘텐츠!G25</f>
        <v>3</v>
      </c>
      <c r="AQ8" s="281">
        <f>콘텐츠!H25</f>
        <v>20</v>
      </c>
      <c r="AR8" s="281">
        <f>콘텐츠!I25</f>
        <v>30</v>
      </c>
      <c r="AS8" s="281">
        <f>콘텐츠!J25</f>
        <v>40</v>
      </c>
      <c r="AT8" s="281">
        <f>콘텐츠!K25</f>
        <v>50</v>
      </c>
      <c r="AU8" s="282">
        <f t="shared" si="17"/>
        <v>0</v>
      </c>
      <c r="AW8" s="277"/>
      <c r="AX8" s="279"/>
      <c r="AY8" s="280"/>
      <c r="AZ8" s="281"/>
      <c r="BA8" s="281"/>
      <c r="BB8" s="281"/>
      <c r="BC8" s="281"/>
      <c r="BD8" s="281"/>
      <c r="BE8" s="281"/>
      <c r="BF8" s="281"/>
      <c r="BG8" s="282">
        <f t="shared" si="5"/>
        <v>0</v>
      </c>
      <c r="BI8" s="277"/>
      <c r="BJ8" s="279" t="s">
        <v>103</v>
      </c>
      <c r="BK8" s="280"/>
      <c r="BL8" s="281">
        <f>IRIVER!E8</f>
        <v>2.1061379800000002</v>
      </c>
      <c r="BM8" s="281">
        <f>IRIVER!F8</f>
        <v>0.95780648000000002</v>
      </c>
      <c r="BN8" s="281">
        <f>IRIVER!G8</f>
        <v>0</v>
      </c>
      <c r="BO8" s="281">
        <f>IRIVER!H8</f>
        <v>0</v>
      </c>
      <c r="BP8" s="281">
        <f>IRIVER!I8</f>
        <v>0</v>
      </c>
      <c r="BQ8" s="281">
        <f>IRIVER!J8</f>
        <v>0</v>
      </c>
      <c r="BR8" s="281">
        <f>IRIVER!K8</f>
        <v>0</v>
      </c>
      <c r="BS8" s="282">
        <f t="shared" si="7"/>
        <v>-1</v>
      </c>
      <c r="BU8" s="277"/>
      <c r="BV8" s="279"/>
      <c r="BW8" s="280"/>
      <c r="BX8" s="281"/>
      <c r="BY8" s="281"/>
      <c r="BZ8" s="281"/>
      <c r="CA8" s="281"/>
      <c r="CB8" s="281"/>
      <c r="CC8" s="281"/>
      <c r="CD8" s="281"/>
      <c r="CE8" s="282">
        <f t="shared" si="9"/>
        <v>0</v>
      </c>
      <c r="CG8" s="277"/>
      <c r="CH8" s="279"/>
      <c r="CI8" s="280"/>
      <c r="CJ8" s="281"/>
      <c r="CK8" s="281"/>
      <c r="CL8" s="281"/>
      <c r="CM8" s="281"/>
      <c r="CN8" s="281"/>
      <c r="CO8" s="281"/>
      <c r="CP8" s="281"/>
      <c r="CQ8" s="282">
        <f t="shared" si="11"/>
        <v>0</v>
      </c>
      <c r="CS8" s="277"/>
      <c r="CT8" s="279"/>
      <c r="CU8" s="280"/>
      <c r="CV8" s="281"/>
      <c r="CW8" s="281"/>
      <c r="CX8" s="281"/>
      <c r="CY8" s="281"/>
      <c r="CZ8" s="281"/>
      <c r="DA8" s="281"/>
      <c r="DB8" s="281"/>
      <c r="DC8" s="282">
        <f t="shared" si="18"/>
        <v>0</v>
      </c>
    </row>
    <row r="9" spans="2:107" s="21" customFormat="1" ht="13.5" x14ac:dyDescent="0.3">
      <c r="C9" s="277"/>
      <c r="D9" s="284"/>
      <c r="E9" s="285" t="s">
        <v>3312</v>
      </c>
      <c r="F9" s="286">
        <f>플랫폼!E23</f>
        <v>0</v>
      </c>
      <c r="G9" s="286">
        <f>플랫폼!F23</f>
        <v>0</v>
      </c>
      <c r="H9" s="286">
        <f>플랫폼!G23</f>
        <v>0</v>
      </c>
      <c r="I9" s="286">
        <f>플랫폼!H23</f>
        <v>20</v>
      </c>
      <c r="J9" s="287">
        <f t="shared" si="14"/>
        <v>0</v>
      </c>
      <c r="M9" s="277"/>
      <c r="N9" s="279" t="s">
        <v>3313</v>
      </c>
      <c r="O9" s="280"/>
      <c r="P9" s="281">
        <f>LDC!E4</f>
        <v>40.803211060000002</v>
      </c>
      <c r="Q9" s="281">
        <f>LDC!F4</f>
        <v>154.05006992503999</v>
      </c>
      <c r="R9" s="281">
        <f>LDC!G4</f>
        <v>187.09699793799999</v>
      </c>
      <c r="S9" s="281">
        <f>LDC!H4</f>
        <v>233.39817755595237</v>
      </c>
      <c r="T9" s="281">
        <f>LDC!I4</f>
        <v>269.25562706113095</v>
      </c>
      <c r="U9" s="281">
        <f>LDC!J4</f>
        <v>297.7352940433542</v>
      </c>
      <c r="V9" s="281">
        <f>LDC!K4</f>
        <v>333.80225870087901</v>
      </c>
      <c r="W9" s="282">
        <f t="shared" si="15"/>
        <v>0.16725427787070957</v>
      </c>
      <c r="Y9" s="277"/>
      <c r="Z9" s="279" t="s">
        <v>3314</v>
      </c>
      <c r="AA9" s="280"/>
      <c r="AB9" s="281">
        <f>플랫폼!E25</f>
        <v>0</v>
      </c>
      <c r="AC9" s="281">
        <f>플랫폼!F25</f>
        <v>0</v>
      </c>
      <c r="AD9" s="281">
        <f>플랫폼!G25</f>
        <v>0</v>
      </c>
      <c r="AE9" s="281">
        <f>플랫폼!H25</f>
        <v>20</v>
      </c>
      <c r="AF9" s="281">
        <f>플랫폼!I25</f>
        <v>22</v>
      </c>
      <c r="AG9" s="281">
        <f>플랫폼!J25</f>
        <v>50</v>
      </c>
      <c r="AH9" s="281">
        <f>플랫폼!K25</f>
        <v>79.056941504209448</v>
      </c>
      <c r="AI9" s="282">
        <f t="shared" si="16"/>
        <v>0</v>
      </c>
      <c r="AK9" s="277"/>
      <c r="AL9" s="279" t="s">
        <v>3315</v>
      </c>
      <c r="AM9" s="280"/>
      <c r="AN9" s="281">
        <f>콘텐츠!E26</f>
        <v>0</v>
      </c>
      <c r="AO9" s="281">
        <f>콘텐츠!F26</f>
        <v>0</v>
      </c>
      <c r="AP9" s="281">
        <f>콘텐츠!G26</f>
        <v>0</v>
      </c>
      <c r="AQ9" s="281">
        <f>콘텐츠!H26</f>
        <v>20</v>
      </c>
      <c r="AR9" s="281">
        <f>콘텐츠!I26</f>
        <v>40</v>
      </c>
      <c r="AS9" s="281">
        <f>콘텐츠!J26</f>
        <v>60</v>
      </c>
      <c r="AT9" s="281">
        <f>콘텐츠!K26</f>
        <v>80</v>
      </c>
      <c r="AU9" s="282">
        <f t="shared" si="17"/>
        <v>0</v>
      </c>
      <c r="AW9" s="277"/>
      <c r="AX9" s="279"/>
      <c r="AY9" s="280"/>
      <c r="AZ9" s="281"/>
      <c r="BA9" s="281"/>
      <c r="BB9" s="281"/>
      <c r="BC9" s="281"/>
      <c r="BD9" s="281"/>
      <c r="BE9" s="281"/>
      <c r="BF9" s="281"/>
      <c r="BG9" s="282">
        <f t="shared" si="5"/>
        <v>0</v>
      </c>
      <c r="BI9" s="277"/>
      <c r="BJ9" s="279"/>
      <c r="BK9" s="280"/>
      <c r="BL9" s="281"/>
      <c r="BM9" s="281"/>
      <c r="BN9" s="281"/>
      <c r="BO9" s="281"/>
      <c r="BP9" s="281"/>
      <c r="BQ9" s="281"/>
      <c r="BR9" s="281"/>
      <c r="BS9" s="282">
        <f t="shared" si="7"/>
        <v>0</v>
      </c>
      <c r="BU9" s="277"/>
      <c r="BV9" s="279"/>
      <c r="BW9" s="280"/>
      <c r="BX9" s="281"/>
      <c r="BY9" s="281"/>
      <c r="BZ9" s="281"/>
      <c r="CA9" s="281"/>
      <c r="CB9" s="281"/>
      <c r="CC9" s="281"/>
      <c r="CD9" s="281"/>
      <c r="CE9" s="282">
        <f t="shared" si="9"/>
        <v>0</v>
      </c>
      <c r="CG9" s="277"/>
      <c r="CH9" s="279"/>
      <c r="CI9" s="280"/>
      <c r="CJ9" s="281"/>
      <c r="CK9" s="281"/>
      <c r="CL9" s="281"/>
      <c r="CM9" s="281"/>
      <c r="CN9" s="281"/>
      <c r="CO9" s="281"/>
      <c r="CP9" s="281"/>
      <c r="CQ9" s="282">
        <f t="shared" si="11"/>
        <v>0</v>
      </c>
      <c r="CS9" s="277"/>
      <c r="CT9" s="279"/>
      <c r="CU9" s="280"/>
      <c r="CV9" s="281"/>
      <c r="CW9" s="281"/>
      <c r="CX9" s="281"/>
      <c r="CY9" s="281"/>
      <c r="CZ9" s="281"/>
      <c r="DA9" s="281"/>
      <c r="DB9" s="281"/>
      <c r="DC9" s="282">
        <f t="shared" si="18"/>
        <v>0</v>
      </c>
    </row>
    <row r="10" spans="2:107" s="21" customFormat="1" ht="13.5" x14ac:dyDescent="0.3">
      <c r="C10" s="277"/>
      <c r="D10" s="269" t="s">
        <v>3272</v>
      </c>
      <c r="E10" s="270"/>
      <c r="F10" s="271">
        <f>SUM(F11:F14)</f>
        <v>566.73654399648365</v>
      </c>
      <c r="G10" s="271">
        <f>SUM(G11:G14)</f>
        <v>894.72338700660453</v>
      </c>
      <c r="H10" s="271">
        <f t="shared" ref="H10:I10" si="19">SUM(H11:H14)</f>
        <v>739.25907309689876</v>
      </c>
      <c r="I10" s="271">
        <f t="shared" si="19"/>
        <v>924.95639613636854</v>
      </c>
      <c r="J10" s="272">
        <f t="shared" si="14"/>
        <v>1.675480912271321E-2</v>
      </c>
      <c r="M10" s="277"/>
      <c r="N10" s="279" t="s">
        <v>3316</v>
      </c>
      <c r="O10" s="280"/>
      <c r="P10" s="281">
        <f>돌핀!E4</f>
        <v>2.8172000000000001</v>
      </c>
      <c r="Q10" s="281">
        <f>돌핀!F4</f>
        <v>4.0260976100000008</v>
      </c>
      <c r="R10" s="281">
        <f>돌핀!G4</f>
        <v>3.5027999999999988</v>
      </c>
      <c r="S10" s="281">
        <f>돌핀!H4</f>
        <v>7.1206400000000016</v>
      </c>
      <c r="T10" s="281">
        <f>돌핀!I4</f>
        <v>19.999999999999996</v>
      </c>
      <c r="U10" s="281">
        <f>돌핀!J4</f>
        <v>30</v>
      </c>
      <c r="V10" s="281">
        <f>돌핀!K4</f>
        <v>45</v>
      </c>
      <c r="W10" s="282">
        <f t="shared" si="15"/>
        <v>0.62056196908578398</v>
      </c>
      <c r="Y10" s="277"/>
      <c r="Z10" s="279"/>
      <c r="AA10" s="280"/>
      <c r="AB10" s="281"/>
      <c r="AC10" s="281"/>
      <c r="AD10" s="281"/>
      <c r="AE10" s="281"/>
      <c r="AF10" s="281"/>
      <c r="AG10" s="281"/>
      <c r="AH10" s="281"/>
      <c r="AI10" s="282">
        <f t="shared" si="16"/>
        <v>0</v>
      </c>
      <c r="AK10" s="277"/>
      <c r="AL10" s="279"/>
      <c r="AM10" s="280"/>
      <c r="AN10" s="281"/>
      <c r="AO10" s="281"/>
      <c r="AP10" s="281"/>
      <c r="AQ10" s="281"/>
      <c r="AR10" s="281"/>
      <c r="AS10" s="281"/>
      <c r="AT10" s="281"/>
      <c r="AU10" s="282">
        <f t="shared" si="17"/>
        <v>0</v>
      </c>
      <c r="AW10" s="277"/>
      <c r="AX10" s="279"/>
      <c r="AY10" s="280"/>
      <c r="AZ10" s="281"/>
      <c r="BA10" s="281"/>
      <c r="BB10" s="281"/>
      <c r="BC10" s="281"/>
      <c r="BD10" s="281"/>
      <c r="BE10" s="281"/>
      <c r="BF10" s="281"/>
      <c r="BG10" s="282">
        <f t="shared" si="5"/>
        <v>0</v>
      </c>
      <c r="BI10" s="277"/>
      <c r="BJ10" s="279"/>
      <c r="BK10" s="280"/>
      <c r="BL10" s="281"/>
      <c r="BM10" s="281"/>
      <c r="BN10" s="281"/>
      <c r="BO10" s="281"/>
      <c r="BP10" s="281"/>
      <c r="BQ10" s="281"/>
      <c r="BR10" s="281"/>
      <c r="BS10" s="282">
        <f t="shared" si="7"/>
        <v>0</v>
      </c>
      <c r="BU10" s="277"/>
      <c r="BV10" s="279"/>
      <c r="BW10" s="280"/>
      <c r="BX10" s="281"/>
      <c r="BY10" s="281"/>
      <c r="BZ10" s="281"/>
      <c r="CA10" s="281"/>
      <c r="CB10" s="281"/>
      <c r="CC10" s="281"/>
      <c r="CD10" s="281"/>
      <c r="CE10" s="282">
        <f t="shared" si="9"/>
        <v>0</v>
      </c>
      <c r="CG10" s="277"/>
      <c r="CH10" s="279"/>
      <c r="CI10" s="280"/>
      <c r="CJ10" s="281"/>
      <c r="CK10" s="281"/>
      <c r="CL10" s="281"/>
      <c r="CM10" s="281"/>
      <c r="CN10" s="281"/>
      <c r="CO10" s="281"/>
      <c r="CP10" s="281"/>
      <c r="CQ10" s="282">
        <f t="shared" si="11"/>
        <v>0</v>
      </c>
      <c r="CS10" s="277"/>
      <c r="CT10" s="279"/>
      <c r="CU10" s="280"/>
      <c r="CV10" s="281"/>
      <c r="CW10" s="281"/>
      <c r="CX10" s="281"/>
      <c r="CY10" s="281"/>
      <c r="CZ10" s="281"/>
      <c r="DA10" s="281"/>
      <c r="DB10" s="281"/>
      <c r="DC10" s="282">
        <f t="shared" si="18"/>
        <v>0</v>
      </c>
    </row>
    <row r="11" spans="2:107" s="21" customFormat="1" ht="13.5" x14ac:dyDescent="0.3">
      <c r="C11" s="277"/>
      <c r="D11" s="277"/>
      <c r="E11" s="278" t="s">
        <v>77</v>
      </c>
      <c r="F11" s="275">
        <f>콘텐츠!E5</f>
        <v>126.299816295</v>
      </c>
      <c r="G11" s="275">
        <f>콘텐츠!F5</f>
        <v>123.09561636000002</v>
      </c>
      <c r="H11" s="275">
        <f>콘텐츠!G5</f>
        <v>70.134635464149113</v>
      </c>
      <c r="I11" s="275">
        <f>콘텐츠!H5</f>
        <v>90.675006366812156</v>
      </c>
      <c r="J11" s="276">
        <f t="shared" si="14"/>
        <v>-0.14173282344983673</v>
      </c>
      <c r="M11" s="277"/>
      <c r="N11" s="288"/>
      <c r="O11" s="289"/>
      <c r="P11" s="286"/>
      <c r="Q11" s="286"/>
      <c r="R11" s="286"/>
      <c r="S11" s="286"/>
      <c r="T11" s="286"/>
      <c r="U11" s="286"/>
      <c r="V11" s="286"/>
      <c r="W11" s="287">
        <f t="shared" si="15"/>
        <v>0</v>
      </c>
      <c r="Y11" s="277"/>
      <c r="Z11" s="288"/>
      <c r="AA11" s="289"/>
      <c r="AB11" s="286"/>
      <c r="AC11" s="286"/>
      <c r="AD11" s="286"/>
      <c r="AE11" s="286"/>
      <c r="AF11" s="286"/>
      <c r="AG11" s="286"/>
      <c r="AH11" s="286"/>
      <c r="AI11" s="287">
        <f t="shared" si="16"/>
        <v>0</v>
      </c>
      <c r="AK11" s="277"/>
      <c r="AL11" s="288"/>
      <c r="AM11" s="289"/>
      <c r="AN11" s="286"/>
      <c r="AO11" s="286"/>
      <c r="AP11" s="286"/>
      <c r="AQ11" s="286"/>
      <c r="AR11" s="286"/>
      <c r="AS11" s="286"/>
      <c r="AT11" s="286"/>
      <c r="AU11" s="287">
        <f t="shared" si="17"/>
        <v>0</v>
      </c>
      <c r="AW11" s="277"/>
      <c r="AX11" s="288"/>
      <c r="AY11" s="289"/>
      <c r="AZ11" s="286"/>
      <c r="BA11" s="286"/>
      <c r="BB11" s="286"/>
      <c r="BC11" s="286"/>
      <c r="BD11" s="286"/>
      <c r="BE11" s="286"/>
      <c r="BF11" s="286"/>
      <c r="BG11" s="287">
        <f t="shared" si="5"/>
        <v>0</v>
      </c>
      <c r="BI11" s="277"/>
      <c r="BJ11" s="288"/>
      <c r="BK11" s="289"/>
      <c r="BL11" s="286"/>
      <c r="BM11" s="286"/>
      <c r="BN11" s="286"/>
      <c r="BO11" s="286"/>
      <c r="BP11" s="286"/>
      <c r="BQ11" s="286"/>
      <c r="BR11" s="286"/>
      <c r="BS11" s="287">
        <f t="shared" si="7"/>
        <v>0</v>
      </c>
      <c r="BU11" s="277"/>
      <c r="BV11" s="288"/>
      <c r="BW11" s="289"/>
      <c r="BX11" s="286"/>
      <c r="BY11" s="286"/>
      <c r="BZ11" s="286"/>
      <c r="CA11" s="286"/>
      <c r="CB11" s="286"/>
      <c r="CC11" s="286"/>
      <c r="CD11" s="286"/>
      <c r="CE11" s="287">
        <f t="shared" si="9"/>
        <v>0</v>
      </c>
      <c r="CG11" s="277"/>
      <c r="CH11" s="288"/>
      <c r="CI11" s="289"/>
      <c r="CJ11" s="286"/>
      <c r="CK11" s="286"/>
      <c r="CL11" s="286"/>
      <c r="CM11" s="286"/>
      <c r="CN11" s="286"/>
      <c r="CO11" s="286"/>
      <c r="CP11" s="286"/>
      <c r="CQ11" s="287">
        <f t="shared" si="11"/>
        <v>0</v>
      </c>
      <c r="CS11" s="277"/>
      <c r="CT11" s="288"/>
      <c r="CU11" s="289"/>
      <c r="CV11" s="286"/>
      <c r="CW11" s="286"/>
      <c r="CX11" s="286"/>
      <c r="CY11" s="286"/>
      <c r="CZ11" s="286"/>
      <c r="DA11" s="286"/>
      <c r="DB11" s="286"/>
      <c r="DC11" s="287">
        <f t="shared" si="18"/>
        <v>0</v>
      </c>
    </row>
    <row r="12" spans="2:107" s="21" customFormat="1" ht="13.5" x14ac:dyDescent="0.3">
      <c r="C12" s="277"/>
      <c r="D12" s="277"/>
      <c r="E12" s="283" t="s">
        <v>80</v>
      </c>
      <c r="F12" s="281">
        <f>콘텐츠!E12</f>
        <v>405.15438475000002</v>
      </c>
      <c r="G12" s="281">
        <f>콘텐츠!F12</f>
        <v>538.3043290566045</v>
      </c>
      <c r="H12" s="281">
        <f>콘텐츠!G12</f>
        <v>571.79443763274958</v>
      </c>
      <c r="I12" s="281">
        <f>콘텐츠!H12</f>
        <v>753.48138976955647</v>
      </c>
      <c r="J12" s="282">
        <f t="shared" si="14"/>
        <v>0.18310238229335707</v>
      </c>
      <c r="M12" s="262" t="s">
        <v>44</v>
      </c>
      <c r="N12" s="263"/>
      <c r="O12" s="264"/>
      <c r="P12" s="265">
        <f>SUM(P13,P14,P15,P16,P19,P17,P18)</f>
        <v>1846.8831035249998</v>
      </c>
      <c r="Q12" s="265">
        <f>SUM(Q13,Q14,Q15,Q16,Q19,Q17,Q18)</f>
        <v>2133.4757417656811</v>
      </c>
      <c r="R12" s="265">
        <f>SUM(R13,R14,R15,R16,R19,R17,R18)</f>
        <v>2227.3870045738822</v>
      </c>
      <c r="S12" s="265">
        <f>SUM(S13,S14,S15,S16,S19,S17,S18)</f>
        <v>2934.2254102384336</v>
      </c>
      <c r="T12" s="265">
        <f t="shared" ref="T12:V12" si="20">SUM(T13,T14,T15,T16,T19,T17,T18)</f>
        <v>3731.9926103861626</v>
      </c>
      <c r="U12" s="265">
        <f t="shared" si="20"/>
        <v>4631.398317120761</v>
      </c>
      <c r="V12" s="265">
        <f t="shared" si="20"/>
        <v>5453.6830057931174</v>
      </c>
      <c r="W12" s="266">
        <f t="shared" si="15"/>
        <v>0.20648085962788687</v>
      </c>
      <c r="Y12" s="262" t="s">
        <v>44</v>
      </c>
      <c r="Z12" s="263"/>
      <c r="AA12" s="264"/>
      <c r="AB12" s="265">
        <f>SUM(AB13,AB14,AB15,AB16,AB19,AB17,AB18)</f>
        <v>974.1159339400001</v>
      </c>
      <c r="AC12" s="265">
        <f>SUM(AC13,AC14,AC15,AC16,AC19,AC17,AC18)</f>
        <v>909.47265644526067</v>
      </c>
      <c r="AD12" s="265">
        <f>SUM(AD13,AD14,AD15,AD16,AD19,AD17,AD18)</f>
        <v>953.71126558550202</v>
      </c>
      <c r="AE12" s="265">
        <f>SUM(AE13,AE14,AE15,AE16,AE19,AE17,AE18)</f>
        <v>1251.0905364089697</v>
      </c>
      <c r="AF12" s="265">
        <f t="shared" ref="AF12:AH12" si="21">SUM(AF13,AF14,AF15,AF16,AF19,AF17,AF18)</f>
        <v>1488.9494681483172</v>
      </c>
      <c r="AG12" s="265">
        <f t="shared" si="21"/>
        <v>1825.2700697906221</v>
      </c>
      <c r="AH12" s="265">
        <f t="shared" si="21"/>
        <v>2134.4418628518201</v>
      </c>
      <c r="AI12" s="266">
        <f t="shared" si="16"/>
        <v>0.18603890924956223</v>
      </c>
      <c r="AK12" s="262" t="s">
        <v>44</v>
      </c>
      <c r="AL12" s="263"/>
      <c r="AM12" s="264"/>
      <c r="AN12" s="265">
        <f>SUM(AN13,AN14,AN15,AN16,AN19,AN17,AN18)</f>
        <v>431.47219526500004</v>
      </c>
      <c r="AO12" s="265">
        <f>SUM(AO13,AO14,AO15,AO16,AO19,AO17,AO18)</f>
        <v>712.1167672790001</v>
      </c>
      <c r="AP12" s="265">
        <f>SUM(AP13,AP14,AP15,AP16,AP19,AP17,AP18)</f>
        <v>579.30735535621352</v>
      </c>
      <c r="AQ12" s="265">
        <f>SUM(AQ13,AQ14,AQ15,AQ16,AQ19,AQ17,AQ18)</f>
        <v>743.20340964882951</v>
      </c>
      <c r="AR12" s="265">
        <f t="shared" ref="AR12:AT12" si="22">SUM(AR13,AR14,AR15,AR16,AR19,AR17,AR18)</f>
        <v>1137.5694711685132</v>
      </c>
      <c r="AS12" s="265">
        <f t="shared" si="22"/>
        <v>1477.8006843425064</v>
      </c>
      <c r="AT12" s="265">
        <f t="shared" si="22"/>
        <v>1801.3292973965247</v>
      </c>
      <c r="AU12" s="266">
        <f t="shared" si="17"/>
        <v>0.20394980351621994</v>
      </c>
      <c r="AW12" s="262" t="s">
        <v>44</v>
      </c>
      <c r="AX12" s="263"/>
      <c r="AY12" s="264"/>
      <c r="AZ12" s="265">
        <f>SUM(AZ13,AZ14,AZ15,AZ16,AZ19,AZ17,AZ18)</f>
        <v>77.021458969999998</v>
      </c>
      <c r="BA12" s="265">
        <f>SUM(BA13,BA14,BA15,BA16,BA19,BA17,BA18)</f>
        <v>76.768402170000002</v>
      </c>
      <c r="BB12" s="265">
        <f>SUM(BB13,BB14,BB15,BB16,BB19,BB17,BB18)</f>
        <v>143.21051940500001</v>
      </c>
      <c r="BC12" s="265">
        <f>SUM(BC13,BC14,BC15,BC16,BC19,BC17,BC18)</f>
        <v>247.24522038788922</v>
      </c>
      <c r="BD12" s="265">
        <f t="shared" ref="BD12:BF12" si="23">SUM(BD13,BD14,BD15,BD16,BD19,BD17,BD18)</f>
        <v>186.8424472343705</v>
      </c>
      <c r="BE12" s="265">
        <f t="shared" si="23"/>
        <v>191.41555734242291</v>
      </c>
      <c r="BF12" s="265">
        <f t="shared" si="23"/>
        <v>329.10615153820368</v>
      </c>
      <c r="BG12" s="266">
        <f t="shared" si="5"/>
        <v>0.33792170623237805</v>
      </c>
      <c r="BI12" s="262" t="s">
        <v>44</v>
      </c>
      <c r="BJ12" s="263"/>
      <c r="BK12" s="264"/>
      <c r="BL12" s="265">
        <f>SUM(BL13,BL14,BL15,BL16,BL19,BL17,BL18)</f>
        <v>328.27108532</v>
      </c>
      <c r="BM12" s="265">
        <f>SUM(BM13,BM14,BM15,BM16,BM19,BM17,BM18)</f>
        <v>292.01184341999999</v>
      </c>
      <c r="BN12" s="265">
        <f>SUM(BN13,BN14,BN15,BN16,BN19,BN17,BN18)</f>
        <v>378.65174625566669</v>
      </c>
      <c r="BO12" s="265">
        <f>SUM(BO13,BO14,BO15,BO16,BO19,BO17,BO18)</f>
        <v>479.83110509704727</v>
      </c>
      <c r="BP12" s="265">
        <f t="shared" ref="BP12:BR12" si="24">SUM(BP13,BP14,BP15,BP16,BP19,BP17,BP18)</f>
        <v>589.13370994692366</v>
      </c>
      <c r="BQ12" s="265">
        <f t="shared" si="24"/>
        <v>723.49369479602433</v>
      </c>
      <c r="BR12" s="265">
        <f t="shared" si="24"/>
        <v>813.06647011592258</v>
      </c>
      <c r="BS12" s="266">
        <f t="shared" si="7"/>
        <v>0.22728412646365204</v>
      </c>
      <c r="BU12" s="262" t="s">
        <v>44</v>
      </c>
      <c r="BV12" s="263"/>
      <c r="BW12" s="264"/>
      <c r="BX12" s="265">
        <f>LDC!E9</f>
        <v>30.11222673</v>
      </c>
      <c r="BY12" s="265">
        <f>SUM(BY13,BY14,BY15,BY16,BY19,BY17,BY18)</f>
        <v>135.38281540372091</v>
      </c>
      <c r="BZ12" s="265">
        <f>SUM(BZ13,BZ14,BZ15,BZ16,BZ19,BZ17,BZ18)</f>
        <v>155.27275813150001</v>
      </c>
      <c r="CA12" s="265">
        <f>SUM(CA13,CA14,CA15,CA16,CA19,CA17,CA18)</f>
        <v>193.9097706956976</v>
      </c>
      <c r="CB12" s="265">
        <f t="shared" ref="CB12:CD12" si="25">SUM(CB13,CB14,CB15,CB16,CB19,CB17,CB18)</f>
        <v>223.7555018880378</v>
      </c>
      <c r="CC12" s="265">
        <f t="shared" si="25"/>
        <v>247.45359764918487</v>
      </c>
      <c r="CD12" s="265">
        <f t="shared" si="25"/>
        <v>277.47115409064634</v>
      </c>
      <c r="CE12" s="266">
        <f t="shared" si="9"/>
        <v>0.15433233128719204</v>
      </c>
      <c r="CG12" s="262" t="s">
        <v>44</v>
      </c>
      <c r="CH12" s="263"/>
      <c r="CI12" s="264"/>
      <c r="CJ12" s="265">
        <f>돌핀!E9</f>
        <v>5.8902032999999996</v>
      </c>
      <c r="CK12" s="265">
        <f>SUM(CK13,CK14,CK15,CK16,CK19,CK17,CK18)</f>
        <v>17.44615147</v>
      </c>
      <c r="CL12" s="265">
        <f>SUM(CL13,CL14,CL15,CL16,CL19,CL17,CL18)</f>
        <v>17.233359839999999</v>
      </c>
      <c r="CM12" s="265">
        <f>SUM(CM13,CM14,CM15,CM16,CM19,CM17,CM18)</f>
        <v>18.945367999999998</v>
      </c>
      <c r="CN12" s="265">
        <f t="shared" ref="CN12:CP12" si="26">SUM(CN13,CN14,CN15,CN16,CN19,CN17,CN18)</f>
        <v>26.647011999999997</v>
      </c>
      <c r="CO12" s="265">
        <f t="shared" si="26"/>
        <v>32.946713200000005</v>
      </c>
      <c r="CP12" s="265">
        <f t="shared" si="26"/>
        <v>42.770069800000002</v>
      </c>
      <c r="CQ12" s="266">
        <f t="shared" si="11"/>
        <v>0.19643212069917748</v>
      </c>
      <c r="CS12" s="262" t="s">
        <v>44</v>
      </c>
      <c r="CT12" s="263"/>
      <c r="CU12" s="264"/>
      <c r="CV12" s="265">
        <f>SUM(CV13,CV14,CV15,CV16,CV19,CV17,CV18)</f>
        <v>0</v>
      </c>
      <c r="CW12" s="265">
        <f>SUM(CW13,CW14,CW15,CW16,CW19,CW17,CW18)</f>
        <v>0</v>
      </c>
      <c r="CX12" s="265">
        <f>SUM(CX13,CX14,CX15,CX16,CX19,CX17,CX18)</f>
        <v>0</v>
      </c>
      <c r="CY12" s="265">
        <f>SUM(CY13,CY14,CY15,CY16,CY19,CY17,CY18)</f>
        <v>0</v>
      </c>
      <c r="CZ12" s="265">
        <f t="shared" ref="CZ12:DB12" si="27">SUM(CZ13,CZ14,CZ15,CZ16,CZ19,CZ17,CZ18)</f>
        <v>0</v>
      </c>
      <c r="DA12" s="265">
        <f t="shared" si="27"/>
        <v>0</v>
      </c>
      <c r="DB12" s="265">
        <f t="shared" si="27"/>
        <v>0</v>
      </c>
      <c r="DC12" s="266">
        <f>IFERROR((CY12/CW12)^(1/2)-1,0)</f>
        <v>0</v>
      </c>
    </row>
    <row r="13" spans="2:107" s="21" customFormat="1" ht="13.5" x14ac:dyDescent="0.3">
      <c r="C13" s="277"/>
      <c r="D13" s="277"/>
      <c r="E13" s="283" t="s">
        <v>83</v>
      </c>
      <c r="F13" s="281">
        <f>콘텐츠!E20</f>
        <v>35.282342951483692</v>
      </c>
      <c r="G13" s="281">
        <f>콘텐츠!F20</f>
        <v>233.32344158999999</v>
      </c>
      <c r="H13" s="281">
        <f>콘텐츠!G20</f>
        <v>94.33</v>
      </c>
      <c r="I13" s="281">
        <f>콘텐츠!H20</f>
        <v>40.799999999999997</v>
      </c>
      <c r="J13" s="282">
        <f t="shared" si="14"/>
        <v>-0.58183190470489388</v>
      </c>
      <c r="M13" s="268"/>
      <c r="N13" s="273" t="s">
        <v>3271</v>
      </c>
      <c r="O13" s="274"/>
      <c r="P13" s="275">
        <f>플랫폼!E27</f>
        <v>974.1159339400001</v>
      </c>
      <c r="Q13" s="275">
        <f>플랫폼!F27</f>
        <v>909.47265644526067</v>
      </c>
      <c r="R13" s="275">
        <f>플랫폼!G27</f>
        <v>953.71126558550202</v>
      </c>
      <c r="S13" s="275">
        <f>플랫폼!H27</f>
        <v>1251.0905364089697</v>
      </c>
      <c r="T13" s="275">
        <f>플랫폼!I27</f>
        <v>1488.9494681483172</v>
      </c>
      <c r="U13" s="275">
        <f>플랫폼!J27</f>
        <v>1825.2700697906221</v>
      </c>
      <c r="V13" s="275">
        <f>플랫폼!K27</f>
        <v>2134.4418628518201</v>
      </c>
      <c r="W13" s="276">
        <f t="shared" si="15"/>
        <v>0.18603890924956223</v>
      </c>
      <c r="Y13" s="268"/>
      <c r="Z13" s="273" t="s">
        <v>3300</v>
      </c>
      <c r="AA13" s="274"/>
      <c r="AB13" s="275">
        <f>플랫폼!E28+플랫폼!E33</f>
        <v>974.1159339400001</v>
      </c>
      <c r="AC13" s="275">
        <f>플랫폼!F28+플랫폼!F33</f>
        <v>909.46065644526072</v>
      </c>
      <c r="AD13" s="275">
        <f>플랫폼!G28+플랫폼!G33</f>
        <v>941.07939121201423</v>
      </c>
      <c r="AE13" s="275">
        <f>플랫폼!H28+플랫폼!H33</f>
        <v>1224.1076709736401</v>
      </c>
      <c r="AF13" s="275">
        <f>플랫폼!I28+플랫폼!I33</f>
        <v>1419.7839582098195</v>
      </c>
      <c r="AG13" s="275">
        <f>플랫폼!J28+플랫폼!J33</f>
        <v>1647.9772697906351</v>
      </c>
      <c r="AH13" s="275">
        <f>플랫폼!K28+플랫폼!K33</f>
        <v>1921.6905028518358</v>
      </c>
      <c r="AI13" s="276">
        <f t="shared" si="16"/>
        <v>0.16139487580137457</v>
      </c>
      <c r="AK13" s="268"/>
      <c r="AL13" s="273" t="s">
        <v>77</v>
      </c>
      <c r="AM13" s="274"/>
      <c r="AN13" s="275">
        <f>콘텐츠!E29</f>
        <v>35.859365765000007</v>
      </c>
      <c r="AO13" s="275">
        <f>콘텐츠!F29</f>
        <v>37.277631980000002</v>
      </c>
      <c r="AP13" s="275">
        <f>콘텐츠!G29</f>
        <v>26.544829409726177</v>
      </c>
      <c r="AQ13" s="275">
        <f>콘텐츠!H29</f>
        <v>32.836336906090139</v>
      </c>
      <c r="AR13" s="275">
        <f>콘텐츠!I29</f>
        <v>52.005812410927525</v>
      </c>
      <c r="AS13" s="275">
        <f>콘텐츠!J29</f>
        <v>69.574958963408861</v>
      </c>
      <c r="AT13" s="275">
        <f>콘텐츠!K29</f>
        <v>87.932128191650705</v>
      </c>
      <c r="AU13" s="276">
        <f t="shared" si="17"/>
        <v>0.18724364494344448</v>
      </c>
      <c r="AW13" s="268"/>
      <c r="AX13" s="273" t="s">
        <v>3301</v>
      </c>
      <c r="AY13" s="274"/>
      <c r="AZ13" s="275">
        <f>엔터!E38</f>
        <v>77.021458969999998</v>
      </c>
      <c r="BA13" s="275">
        <f>엔터!F38</f>
        <v>62.849922620000001</v>
      </c>
      <c r="BB13" s="275">
        <f>엔터!G38</f>
        <v>59.221200000000003</v>
      </c>
      <c r="BC13" s="275">
        <f>엔터!H38</f>
        <v>101.82582615712001</v>
      </c>
      <c r="BD13" s="275">
        <f>엔터!I38</f>
        <v>126.54840877283202</v>
      </c>
      <c r="BE13" s="275">
        <f>엔터!J38</f>
        <v>151.72324965011524</v>
      </c>
      <c r="BF13" s="275">
        <f>엔터!K38</f>
        <v>177.43557461512674</v>
      </c>
      <c r="BG13" s="276">
        <f t="shared" si="5"/>
        <v>0.23068580107360637</v>
      </c>
      <c r="BI13" s="268"/>
      <c r="BJ13" s="273" t="s">
        <v>96</v>
      </c>
      <c r="BK13" s="274"/>
      <c r="BL13" s="275">
        <f>IRIVER!E10</f>
        <v>117.92227380999999</v>
      </c>
      <c r="BM13" s="275">
        <f>IRIVER!F10</f>
        <v>145.95094573999995</v>
      </c>
      <c r="BN13" s="275">
        <f>IRIVER!G10</f>
        <v>212.98772995566668</v>
      </c>
      <c r="BO13" s="275">
        <f>IRIVER!H10</f>
        <v>312.23405534991571</v>
      </c>
      <c r="BP13" s="275">
        <f>IRIVER!I10</f>
        <v>411.48038074416473</v>
      </c>
      <c r="BQ13" s="275">
        <f>IRIVER!J10</f>
        <v>521.97303153266262</v>
      </c>
      <c r="BR13" s="275">
        <f>IRIVER!K10</f>
        <v>599.21935692691181</v>
      </c>
      <c r="BS13" s="276">
        <f t="shared" si="7"/>
        <v>0.32640388161843492</v>
      </c>
      <c r="BU13" s="268"/>
      <c r="BV13" s="273" t="s">
        <v>83</v>
      </c>
      <c r="BW13" s="274"/>
      <c r="BX13" s="275">
        <f>LDC!E10</f>
        <v>0</v>
      </c>
      <c r="BY13" s="275">
        <f>LDC!F10</f>
        <v>128.09429034107691</v>
      </c>
      <c r="BZ13" s="275">
        <f>LDC!G10</f>
        <v>138.682538569</v>
      </c>
      <c r="CA13" s="275">
        <f>LDC!H10</f>
        <v>176.49004015507259</v>
      </c>
      <c r="CB13" s="275">
        <f>LDC!I10</f>
        <v>205.46478482038154</v>
      </c>
      <c r="CC13" s="275">
        <f>LDC!J10</f>
        <v>228.24834472814581</v>
      </c>
      <c r="CD13" s="275">
        <f>LDC!K10</f>
        <v>257.30563852355533</v>
      </c>
      <c r="CE13" s="276">
        <f t="shared" si="9"/>
        <v>0.14969834520087044</v>
      </c>
      <c r="CG13" s="268"/>
      <c r="CH13" s="273" t="s">
        <v>3302</v>
      </c>
      <c r="CI13" s="274"/>
      <c r="CJ13" s="275">
        <f>돌핀!E10</f>
        <v>0</v>
      </c>
      <c r="CK13" s="275">
        <f>돌핀!F10</f>
        <v>16.154299250000001</v>
      </c>
      <c r="CL13" s="275">
        <f>돌핀!G10</f>
        <v>12.83471984</v>
      </c>
      <c r="CM13" s="275">
        <f>돌핀!H10</f>
        <v>12.999999999999998</v>
      </c>
      <c r="CN13" s="275">
        <f>돌핀!I10</f>
        <v>13.15</v>
      </c>
      <c r="CO13" s="275">
        <f>돌핀!J10</f>
        <v>13.3</v>
      </c>
      <c r="CP13" s="275">
        <f>돌핀!K10</f>
        <v>13.3</v>
      </c>
      <c r="CQ13" s="276">
        <f t="shared" si="11"/>
        <v>-3.8138141912047452E-2</v>
      </c>
      <c r="CS13" s="268"/>
      <c r="CT13" s="273"/>
      <c r="CU13" s="274"/>
      <c r="CV13" s="275"/>
      <c r="CW13" s="275"/>
      <c r="CX13" s="275"/>
      <c r="CY13" s="275"/>
      <c r="CZ13" s="275"/>
      <c r="DA13" s="275"/>
      <c r="DB13" s="275"/>
      <c r="DC13" s="276">
        <f t="shared" ref="DC13:DC19" si="28">IFERROR((CY13/CW13)^(1/2)-1,0)</f>
        <v>0</v>
      </c>
    </row>
    <row r="14" spans="2:107" s="21" customFormat="1" ht="13.5" x14ac:dyDescent="0.3">
      <c r="C14" s="277"/>
      <c r="D14" s="284"/>
      <c r="E14" s="285" t="s">
        <v>3317</v>
      </c>
      <c r="F14" s="286">
        <f>콘텐츠!E24</f>
        <v>0</v>
      </c>
      <c r="G14" s="286">
        <f>콘텐츠!F24</f>
        <v>0</v>
      </c>
      <c r="H14" s="286">
        <f>콘텐츠!G24</f>
        <v>3</v>
      </c>
      <c r="I14" s="286">
        <f>콘텐츠!H24</f>
        <v>40</v>
      </c>
      <c r="J14" s="287">
        <f t="shared" si="14"/>
        <v>0</v>
      </c>
      <c r="M14" s="277"/>
      <c r="N14" s="279" t="s">
        <v>3272</v>
      </c>
      <c r="O14" s="280"/>
      <c r="P14" s="281">
        <f>콘텐츠!E28</f>
        <v>431.47219526500004</v>
      </c>
      <c r="Q14" s="281">
        <f>콘텐츠!F28</f>
        <v>712.1167672790001</v>
      </c>
      <c r="R14" s="281">
        <f>콘텐츠!G28</f>
        <v>579.30735535621352</v>
      </c>
      <c r="S14" s="281">
        <f>콘텐츠!H28</f>
        <v>743.20340964882951</v>
      </c>
      <c r="T14" s="281">
        <f>콘텐츠!I28</f>
        <v>1137.5694711685132</v>
      </c>
      <c r="U14" s="281">
        <f>콘텐츠!J28</f>
        <v>1477.8006843425064</v>
      </c>
      <c r="V14" s="281">
        <f>콘텐츠!K28</f>
        <v>1801.3292973965247</v>
      </c>
      <c r="W14" s="282">
        <f t="shared" si="15"/>
        <v>0.20394980351621994</v>
      </c>
      <c r="Y14" s="277"/>
      <c r="Z14" s="279" t="s">
        <v>1527</v>
      </c>
      <c r="AA14" s="280"/>
      <c r="AB14" s="281">
        <f>플랫폼!E38</f>
        <v>0</v>
      </c>
      <c r="AC14" s="281">
        <f>플랫폼!F38</f>
        <v>1.2E-2</v>
      </c>
      <c r="AD14" s="281">
        <f>플랫폼!G38</f>
        <v>0</v>
      </c>
      <c r="AE14" s="281">
        <f>플랫폼!H38</f>
        <v>0</v>
      </c>
      <c r="AF14" s="281">
        <f>플랫폼!I38</f>
        <v>0</v>
      </c>
      <c r="AG14" s="281">
        <f>플랫폼!J38</f>
        <v>0</v>
      </c>
      <c r="AH14" s="281">
        <f>플랫폼!K38</f>
        <v>0</v>
      </c>
      <c r="AI14" s="282">
        <f t="shared" si="16"/>
        <v>-1</v>
      </c>
      <c r="AK14" s="277"/>
      <c r="AL14" s="279" t="s">
        <v>80</v>
      </c>
      <c r="AM14" s="280"/>
      <c r="AN14" s="281">
        <f>콘텐츠!E36</f>
        <v>366.30242351000004</v>
      </c>
      <c r="AO14" s="281">
        <f>콘텐츠!F36</f>
        <v>479.49457603900009</v>
      </c>
      <c r="AP14" s="281">
        <f>콘텐츠!G36</f>
        <v>476.81252594648731</v>
      </c>
      <c r="AQ14" s="281">
        <f>콘텐츠!H36</f>
        <v>644.71153339757279</v>
      </c>
      <c r="AR14" s="281">
        <f>콘텐츠!I36</f>
        <v>948.60184635101348</v>
      </c>
      <c r="AS14" s="281">
        <f>콘텐츠!J36</f>
        <v>1217.3739275618755</v>
      </c>
      <c r="AT14" s="281">
        <f>콘텐츠!K36</f>
        <v>1487.1601916059296</v>
      </c>
      <c r="AU14" s="282">
        <f t="shared" si="17"/>
        <v>0.25404987886542107</v>
      </c>
      <c r="AW14" s="277"/>
      <c r="AX14" s="279" t="s">
        <v>3304</v>
      </c>
      <c r="AY14" s="280"/>
      <c r="AZ14" s="281">
        <f>엔터!E39</f>
        <v>0</v>
      </c>
      <c r="BA14" s="281">
        <f>엔터!F39</f>
        <v>10.681398589999999</v>
      </c>
      <c r="BB14" s="281">
        <f>엔터!G39</f>
        <v>12</v>
      </c>
      <c r="BC14" s="281">
        <f>엔터!H39</f>
        <v>21.230769230769234</v>
      </c>
      <c r="BD14" s="281">
        <f>엔터!I39</f>
        <v>30.461538461538463</v>
      </c>
      <c r="BE14" s="281">
        <f>엔터!J39</f>
        <v>39.692307692307693</v>
      </c>
      <c r="BF14" s="281">
        <f>엔터!K39</f>
        <v>48.923076923076927</v>
      </c>
      <c r="BG14" s="282">
        <f t="shared" si="5"/>
        <v>0.355742243262682</v>
      </c>
      <c r="BI14" s="277"/>
      <c r="BJ14" s="279" t="s">
        <v>98</v>
      </c>
      <c r="BK14" s="280"/>
      <c r="BL14" s="281">
        <f>IRIVER!E11</f>
        <v>141.35823576999999</v>
      </c>
      <c r="BM14" s="281">
        <f>IRIVER!F11</f>
        <v>99.190773110000009</v>
      </c>
      <c r="BN14" s="281">
        <f>IRIVER!G11</f>
        <v>97.946942299999989</v>
      </c>
      <c r="BO14" s="281">
        <f>IRIVER!H11</f>
        <v>98.564271293758509</v>
      </c>
      <c r="BP14" s="281">
        <f>IRIVER!I11</f>
        <v>113.78158765233405</v>
      </c>
      <c r="BQ14" s="281">
        <f>IRIVER!J11</f>
        <v>128.3590552876301</v>
      </c>
      <c r="BR14" s="281">
        <f>IRIVER!K11</f>
        <v>137.89854528568722</v>
      </c>
      <c r="BS14" s="282">
        <f t="shared" si="7"/>
        <v>6.811418300163008E-2</v>
      </c>
      <c r="BU14" s="277"/>
      <c r="BV14" s="279" t="s">
        <v>3305</v>
      </c>
      <c r="BW14" s="280"/>
      <c r="BX14" s="281">
        <f>LDC!E11</f>
        <v>0</v>
      </c>
      <c r="BY14" s="281">
        <f>LDC!F11</f>
        <v>7.2885250626439992</v>
      </c>
      <c r="BZ14" s="281">
        <f>LDC!G11</f>
        <v>16.5902195625</v>
      </c>
      <c r="CA14" s="281">
        <f>LDC!H11</f>
        <v>17.419730540625</v>
      </c>
      <c r="CB14" s="281">
        <f>LDC!I11</f>
        <v>18.290717067656253</v>
      </c>
      <c r="CC14" s="281">
        <f>LDC!J11</f>
        <v>19.205252921039065</v>
      </c>
      <c r="CD14" s="281">
        <f>LDC!K11</f>
        <v>20.16551556709102</v>
      </c>
      <c r="CE14" s="282">
        <f t="shared" si="9"/>
        <v>0.2257275163950101</v>
      </c>
      <c r="CG14" s="277"/>
      <c r="CH14" s="279" t="s">
        <v>3306</v>
      </c>
      <c r="CI14" s="280"/>
      <c r="CJ14" s="281">
        <f>돌핀!E11</f>
        <v>0</v>
      </c>
      <c r="CK14" s="281">
        <f>돌핀!F11</f>
        <v>0.31600000000000006</v>
      </c>
      <c r="CL14" s="281">
        <f>돌핀!G11</f>
        <v>2.01024</v>
      </c>
      <c r="CM14" s="281">
        <f>돌핀!H11</f>
        <v>3.5844479999999996</v>
      </c>
      <c r="CN14" s="281">
        <f>돌핀!I11</f>
        <v>7</v>
      </c>
      <c r="CO14" s="281">
        <f>돌핀!J11</f>
        <v>10.5</v>
      </c>
      <c r="CP14" s="281">
        <f>돌핀!K11</f>
        <v>15.749999999999998</v>
      </c>
      <c r="CQ14" s="282">
        <f t="shared" si="11"/>
        <v>1.1853383900254717</v>
      </c>
      <c r="CS14" s="277"/>
      <c r="CT14" s="279"/>
      <c r="CU14" s="280"/>
      <c r="CV14" s="281"/>
      <c r="CW14" s="281"/>
      <c r="CX14" s="281"/>
      <c r="CY14" s="281"/>
      <c r="CZ14" s="281"/>
      <c r="DA14" s="281"/>
      <c r="DB14" s="281"/>
      <c r="DC14" s="282">
        <f t="shared" si="28"/>
        <v>0</v>
      </c>
    </row>
    <row r="15" spans="2:107" s="21" customFormat="1" ht="13.5" x14ac:dyDescent="0.3">
      <c r="C15" s="277"/>
      <c r="D15" s="269" t="s">
        <v>208</v>
      </c>
      <c r="E15" s="270"/>
      <c r="F15" s="271">
        <f>SUM(F16:F18)</f>
        <v>88.043208840000005</v>
      </c>
      <c r="G15" s="271">
        <f>SUM(G16:G18)</f>
        <v>72.555814650000002</v>
      </c>
      <c r="H15" s="271">
        <f t="shared" ref="H15:I15" si="29">SUM(H16:H18)</f>
        <v>144.66550000000001</v>
      </c>
      <c r="I15" s="271">
        <f t="shared" si="29"/>
        <v>274.14752972400004</v>
      </c>
      <c r="J15" s="272">
        <f t="shared" si="14"/>
        <v>0.94382004850331724</v>
      </c>
      <c r="M15" s="277"/>
      <c r="N15" s="279" t="s">
        <v>208</v>
      </c>
      <c r="O15" s="280"/>
      <c r="P15" s="281">
        <f>엔터!E37</f>
        <v>77.021458969999998</v>
      </c>
      <c r="Q15" s="281">
        <f>엔터!F37</f>
        <v>76.768402170000002</v>
      </c>
      <c r="R15" s="281">
        <f>엔터!G37</f>
        <v>143.21051940500001</v>
      </c>
      <c r="S15" s="281">
        <f>엔터!H37</f>
        <v>247.24522038788922</v>
      </c>
      <c r="T15" s="281">
        <f>엔터!I37</f>
        <v>265.9374472343705</v>
      </c>
      <c r="U15" s="281">
        <f>엔터!J37</f>
        <v>324.43355734242289</v>
      </c>
      <c r="V15" s="281">
        <f>엔터!K37</f>
        <v>384.60415153820367</v>
      </c>
      <c r="W15" s="282">
        <f t="shared" si="15"/>
        <v>0.38027713355315296</v>
      </c>
      <c r="Y15" s="277"/>
      <c r="Z15" s="279" t="s">
        <v>67</v>
      </c>
      <c r="AA15" s="280"/>
      <c r="AB15" s="281">
        <f>플랫폼!E42</f>
        <v>0</v>
      </c>
      <c r="AC15" s="281">
        <f>플랫폼!F42</f>
        <v>0</v>
      </c>
      <c r="AD15" s="281">
        <f>플랫폼!G42</f>
        <v>12.631874373487738</v>
      </c>
      <c r="AE15" s="281">
        <f>플랫폼!H42</f>
        <v>26.982865435329533</v>
      </c>
      <c r="AF15" s="281">
        <f>플랫폼!I42</f>
        <v>69.165509938497792</v>
      </c>
      <c r="AG15" s="281">
        <f>플랫폼!J42</f>
        <v>177.29279999998687</v>
      </c>
      <c r="AH15" s="281">
        <f>플랫폼!K42</f>
        <v>212.75135999998423</v>
      </c>
      <c r="AI15" s="282">
        <f t="shared" si="16"/>
        <v>0</v>
      </c>
      <c r="AK15" s="277"/>
      <c r="AL15" s="279" t="s">
        <v>83</v>
      </c>
      <c r="AM15" s="280"/>
      <c r="AN15" s="281">
        <f>콘텐츠!E44</f>
        <v>29.31040599</v>
      </c>
      <c r="AO15" s="281">
        <f>콘텐츠!F44</f>
        <v>195.34455925999995</v>
      </c>
      <c r="AP15" s="281">
        <f>콘텐츠!G44</f>
        <v>75.95</v>
      </c>
      <c r="AQ15" s="281">
        <f>콘텐츠!H44</f>
        <v>32.655539345166645</v>
      </c>
      <c r="AR15" s="281">
        <f>콘텐츠!I44</f>
        <v>79.461812406572164</v>
      </c>
      <c r="AS15" s="281">
        <f>콘텐츠!J44</f>
        <v>108.85179781722215</v>
      </c>
      <c r="AT15" s="281">
        <f>콘텐츠!K44</f>
        <v>119.73697759894436</v>
      </c>
      <c r="AU15" s="282">
        <f t="shared" si="17"/>
        <v>-9.325453046761556E-2</v>
      </c>
      <c r="AW15" s="277"/>
      <c r="AX15" s="279" t="s">
        <v>92</v>
      </c>
      <c r="AY15" s="280"/>
      <c r="AZ15" s="281">
        <f>엔터!E40+엔터!E45+엔터!E50+엔터!E65</f>
        <v>0</v>
      </c>
      <c r="BA15" s="281">
        <f>엔터!F40+엔터!F45+엔터!F50+엔터!F65</f>
        <v>3.2370809600000001</v>
      </c>
      <c r="BB15" s="281">
        <f>엔터!G40+엔터!G45+엔터!G50+엔터!G65</f>
        <v>71.989319405000003</v>
      </c>
      <c r="BC15" s="281">
        <f>엔터!H40+엔터!H45+엔터!H50+엔터!H65</f>
        <v>124.18862499999999</v>
      </c>
      <c r="BD15" s="281">
        <f>엔터!I40+엔터!I45+엔터!I50+엔터!I65</f>
        <v>29.8325</v>
      </c>
      <c r="BE15" s="281">
        <f>엔터!J40+엔터!J45+엔터!J50+엔터!J65</f>
        <v>0</v>
      </c>
      <c r="BF15" s="281">
        <f>엔터!K40+엔터!K45+엔터!K50+엔터!K65</f>
        <v>102.7475</v>
      </c>
      <c r="BG15" s="282">
        <f t="shared" si="5"/>
        <v>0.99674929820618297</v>
      </c>
      <c r="BI15" s="277"/>
      <c r="BJ15" s="279" t="s">
        <v>100</v>
      </c>
      <c r="BK15" s="280"/>
      <c r="BL15" s="281">
        <f>IRIVER!E12</f>
        <v>67.327608670000004</v>
      </c>
      <c r="BM15" s="281">
        <f>IRIVER!F12</f>
        <v>46.082646080000004</v>
      </c>
      <c r="BN15" s="281">
        <f>IRIVER!G12</f>
        <v>67.717073999999997</v>
      </c>
      <c r="BO15" s="281">
        <f>IRIVER!H12</f>
        <v>69.032778453373041</v>
      </c>
      <c r="BP15" s="281">
        <f>IRIVER!I12</f>
        <v>63.871741550424886</v>
      </c>
      <c r="BQ15" s="281">
        <f>IRIVER!J12</f>
        <v>73.161607975731556</v>
      </c>
      <c r="BR15" s="281">
        <f>IRIVER!K12</f>
        <v>75.94856790332355</v>
      </c>
      <c r="BS15" s="282">
        <f t="shared" si="7"/>
        <v>0.10508691385205204</v>
      </c>
      <c r="BU15" s="277"/>
      <c r="BV15" s="279"/>
      <c r="BW15" s="280"/>
      <c r="BX15" s="281"/>
      <c r="BY15" s="281"/>
      <c r="BZ15" s="281"/>
      <c r="CA15" s="281"/>
      <c r="CB15" s="281"/>
      <c r="CC15" s="281"/>
      <c r="CD15" s="281"/>
      <c r="CE15" s="282">
        <f t="shared" si="9"/>
        <v>0</v>
      </c>
      <c r="CG15" s="277"/>
      <c r="CH15" s="279" t="s">
        <v>71</v>
      </c>
      <c r="CI15" s="280"/>
      <c r="CJ15" s="281">
        <f>돌핀!E12</f>
        <v>0</v>
      </c>
      <c r="CK15" s="281">
        <f>돌핀!F12</f>
        <v>0.97585221999999994</v>
      </c>
      <c r="CL15" s="281">
        <f>돌핀!G12</f>
        <v>2.3883999999999999</v>
      </c>
      <c r="CM15" s="281">
        <f>돌핀!H12</f>
        <v>2.3609200000000001</v>
      </c>
      <c r="CN15" s="281">
        <f>돌핀!I12</f>
        <v>6.4970119999999998</v>
      </c>
      <c r="CO15" s="281">
        <f>돌핀!J12</f>
        <v>9.1467132000000007</v>
      </c>
      <c r="CP15" s="281">
        <f>돌핀!K12</f>
        <v>13.720069800000001</v>
      </c>
      <c r="CQ15" s="282">
        <f t="shared" si="11"/>
        <v>0.69665856281030836</v>
      </c>
      <c r="CS15" s="277"/>
      <c r="CT15" s="279"/>
      <c r="CU15" s="280"/>
      <c r="CV15" s="281"/>
      <c r="CW15" s="281"/>
      <c r="CX15" s="281"/>
      <c r="CY15" s="281"/>
      <c r="CZ15" s="281"/>
      <c r="DA15" s="281"/>
      <c r="DB15" s="281"/>
      <c r="DC15" s="282">
        <f t="shared" si="28"/>
        <v>0</v>
      </c>
    </row>
    <row r="16" spans="2:107" s="21" customFormat="1" ht="13.5" x14ac:dyDescent="0.3">
      <c r="C16" s="277"/>
      <c r="D16" s="277"/>
      <c r="E16" s="278" t="s">
        <v>3301</v>
      </c>
      <c r="F16" s="275">
        <f>엔터!E5</f>
        <v>88.043208840000005</v>
      </c>
      <c r="G16" s="275">
        <f>엔터!F5</f>
        <v>68.649013920000002</v>
      </c>
      <c r="H16" s="275">
        <f>엔터!G5</f>
        <v>70.515500000000003</v>
      </c>
      <c r="I16" s="275">
        <f>엔터!H5</f>
        <v>116.84752972400001</v>
      </c>
      <c r="J16" s="276">
        <f t="shared" si="14"/>
        <v>0.30464578651812535</v>
      </c>
      <c r="M16" s="277"/>
      <c r="N16" s="279" t="s">
        <v>3309</v>
      </c>
      <c r="O16" s="280"/>
      <c r="P16" s="281">
        <f>IRIVER!E9</f>
        <v>328.27108532</v>
      </c>
      <c r="Q16" s="281">
        <f>IRIVER!F9</f>
        <v>292.01184341999999</v>
      </c>
      <c r="R16" s="281">
        <f>IRIVER!G9</f>
        <v>378.65174625566669</v>
      </c>
      <c r="S16" s="281">
        <f>IRIVER!H9</f>
        <v>479.83110509704727</v>
      </c>
      <c r="T16" s="281">
        <f>IRIVER!I9</f>
        <v>589.13370994692366</v>
      </c>
      <c r="U16" s="281">
        <f>IRIVER!J9</f>
        <v>723.49369479602433</v>
      </c>
      <c r="V16" s="281">
        <f>IRIVER!K9</f>
        <v>813.06647011592258</v>
      </c>
      <c r="W16" s="282">
        <f t="shared" si="15"/>
        <v>0.22728412646365204</v>
      </c>
      <c r="Y16" s="277"/>
      <c r="Z16" s="279" t="s">
        <v>3310</v>
      </c>
      <c r="AA16" s="280"/>
      <c r="AB16" s="281">
        <f>플랫폼!E47</f>
        <v>0</v>
      </c>
      <c r="AC16" s="281">
        <f>플랫폼!F47</f>
        <v>0</v>
      </c>
      <c r="AD16" s="281">
        <f>플랫폼!G47</f>
        <v>0</v>
      </c>
      <c r="AE16" s="281">
        <f>플랫폼!H47</f>
        <v>0</v>
      </c>
      <c r="AF16" s="281">
        <f>플랫폼!I47</f>
        <v>0</v>
      </c>
      <c r="AG16" s="281">
        <f>플랫폼!J47</f>
        <v>0</v>
      </c>
      <c r="AH16" s="281">
        <f>플랫폼!K47</f>
        <v>0</v>
      </c>
      <c r="AI16" s="282">
        <f t="shared" si="16"/>
        <v>0</v>
      </c>
      <c r="AK16" s="277"/>
      <c r="AL16" s="279" t="s">
        <v>3317</v>
      </c>
      <c r="AM16" s="280"/>
      <c r="AN16" s="281">
        <f>콘텐츠!E49</f>
        <v>0</v>
      </c>
      <c r="AO16" s="281">
        <f>콘텐츠!F49</f>
        <v>0</v>
      </c>
      <c r="AP16" s="281">
        <f>콘텐츠!G49</f>
        <v>0</v>
      </c>
      <c r="AQ16" s="281">
        <f>콘텐츠!H49</f>
        <v>17</v>
      </c>
      <c r="AR16" s="281">
        <f>콘텐츠!I49</f>
        <v>25.5</v>
      </c>
      <c r="AS16" s="281">
        <f>콘텐츠!J49</f>
        <v>34</v>
      </c>
      <c r="AT16" s="281">
        <f>콘텐츠!K49</f>
        <v>42.5</v>
      </c>
      <c r="AU16" s="282">
        <f t="shared" si="17"/>
        <v>0</v>
      </c>
      <c r="AW16" s="277"/>
      <c r="AX16" s="279"/>
      <c r="AY16" s="280"/>
      <c r="AZ16" s="281"/>
      <c r="BA16" s="281"/>
      <c r="BB16" s="281"/>
      <c r="BC16" s="281"/>
      <c r="BD16" s="281"/>
      <c r="BE16" s="281"/>
      <c r="BF16" s="281"/>
      <c r="BG16" s="282">
        <f t="shared" si="5"/>
        <v>0</v>
      </c>
      <c r="BI16" s="277"/>
      <c r="BJ16" s="279" t="s">
        <v>103</v>
      </c>
      <c r="BK16" s="280"/>
      <c r="BL16" s="281">
        <f>IRIVER!E13</f>
        <v>1.6629670700000001</v>
      </c>
      <c r="BM16" s="281">
        <f>IRIVER!F13</f>
        <v>0.78747849000000003</v>
      </c>
      <c r="BN16" s="281">
        <f>IRIVER!G13</f>
        <v>0</v>
      </c>
      <c r="BO16" s="281">
        <f>IRIVER!H13</f>
        <v>0</v>
      </c>
      <c r="BP16" s="281">
        <f>IRIVER!I13</f>
        <v>0</v>
      </c>
      <c r="BQ16" s="281">
        <f>IRIVER!J13</f>
        <v>0</v>
      </c>
      <c r="BR16" s="281">
        <f>IRIVER!K13</f>
        <v>0</v>
      </c>
      <c r="BS16" s="282">
        <f t="shared" si="7"/>
        <v>-1</v>
      </c>
      <c r="BU16" s="277"/>
      <c r="BV16" s="279"/>
      <c r="BW16" s="280"/>
      <c r="BX16" s="281"/>
      <c r="BY16" s="281"/>
      <c r="BZ16" s="281"/>
      <c r="CA16" s="281"/>
      <c r="CB16" s="281"/>
      <c r="CC16" s="281"/>
      <c r="CD16" s="281"/>
      <c r="CE16" s="282">
        <f t="shared" si="9"/>
        <v>0</v>
      </c>
      <c r="CG16" s="277"/>
      <c r="CH16" s="279"/>
      <c r="CI16" s="280"/>
      <c r="CJ16" s="281"/>
      <c r="CK16" s="281"/>
      <c r="CL16" s="281"/>
      <c r="CM16" s="281"/>
      <c r="CN16" s="281"/>
      <c r="CO16" s="281"/>
      <c r="CP16" s="281"/>
      <c r="CQ16" s="282">
        <f t="shared" si="11"/>
        <v>0</v>
      </c>
      <c r="CS16" s="277"/>
      <c r="CT16" s="279"/>
      <c r="CU16" s="280"/>
      <c r="CV16" s="281"/>
      <c r="CW16" s="281"/>
      <c r="CX16" s="281"/>
      <c r="CY16" s="281"/>
      <c r="CZ16" s="281"/>
      <c r="DA16" s="281"/>
      <c r="DB16" s="281"/>
      <c r="DC16" s="282">
        <f t="shared" si="28"/>
        <v>0</v>
      </c>
    </row>
    <row r="17" spans="3:107" s="21" customFormat="1" ht="13.5" x14ac:dyDescent="0.3">
      <c r="C17" s="277"/>
      <c r="D17" s="277"/>
      <c r="E17" s="283" t="s">
        <v>3304</v>
      </c>
      <c r="F17" s="281">
        <f>엔터!E6</f>
        <v>0</v>
      </c>
      <c r="G17" s="281">
        <f>엔터!F6</f>
        <v>3.1139999999999999</v>
      </c>
      <c r="H17" s="281">
        <f>엔터!G6</f>
        <v>16.8</v>
      </c>
      <c r="I17" s="281">
        <f>엔터!H6</f>
        <v>26.8</v>
      </c>
      <c r="J17" s="282">
        <f t="shared" si="14"/>
        <v>1.9336486080352406</v>
      </c>
      <c r="M17" s="277"/>
      <c r="N17" s="279" t="s">
        <v>3313</v>
      </c>
      <c r="O17" s="280"/>
      <c r="P17" s="281">
        <f>LDC!E9</f>
        <v>30.11222673</v>
      </c>
      <c r="Q17" s="281">
        <f>LDC!F9</f>
        <v>125.65992098142026</v>
      </c>
      <c r="R17" s="281">
        <f>LDC!G9</f>
        <v>155.27275813150001</v>
      </c>
      <c r="S17" s="281">
        <f>LDC!H9</f>
        <v>193.9097706956976</v>
      </c>
      <c r="T17" s="281">
        <f>LDC!I9</f>
        <v>223.7555018880378</v>
      </c>
      <c r="U17" s="281">
        <f>LDC!J9</f>
        <v>247.45359764918487</v>
      </c>
      <c r="V17" s="281">
        <f>LDC!K9</f>
        <v>277.47115409064634</v>
      </c>
      <c r="W17" s="282">
        <f t="shared" si="15"/>
        <v>0.17166703631390279</v>
      </c>
      <c r="Y17" s="277"/>
      <c r="Z17" s="279" t="s">
        <v>3314</v>
      </c>
      <c r="AA17" s="280"/>
      <c r="AB17" s="281">
        <f>플랫폼!E48</f>
        <v>0</v>
      </c>
      <c r="AC17" s="281">
        <f>플랫폼!F48</f>
        <v>0</v>
      </c>
      <c r="AD17" s="281">
        <f>플랫폼!G48</f>
        <v>0</v>
      </c>
      <c r="AE17" s="281">
        <f>플랫폼!H48</f>
        <v>0</v>
      </c>
      <c r="AF17" s="281">
        <f>플랫폼!I48</f>
        <v>0</v>
      </c>
      <c r="AG17" s="281">
        <f>플랫폼!J48</f>
        <v>0</v>
      </c>
      <c r="AH17" s="281">
        <f>플랫폼!K48</f>
        <v>0</v>
      </c>
      <c r="AI17" s="282">
        <f t="shared" si="16"/>
        <v>0</v>
      </c>
      <c r="AK17" s="277"/>
      <c r="AL17" s="279" t="s">
        <v>3318</v>
      </c>
      <c r="AM17" s="280"/>
      <c r="AN17" s="281">
        <f>콘텐츠!E50</f>
        <v>0</v>
      </c>
      <c r="AO17" s="281">
        <f>콘텐츠!F50</f>
        <v>0</v>
      </c>
      <c r="AP17" s="281">
        <f>콘텐츠!G50</f>
        <v>0</v>
      </c>
      <c r="AQ17" s="281">
        <f>콘텐츠!H50</f>
        <v>16</v>
      </c>
      <c r="AR17" s="281">
        <f>콘텐츠!I50</f>
        <v>32</v>
      </c>
      <c r="AS17" s="281">
        <f>콘텐츠!J50</f>
        <v>48</v>
      </c>
      <c r="AT17" s="281">
        <f>콘텐츠!K50</f>
        <v>64</v>
      </c>
      <c r="AU17" s="282">
        <f t="shared" si="17"/>
        <v>0</v>
      </c>
      <c r="AW17" s="277"/>
      <c r="AX17" s="279"/>
      <c r="AY17" s="280"/>
      <c r="AZ17" s="281"/>
      <c r="BA17" s="281"/>
      <c r="BB17" s="281"/>
      <c r="BC17" s="281"/>
      <c r="BD17" s="281"/>
      <c r="BE17" s="281"/>
      <c r="BF17" s="281"/>
      <c r="BG17" s="282">
        <f t="shared" si="5"/>
        <v>0</v>
      </c>
      <c r="BI17" s="277"/>
      <c r="BJ17" s="279"/>
      <c r="BK17" s="280"/>
      <c r="BL17" s="281"/>
      <c r="BM17" s="281"/>
      <c r="BN17" s="281"/>
      <c r="BO17" s="281"/>
      <c r="BP17" s="281"/>
      <c r="BQ17" s="281"/>
      <c r="BR17" s="281"/>
      <c r="BS17" s="282">
        <f t="shared" si="7"/>
        <v>0</v>
      </c>
      <c r="BU17" s="277"/>
      <c r="BV17" s="279"/>
      <c r="BW17" s="280"/>
      <c r="BX17" s="281"/>
      <c r="BY17" s="281"/>
      <c r="BZ17" s="281"/>
      <c r="CA17" s="281"/>
      <c r="CB17" s="281"/>
      <c r="CC17" s="281"/>
      <c r="CD17" s="281"/>
      <c r="CE17" s="282">
        <f t="shared" si="9"/>
        <v>0</v>
      </c>
      <c r="CG17" s="277"/>
      <c r="CH17" s="279"/>
      <c r="CI17" s="280"/>
      <c r="CJ17" s="281"/>
      <c r="CK17" s="281"/>
      <c r="CL17" s="281"/>
      <c r="CM17" s="281"/>
      <c r="CN17" s="281"/>
      <c r="CO17" s="281"/>
      <c r="CP17" s="281"/>
      <c r="CQ17" s="282">
        <f t="shared" si="11"/>
        <v>0</v>
      </c>
      <c r="CS17" s="277"/>
      <c r="CT17" s="279"/>
      <c r="CU17" s="280"/>
      <c r="CV17" s="281"/>
      <c r="CW17" s="281"/>
      <c r="CX17" s="281"/>
      <c r="CY17" s="281"/>
      <c r="CZ17" s="281"/>
      <c r="DA17" s="281"/>
      <c r="DB17" s="281"/>
      <c r="DC17" s="282">
        <f t="shared" si="28"/>
        <v>0</v>
      </c>
    </row>
    <row r="18" spans="3:107" s="21" customFormat="1" ht="13.5" x14ac:dyDescent="0.3">
      <c r="C18" s="277"/>
      <c r="D18" s="284"/>
      <c r="E18" s="285" t="s">
        <v>3319</v>
      </c>
      <c r="F18" s="286">
        <f>엔터!E7+엔터!E12+엔터!E17+엔터!E32</f>
        <v>0</v>
      </c>
      <c r="G18" s="286">
        <f>엔터!F7+엔터!F12+엔터!F17+엔터!F32</f>
        <v>0.79280073000000006</v>
      </c>
      <c r="H18" s="286">
        <f>엔터!G7+엔터!G12+엔터!G17+엔터!G32</f>
        <v>57.349999999999994</v>
      </c>
      <c r="I18" s="286">
        <f>엔터!H7+엔터!H12+엔터!H17+엔터!H32</f>
        <v>130.5</v>
      </c>
      <c r="J18" s="287">
        <f t="shared" si="14"/>
        <v>11.829898930067491</v>
      </c>
      <c r="M18" s="277"/>
      <c r="N18" s="279" t="s">
        <v>3316</v>
      </c>
      <c r="O18" s="280"/>
      <c r="P18" s="281">
        <f>돌핀!E9</f>
        <v>5.8902032999999996</v>
      </c>
      <c r="Q18" s="281">
        <f>돌핀!F9</f>
        <v>17.44615147</v>
      </c>
      <c r="R18" s="281">
        <f>돌핀!G9</f>
        <v>17.233359839999999</v>
      </c>
      <c r="S18" s="281">
        <f>돌핀!H9</f>
        <v>18.945367999999998</v>
      </c>
      <c r="T18" s="281">
        <f>돌핀!I9</f>
        <v>26.647011999999997</v>
      </c>
      <c r="U18" s="281">
        <f>돌핀!J9</f>
        <v>32.946713200000005</v>
      </c>
      <c r="V18" s="281">
        <f>돌핀!K9</f>
        <v>42.770069800000002</v>
      </c>
      <c r="W18" s="282">
        <f t="shared" si="15"/>
        <v>0.19643212069917748</v>
      </c>
      <c r="Y18" s="277"/>
      <c r="Z18" s="279"/>
      <c r="AA18" s="280"/>
      <c r="AB18" s="281"/>
      <c r="AC18" s="281"/>
      <c r="AD18" s="281"/>
      <c r="AE18" s="281"/>
      <c r="AF18" s="281"/>
      <c r="AG18" s="281"/>
      <c r="AH18" s="281"/>
      <c r="AI18" s="282">
        <f t="shared" si="16"/>
        <v>0</v>
      </c>
      <c r="AK18" s="277"/>
      <c r="AL18" s="279"/>
      <c r="AM18" s="280"/>
      <c r="AN18" s="281"/>
      <c r="AO18" s="281"/>
      <c r="AP18" s="281"/>
      <c r="AQ18" s="281"/>
      <c r="AR18" s="281"/>
      <c r="AS18" s="281"/>
      <c r="AT18" s="281"/>
      <c r="AU18" s="282">
        <f t="shared" si="17"/>
        <v>0</v>
      </c>
      <c r="AW18" s="277"/>
      <c r="AX18" s="279"/>
      <c r="AY18" s="280"/>
      <c r="AZ18" s="281"/>
      <c r="BA18" s="281"/>
      <c r="BB18" s="281"/>
      <c r="BC18" s="281"/>
      <c r="BD18" s="281"/>
      <c r="BE18" s="281"/>
      <c r="BF18" s="281"/>
      <c r="BG18" s="282">
        <f t="shared" si="5"/>
        <v>0</v>
      </c>
      <c r="BI18" s="277"/>
      <c r="BJ18" s="279"/>
      <c r="BK18" s="280"/>
      <c r="BL18" s="281"/>
      <c r="BM18" s="281"/>
      <c r="BN18" s="281"/>
      <c r="BO18" s="281"/>
      <c r="BP18" s="281"/>
      <c r="BQ18" s="281"/>
      <c r="BR18" s="281"/>
      <c r="BS18" s="282">
        <f t="shared" si="7"/>
        <v>0</v>
      </c>
      <c r="BU18" s="277"/>
      <c r="BV18" s="279"/>
      <c r="BW18" s="280"/>
      <c r="BX18" s="281"/>
      <c r="BY18" s="281"/>
      <c r="BZ18" s="281"/>
      <c r="CA18" s="281"/>
      <c r="CB18" s="281"/>
      <c r="CC18" s="281"/>
      <c r="CD18" s="281"/>
      <c r="CE18" s="282">
        <f t="shared" si="9"/>
        <v>0</v>
      </c>
      <c r="CG18" s="277"/>
      <c r="CH18" s="279"/>
      <c r="CI18" s="280"/>
      <c r="CJ18" s="281"/>
      <c r="CK18" s="281"/>
      <c r="CL18" s="281"/>
      <c r="CM18" s="281"/>
      <c r="CN18" s="281"/>
      <c r="CO18" s="281"/>
      <c r="CP18" s="281"/>
      <c r="CQ18" s="282">
        <f t="shared" si="11"/>
        <v>0</v>
      </c>
      <c r="CS18" s="277"/>
      <c r="CT18" s="279"/>
      <c r="CU18" s="280"/>
      <c r="CV18" s="281"/>
      <c r="CW18" s="281"/>
      <c r="CX18" s="281"/>
      <c r="CY18" s="281"/>
      <c r="CZ18" s="281"/>
      <c r="DA18" s="281"/>
      <c r="DB18" s="281"/>
      <c r="DC18" s="282">
        <f t="shared" si="28"/>
        <v>0</v>
      </c>
    </row>
    <row r="19" spans="3:107" s="21" customFormat="1" ht="13.5" x14ac:dyDescent="0.3">
      <c r="C19" s="277"/>
      <c r="D19" s="269" t="s">
        <v>3309</v>
      </c>
      <c r="E19" s="270"/>
      <c r="F19" s="271">
        <f>SUM(F20:F23)</f>
        <v>447.35474404851635</v>
      </c>
      <c r="G19" s="271">
        <f>SUM(G20:G23)</f>
        <v>409.42723750999994</v>
      </c>
      <c r="H19" s="271">
        <f t="shared" ref="H19:I19" si="30">SUM(H20:H23)</f>
        <v>526.59992439999996</v>
      </c>
      <c r="I19" s="271">
        <f t="shared" si="30"/>
        <v>663.58376693348532</v>
      </c>
      <c r="J19" s="272">
        <f t="shared" si="14"/>
        <v>0.27309118533679744</v>
      </c>
      <c r="M19" s="277"/>
      <c r="N19" s="288"/>
      <c r="O19" s="289"/>
      <c r="P19" s="286"/>
      <c r="Q19" s="286"/>
      <c r="R19" s="286"/>
      <c r="S19" s="286"/>
      <c r="T19" s="286"/>
      <c r="U19" s="286"/>
      <c r="V19" s="286"/>
      <c r="W19" s="287">
        <f t="shared" si="15"/>
        <v>0</v>
      </c>
      <c r="Y19" s="277"/>
      <c r="Z19" s="288"/>
      <c r="AA19" s="289"/>
      <c r="AB19" s="286"/>
      <c r="AC19" s="286"/>
      <c r="AD19" s="286"/>
      <c r="AE19" s="286"/>
      <c r="AF19" s="286"/>
      <c r="AG19" s="286"/>
      <c r="AH19" s="286"/>
      <c r="AI19" s="287">
        <f t="shared" si="16"/>
        <v>0</v>
      </c>
      <c r="AK19" s="277"/>
      <c r="AL19" s="288"/>
      <c r="AM19" s="289"/>
      <c r="AN19" s="286"/>
      <c r="AO19" s="286"/>
      <c r="AP19" s="286"/>
      <c r="AQ19" s="286"/>
      <c r="AR19" s="286"/>
      <c r="AS19" s="286"/>
      <c r="AT19" s="286"/>
      <c r="AU19" s="287">
        <f t="shared" si="17"/>
        <v>0</v>
      </c>
      <c r="AW19" s="277"/>
      <c r="AX19" s="288"/>
      <c r="AY19" s="289"/>
      <c r="AZ19" s="286"/>
      <c r="BA19" s="286"/>
      <c r="BB19" s="286"/>
      <c r="BC19" s="286"/>
      <c r="BD19" s="286"/>
      <c r="BE19" s="286"/>
      <c r="BF19" s="286"/>
      <c r="BG19" s="287">
        <f t="shared" si="5"/>
        <v>0</v>
      </c>
      <c r="BI19" s="277"/>
      <c r="BJ19" s="288"/>
      <c r="BK19" s="289"/>
      <c r="BL19" s="286"/>
      <c r="BM19" s="286"/>
      <c r="BN19" s="286"/>
      <c r="BO19" s="286"/>
      <c r="BP19" s="286"/>
      <c r="BQ19" s="286"/>
      <c r="BR19" s="286"/>
      <c r="BS19" s="287">
        <f t="shared" si="7"/>
        <v>0</v>
      </c>
      <c r="BU19" s="277"/>
      <c r="BV19" s="288"/>
      <c r="BW19" s="289"/>
      <c r="BX19" s="286"/>
      <c r="BY19" s="286"/>
      <c r="BZ19" s="286"/>
      <c r="CA19" s="286"/>
      <c r="CB19" s="286"/>
      <c r="CC19" s="286"/>
      <c r="CD19" s="286"/>
      <c r="CE19" s="287">
        <f t="shared" si="9"/>
        <v>0</v>
      </c>
      <c r="CG19" s="277"/>
      <c r="CH19" s="288"/>
      <c r="CI19" s="289"/>
      <c r="CJ19" s="286"/>
      <c r="CK19" s="286"/>
      <c r="CL19" s="286"/>
      <c r="CM19" s="286"/>
      <c r="CN19" s="286"/>
      <c r="CO19" s="286"/>
      <c r="CP19" s="286"/>
      <c r="CQ19" s="287">
        <f t="shared" si="11"/>
        <v>0</v>
      </c>
      <c r="CS19" s="277"/>
      <c r="CT19" s="288"/>
      <c r="CU19" s="289"/>
      <c r="CV19" s="286"/>
      <c r="CW19" s="286"/>
      <c r="CX19" s="286"/>
      <c r="CY19" s="286"/>
      <c r="CZ19" s="286"/>
      <c r="DA19" s="286"/>
      <c r="DB19" s="286"/>
      <c r="DC19" s="287">
        <f t="shared" si="28"/>
        <v>0</v>
      </c>
    </row>
    <row r="20" spans="3:107" s="21" customFormat="1" ht="13.5" x14ac:dyDescent="0.3">
      <c r="C20" s="277"/>
      <c r="D20" s="277"/>
      <c r="E20" s="278" t="s">
        <v>96</v>
      </c>
      <c r="F20" s="275">
        <f>IRIVER!E5</f>
        <v>181.93526825094207</v>
      </c>
      <c r="G20" s="275">
        <f>IRIVER!F5</f>
        <v>221.37407915999995</v>
      </c>
      <c r="H20" s="275">
        <f>IRIVER!G5</f>
        <v>311.95934999999997</v>
      </c>
      <c r="I20" s="275">
        <f>IRIVER!H5</f>
        <v>446.51615794499997</v>
      </c>
      <c r="J20" s="276">
        <f t="shared" si="14"/>
        <v>0.42021863149953664</v>
      </c>
      <c r="M20" s="262" t="s">
        <v>3320</v>
      </c>
      <c r="N20" s="290"/>
      <c r="O20" s="291"/>
      <c r="P20" s="292">
        <f>SUM(P22,P23,P24,P25,P28,P26,P27)</f>
        <v>595.00432689272077</v>
      </c>
      <c r="Q20" s="292">
        <f>SUM(Q22,Q23,Q24,Q25,Q28,Q26,Q27)</f>
        <v>578.62111219527071</v>
      </c>
      <c r="R20" s="292">
        <f>SUM(R22,R23,R24,R25,R28,R26,R27)</f>
        <v>664.43304591428262</v>
      </c>
      <c r="S20" s="292">
        <f>SUM(S22,S23,S24,S25,S28,S26,S27)</f>
        <v>883.02464950412082</v>
      </c>
      <c r="T20" s="292">
        <f t="shared" ref="T20:V20" si="31">SUM(T22,T23,T24,T25,T28,T26,T27)</f>
        <v>1138.6001443584985</v>
      </c>
      <c r="U20" s="292">
        <f t="shared" si="31"/>
        <v>1469.4770651033793</v>
      </c>
      <c r="V20" s="292">
        <f t="shared" si="31"/>
        <v>1754.7669357890379</v>
      </c>
      <c r="W20" s="293">
        <f t="shared" si="15"/>
        <v>0.24843240628795282</v>
      </c>
      <c r="Y20" s="262" t="s">
        <v>3320</v>
      </c>
      <c r="Z20" s="290"/>
      <c r="AA20" s="291"/>
      <c r="AB20" s="292">
        <f>SUM(AB22,AB23,AB24,AB25,AB28,AB26,AB27)</f>
        <v>322.01658853272073</v>
      </c>
      <c r="AC20" s="292">
        <f>SUM(AC22,AC23,AC24,AC25,AC28,AC26,AC27)</f>
        <v>267.84159081404675</v>
      </c>
      <c r="AD20" s="292">
        <f>SUM(AD22,AD23,AD24,AD25,AD28,AD26,AD27)</f>
        <v>336.98448946776415</v>
      </c>
      <c r="AE20" s="292">
        <f>SUM(AE22,AE23,AE24,AE25,AE28,AE26,AE27)</f>
        <v>462.95301298377819</v>
      </c>
      <c r="AF20" s="292">
        <f t="shared" ref="AF20:AH20" si="32">SUM(AF22,AF23,AF24,AF25,AF28,AF26,AF27)</f>
        <v>556.74344153140964</v>
      </c>
      <c r="AG20" s="292">
        <f t="shared" si="32"/>
        <v>731.49697180697535</v>
      </c>
      <c r="AH20" s="292">
        <f t="shared" si="32"/>
        <v>874.31989471041322</v>
      </c>
      <c r="AI20" s="293">
        <f t="shared" si="16"/>
        <v>0.26694706269012958</v>
      </c>
      <c r="AK20" s="262" t="s">
        <v>3320</v>
      </c>
      <c r="AL20" s="290"/>
      <c r="AM20" s="291"/>
      <c r="AN20" s="292">
        <f>SUM(AN22,AN23,AN24,AN25,AN28,AN26,AN27)</f>
        <v>135.26434873148366</v>
      </c>
      <c r="AO20" s="292">
        <f>SUM(AO22,AO23,AO24,AO25,AO28,AO26,AO27)</f>
        <v>182.60661972760445</v>
      </c>
      <c r="AP20" s="292">
        <f>SUM(AP22,AP23,AP24,AP25,AP28,AP26,AP27)</f>
        <v>159.95171774068518</v>
      </c>
      <c r="AQ20" s="292">
        <f>SUM(AQ22,AQ23,AQ24,AQ25,AQ28,AQ26,AQ27)</f>
        <v>181.75298648753906</v>
      </c>
      <c r="AR20" s="292">
        <f t="shared" ref="AR20:AT20" si="33">SUM(AR22,AR23,AR24,AR25,AR28,AR26,AR27)</f>
        <v>287.20577423611161</v>
      </c>
      <c r="AS20" s="292">
        <f t="shared" si="33"/>
        <v>369.54439948186393</v>
      </c>
      <c r="AT20" s="292">
        <f t="shared" si="33"/>
        <v>448.8507593584838</v>
      </c>
      <c r="AU20" s="293">
        <f t="shared" si="17"/>
        <v>0.19706322601023962</v>
      </c>
      <c r="AW20" s="262" t="s">
        <v>3320</v>
      </c>
      <c r="AX20" s="290"/>
      <c r="AY20" s="291"/>
      <c r="AZ20" s="292">
        <f>SUM(AZ22,AZ23,AZ24,AZ25,AZ28,AZ26,AZ27)</f>
        <v>11.021749870000008</v>
      </c>
      <c r="BA20" s="292">
        <f>SUM(BA22,BA23,BA24,BA25,BA28,BA26,BA27)</f>
        <v>-4.2125875199999978</v>
      </c>
      <c r="BB20" s="292">
        <f>SUM(BB22,BB23,BB24,BB25,BB28,BB26,BB27)</f>
        <v>1.4549805949999914</v>
      </c>
      <c r="BC20" s="292">
        <f>SUM(BC22,BC23,BC24,BC25,BC28,BC26,BC27)</f>
        <v>26.902309336110786</v>
      </c>
      <c r="BD20" s="292">
        <f t="shared" ref="BD20:BF20" si="34">SUM(BD22,BD23,BD24,BD25,BD28,BD26,BD27)</f>
        <v>36.489835462029532</v>
      </c>
      <c r="BE20" s="292">
        <f t="shared" si="34"/>
        <v>32.569953623617096</v>
      </c>
      <c r="BF20" s="292">
        <f t="shared" si="34"/>
        <v>41.597910524440373</v>
      </c>
      <c r="BG20" s="293"/>
      <c r="BI20" s="262" t="s">
        <v>3320</v>
      </c>
      <c r="BJ20" s="290"/>
      <c r="BK20" s="291"/>
      <c r="BL20" s="292">
        <f>SUM(BL22,BL23,BL24,BL25,BL28,BL26,BL27)</f>
        <v>119.08365872851631</v>
      </c>
      <c r="BM20" s="292">
        <f>SUM(BM22,BM23,BM24,BM25,BM28,BM26,BM27)</f>
        <v>117.41539408999999</v>
      </c>
      <c r="BN20" s="292">
        <f>SUM(BN22,BN23,BN24,BN25,BN28,BN26,BN27)</f>
        <v>147.9481781443333</v>
      </c>
      <c r="BO20" s="292">
        <f>SUM(BO22,BO23,BO24,BO25,BO28,BO26,BO27)</f>
        <v>183.75266183643802</v>
      </c>
      <c r="BP20" s="292">
        <f t="shared" ref="BP20:BR20" si="35">SUM(BP22,BP23,BP24,BP25,BP28,BP26,BP27)</f>
        <v>223.40297995585456</v>
      </c>
      <c r="BQ20" s="292">
        <f t="shared" si="35"/>
        <v>277.54875699675347</v>
      </c>
      <c r="BR20" s="292">
        <f t="shared" si="35"/>
        <v>310.93533638546756</v>
      </c>
      <c r="BS20" s="293">
        <f t="shared" si="7"/>
        <v>0.21503561486495526</v>
      </c>
      <c r="BU20" s="262" t="s">
        <v>3320</v>
      </c>
      <c r="BV20" s="290"/>
      <c r="BW20" s="291"/>
      <c r="BX20" s="292">
        <f>BX4-BX12</f>
        <v>10.690984330000003</v>
      </c>
      <c r="BY20" s="292">
        <f>SUM(BY22,BY23,BY24,BY25,BY28,BY26,BY27)</f>
        <v>28.085103382159808</v>
      </c>
      <c r="BZ20" s="292">
        <f>SUM(BZ22,BZ23,BZ24,BZ25,BZ28,BZ26,BZ27)</f>
        <v>31.716785368500002</v>
      </c>
      <c r="CA20" s="292">
        <f>SUM(CA22,CA23,CA24,CA25,CA28,CA26,CA27)</f>
        <v>39.48840686025477</v>
      </c>
      <c r="CB20" s="292">
        <f t="shared" ref="CB20:CD20" si="36">SUM(CB22,CB23,CB24,CB25,CB28,CB26,CB27)</f>
        <v>45.500125173093181</v>
      </c>
      <c r="CC20" s="292">
        <f t="shared" si="36"/>
        <v>50.281696394169302</v>
      </c>
      <c r="CD20" s="292">
        <f t="shared" si="36"/>
        <v>56.331104610232657</v>
      </c>
      <c r="CE20" s="293">
        <f t="shared" si="9"/>
        <v>0.14935568455569581</v>
      </c>
      <c r="CG20" s="262" t="s">
        <v>3320</v>
      </c>
      <c r="CH20" s="290"/>
      <c r="CI20" s="291"/>
      <c r="CJ20" s="292">
        <f>CJ4-CJ12</f>
        <v>-3.0730032999999994</v>
      </c>
      <c r="CK20" s="292">
        <f>SUM(CK22,CK23,CK24,CK25,CK28,CK26,CK27)</f>
        <v>3.5541914500000003</v>
      </c>
      <c r="CL20" s="292">
        <f>SUM(CL22,CL23,CL24,CL25,CL28,CL26,CL27)</f>
        <v>-1.0081598399999991</v>
      </c>
      <c r="CM20" s="292">
        <f>SUM(CM22,CM23,CM24,CM25,CM28,CM26,CM27)</f>
        <v>1.5960720000000026</v>
      </c>
      <c r="CN20" s="292">
        <f t="shared" ref="CN20:CP20" si="37">SUM(CN22,CN23,CN24,CN25,CN28,CN26,CN27)</f>
        <v>7.7049880000000002</v>
      </c>
      <c r="CO20" s="292">
        <f t="shared" si="37"/>
        <v>12.8020868</v>
      </c>
      <c r="CP20" s="292">
        <f t="shared" si="37"/>
        <v>20.073930200000003</v>
      </c>
      <c r="CQ20" s="293">
        <f t="shared" si="11"/>
        <v>0.41376855667863532</v>
      </c>
      <c r="CS20" s="262" t="s">
        <v>3320</v>
      </c>
      <c r="CT20" s="290"/>
      <c r="CU20" s="291"/>
      <c r="CV20" s="292">
        <f>SUM(CV22,CV23,CV24,CV25,CV28,CV26,CV27)</f>
        <v>0</v>
      </c>
      <c r="CW20" s="292">
        <f>SUM(CW22,CW23,CW24,CW25,CW28,CW26,CW27)</f>
        <v>0</v>
      </c>
      <c r="CX20" s="292">
        <f>SUM(CX22,CX23,CX24,CX25,CX28,CX26,CX27)</f>
        <v>0</v>
      </c>
      <c r="CY20" s="292">
        <f>SUM(CY22,CY23,CY24,CY25,CY28,CY26,CY27)</f>
        <v>0</v>
      </c>
      <c r="CZ20" s="292">
        <f t="shared" ref="CZ20:DB20" si="38">SUM(CZ22,CZ23,CZ24,CZ25,CZ28,CZ26,CZ27)</f>
        <v>0</v>
      </c>
      <c r="DA20" s="292">
        <f t="shared" si="38"/>
        <v>0</v>
      </c>
      <c r="DB20" s="292">
        <f t="shared" si="38"/>
        <v>0</v>
      </c>
      <c r="DC20" s="293">
        <f>IFERROR((CY20/CW20)^(1/2)-1,0)</f>
        <v>0</v>
      </c>
    </row>
    <row r="21" spans="3:107" s="21" customFormat="1" ht="13.5" x14ac:dyDescent="0.3">
      <c r="C21" s="277"/>
      <c r="D21" s="277"/>
      <c r="E21" s="294" t="s">
        <v>98</v>
      </c>
      <c r="F21" s="295">
        <f>IRIVER!E6</f>
        <v>174.14993767757423</v>
      </c>
      <c r="G21" s="295">
        <f>IRIVER!F6</f>
        <v>127.80878485</v>
      </c>
      <c r="H21" s="295">
        <f>IRIVER!G6</f>
        <v>132.8059744</v>
      </c>
      <c r="I21" s="295">
        <f>IRIVER!H6</f>
        <v>133.64300898848529</v>
      </c>
      <c r="J21" s="296"/>
      <c r="M21" s="297"/>
      <c r="N21" s="298" t="s">
        <v>3321</v>
      </c>
      <c r="O21" s="299"/>
      <c r="P21" s="300">
        <f>P20/P4</f>
        <v>0.24366574784773615</v>
      </c>
      <c r="Q21" s="300">
        <f t="shared" ref="Q21:V21" si="39">Q20/Q4</f>
        <v>0.21334824799866886</v>
      </c>
      <c r="R21" s="300">
        <f t="shared" si="39"/>
        <v>0.22976292933653336</v>
      </c>
      <c r="S21" s="300">
        <f t="shared" si="39"/>
        <v>0.23132481123431417</v>
      </c>
      <c r="T21" s="300">
        <f t="shared" si="39"/>
        <v>0.2337703441227636</v>
      </c>
      <c r="U21" s="300">
        <f t="shared" si="39"/>
        <v>0.24086331436713687</v>
      </c>
      <c r="V21" s="300">
        <f t="shared" si="39"/>
        <v>0.24343193751913475</v>
      </c>
      <c r="W21" s="300"/>
      <c r="Y21" s="297"/>
      <c r="Z21" s="298" t="s">
        <v>3321</v>
      </c>
      <c r="AA21" s="299"/>
      <c r="AB21" s="300">
        <f>AB20/AB4</f>
        <v>0.2484441852584546</v>
      </c>
      <c r="AC21" s="300">
        <f t="shared" ref="AC21:AH21" si="40">AC20/AC4</f>
        <v>0.22750220804475982</v>
      </c>
      <c r="AD21" s="300">
        <f t="shared" si="40"/>
        <v>0.26108747018685052</v>
      </c>
      <c r="AE21" s="300">
        <f t="shared" si="40"/>
        <v>0.27009407850097705</v>
      </c>
      <c r="AF21" s="300">
        <f t="shared" si="40"/>
        <v>0.27215396743911735</v>
      </c>
      <c r="AG21" s="300">
        <f t="shared" si="40"/>
        <v>0.28610231589574114</v>
      </c>
      <c r="AH21" s="300">
        <f t="shared" si="40"/>
        <v>0.29059126815637498</v>
      </c>
      <c r="AI21" s="300"/>
      <c r="AK21" s="297"/>
      <c r="AL21" s="298" t="s">
        <v>3321</v>
      </c>
      <c r="AM21" s="299"/>
      <c r="AN21" s="300">
        <f>AN20/AN4</f>
        <v>0.23867236048982032</v>
      </c>
      <c r="AO21" s="300">
        <f t="shared" ref="AO21:AT21" si="41">AO20/AO4</f>
        <v>0.20409282061859921</v>
      </c>
      <c r="AP21" s="300">
        <f t="shared" si="41"/>
        <v>0.21636760854434509</v>
      </c>
      <c r="AQ21" s="300">
        <f t="shared" si="41"/>
        <v>0.19649897794829971</v>
      </c>
      <c r="AR21" s="300">
        <f t="shared" si="41"/>
        <v>0.20157970540437589</v>
      </c>
      <c r="AS21" s="300">
        <f t="shared" si="41"/>
        <v>0.20004080597482837</v>
      </c>
      <c r="AT21" s="300">
        <f t="shared" si="41"/>
        <v>0.19947326348886624</v>
      </c>
      <c r="AU21" s="300"/>
      <c r="AW21" s="297"/>
      <c r="AX21" s="298" t="s">
        <v>3321</v>
      </c>
      <c r="AY21" s="299"/>
      <c r="AZ21" s="300">
        <f>AZ20/AZ4</f>
        <v>0.12518569024477194</v>
      </c>
      <c r="BA21" s="300">
        <f t="shared" ref="BA21:BF21" si="42">BA20/BA4</f>
        <v>-5.805995756950677E-2</v>
      </c>
      <c r="BB21" s="300">
        <f t="shared" si="42"/>
        <v>1.00575506599707E-2</v>
      </c>
      <c r="BC21" s="300">
        <f t="shared" si="42"/>
        <v>9.8130774197363282E-2</v>
      </c>
      <c r="BD21" s="300">
        <f t="shared" si="42"/>
        <v>0.16338809159817774</v>
      </c>
      <c r="BE21" s="300">
        <f t="shared" si="42"/>
        <v>0.14541098432279959</v>
      </c>
      <c r="BF21" s="300">
        <f t="shared" si="42"/>
        <v>0.11221325790978487</v>
      </c>
      <c r="BG21" s="300"/>
      <c r="BI21" s="297"/>
      <c r="BJ21" s="298" t="s">
        <v>3321</v>
      </c>
      <c r="BK21" s="299"/>
      <c r="BL21" s="300">
        <f>BL20/BL4</f>
        <v>0.26619514001532862</v>
      </c>
      <c r="BM21" s="300">
        <f t="shared" ref="BM21:BR21" si="43">BM20/BM4</f>
        <v>0.28677963587396216</v>
      </c>
      <c r="BN21" s="300">
        <f t="shared" si="43"/>
        <v>0.28094986590228477</v>
      </c>
      <c r="BO21" s="300">
        <f t="shared" si="43"/>
        <v>0.27690951917884477</v>
      </c>
      <c r="BP21" s="300">
        <f t="shared" si="43"/>
        <v>0.27494509815007273</v>
      </c>
      <c r="BQ21" s="300">
        <f t="shared" si="43"/>
        <v>0.27725972709717595</v>
      </c>
      <c r="BR21" s="300">
        <f t="shared" si="43"/>
        <v>0.27663241694717244</v>
      </c>
      <c r="BS21" s="300"/>
      <c r="BU21" s="297"/>
      <c r="BV21" s="298" t="s">
        <v>3321</v>
      </c>
      <c r="BW21" s="299"/>
      <c r="BX21" s="300">
        <f>BX20/BX4</f>
        <v>0.26201330856728905</v>
      </c>
      <c r="BY21" s="300">
        <f t="shared" ref="BY21:CD21" si="44">BY20/BY4</f>
        <v>0.17180804399270061</v>
      </c>
      <c r="BZ21" s="300">
        <f t="shared" si="44"/>
        <v>0.16961796245307162</v>
      </c>
      <c r="CA21" s="300">
        <f t="shared" si="44"/>
        <v>0.16918901113008153</v>
      </c>
      <c r="CB21" s="300">
        <f t="shared" si="44"/>
        <v>0.16898486271101393</v>
      </c>
      <c r="CC21" s="300">
        <f t="shared" si="44"/>
        <v>0.16888053717557455</v>
      </c>
      <c r="CD21" s="300">
        <f t="shared" si="44"/>
        <v>0.16875591204645229</v>
      </c>
      <c r="CE21" s="300"/>
      <c r="CG21" s="297"/>
      <c r="CH21" s="298" t="s">
        <v>3321</v>
      </c>
      <c r="CI21" s="299"/>
      <c r="CJ21" s="300">
        <f>CJ20/CJ4</f>
        <v>-1.0908005466420556</v>
      </c>
      <c r="CK21" s="300">
        <f t="shared" ref="CK21:CP21" si="45">CK20/CK4</f>
        <v>0.169244448223515</v>
      </c>
      <c r="CL21" s="300">
        <f t="shared" si="45"/>
        <v>-6.2135433769691537E-2</v>
      </c>
      <c r="CM21" s="300">
        <f t="shared" si="45"/>
        <v>7.7700102816550473E-2</v>
      </c>
      <c r="CN21" s="300">
        <f t="shared" si="45"/>
        <v>0.22429517931998139</v>
      </c>
      <c r="CO21" s="300">
        <f t="shared" si="45"/>
        <v>0.27983437379778264</v>
      </c>
      <c r="CP21" s="300">
        <f t="shared" si="45"/>
        <v>0.31942476926993829</v>
      </c>
      <c r="CQ21" s="300"/>
      <c r="CS21" s="297"/>
      <c r="CT21" s="298" t="s">
        <v>3321</v>
      </c>
      <c r="CU21" s="299"/>
      <c r="CV21" s="300" t="e">
        <f>CV20/CV4</f>
        <v>#DIV/0!</v>
      </c>
      <c r="CW21" s="300" t="e">
        <f t="shared" ref="CW21:DB21" si="46">CW20/CW4</f>
        <v>#DIV/0!</v>
      </c>
      <c r="CX21" s="300" t="e">
        <f t="shared" si="46"/>
        <v>#DIV/0!</v>
      </c>
      <c r="CY21" s="300" t="e">
        <f t="shared" si="46"/>
        <v>#DIV/0!</v>
      </c>
      <c r="CZ21" s="300" t="e">
        <f t="shared" si="46"/>
        <v>#DIV/0!</v>
      </c>
      <c r="DA21" s="300" t="e">
        <f t="shared" si="46"/>
        <v>#DIV/0!</v>
      </c>
      <c r="DB21" s="300" t="e">
        <f t="shared" si="46"/>
        <v>#DIV/0!</v>
      </c>
      <c r="DC21" s="300"/>
    </row>
    <row r="22" spans="3:107" s="21" customFormat="1" ht="13.5" x14ac:dyDescent="0.3">
      <c r="C22" s="277"/>
      <c r="D22" s="277"/>
      <c r="E22" s="283" t="s">
        <v>100</v>
      </c>
      <c r="F22" s="281">
        <f>IRIVER!E7</f>
        <v>89.163400139999993</v>
      </c>
      <c r="G22" s="281">
        <f>IRIVER!F7</f>
        <v>59.286567020000007</v>
      </c>
      <c r="H22" s="281">
        <f>IRIVER!G7</f>
        <v>81.834599999999995</v>
      </c>
      <c r="I22" s="281">
        <f>IRIVER!H7</f>
        <v>83.424600000000012</v>
      </c>
      <c r="J22" s="282">
        <f t="shared" si="14"/>
        <v>0.18623003171002028</v>
      </c>
      <c r="M22" s="268"/>
      <c r="N22" s="273" t="s">
        <v>3271</v>
      </c>
      <c r="O22" s="274"/>
      <c r="P22" s="275">
        <f>P5-P13</f>
        <v>322.01658853272079</v>
      </c>
      <c r="Q22" s="275">
        <f t="shared" ref="Q22:V28" si="47">Q5-Q13</f>
        <v>267.84159081404675</v>
      </c>
      <c r="R22" s="275">
        <f t="shared" si="47"/>
        <v>336.98448946776409</v>
      </c>
      <c r="S22" s="275">
        <f t="shared" si="47"/>
        <v>462.95301298377831</v>
      </c>
      <c r="T22" s="275">
        <f t="shared" si="47"/>
        <v>556.74344153140964</v>
      </c>
      <c r="U22" s="275">
        <f t="shared" si="47"/>
        <v>731.49697180697513</v>
      </c>
      <c r="V22" s="275">
        <f t="shared" si="47"/>
        <v>874.31989471041379</v>
      </c>
      <c r="W22" s="276">
        <f t="shared" ref="W22:W34" si="48">IFERROR((V22/Q22)^(1/5)-1,0)</f>
        <v>0.2669470626901298</v>
      </c>
      <c r="Y22" s="268"/>
      <c r="Z22" s="273" t="s">
        <v>3300</v>
      </c>
      <c r="AA22" s="274"/>
      <c r="AB22" s="275">
        <f>AB5-AB13</f>
        <v>292.15764369272074</v>
      </c>
      <c r="AC22" s="275">
        <f t="shared" ref="AC22:AH28" si="49">AC5-AC13</f>
        <v>247.94977749404677</v>
      </c>
      <c r="AD22" s="275">
        <f t="shared" si="49"/>
        <v>309.55323988543898</v>
      </c>
      <c r="AE22" s="275">
        <f t="shared" si="49"/>
        <v>404.92789602689186</v>
      </c>
      <c r="AF22" s="275">
        <f t="shared" si="49"/>
        <v>467.51458841241106</v>
      </c>
      <c r="AG22" s="275">
        <f t="shared" si="49"/>
        <v>541.04285893634415</v>
      </c>
      <c r="AH22" s="275">
        <f t="shared" si="49"/>
        <v>629.96781904055979</v>
      </c>
      <c r="AI22" s="276">
        <f t="shared" ref="AI22:AI34" si="50">IFERROR((AH22/AC22)^(1/5)-1,0)</f>
        <v>0.20501076959763442</v>
      </c>
      <c r="AK22" s="268"/>
      <c r="AL22" s="273" t="s">
        <v>77</v>
      </c>
      <c r="AM22" s="274"/>
      <c r="AN22" s="275">
        <f>AN5-AN13</f>
        <v>90.440450529999993</v>
      </c>
      <c r="AO22" s="275">
        <f t="shared" ref="AO22:AT28" si="51">AO5-AO13</f>
        <v>85.817984380000013</v>
      </c>
      <c r="AP22" s="275">
        <f t="shared" si="51"/>
        <v>43.589806054422937</v>
      </c>
      <c r="AQ22" s="275">
        <f t="shared" si="51"/>
        <v>57.838669460722016</v>
      </c>
      <c r="AR22" s="275">
        <f t="shared" si="51"/>
        <v>91.309941129231305</v>
      </c>
      <c r="AS22" s="275">
        <f t="shared" si="51"/>
        <v>114.13201379694566</v>
      </c>
      <c r="AT22" s="275">
        <f t="shared" si="51"/>
        <v>138.43945023730987</v>
      </c>
      <c r="AU22" s="276">
        <f t="shared" ref="AU22:AU35" si="52">IFERROR((AT22/AO22)^(1/5)-1,0)</f>
        <v>0.10036384246332397</v>
      </c>
      <c r="AW22" s="268"/>
      <c r="AX22" s="273" t="s">
        <v>3301</v>
      </c>
      <c r="AY22" s="274"/>
      <c r="AZ22" s="275">
        <f>AZ5-AZ13</f>
        <v>11.021749870000008</v>
      </c>
      <c r="BA22" s="275">
        <f t="shared" ref="BA22:BF28" si="53">BA5-BA13</f>
        <v>5.7990913000000006</v>
      </c>
      <c r="BB22" s="275">
        <f t="shared" si="53"/>
        <v>11.2943</v>
      </c>
      <c r="BC22" s="275">
        <f t="shared" si="53"/>
        <v>15.021703566880007</v>
      </c>
      <c r="BD22" s="275">
        <f t="shared" si="53"/>
        <v>19.983873923567998</v>
      </c>
      <c r="BE22" s="275">
        <f t="shared" si="53"/>
        <v>25.462261315924792</v>
      </c>
      <c r="BF22" s="275">
        <f t="shared" si="53"/>
        <v>31.468487447517305</v>
      </c>
      <c r="BG22" s="276">
        <f t="shared" si="5"/>
        <v>0.40250101587873899</v>
      </c>
      <c r="BI22" s="268"/>
      <c r="BJ22" s="273" t="s">
        <v>96</v>
      </c>
      <c r="BK22" s="274"/>
      <c r="BL22" s="275">
        <f>BL5-BL13</f>
        <v>64.01299444094208</v>
      </c>
      <c r="BM22" s="275">
        <f t="shared" ref="BM22:BR28" si="54">BM5-BM13</f>
        <v>75.423133419999999</v>
      </c>
      <c r="BN22" s="275">
        <f t="shared" si="54"/>
        <v>98.971620044333292</v>
      </c>
      <c r="BO22" s="275">
        <f t="shared" si="54"/>
        <v>134.28210259508427</v>
      </c>
      <c r="BP22" s="275">
        <f t="shared" si="54"/>
        <v>169.59258514583524</v>
      </c>
      <c r="BQ22" s="275">
        <f t="shared" si="54"/>
        <v>216.61355024733723</v>
      </c>
      <c r="BR22" s="275">
        <f t="shared" si="54"/>
        <v>246.02403279808823</v>
      </c>
      <c r="BS22" s="276">
        <f t="shared" ref="BS22:BS34" si="55">IFERROR((BR22/BM22)^(1/5)-1,0)</f>
        <v>0.2667607322937291</v>
      </c>
      <c r="BU22" s="268"/>
      <c r="BV22" s="273" t="s">
        <v>83</v>
      </c>
      <c r="BW22" s="274"/>
      <c r="BX22" s="275">
        <f>BX5-BX13</f>
        <v>0</v>
      </c>
      <c r="BY22" s="275">
        <f t="shared" ref="BY22:CD28" si="56">BY5-BY13</f>
        <v>24.528220216745808</v>
      </c>
      <c r="BZ22" s="275">
        <f t="shared" si="56"/>
        <v>27.786401431000002</v>
      </c>
      <c r="CA22" s="275">
        <f t="shared" si="56"/>
        <v>35.361503725879771</v>
      </c>
      <c r="CB22" s="275">
        <f t="shared" si="56"/>
        <v>41.166876881999428</v>
      </c>
      <c r="CC22" s="275">
        <f t="shared" si="56"/>
        <v>45.731785688520858</v>
      </c>
      <c r="CD22" s="275">
        <f t="shared" si="56"/>
        <v>51.553698369301799</v>
      </c>
      <c r="CE22" s="276">
        <f t="shared" ref="CE22:CE35" si="57">IFERROR((CD22/BY22)^(1/5)-1,0)</f>
        <v>0.16016232444304235</v>
      </c>
      <c r="CG22" s="268"/>
      <c r="CH22" s="273" t="s">
        <v>3302</v>
      </c>
      <c r="CI22" s="274"/>
      <c r="CJ22" s="275">
        <f>CJ5-CJ13</f>
        <v>0</v>
      </c>
      <c r="CK22" s="275">
        <f t="shared" ref="CK22:CP28" si="58">CK5-CK13</f>
        <v>4.0609634700000008</v>
      </c>
      <c r="CL22" s="275">
        <f t="shared" si="58"/>
        <v>-1.2763198399999993</v>
      </c>
      <c r="CM22" s="275">
        <f t="shared" si="58"/>
        <v>-1.4415999999999976</v>
      </c>
      <c r="CN22" s="275">
        <f t="shared" si="58"/>
        <v>-1.5915999999999997</v>
      </c>
      <c r="CO22" s="275">
        <f t="shared" si="58"/>
        <v>-1.7416</v>
      </c>
      <c r="CP22" s="275">
        <f t="shared" si="58"/>
        <v>-1.7416</v>
      </c>
      <c r="CQ22" s="276">
        <f t="shared" ref="CQ22:CQ35" si="59">IFERROR((CP22/CK22)^(1/5)-1,0)</f>
        <v>-1.8442359984287868</v>
      </c>
      <c r="CS22" s="268"/>
      <c r="CT22" s="273"/>
      <c r="CU22" s="274"/>
      <c r="CV22" s="275">
        <f>CV5-CV13</f>
        <v>0</v>
      </c>
      <c r="CW22" s="275">
        <f t="shared" ref="CW22:DB28" si="60">CW5-CW13</f>
        <v>0</v>
      </c>
      <c r="CX22" s="275">
        <f t="shared" si="60"/>
        <v>0</v>
      </c>
      <c r="CY22" s="275">
        <f t="shared" si="60"/>
        <v>0</v>
      </c>
      <c r="CZ22" s="275">
        <f t="shared" si="60"/>
        <v>0</v>
      </c>
      <c r="DA22" s="275">
        <f t="shared" si="60"/>
        <v>0</v>
      </c>
      <c r="DB22" s="275">
        <f t="shared" si="60"/>
        <v>0</v>
      </c>
      <c r="DC22" s="276">
        <f t="shared" ref="DC22:DC28" si="61">IFERROR((CY22/CW22)^(1/2)-1,0)</f>
        <v>0</v>
      </c>
    </row>
    <row r="23" spans="3:107" s="21" customFormat="1" ht="13.5" x14ac:dyDescent="0.3">
      <c r="C23" s="277"/>
      <c r="D23" s="284"/>
      <c r="E23" s="285" t="s">
        <v>103</v>
      </c>
      <c r="F23" s="286">
        <f>IRIVER!E8</f>
        <v>2.1061379800000002</v>
      </c>
      <c r="G23" s="286">
        <f>IRIVER!F8</f>
        <v>0.95780648000000002</v>
      </c>
      <c r="H23" s="286">
        <f>IRIVER!G8</f>
        <v>0</v>
      </c>
      <c r="I23" s="286">
        <f>IRIVER!H8</f>
        <v>0</v>
      </c>
      <c r="J23" s="287">
        <f t="shared" si="14"/>
        <v>-1</v>
      </c>
      <c r="M23" s="277"/>
      <c r="N23" s="279" t="s">
        <v>3272</v>
      </c>
      <c r="O23" s="280"/>
      <c r="P23" s="281">
        <f t="shared" ref="P23:S28" si="62">P6-P14</f>
        <v>135.26434873148361</v>
      </c>
      <c r="Q23" s="281">
        <f t="shared" si="62"/>
        <v>182.60661972760442</v>
      </c>
      <c r="R23" s="281">
        <f t="shared" si="62"/>
        <v>159.95171774068524</v>
      </c>
      <c r="S23" s="281">
        <f t="shared" si="62"/>
        <v>181.75298648753903</v>
      </c>
      <c r="T23" s="281">
        <f t="shared" si="47"/>
        <v>287.20577423611144</v>
      </c>
      <c r="U23" s="281">
        <f t="shared" si="47"/>
        <v>369.54439948186405</v>
      </c>
      <c r="V23" s="281">
        <f t="shared" si="47"/>
        <v>448.85075935848386</v>
      </c>
      <c r="W23" s="282">
        <f t="shared" si="48"/>
        <v>0.19706322601023962</v>
      </c>
      <c r="Y23" s="277"/>
      <c r="Z23" s="279" t="s">
        <v>1527</v>
      </c>
      <c r="AA23" s="280"/>
      <c r="AB23" s="281">
        <f t="shared" ref="AB23:AE28" si="63">AB6-AB14</f>
        <v>29.858944839999999</v>
      </c>
      <c r="AC23" s="281">
        <f t="shared" si="63"/>
        <v>19.891813320000001</v>
      </c>
      <c r="AD23" s="281">
        <f t="shared" si="63"/>
        <v>19.010000000000002</v>
      </c>
      <c r="AE23" s="281">
        <f t="shared" si="63"/>
        <v>20.036540000000002</v>
      </c>
      <c r="AF23" s="281">
        <f t="shared" si="49"/>
        <v>21.118513160000003</v>
      </c>
      <c r="AG23" s="281">
        <f t="shared" si="49"/>
        <v>22.258912870640003</v>
      </c>
      <c r="AH23" s="281">
        <f t="shared" si="49"/>
        <v>23.460894165654565</v>
      </c>
      <c r="AI23" s="282">
        <f t="shared" si="50"/>
        <v>3.3556058590762161E-2</v>
      </c>
      <c r="AK23" s="277"/>
      <c r="AL23" s="279" t="s">
        <v>80</v>
      </c>
      <c r="AM23" s="280"/>
      <c r="AN23" s="281">
        <f t="shared" ref="AN23:AQ28" si="64">AN6-AN14</f>
        <v>38.85196123999998</v>
      </c>
      <c r="AO23" s="281">
        <f t="shared" si="64"/>
        <v>58.809753017604407</v>
      </c>
      <c r="AP23" s="281">
        <f t="shared" si="64"/>
        <v>94.981911686262265</v>
      </c>
      <c r="AQ23" s="281">
        <f t="shared" si="64"/>
        <v>108.76985637198368</v>
      </c>
      <c r="AR23" s="281">
        <f t="shared" si="51"/>
        <v>163.57764551345247</v>
      </c>
      <c r="AS23" s="281">
        <f t="shared" si="51"/>
        <v>210.26418350214044</v>
      </c>
      <c r="AT23" s="281">
        <f t="shared" si="51"/>
        <v>257.04828672011831</v>
      </c>
      <c r="AU23" s="282">
        <f t="shared" si="52"/>
        <v>0.34311460491025469</v>
      </c>
      <c r="AW23" s="277"/>
      <c r="AX23" s="279" t="s">
        <v>3304</v>
      </c>
      <c r="AY23" s="280"/>
      <c r="AZ23" s="281">
        <f t="shared" ref="AZ23:BC28" si="65">AZ6-AZ14</f>
        <v>0</v>
      </c>
      <c r="BA23" s="281">
        <f t="shared" si="65"/>
        <v>-7.5673985899999989</v>
      </c>
      <c r="BB23" s="281">
        <f t="shared" si="65"/>
        <v>4.8000000000000007</v>
      </c>
      <c r="BC23" s="281">
        <f t="shared" si="65"/>
        <v>5.5692307692307672</v>
      </c>
      <c r="BD23" s="281">
        <f t="shared" si="53"/>
        <v>6.3384615384615337</v>
      </c>
      <c r="BE23" s="281">
        <f t="shared" si="53"/>
        <v>7.1076923076923038</v>
      </c>
      <c r="BF23" s="281">
        <f t="shared" si="53"/>
        <v>7.8769230769230703</v>
      </c>
      <c r="BG23" s="282">
        <f t="shared" si="5"/>
        <v>-2.0080498258248616</v>
      </c>
      <c r="BI23" s="277"/>
      <c r="BJ23" s="279" t="s">
        <v>98</v>
      </c>
      <c r="BK23" s="280"/>
      <c r="BL23" s="281">
        <f t="shared" ref="BL23:BO28" si="66">BL6-BL14</f>
        <v>32.791701907574236</v>
      </c>
      <c r="BM23" s="281">
        <f t="shared" si="66"/>
        <v>28.618011739999986</v>
      </c>
      <c r="BN23" s="281">
        <f t="shared" si="66"/>
        <v>34.859032100000007</v>
      </c>
      <c r="BO23" s="281">
        <f t="shared" si="66"/>
        <v>35.078737694726783</v>
      </c>
      <c r="BP23" s="281">
        <f t="shared" si="54"/>
        <v>40.494536360444187</v>
      </c>
      <c r="BQ23" s="281">
        <f t="shared" si="54"/>
        <v>45.682614725147744</v>
      </c>
      <c r="BR23" s="281">
        <f t="shared" si="54"/>
        <v>49.077691490702875</v>
      </c>
      <c r="BS23" s="282">
        <f t="shared" si="55"/>
        <v>0.11390700155940414</v>
      </c>
      <c r="BU23" s="277"/>
      <c r="BV23" s="279" t="s">
        <v>3305</v>
      </c>
      <c r="BW23" s="280"/>
      <c r="BX23" s="281">
        <f t="shared" ref="BX23:CA28" si="67">BX6-BX14</f>
        <v>0</v>
      </c>
      <c r="BY23" s="281">
        <f t="shared" si="67"/>
        <v>3.5568831654140007</v>
      </c>
      <c r="BZ23" s="281">
        <f t="shared" si="67"/>
        <v>3.9303839375000003</v>
      </c>
      <c r="CA23" s="281">
        <f t="shared" si="67"/>
        <v>4.1269031343750022</v>
      </c>
      <c r="CB23" s="281">
        <f t="shared" si="56"/>
        <v>4.3332482910937493</v>
      </c>
      <c r="CC23" s="281">
        <f t="shared" si="56"/>
        <v>4.5499107056484398</v>
      </c>
      <c r="CD23" s="281">
        <f t="shared" si="56"/>
        <v>4.777406240930862</v>
      </c>
      <c r="CE23" s="282">
        <f t="shared" si="57"/>
        <v>6.0778025440930916E-2</v>
      </c>
      <c r="CG23" s="277"/>
      <c r="CH23" s="279" t="s">
        <v>3306</v>
      </c>
      <c r="CI23" s="280"/>
      <c r="CJ23" s="281">
        <f t="shared" ref="CJ23:CM28" si="68">CJ6-CJ14</f>
        <v>0</v>
      </c>
      <c r="CK23" s="281">
        <f t="shared" si="68"/>
        <v>0.21319999999999995</v>
      </c>
      <c r="CL23" s="281">
        <f t="shared" si="68"/>
        <v>1.1901600000000001</v>
      </c>
      <c r="CM23" s="281">
        <f t="shared" si="68"/>
        <v>1.5361920000000002</v>
      </c>
      <c r="CN23" s="281">
        <f t="shared" si="58"/>
        <v>3</v>
      </c>
      <c r="CO23" s="281">
        <f t="shared" si="58"/>
        <v>4.5</v>
      </c>
      <c r="CP23" s="281">
        <f t="shared" si="58"/>
        <v>6.7500000000000018</v>
      </c>
      <c r="CQ23" s="282">
        <f t="shared" si="59"/>
        <v>0.99573702521481056</v>
      </c>
      <c r="CS23" s="277"/>
      <c r="CT23" s="279"/>
      <c r="CU23" s="280"/>
      <c r="CV23" s="281">
        <f t="shared" ref="CV23:CY28" si="69">CV6-CV14</f>
        <v>0</v>
      </c>
      <c r="CW23" s="281">
        <f t="shared" si="69"/>
        <v>0</v>
      </c>
      <c r="CX23" s="281">
        <f t="shared" si="69"/>
        <v>0</v>
      </c>
      <c r="CY23" s="281">
        <f t="shared" si="69"/>
        <v>0</v>
      </c>
      <c r="CZ23" s="281">
        <f t="shared" si="60"/>
        <v>0</v>
      </c>
      <c r="DA23" s="281">
        <f t="shared" si="60"/>
        <v>0</v>
      </c>
      <c r="DB23" s="281">
        <f t="shared" si="60"/>
        <v>0</v>
      </c>
      <c r="DC23" s="282">
        <f t="shared" si="61"/>
        <v>0</v>
      </c>
    </row>
    <row r="24" spans="3:107" s="21" customFormat="1" ht="13.5" x14ac:dyDescent="0.3">
      <c r="C24" s="277"/>
      <c r="D24" s="269" t="s">
        <v>3313</v>
      </c>
      <c r="E24" s="270"/>
      <c r="F24" s="271">
        <f>LDC!E4</f>
        <v>40.803211060000002</v>
      </c>
      <c r="G24" s="271">
        <f>LDC!F4</f>
        <v>154.05006992503999</v>
      </c>
      <c r="H24" s="271">
        <f>LDC!G4</f>
        <v>187.09699793799999</v>
      </c>
      <c r="I24" s="271">
        <f>LDC!H4</f>
        <v>233.39817755595237</v>
      </c>
      <c r="J24" s="272">
        <f t="shared" si="14"/>
        <v>0.23088585356686431</v>
      </c>
      <c r="M24" s="277"/>
      <c r="N24" s="279" t="s">
        <v>208</v>
      </c>
      <c r="O24" s="280"/>
      <c r="P24" s="281">
        <f t="shared" si="62"/>
        <v>11.021749870000008</v>
      </c>
      <c r="Q24" s="281">
        <f t="shared" si="62"/>
        <v>-4.2125875199999996</v>
      </c>
      <c r="R24" s="281">
        <f t="shared" si="62"/>
        <v>1.454980594999995</v>
      </c>
      <c r="S24" s="281">
        <f t="shared" si="62"/>
        <v>26.902309336110818</v>
      </c>
      <c r="T24" s="281">
        <f t="shared" si="47"/>
        <v>32.394835462029505</v>
      </c>
      <c r="U24" s="281">
        <f t="shared" si="47"/>
        <v>43.551953623617123</v>
      </c>
      <c r="V24" s="281">
        <f t="shared" si="47"/>
        <v>62.099910524440361</v>
      </c>
      <c r="W24" s="282">
        <f t="shared" si="48"/>
        <v>-2.7128069145593514</v>
      </c>
      <c r="Y24" s="277"/>
      <c r="Z24" s="279" t="s">
        <v>67</v>
      </c>
      <c r="AA24" s="280"/>
      <c r="AB24" s="281">
        <f t="shared" si="63"/>
        <v>0</v>
      </c>
      <c r="AC24" s="281">
        <f t="shared" si="63"/>
        <v>0</v>
      </c>
      <c r="AD24" s="281">
        <f t="shared" si="63"/>
        <v>8.4212495823251583</v>
      </c>
      <c r="AE24" s="281">
        <f t="shared" si="63"/>
        <v>17.988576956886359</v>
      </c>
      <c r="AF24" s="281">
        <f t="shared" si="49"/>
        <v>46.110339958998537</v>
      </c>
      <c r="AG24" s="281">
        <f t="shared" si="49"/>
        <v>118.19519999999125</v>
      </c>
      <c r="AH24" s="281">
        <f t="shared" si="49"/>
        <v>141.83423999998951</v>
      </c>
      <c r="AI24" s="282">
        <f t="shared" si="50"/>
        <v>0</v>
      </c>
      <c r="AK24" s="277"/>
      <c r="AL24" s="279" t="s">
        <v>83</v>
      </c>
      <c r="AM24" s="280"/>
      <c r="AN24" s="281">
        <f t="shared" si="64"/>
        <v>5.9719369614836921</v>
      </c>
      <c r="AO24" s="281">
        <f t="shared" si="64"/>
        <v>37.978882330000033</v>
      </c>
      <c r="AP24" s="281">
        <f t="shared" si="64"/>
        <v>18.379999999999995</v>
      </c>
      <c r="AQ24" s="281">
        <f t="shared" si="64"/>
        <v>8.1444606548333525</v>
      </c>
      <c r="AR24" s="281">
        <f t="shared" si="51"/>
        <v>19.818187593427837</v>
      </c>
      <c r="AS24" s="281">
        <f t="shared" si="51"/>
        <v>27.148202182777851</v>
      </c>
      <c r="AT24" s="281">
        <f t="shared" si="51"/>
        <v>29.86302240105563</v>
      </c>
      <c r="AU24" s="282">
        <f t="shared" si="52"/>
        <v>-4.6944227742347522E-2</v>
      </c>
      <c r="AW24" s="277"/>
      <c r="AX24" s="279" t="s">
        <v>92</v>
      </c>
      <c r="AY24" s="280"/>
      <c r="AZ24" s="281">
        <f t="shared" si="65"/>
        <v>0</v>
      </c>
      <c r="BA24" s="281">
        <f t="shared" si="65"/>
        <v>-2.4442802299999999</v>
      </c>
      <c r="BB24" s="281">
        <f t="shared" si="65"/>
        <v>-14.639319405000009</v>
      </c>
      <c r="BC24" s="281">
        <f t="shared" si="65"/>
        <v>6.3113750000000124</v>
      </c>
      <c r="BD24" s="281">
        <f t="shared" si="53"/>
        <v>10.1675</v>
      </c>
      <c r="BE24" s="281">
        <f t="shared" si="53"/>
        <v>0</v>
      </c>
      <c r="BF24" s="281">
        <f t="shared" si="53"/>
        <v>2.2524999999999977</v>
      </c>
      <c r="BG24" s="282">
        <f t="shared" si="5"/>
        <v>-1.98379080908341</v>
      </c>
      <c r="BI24" s="277"/>
      <c r="BJ24" s="279" t="s">
        <v>100</v>
      </c>
      <c r="BK24" s="280"/>
      <c r="BL24" s="281">
        <f t="shared" si="66"/>
        <v>21.83579146999999</v>
      </c>
      <c r="BM24" s="281">
        <f t="shared" si="66"/>
        <v>13.203920940000003</v>
      </c>
      <c r="BN24" s="281">
        <f t="shared" si="66"/>
        <v>14.117525999999998</v>
      </c>
      <c r="BO24" s="281">
        <f t="shared" si="66"/>
        <v>14.391821546626971</v>
      </c>
      <c r="BP24" s="281">
        <f t="shared" si="54"/>
        <v>13.315858449575117</v>
      </c>
      <c r="BQ24" s="281">
        <f t="shared" si="54"/>
        <v>15.252592024268466</v>
      </c>
      <c r="BR24" s="281">
        <f t="shared" si="54"/>
        <v>15.833612096676461</v>
      </c>
      <c r="BS24" s="282">
        <f t="shared" si="55"/>
        <v>3.6992026681366807E-2</v>
      </c>
      <c r="BU24" s="277"/>
      <c r="BV24" s="279"/>
      <c r="BW24" s="280"/>
      <c r="BX24" s="281">
        <f t="shared" si="67"/>
        <v>0</v>
      </c>
      <c r="BY24" s="281">
        <f t="shared" si="67"/>
        <v>0</v>
      </c>
      <c r="BZ24" s="281">
        <f t="shared" si="67"/>
        <v>0</v>
      </c>
      <c r="CA24" s="281">
        <f t="shared" si="67"/>
        <v>0</v>
      </c>
      <c r="CB24" s="281">
        <f t="shared" si="56"/>
        <v>0</v>
      </c>
      <c r="CC24" s="281">
        <f t="shared" si="56"/>
        <v>0</v>
      </c>
      <c r="CD24" s="281">
        <f t="shared" si="56"/>
        <v>0</v>
      </c>
      <c r="CE24" s="282">
        <f t="shared" si="57"/>
        <v>0</v>
      </c>
      <c r="CG24" s="277"/>
      <c r="CH24" s="279" t="s">
        <v>71</v>
      </c>
      <c r="CI24" s="280"/>
      <c r="CJ24" s="281">
        <f t="shared" si="68"/>
        <v>0</v>
      </c>
      <c r="CK24" s="281">
        <f t="shared" si="68"/>
        <v>-0.71997201999999993</v>
      </c>
      <c r="CL24" s="281">
        <f t="shared" si="68"/>
        <v>-0.92199999999999993</v>
      </c>
      <c r="CM24" s="281">
        <f t="shared" si="68"/>
        <v>1.5014799999999999</v>
      </c>
      <c r="CN24" s="281">
        <f t="shared" si="58"/>
        <v>6.2965879999999999</v>
      </c>
      <c r="CO24" s="281">
        <f t="shared" si="58"/>
        <v>10.0436868</v>
      </c>
      <c r="CP24" s="281">
        <f t="shared" si="58"/>
        <v>15.065530200000001</v>
      </c>
      <c r="CQ24" s="282">
        <f t="shared" si="59"/>
        <v>-2.8371040740662701</v>
      </c>
      <c r="CS24" s="277"/>
      <c r="CT24" s="279"/>
      <c r="CU24" s="280"/>
      <c r="CV24" s="281">
        <f t="shared" si="69"/>
        <v>0</v>
      </c>
      <c r="CW24" s="281">
        <f t="shared" si="69"/>
        <v>0</v>
      </c>
      <c r="CX24" s="281">
        <f t="shared" si="69"/>
        <v>0</v>
      </c>
      <c r="CY24" s="281">
        <f t="shared" si="69"/>
        <v>0</v>
      </c>
      <c r="CZ24" s="281">
        <f t="shared" si="60"/>
        <v>0</v>
      </c>
      <c r="DA24" s="281">
        <f t="shared" si="60"/>
        <v>0</v>
      </c>
      <c r="DB24" s="281">
        <f t="shared" si="60"/>
        <v>0</v>
      </c>
      <c r="DC24" s="282">
        <f t="shared" si="61"/>
        <v>0</v>
      </c>
    </row>
    <row r="25" spans="3:107" s="21" customFormat="1" ht="13.5" x14ac:dyDescent="0.3">
      <c r="C25" s="277"/>
      <c r="D25" s="269" t="s">
        <v>3316</v>
      </c>
      <c r="E25" s="270"/>
      <c r="F25" s="271">
        <f>돌핀!E4</f>
        <v>2.8172000000000001</v>
      </c>
      <c r="G25" s="271">
        <f>돌핀!F4</f>
        <v>4.0260976100000008</v>
      </c>
      <c r="H25" s="271">
        <f>돌핀!G4</f>
        <v>3.5027999999999988</v>
      </c>
      <c r="I25" s="271">
        <f>돌핀!H4</f>
        <v>7.1206400000000016</v>
      </c>
      <c r="J25" s="272">
        <f t="shared" si="14"/>
        <v>0.32989503570463596</v>
      </c>
      <c r="M25" s="277"/>
      <c r="N25" s="279" t="s">
        <v>3309</v>
      </c>
      <c r="O25" s="280"/>
      <c r="P25" s="281">
        <f t="shared" si="62"/>
        <v>119.08365872851635</v>
      </c>
      <c r="Q25" s="281">
        <f t="shared" si="62"/>
        <v>117.41539408999995</v>
      </c>
      <c r="R25" s="281">
        <f t="shared" si="62"/>
        <v>147.94817814433327</v>
      </c>
      <c r="S25" s="281">
        <f t="shared" si="62"/>
        <v>183.75266183643805</v>
      </c>
      <c r="T25" s="281">
        <f t="shared" si="47"/>
        <v>223.40297995585456</v>
      </c>
      <c r="U25" s="281">
        <f t="shared" si="47"/>
        <v>277.54875699675347</v>
      </c>
      <c r="V25" s="281">
        <f t="shared" si="47"/>
        <v>310.93533638546751</v>
      </c>
      <c r="W25" s="282">
        <f t="shared" si="48"/>
        <v>0.21503561486495526</v>
      </c>
      <c r="Y25" s="277"/>
      <c r="Z25" s="279" t="s">
        <v>3310</v>
      </c>
      <c r="AA25" s="280"/>
      <c r="AB25" s="281">
        <f t="shared" si="63"/>
        <v>0</v>
      </c>
      <c r="AC25" s="281">
        <f t="shared" si="63"/>
        <v>0</v>
      </c>
      <c r="AD25" s="281">
        <f t="shared" si="63"/>
        <v>0</v>
      </c>
      <c r="AE25" s="281">
        <f t="shared" si="63"/>
        <v>0</v>
      </c>
      <c r="AF25" s="281">
        <f t="shared" si="49"/>
        <v>0</v>
      </c>
      <c r="AG25" s="281">
        <f t="shared" si="49"/>
        <v>0</v>
      </c>
      <c r="AH25" s="281">
        <f t="shared" si="49"/>
        <v>0</v>
      </c>
      <c r="AI25" s="282">
        <f t="shared" si="50"/>
        <v>0</v>
      </c>
      <c r="AK25" s="277"/>
      <c r="AL25" s="279" t="s">
        <v>3317</v>
      </c>
      <c r="AM25" s="280"/>
      <c r="AN25" s="281">
        <f t="shared" si="64"/>
        <v>0</v>
      </c>
      <c r="AO25" s="281">
        <f t="shared" si="64"/>
        <v>0</v>
      </c>
      <c r="AP25" s="281">
        <f t="shared" si="64"/>
        <v>3</v>
      </c>
      <c r="AQ25" s="281">
        <f t="shared" si="64"/>
        <v>3</v>
      </c>
      <c r="AR25" s="281">
        <f t="shared" si="51"/>
        <v>4.5</v>
      </c>
      <c r="AS25" s="281">
        <f t="shared" si="51"/>
        <v>6</v>
      </c>
      <c r="AT25" s="281">
        <f t="shared" si="51"/>
        <v>7.5</v>
      </c>
      <c r="AU25" s="282">
        <f t="shared" si="52"/>
        <v>0</v>
      </c>
      <c r="AW25" s="277"/>
      <c r="AX25" s="279"/>
      <c r="AY25" s="280"/>
      <c r="AZ25" s="281">
        <f t="shared" si="65"/>
        <v>0</v>
      </c>
      <c r="BA25" s="281">
        <f t="shared" si="65"/>
        <v>0</v>
      </c>
      <c r="BB25" s="281">
        <f t="shared" si="65"/>
        <v>0</v>
      </c>
      <c r="BC25" s="281">
        <f t="shared" si="65"/>
        <v>0</v>
      </c>
      <c r="BD25" s="281">
        <f t="shared" si="53"/>
        <v>0</v>
      </c>
      <c r="BE25" s="281">
        <f t="shared" si="53"/>
        <v>0</v>
      </c>
      <c r="BF25" s="281">
        <f t="shared" si="53"/>
        <v>0</v>
      </c>
      <c r="BG25" s="282">
        <f t="shared" si="5"/>
        <v>0</v>
      </c>
      <c r="BI25" s="277"/>
      <c r="BJ25" s="279" t="s">
        <v>103</v>
      </c>
      <c r="BK25" s="280"/>
      <c r="BL25" s="281">
        <f t="shared" si="66"/>
        <v>0.44317091000000008</v>
      </c>
      <c r="BM25" s="281">
        <f t="shared" si="66"/>
        <v>0.17032798999999998</v>
      </c>
      <c r="BN25" s="281">
        <f t="shared" si="66"/>
        <v>0</v>
      </c>
      <c r="BO25" s="281">
        <f t="shared" si="66"/>
        <v>0</v>
      </c>
      <c r="BP25" s="281">
        <f t="shared" si="54"/>
        <v>0</v>
      </c>
      <c r="BQ25" s="281">
        <f t="shared" si="54"/>
        <v>0</v>
      </c>
      <c r="BR25" s="281">
        <f t="shared" si="54"/>
        <v>0</v>
      </c>
      <c r="BS25" s="282">
        <f t="shared" si="55"/>
        <v>-1</v>
      </c>
      <c r="BU25" s="277"/>
      <c r="BV25" s="279"/>
      <c r="BW25" s="280"/>
      <c r="BX25" s="281">
        <f t="shared" si="67"/>
        <v>0</v>
      </c>
      <c r="BY25" s="281">
        <f t="shared" si="67"/>
        <v>0</v>
      </c>
      <c r="BZ25" s="281">
        <f t="shared" si="67"/>
        <v>0</v>
      </c>
      <c r="CA25" s="281">
        <f t="shared" si="67"/>
        <v>0</v>
      </c>
      <c r="CB25" s="281">
        <f t="shared" si="56"/>
        <v>0</v>
      </c>
      <c r="CC25" s="281">
        <f t="shared" si="56"/>
        <v>0</v>
      </c>
      <c r="CD25" s="281">
        <f t="shared" si="56"/>
        <v>0</v>
      </c>
      <c r="CE25" s="282">
        <f t="shared" si="57"/>
        <v>0</v>
      </c>
      <c r="CG25" s="277"/>
      <c r="CH25" s="279"/>
      <c r="CI25" s="280"/>
      <c r="CJ25" s="281">
        <f t="shared" si="68"/>
        <v>0</v>
      </c>
      <c r="CK25" s="281">
        <f t="shared" si="68"/>
        <v>0</v>
      </c>
      <c r="CL25" s="281">
        <f t="shared" si="68"/>
        <v>0</v>
      </c>
      <c r="CM25" s="281">
        <f t="shared" si="68"/>
        <v>0</v>
      </c>
      <c r="CN25" s="281">
        <f t="shared" si="58"/>
        <v>0</v>
      </c>
      <c r="CO25" s="281">
        <f t="shared" si="58"/>
        <v>0</v>
      </c>
      <c r="CP25" s="281">
        <f t="shared" si="58"/>
        <v>0</v>
      </c>
      <c r="CQ25" s="282">
        <f t="shared" si="59"/>
        <v>0</v>
      </c>
      <c r="CS25" s="277"/>
      <c r="CT25" s="279"/>
      <c r="CU25" s="280"/>
      <c r="CV25" s="281">
        <f t="shared" si="69"/>
        <v>0</v>
      </c>
      <c r="CW25" s="281">
        <f t="shared" si="69"/>
        <v>0</v>
      </c>
      <c r="CX25" s="281">
        <f t="shared" si="69"/>
        <v>0</v>
      </c>
      <c r="CY25" s="281">
        <f t="shared" si="69"/>
        <v>0</v>
      </c>
      <c r="CZ25" s="281">
        <f t="shared" si="60"/>
        <v>0</v>
      </c>
      <c r="DA25" s="281">
        <f t="shared" si="60"/>
        <v>0</v>
      </c>
      <c r="DB25" s="281">
        <f t="shared" si="60"/>
        <v>0</v>
      </c>
      <c r="DC25" s="282">
        <f t="shared" si="61"/>
        <v>0</v>
      </c>
    </row>
    <row r="26" spans="3:107" s="21" customFormat="1" ht="13.5" x14ac:dyDescent="0.3">
      <c r="C26" s="277"/>
      <c r="D26" s="269" t="s">
        <v>3312</v>
      </c>
      <c r="E26" s="270"/>
      <c r="F26" s="271">
        <f>SUM(F27:F29)</f>
        <v>0</v>
      </c>
      <c r="G26" s="271">
        <f>SUM(G27:G29)</f>
        <v>0</v>
      </c>
      <c r="H26" s="271">
        <f t="shared" ref="H26:I26" si="70">SUM(H27:H29)</f>
        <v>0</v>
      </c>
      <c r="I26" s="271">
        <f t="shared" si="70"/>
        <v>0</v>
      </c>
      <c r="J26" s="272">
        <f t="shared" si="14"/>
        <v>0</v>
      </c>
      <c r="M26" s="277"/>
      <c r="N26" s="279" t="s">
        <v>3313</v>
      </c>
      <c r="O26" s="280"/>
      <c r="P26" s="281">
        <f t="shared" si="62"/>
        <v>10.690984330000003</v>
      </c>
      <c r="Q26" s="281">
        <f t="shared" si="62"/>
        <v>28.390148943619735</v>
      </c>
      <c r="R26" s="281">
        <f t="shared" si="62"/>
        <v>31.824239806499975</v>
      </c>
      <c r="S26" s="281">
        <f t="shared" si="62"/>
        <v>39.48840686025477</v>
      </c>
      <c r="T26" s="281">
        <f t="shared" si="47"/>
        <v>45.500125173093153</v>
      </c>
      <c r="U26" s="281">
        <f t="shared" si="47"/>
        <v>50.28169639416933</v>
      </c>
      <c r="V26" s="281">
        <f t="shared" si="47"/>
        <v>56.331104610232671</v>
      </c>
      <c r="W26" s="282">
        <f t="shared" si="48"/>
        <v>0.14687508813145089</v>
      </c>
      <c r="Y26" s="277"/>
      <c r="Z26" s="279" t="s">
        <v>3314</v>
      </c>
      <c r="AA26" s="280"/>
      <c r="AB26" s="281">
        <f t="shared" si="63"/>
        <v>0</v>
      </c>
      <c r="AC26" s="281">
        <f t="shared" si="63"/>
        <v>0</v>
      </c>
      <c r="AD26" s="281">
        <f t="shared" si="63"/>
        <v>0</v>
      </c>
      <c r="AE26" s="281">
        <f t="shared" si="63"/>
        <v>20</v>
      </c>
      <c r="AF26" s="281">
        <f t="shared" si="49"/>
        <v>22</v>
      </c>
      <c r="AG26" s="281">
        <f t="shared" si="49"/>
        <v>50</v>
      </c>
      <c r="AH26" s="281">
        <f t="shared" si="49"/>
        <v>79.056941504209448</v>
      </c>
      <c r="AI26" s="282">
        <f t="shared" si="50"/>
        <v>0</v>
      </c>
      <c r="AK26" s="277"/>
      <c r="AL26" s="279" t="s">
        <v>3318</v>
      </c>
      <c r="AM26" s="280"/>
      <c r="AN26" s="281">
        <f t="shared" si="64"/>
        <v>0</v>
      </c>
      <c r="AO26" s="281">
        <f t="shared" si="64"/>
        <v>0</v>
      </c>
      <c r="AP26" s="281">
        <f t="shared" si="64"/>
        <v>0</v>
      </c>
      <c r="AQ26" s="281">
        <f t="shared" si="64"/>
        <v>4</v>
      </c>
      <c r="AR26" s="281">
        <f t="shared" si="51"/>
        <v>8</v>
      </c>
      <c r="AS26" s="281">
        <f t="shared" si="51"/>
        <v>12</v>
      </c>
      <c r="AT26" s="281">
        <f t="shared" si="51"/>
        <v>16</v>
      </c>
      <c r="AU26" s="282">
        <f t="shared" si="52"/>
        <v>0</v>
      </c>
      <c r="AW26" s="277"/>
      <c r="AX26" s="279"/>
      <c r="AY26" s="280"/>
      <c r="AZ26" s="281">
        <f t="shared" si="65"/>
        <v>0</v>
      </c>
      <c r="BA26" s="281">
        <f t="shared" si="65"/>
        <v>0</v>
      </c>
      <c r="BB26" s="281">
        <f t="shared" si="65"/>
        <v>0</v>
      </c>
      <c r="BC26" s="281">
        <f t="shared" si="65"/>
        <v>0</v>
      </c>
      <c r="BD26" s="281">
        <f t="shared" si="53"/>
        <v>0</v>
      </c>
      <c r="BE26" s="281">
        <f t="shared" si="53"/>
        <v>0</v>
      </c>
      <c r="BF26" s="281">
        <f t="shared" si="53"/>
        <v>0</v>
      </c>
      <c r="BG26" s="282">
        <f t="shared" si="5"/>
        <v>0</v>
      </c>
      <c r="BI26" s="277"/>
      <c r="BJ26" s="279"/>
      <c r="BK26" s="280"/>
      <c r="BL26" s="281">
        <f t="shared" si="66"/>
        <v>0</v>
      </c>
      <c r="BM26" s="281">
        <f t="shared" si="66"/>
        <v>0</v>
      </c>
      <c r="BN26" s="281">
        <f t="shared" si="66"/>
        <v>0</v>
      </c>
      <c r="BO26" s="281">
        <f t="shared" si="66"/>
        <v>0</v>
      </c>
      <c r="BP26" s="281">
        <f t="shared" si="54"/>
        <v>0</v>
      </c>
      <c r="BQ26" s="281">
        <f t="shared" si="54"/>
        <v>0</v>
      </c>
      <c r="BR26" s="281">
        <f t="shared" si="54"/>
        <v>0</v>
      </c>
      <c r="BS26" s="282">
        <f t="shared" si="55"/>
        <v>0</v>
      </c>
      <c r="BU26" s="277"/>
      <c r="BV26" s="279"/>
      <c r="BW26" s="280"/>
      <c r="BX26" s="281">
        <f t="shared" si="67"/>
        <v>0</v>
      </c>
      <c r="BY26" s="281">
        <f t="shared" si="67"/>
        <v>0</v>
      </c>
      <c r="BZ26" s="281">
        <f t="shared" si="67"/>
        <v>0</v>
      </c>
      <c r="CA26" s="281">
        <f t="shared" si="67"/>
        <v>0</v>
      </c>
      <c r="CB26" s="281">
        <f t="shared" si="56"/>
        <v>0</v>
      </c>
      <c r="CC26" s="281">
        <f t="shared" si="56"/>
        <v>0</v>
      </c>
      <c r="CD26" s="281">
        <f t="shared" si="56"/>
        <v>0</v>
      </c>
      <c r="CE26" s="282">
        <f t="shared" si="57"/>
        <v>0</v>
      </c>
      <c r="CG26" s="277"/>
      <c r="CH26" s="279"/>
      <c r="CI26" s="280"/>
      <c r="CJ26" s="281">
        <f t="shared" si="68"/>
        <v>0</v>
      </c>
      <c r="CK26" s="281">
        <f t="shared" si="68"/>
        <v>0</v>
      </c>
      <c r="CL26" s="281">
        <f t="shared" si="68"/>
        <v>0</v>
      </c>
      <c r="CM26" s="281">
        <f t="shared" si="68"/>
        <v>0</v>
      </c>
      <c r="CN26" s="281">
        <f t="shared" si="58"/>
        <v>0</v>
      </c>
      <c r="CO26" s="281">
        <f t="shared" si="58"/>
        <v>0</v>
      </c>
      <c r="CP26" s="281">
        <f t="shared" si="58"/>
        <v>0</v>
      </c>
      <c r="CQ26" s="282">
        <f t="shared" si="59"/>
        <v>0</v>
      </c>
      <c r="CS26" s="277"/>
      <c r="CT26" s="279"/>
      <c r="CU26" s="280"/>
      <c r="CV26" s="281">
        <f t="shared" si="69"/>
        <v>0</v>
      </c>
      <c r="CW26" s="281">
        <f t="shared" si="69"/>
        <v>0</v>
      </c>
      <c r="CX26" s="281">
        <f t="shared" si="69"/>
        <v>0</v>
      </c>
      <c r="CY26" s="281">
        <f t="shared" si="69"/>
        <v>0</v>
      </c>
      <c r="CZ26" s="281">
        <f t="shared" si="60"/>
        <v>0</v>
      </c>
      <c r="DA26" s="281">
        <f t="shared" si="60"/>
        <v>0</v>
      </c>
      <c r="DB26" s="281">
        <f t="shared" si="60"/>
        <v>0</v>
      </c>
      <c r="DC26" s="282">
        <f t="shared" si="61"/>
        <v>0</v>
      </c>
    </row>
    <row r="27" spans="3:107" s="21" customFormat="1" ht="13.5" x14ac:dyDescent="0.3">
      <c r="C27" s="277"/>
      <c r="D27" s="277"/>
      <c r="E27" s="278" t="s">
        <v>3322</v>
      </c>
      <c r="F27" s="275">
        <v>0</v>
      </c>
      <c r="G27" s="275">
        <v>0</v>
      </c>
      <c r="H27" s="275">
        <v>0</v>
      </c>
      <c r="I27" s="275">
        <v>0</v>
      </c>
      <c r="J27" s="276">
        <f t="shared" si="14"/>
        <v>0</v>
      </c>
      <c r="M27" s="277"/>
      <c r="N27" s="279" t="s">
        <v>3316</v>
      </c>
      <c r="O27" s="280"/>
      <c r="P27" s="281">
        <f t="shared" si="62"/>
        <v>-3.0730032999999994</v>
      </c>
      <c r="Q27" s="281">
        <f t="shared" si="62"/>
        <v>-13.420053859999999</v>
      </c>
      <c r="R27" s="281">
        <f t="shared" si="62"/>
        <v>-13.73055984</v>
      </c>
      <c r="S27" s="281">
        <f t="shared" si="62"/>
        <v>-11.824727999999997</v>
      </c>
      <c r="T27" s="281">
        <f t="shared" si="47"/>
        <v>-6.6470120000000001</v>
      </c>
      <c r="U27" s="281">
        <f t="shared" si="47"/>
        <v>-2.9467132000000049</v>
      </c>
      <c r="V27" s="281">
        <f t="shared" si="47"/>
        <v>2.2299301999999983</v>
      </c>
      <c r="W27" s="282">
        <f t="shared" si="48"/>
        <v>-1.6984050999965041</v>
      </c>
      <c r="Y27" s="277"/>
      <c r="Z27" s="279"/>
      <c r="AA27" s="280"/>
      <c r="AB27" s="281">
        <f t="shared" si="63"/>
        <v>0</v>
      </c>
      <c r="AC27" s="281">
        <f t="shared" si="63"/>
        <v>0</v>
      </c>
      <c r="AD27" s="281">
        <f t="shared" si="63"/>
        <v>0</v>
      </c>
      <c r="AE27" s="281">
        <f t="shared" si="63"/>
        <v>0</v>
      </c>
      <c r="AF27" s="281">
        <f t="shared" si="49"/>
        <v>0</v>
      </c>
      <c r="AG27" s="281">
        <f t="shared" si="49"/>
        <v>0</v>
      </c>
      <c r="AH27" s="281">
        <f t="shared" si="49"/>
        <v>0</v>
      </c>
      <c r="AI27" s="282">
        <f t="shared" si="50"/>
        <v>0</v>
      </c>
      <c r="AK27" s="277"/>
      <c r="AL27" s="279"/>
      <c r="AM27" s="280"/>
      <c r="AN27" s="281">
        <f t="shared" si="64"/>
        <v>0</v>
      </c>
      <c r="AO27" s="281">
        <f t="shared" si="64"/>
        <v>0</v>
      </c>
      <c r="AP27" s="281">
        <f t="shared" si="64"/>
        <v>0</v>
      </c>
      <c r="AQ27" s="281">
        <f t="shared" si="64"/>
        <v>0</v>
      </c>
      <c r="AR27" s="281">
        <f t="shared" si="51"/>
        <v>0</v>
      </c>
      <c r="AS27" s="281">
        <f t="shared" si="51"/>
        <v>0</v>
      </c>
      <c r="AT27" s="281">
        <f t="shared" si="51"/>
        <v>0</v>
      </c>
      <c r="AU27" s="282">
        <f t="shared" si="52"/>
        <v>0</v>
      </c>
      <c r="AW27" s="277"/>
      <c r="AX27" s="279"/>
      <c r="AY27" s="280"/>
      <c r="AZ27" s="281">
        <f t="shared" si="65"/>
        <v>0</v>
      </c>
      <c r="BA27" s="281">
        <f t="shared" si="65"/>
        <v>0</v>
      </c>
      <c r="BB27" s="281">
        <f t="shared" si="65"/>
        <v>0</v>
      </c>
      <c r="BC27" s="281">
        <f t="shared" si="65"/>
        <v>0</v>
      </c>
      <c r="BD27" s="281">
        <f t="shared" si="53"/>
        <v>0</v>
      </c>
      <c r="BE27" s="281">
        <f t="shared" si="53"/>
        <v>0</v>
      </c>
      <c r="BF27" s="281">
        <f t="shared" si="53"/>
        <v>0</v>
      </c>
      <c r="BG27" s="282">
        <f t="shared" si="5"/>
        <v>0</v>
      </c>
      <c r="BI27" s="277"/>
      <c r="BJ27" s="279"/>
      <c r="BK27" s="280"/>
      <c r="BL27" s="281">
        <f t="shared" si="66"/>
        <v>0</v>
      </c>
      <c r="BM27" s="281">
        <f t="shared" si="66"/>
        <v>0</v>
      </c>
      <c r="BN27" s="281">
        <f t="shared" si="66"/>
        <v>0</v>
      </c>
      <c r="BO27" s="281">
        <f t="shared" si="66"/>
        <v>0</v>
      </c>
      <c r="BP27" s="281">
        <f t="shared" si="54"/>
        <v>0</v>
      </c>
      <c r="BQ27" s="281">
        <f t="shared" si="54"/>
        <v>0</v>
      </c>
      <c r="BR27" s="281">
        <f t="shared" si="54"/>
        <v>0</v>
      </c>
      <c r="BS27" s="282">
        <f t="shared" si="55"/>
        <v>0</v>
      </c>
      <c r="BU27" s="277"/>
      <c r="BV27" s="279"/>
      <c r="BW27" s="280"/>
      <c r="BX27" s="281">
        <f t="shared" si="67"/>
        <v>0</v>
      </c>
      <c r="BY27" s="281">
        <f t="shared" si="67"/>
        <v>0</v>
      </c>
      <c r="BZ27" s="281">
        <f t="shared" si="67"/>
        <v>0</v>
      </c>
      <c r="CA27" s="281">
        <f t="shared" si="67"/>
        <v>0</v>
      </c>
      <c r="CB27" s="281">
        <f t="shared" si="56"/>
        <v>0</v>
      </c>
      <c r="CC27" s="281">
        <f t="shared" si="56"/>
        <v>0</v>
      </c>
      <c r="CD27" s="281">
        <f t="shared" si="56"/>
        <v>0</v>
      </c>
      <c r="CE27" s="282">
        <f t="shared" si="57"/>
        <v>0</v>
      </c>
      <c r="CG27" s="277"/>
      <c r="CH27" s="279"/>
      <c r="CI27" s="280"/>
      <c r="CJ27" s="281">
        <f t="shared" si="68"/>
        <v>0</v>
      </c>
      <c r="CK27" s="281">
        <f t="shared" si="68"/>
        <v>0</v>
      </c>
      <c r="CL27" s="281">
        <f t="shared" si="68"/>
        <v>0</v>
      </c>
      <c r="CM27" s="281">
        <f t="shared" si="68"/>
        <v>0</v>
      </c>
      <c r="CN27" s="281">
        <f t="shared" si="58"/>
        <v>0</v>
      </c>
      <c r="CO27" s="281">
        <f t="shared" si="58"/>
        <v>0</v>
      </c>
      <c r="CP27" s="281">
        <f t="shared" si="58"/>
        <v>0</v>
      </c>
      <c r="CQ27" s="282">
        <f t="shared" si="59"/>
        <v>0</v>
      </c>
      <c r="CS27" s="277"/>
      <c r="CT27" s="279"/>
      <c r="CU27" s="280"/>
      <c r="CV27" s="281">
        <f t="shared" si="69"/>
        <v>0</v>
      </c>
      <c r="CW27" s="281">
        <f t="shared" si="69"/>
        <v>0</v>
      </c>
      <c r="CX27" s="281">
        <f t="shared" si="69"/>
        <v>0</v>
      </c>
      <c r="CY27" s="281">
        <f t="shared" si="69"/>
        <v>0</v>
      </c>
      <c r="CZ27" s="281">
        <f t="shared" si="60"/>
        <v>0</v>
      </c>
      <c r="DA27" s="281">
        <f t="shared" si="60"/>
        <v>0</v>
      </c>
      <c r="DB27" s="281">
        <f t="shared" si="60"/>
        <v>0</v>
      </c>
      <c r="DC27" s="282">
        <f t="shared" si="61"/>
        <v>0</v>
      </c>
    </row>
    <row r="28" spans="3:107" s="21" customFormat="1" ht="13.5" x14ac:dyDescent="0.3">
      <c r="C28" s="277"/>
      <c r="D28" s="277"/>
      <c r="E28" s="283" t="s">
        <v>3323</v>
      </c>
      <c r="F28" s="281">
        <v>0</v>
      </c>
      <c r="G28" s="281">
        <v>0</v>
      </c>
      <c r="H28" s="281">
        <v>0</v>
      </c>
      <c r="I28" s="281">
        <v>0</v>
      </c>
      <c r="J28" s="282">
        <f t="shared" si="14"/>
        <v>0</v>
      </c>
      <c r="M28" s="277"/>
      <c r="N28" s="288"/>
      <c r="O28" s="289"/>
      <c r="P28" s="286">
        <f t="shared" si="62"/>
        <v>0</v>
      </c>
      <c r="Q28" s="286">
        <f t="shared" si="62"/>
        <v>0</v>
      </c>
      <c r="R28" s="286">
        <f t="shared" si="62"/>
        <v>0</v>
      </c>
      <c r="S28" s="286">
        <f t="shared" si="62"/>
        <v>0</v>
      </c>
      <c r="T28" s="286">
        <f t="shared" si="47"/>
        <v>0</v>
      </c>
      <c r="U28" s="286">
        <f t="shared" si="47"/>
        <v>0</v>
      </c>
      <c r="V28" s="286">
        <f t="shared" si="47"/>
        <v>0</v>
      </c>
      <c r="W28" s="287">
        <f t="shared" si="48"/>
        <v>0</v>
      </c>
      <c r="Y28" s="277"/>
      <c r="Z28" s="288"/>
      <c r="AA28" s="289"/>
      <c r="AB28" s="286">
        <f t="shared" si="63"/>
        <v>0</v>
      </c>
      <c r="AC28" s="286">
        <f t="shared" si="63"/>
        <v>0</v>
      </c>
      <c r="AD28" s="286">
        <f t="shared" si="63"/>
        <v>0</v>
      </c>
      <c r="AE28" s="286">
        <f t="shared" si="63"/>
        <v>0</v>
      </c>
      <c r="AF28" s="286">
        <f t="shared" si="49"/>
        <v>0</v>
      </c>
      <c r="AG28" s="286">
        <f t="shared" si="49"/>
        <v>0</v>
      </c>
      <c r="AH28" s="286">
        <f t="shared" si="49"/>
        <v>0</v>
      </c>
      <c r="AI28" s="287">
        <f t="shared" si="50"/>
        <v>0</v>
      </c>
      <c r="AK28" s="277"/>
      <c r="AL28" s="288"/>
      <c r="AM28" s="289"/>
      <c r="AN28" s="286">
        <f t="shared" si="64"/>
        <v>0</v>
      </c>
      <c r="AO28" s="286">
        <f t="shared" si="64"/>
        <v>0</v>
      </c>
      <c r="AP28" s="286">
        <f t="shared" si="64"/>
        <v>0</v>
      </c>
      <c r="AQ28" s="286">
        <f t="shared" si="64"/>
        <v>0</v>
      </c>
      <c r="AR28" s="286">
        <f t="shared" si="51"/>
        <v>0</v>
      </c>
      <c r="AS28" s="286">
        <f t="shared" si="51"/>
        <v>0</v>
      </c>
      <c r="AT28" s="286">
        <f t="shared" si="51"/>
        <v>0</v>
      </c>
      <c r="AU28" s="287">
        <f t="shared" si="52"/>
        <v>0</v>
      </c>
      <c r="AW28" s="277"/>
      <c r="AX28" s="288"/>
      <c r="AY28" s="289"/>
      <c r="AZ28" s="286">
        <f t="shared" si="65"/>
        <v>0</v>
      </c>
      <c r="BA28" s="286">
        <f t="shared" si="65"/>
        <v>0</v>
      </c>
      <c r="BB28" s="286">
        <f t="shared" si="65"/>
        <v>0</v>
      </c>
      <c r="BC28" s="286">
        <f t="shared" si="65"/>
        <v>0</v>
      </c>
      <c r="BD28" s="286">
        <f t="shared" si="53"/>
        <v>0</v>
      </c>
      <c r="BE28" s="286">
        <f t="shared" si="53"/>
        <v>0</v>
      </c>
      <c r="BF28" s="286">
        <f t="shared" si="53"/>
        <v>0</v>
      </c>
      <c r="BG28" s="287">
        <f t="shared" si="5"/>
        <v>0</v>
      </c>
      <c r="BI28" s="277"/>
      <c r="BJ28" s="288"/>
      <c r="BK28" s="289"/>
      <c r="BL28" s="286">
        <f t="shared" si="66"/>
        <v>0</v>
      </c>
      <c r="BM28" s="286">
        <f t="shared" si="66"/>
        <v>0</v>
      </c>
      <c r="BN28" s="286">
        <f t="shared" si="66"/>
        <v>0</v>
      </c>
      <c r="BO28" s="286">
        <f t="shared" si="66"/>
        <v>0</v>
      </c>
      <c r="BP28" s="286">
        <f t="shared" si="54"/>
        <v>0</v>
      </c>
      <c r="BQ28" s="286">
        <f t="shared" si="54"/>
        <v>0</v>
      </c>
      <c r="BR28" s="286">
        <f t="shared" si="54"/>
        <v>0</v>
      </c>
      <c r="BS28" s="287">
        <f t="shared" si="55"/>
        <v>0</v>
      </c>
      <c r="BU28" s="277"/>
      <c r="BV28" s="288"/>
      <c r="BW28" s="289"/>
      <c r="BX28" s="286">
        <f t="shared" si="67"/>
        <v>0</v>
      </c>
      <c r="BY28" s="286">
        <f t="shared" si="67"/>
        <v>0</v>
      </c>
      <c r="BZ28" s="286">
        <f t="shared" si="67"/>
        <v>0</v>
      </c>
      <c r="CA28" s="286">
        <f t="shared" si="67"/>
        <v>0</v>
      </c>
      <c r="CB28" s="286">
        <f t="shared" si="56"/>
        <v>0</v>
      </c>
      <c r="CC28" s="286">
        <f t="shared" si="56"/>
        <v>0</v>
      </c>
      <c r="CD28" s="286">
        <f t="shared" si="56"/>
        <v>0</v>
      </c>
      <c r="CE28" s="287">
        <f t="shared" si="57"/>
        <v>0</v>
      </c>
      <c r="CG28" s="277"/>
      <c r="CH28" s="288"/>
      <c r="CI28" s="289"/>
      <c r="CJ28" s="286">
        <f t="shared" si="68"/>
        <v>0</v>
      </c>
      <c r="CK28" s="286">
        <f t="shared" si="68"/>
        <v>0</v>
      </c>
      <c r="CL28" s="286">
        <f t="shared" si="68"/>
        <v>0</v>
      </c>
      <c r="CM28" s="286">
        <f t="shared" si="68"/>
        <v>0</v>
      </c>
      <c r="CN28" s="286">
        <f t="shared" si="58"/>
        <v>0</v>
      </c>
      <c r="CO28" s="286">
        <f t="shared" si="58"/>
        <v>0</v>
      </c>
      <c r="CP28" s="286">
        <f t="shared" si="58"/>
        <v>0</v>
      </c>
      <c r="CQ28" s="287">
        <f t="shared" si="59"/>
        <v>0</v>
      </c>
      <c r="CS28" s="277"/>
      <c r="CT28" s="288"/>
      <c r="CU28" s="289"/>
      <c r="CV28" s="286">
        <f t="shared" si="69"/>
        <v>0</v>
      </c>
      <c r="CW28" s="286">
        <f t="shared" si="69"/>
        <v>0</v>
      </c>
      <c r="CX28" s="286">
        <f t="shared" si="69"/>
        <v>0</v>
      </c>
      <c r="CY28" s="286">
        <f t="shared" si="69"/>
        <v>0</v>
      </c>
      <c r="CZ28" s="286">
        <f t="shared" si="60"/>
        <v>0</v>
      </c>
      <c r="DA28" s="286">
        <f t="shared" si="60"/>
        <v>0</v>
      </c>
      <c r="DB28" s="286">
        <f t="shared" si="60"/>
        <v>0</v>
      </c>
      <c r="DC28" s="287">
        <f t="shared" si="61"/>
        <v>0</v>
      </c>
    </row>
    <row r="29" spans="3:107" s="21" customFormat="1" ht="13.5" x14ac:dyDescent="0.3">
      <c r="C29" s="277"/>
      <c r="D29" s="284"/>
      <c r="E29" s="285" t="s">
        <v>3324</v>
      </c>
      <c r="F29" s="286">
        <v>0</v>
      </c>
      <c r="G29" s="286">
        <v>0</v>
      </c>
      <c r="H29" s="286">
        <v>0</v>
      </c>
      <c r="I29" s="286">
        <v>0</v>
      </c>
      <c r="J29" s="287">
        <f t="shared" si="14"/>
        <v>0</v>
      </c>
      <c r="M29" s="262" t="s">
        <v>3325</v>
      </c>
      <c r="N29" s="263"/>
      <c r="O29" s="264"/>
      <c r="P29" s="265">
        <f>SUM(P30:P34)</f>
        <v>546.52445309000007</v>
      </c>
      <c r="Q29" s="265">
        <f>SUM(Q30:Q34)</f>
        <v>670.5119625377871</v>
      </c>
      <c r="R29" s="265">
        <f t="shared" ref="R29:V29" si="71">SUM(R30:R34)</f>
        <v>751.79537099499885</v>
      </c>
      <c r="S29" s="265">
        <f t="shared" si="71"/>
        <v>838.3904089730986</v>
      </c>
      <c r="T29" s="265">
        <f t="shared" si="71"/>
        <v>924.39059836376191</v>
      </c>
      <c r="U29" s="265">
        <f t="shared" si="71"/>
        <v>1007.2375001163316</v>
      </c>
      <c r="V29" s="265">
        <f t="shared" si="71"/>
        <v>1106.1018240547637</v>
      </c>
      <c r="W29" s="266">
        <f t="shared" si="48"/>
        <v>0.10529375342297009</v>
      </c>
      <c r="Y29" s="262" t="s">
        <v>3325</v>
      </c>
      <c r="Z29" s="263"/>
      <c r="AA29" s="264"/>
      <c r="AB29" s="265">
        <f>SUM(AB30:AB34)</f>
        <v>284.3101235954598</v>
      </c>
      <c r="AC29" s="265">
        <f>SUM(AC30:AC34)</f>
        <v>371.63102775849126</v>
      </c>
      <c r="AD29" s="265">
        <f t="shared" ref="AD29:AH29" si="72">SUM(AD30:AD34)</f>
        <v>430.34654161917706</v>
      </c>
      <c r="AE29" s="265">
        <f t="shared" si="72"/>
        <v>460.97184184261664</v>
      </c>
      <c r="AF29" s="265">
        <f t="shared" si="72"/>
        <v>479.5177094611991</v>
      </c>
      <c r="AG29" s="265">
        <f t="shared" si="72"/>
        <v>511.36565963227633</v>
      </c>
      <c r="AH29" s="265">
        <f t="shared" si="72"/>
        <v>568.02183530087768</v>
      </c>
      <c r="AI29" s="266">
        <f t="shared" si="50"/>
        <v>8.8555591280331303E-2</v>
      </c>
      <c r="AK29" s="262" t="s">
        <v>3325</v>
      </c>
      <c r="AL29" s="263"/>
      <c r="AM29" s="264"/>
      <c r="AN29" s="265">
        <f>SUM(AN30:AN34)</f>
        <v>43.955170457404094</v>
      </c>
      <c r="AO29" s="265">
        <f>SUM(AO30:AO34)</f>
        <v>62.997858316140402</v>
      </c>
      <c r="AP29" s="265">
        <f t="shared" ref="AP29:AT29" si="73">SUM(AP30:AP34)</f>
        <v>60.032185956338253</v>
      </c>
      <c r="AQ29" s="265">
        <f t="shared" si="73"/>
        <v>80.326621321369757</v>
      </c>
      <c r="AR29" s="265">
        <f t="shared" si="73"/>
        <v>111.85910483188258</v>
      </c>
      <c r="AS29" s="265">
        <f t="shared" si="73"/>
        <v>130.00998024102077</v>
      </c>
      <c r="AT29" s="265">
        <f t="shared" si="73"/>
        <v>146.55215025582248</v>
      </c>
      <c r="AU29" s="266">
        <f t="shared" si="52"/>
        <v>0.18394978204003776</v>
      </c>
      <c r="AW29" s="262" t="s">
        <v>3325</v>
      </c>
      <c r="AX29" s="263"/>
      <c r="AY29" s="264"/>
      <c r="AZ29" s="265">
        <f>SUM(AZ30:AZ34)</f>
        <v>5.8940324028397173</v>
      </c>
      <c r="BA29" s="265">
        <f>SUM(BA30:BA34)</f>
        <v>6.5093043631736576</v>
      </c>
      <c r="BB29" s="265">
        <f t="shared" ref="BB29:BF29" si="74">SUM(BB30:BB34)</f>
        <v>7.4637454291445193</v>
      </c>
      <c r="BC29" s="265">
        <f t="shared" si="74"/>
        <v>7.814664099401746</v>
      </c>
      <c r="BD29" s="265">
        <f t="shared" si="74"/>
        <v>8.1824606451358335</v>
      </c>
      <c r="BE29" s="265">
        <f t="shared" si="74"/>
        <v>8.5679589183795457</v>
      </c>
      <c r="BF29" s="265">
        <f t="shared" si="74"/>
        <v>8.9720233625150492</v>
      </c>
      <c r="BG29" s="266">
        <f t="shared" si="5"/>
        <v>6.627975467935654E-2</v>
      </c>
      <c r="BI29" s="262" t="s">
        <v>3325</v>
      </c>
      <c r="BJ29" s="263"/>
      <c r="BK29" s="264"/>
      <c r="BL29" s="265">
        <f>SUM(BL30:BL34)</f>
        <v>113.57841608619616</v>
      </c>
      <c r="BM29" s="265">
        <f>SUM(BM30:BM34)</f>
        <v>128.08568664902378</v>
      </c>
      <c r="BN29" s="265">
        <f t="shared" ref="BN29:BR29" si="75">SUM(BN30:BN34)</f>
        <v>152.59872005033901</v>
      </c>
      <c r="BO29" s="265">
        <f t="shared" si="75"/>
        <v>173.77871879597024</v>
      </c>
      <c r="BP29" s="265">
        <f t="shared" si="75"/>
        <v>203.59944170899396</v>
      </c>
      <c r="BQ29" s="265">
        <f t="shared" si="75"/>
        <v>230.5634395031683</v>
      </c>
      <c r="BR29" s="265">
        <f t="shared" si="75"/>
        <v>250.63580358845832</v>
      </c>
      <c r="BS29" s="266">
        <f t="shared" si="55"/>
        <v>0.14369046908326877</v>
      </c>
      <c r="BU29" s="262" t="s">
        <v>3325</v>
      </c>
      <c r="BV29" s="263"/>
      <c r="BW29" s="264"/>
      <c r="BX29" s="265">
        <f>SUM(BX30:BX34)</f>
        <v>16.149971939999997</v>
      </c>
      <c r="BY29" s="265">
        <f>SUM(BY30:BY34)</f>
        <v>19.622303231669601</v>
      </c>
      <c r="BZ29" s="265">
        <f t="shared" ref="BZ29:CD29" si="76">SUM(BZ30:BZ34)</f>
        <v>23.801275269999998</v>
      </c>
      <c r="CA29" s="265">
        <f t="shared" si="76"/>
        <v>25.717757371587187</v>
      </c>
      <c r="CB29" s="265">
        <f t="shared" si="76"/>
        <v>27.663298170121148</v>
      </c>
      <c r="CC29" s="265">
        <f t="shared" si="76"/>
        <v>29.678585636752626</v>
      </c>
      <c r="CD29" s="265">
        <f t="shared" si="76"/>
        <v>31.916747474904781</v>
      </c>
      <c r="CE29" s="266">
        <f t="shared" si="57"/>
        <v>0.10218305262061533</v>
      </c>
      <c r="CG29" s="262" t="s">
        <v>3325</v>
      </c>
      <c r="CH29" s="263"/>
      <c r="CI29" s="264"/>
      <c r="CJ29" s="265">
        <f>SUM(CJ30:CJ34)</f>
        <v>4.9183019800000007</v>
      </c>
      <c r="CK29" s="265">
        <f>SUM(CK30:CK34)</f>
        <v>-5.983922960000001</v>
      </c>
      <c r="CL29" s="265">
        <f t="shared" ref="CL29:CP29" si="77">SUM(CL30:CL34)</f>
        <v>-9.2779944300000015</v>
      </c>
      <c r="CM29" s="265">
        <f t="shared" si="77"/>
        <v>-7.8440493839999998</v>
      </c>
      <c r="CN29" s="265">
        <f t="shared" si="77"/>
        <v>-8.3543906760000013</v>
      </c>
      <c r="CO29" s="265">
        <f t="shared" si="77"/>
        <v>-9.3767743260000014</v>
      </c>
      <c r="CP29" s="265">
        <f t="shared" si="77"/>
        <v>-11.148777099300002</v>
      </c>
      <c r="CQ29" s="266">
        <f t="shared" si="59"/>
        <v>0.13252617386449739</v>
      </c>
      <c r="CS29" s="262" t="s">
        <v>3325</v>
      </c>
      <c r="CT29" s="263"/>
      <c r="CU29" s="264"/>
      <c r="CV29" s="265">
        <f>SUM(CV30:CV34)</f>
        <v>77.718436628100221</v>
      </c>
      <c r="CW29" s="265">
        <f>SUM(CW30:CW34)</f>
        <v>87.649705179288418</v>
      </c>
      <c r="CX29" s="265">
        <f t="shared" ref="CX29:DB29" si="78">SUM(CX30:CX34)</f>
        <v>86.830897100000016</v>
      </c>
      <c r="CY29" s="265">
        <f t="shared" si="78"/>
        <v>97.624854926153162</v>
      </c>
      <c r="CZ29" s="265">
        <f t="shared" si="78"/>
        <v>101.92297422242922</v>
      </c>
      <c r="DA29" s="265">
        <f t="shared" si="78"/>
        <v>106.42865051073399</v>
      </c>
      <c r="DB29" s="265">
        <f t="shared" si="78"/>
        <v>111.15204117148544</v>
      </c>
      <c r="DC29" s="266">
        <f t="shared" ref="DC29:DC35" si="79">IFERROR((DB29/CW29)^(1/5)-1,0)</f>
        <v>4.8656846320420444E-2</v>
      </c>
    </row>
    <row r="30" spans="3:107" s="21" customFormat="1" ht="13.5" x14ac:dyDescent="0.3">
      <c r="C30" s="262" t="s">
        <v>44</v>
      </c>
      <c r="D30" s="263"/>
      <c r="E30" s="264"/>
      <c r="F30" s="265">
        <f>SUM(F31,F36,F41,F45,F53,F51,F52)</f>
        <v>1846.8831035249998</v>
      </c>
      <c r="G30" s="265">
        <f>SUM(G31,G36,G41,G45,G53,G51,G52)</f>
        <v>2133.4757417656811</v>
      </c>
      <c r="H30" s="265">
        <f t="shared" ref="H30:I30" si="80">SUM(H31,H36,H41,H45,H53,H51,H52)</f>
        <v>2227.3870045738822</v>
      </c>
      <c r="I30" s="265">
        <f t="shared" si="80"/>
        <v>2934.2254102384336</v>
      </c>
      <c r="J30" s="266">
        <f>IFERROR((I30/G30)^(1/2)-1,0)</f>
        <v>0.17274308890695655</v>
      </c>
      <c r="K30" s="267"/>
      <c r="L30" s="267"/>
      <c r="M30" s="301"/>
      <c r="N30" s="302" t="s">
        <v>3326</v>
      </c>
      <c r="O30" s="303"/>
      <c r="P30" s="304">
        <f>플랫폼!E74+콘텐츠!E77+엔터!E104+IRIVER!E22+돌핀!E20+LDC!E20+STAFF!E5</f>
        <v>268.90710858</v>
      </c>
      <c r="Q30" s="304">
        <f>플랫폼!F74+콘텐츠!F77+엔터!F104+IRIVER!F22+돌핀!F20+LDC!F20+STAFF!F5</f>
        <v>299.90661246412014</v>
      </c>
      <c r="R30" s="304">
        <f>플랫폼!G74+콘텐츠!G77+엔터!G104+IRIVER!G22+돌핀!G20+LDC!G20+STAFF!G5</f>
        <v>327.42390531012626</v>
      </c>
      <c r="S30" s="304">
        <f>플랫폼!H74+콘텐츠!H77+엔터!H104+IRIVER!H22+돌핀!H20+LDC!H20+STAFF!H5</f>
        <v>370.44359911122956</v>
      </c>
      <c r="T30" s="304">
        <f>플랫폼!I74+콘텐츠!I77+엔터!I104+IRIVER!I22+돌핀!I20+LDC!I20+STAFF!I5</f>
        <v>408.46262246565499</v>
      </c>
      <c r="U30" s="304">
        <f>플랫폼!J74+콘텐츠!J77+엔터!J104+IRIVER!J22+돌핀!J20+LDC!J20+STAFF!J5</f>
        <v>434.4084703936233</v>
      </c>
      <c r="V30" s="304">
        <f>플랫폼!K74+콘텐츠!K77+엔터!K104+IRIVER!K22+돌핀!K20+LDC!K20+STAFF!K5</f>
        <v>461.68292192720179</v>
      </c>
      <c r="W30" s="305">
        <f t="shared" si="48"/>
        <v>9.0113087626133792E-2</v>
      </c>
      <c r="Y30" s="301"/>
      <c r="Z30" s="302" t="s">
        <v>3326</v>
      </c>
      <c r="AA30" s="303"/>
      <c r="AB30" s="304">
        <f>플랫폼!E74</f>
        <v>128.20450575736038</v>
      </c>
      <c r="AC30" s="304">
        <f>플랫폼!F74</f>
        <v>142.83260263552086</v>
      </c>
      <c r="AD30" s="304">
        <f>플랫폼!G74</f>
        <v>170.63076350321631</v>
      </c>
      <c r="AE30" s="304">
        <f>플랫폼!H74</f>
        <v>182.62236279246306</v>
      </c>
      <c r="AF30" s="304">
        <f>플랫폼!I74</f>
        <v>195.30563880237563</v>
      </c>
      <c r="AG30" s="304">
        <f>플랫폼!J74</f>
        <v>208.44492488593065</v>
      </c>
      <c r="AH30" s="304">
        <f>플랫폼!K74</f>
        <v>222.14101500655744</v>
      </c>
      <c r="AI30" s="305">
        <f t="shared" si="50"/>
        <v>9.2346145186561701E-2</v>
      </c>
      <c r="AK30" s="301"/>
      <c r="AL30" s="302" t="s">
        <v>3326</v>
      </c>
      <c r="AM30" s="303"/>
      <c r="AN30" s="304">
        <f>콘텐츠!E77</f>
        <v>12.25637846845</v>
      </c>
      <c r="AO30" s="304">
        <f>콘텐츠!F77</f>
        <v>17.908343009938278</v>
      </c>
      <c r="AP30" s="304">
        <f>콘텐츠!G77</f>
        <v>20.77171495</v>
      </c>
      <c r="AQ30" s="304">
        <f>콘텐츠!H77</f>
        <v>38.130933872500002</v>
      </c>
      <c r="AR30" s="304">
        <f>콘텐츠!I77</f>
        <v>55.542082082375003</v>
      </c>
      <c r="AS30" s="304">
        <f>콘텐츠!J77</f>
        <v>59.951249503993758</v>
      </c>
      <c r="AT30" s="304">
        <f>콘텐츠!K77</f>
        <v>64.744081628443453</v>
      </c>
      <c r="AU30" s="305">
        <f t="shared" si="52"/>
        <v>0.29309053898591331</v>
      </c>
      <c r="AW30" s="301"/>
      <c r="AX30" s="302" t="s">
        <v>3326</v>
      </c>
      <c r="AY30" s="303"/>
      <c r="AZ30" s="304">
        <f>엔터!E104</f>
        <v>5.2251444959260969</v>
      </c>
      <c r="BA30" s="304">
        <f>엔터!F104</f>
        <v>5.6559802547308795</v>
      </c>
      <c r="BB30" s="304">
        <f>엔터!G104</f>
        <v>6.3503153691445196</v>
      </c>
      <c r="BC30" s="304">
        <f>엔터!H104</f>
        <v>6.6678311376017456</v>
      </c>
      <c r="BD30" s="304">
        <f>엔터!I104</f>
        <v>7.0012226944818332</v>
      </c>
      <c r="BE30" s="304">
        <f>엔터!J104</f>
        <v>7.3512838292059248</v>
      </c>
      <c r="BF30" s="304">
        <f>엔터!K104</f>
        <v>7.7188480206662211</v>
      </c>
      <c r="BG30" s="305">
        <f t="shared" si="5"/>
        <v>6.4164877578718027E-2</v>
      </c>
      <c r="BI30" s="301"/>
      <c r="BJ30" s="302" t="s">
        <v>3326</v>
      </c>
      <c r="BK30" s="303"/>
      <c r="BL30" s="304">
        <f>IRIVER!E22</f>
        <v>64.872902077479807</v>
      </c>
      <c r="BM30" s="304">
        <f>IRIVER!F22</f>
        <v>69.480029548021193</v>
      </c>
      <c r="BN30" s="304">
        <f>IRIVER!G22</f>
        <v>76.12566466776542</v>
      </c>
      <c r="BO30" s="304">
        <f>IRIVER!H22</f>
        <v>79.931947901153691</v>
      </c>
      <c r="BP30" s="304">
        <f>IRIVER!I22</f>
        <v>83.928545296211382</v>
      </c>
      <c r="BQ30" s="304">
        <f>IRIVER!J22</f>
        <v>88.124972561021949</v>
      </c>
      <c r="BR30" s="304">
        <f>IRIVER!K22</f>
        <v>92.531221189073051</v>
      </c>
      <c r="BS30" s="305">
        <f t="shared" si="55"/>
        <v>5.8974883824259861E-2</v>
      </c>
      <c r="BU30" s="301"/>
      <c r="BV30" s="302" t="s">
        <v>3326</v>
      </c>
      <c r="BW30" s="303"/>
      <c r="BX30" s="304">
        <f>LDC!E20</f>
        <v>7.5438563900000002</v>
      </c>
      <c r="BY30" s="304">
        <f>LDC!F20</f>
        <v>9.3597220648696009</v>
      </c>
      <c r="BZ30" s="304">
        <f>LDC!G20</f>
        <v>11.742969349999999</v>
      </c>
      <c r="CA30" s="304">
        <f>LDC!H20</f>
        <v>12.917266285</v>
      </c>
      <c r="CB30" s="304">
        <f>LDC!I20</f>
        <v>14.208992913500001</v>
      </c>
      <c r="CC30" s="304">
        <f>LDC!J20</f>
        <v>15.629892204850004</v>
      </c>
      <c r="CD30" s="304">
        <f>LDC!K20</f>
        <v>17.192881425335006</v>
      </c>
      <c r="CE30" s="305">
        <f t="shared" si="57"/>
        <v>0.12932032140994498</v>
      </c>
      <c r="CG30" s="301"/>
      <c r="CH30" s="302" t="s">
        <v>3326</v>
      </c>
      <c r="CI30" s="303"/>
      <c r="CJ30" s="304">
        <f>돌핀!E20</f>
        <v>4.6947365899999998</v>
      </c>
      <c r="CK30" s="304">
        <f>돌핀!F20</f>
        <v>3.66143683</v>
      </c>
      <c r="CL30" s="304">
        <f>돌핀!G20</f>
        <v>2.472</v>
      </c>
      <c r="CM30" s="304">
        <f>돌핀!H20</f>
        <v>2.3957999999999999</v>
      </c>
      <c r="CN30" s="304">
        <f>돌핀!I20</f>
        <v>2.6353800000000001</v>
      </c>
      <c r="CO30" s="304">
        <f>돌핀!J20</f>
        <v>2.8989180000000001</v>
      </c>
      <c r="CP30" s="304">
        <f>돌핀!K20</f>
        <v>3.0728530800000002</v>
      </c>
      <c r="CQ30" s="305">
        <f t="shared" si="59"/>
        <v>-3.4442703456546875E-2</v>
      </c>
      <c r="CS30" s="301"/>
      <c r="CT30" s="302" t="s">
        <v>3326</v>
      </c>
      <c r="CU30" s="303"/>
      <c r="CV30" s="304">
        <f>STAFF!E5</f>
        <v>46.109584800783729</v>
      </c>
      <c r="CW30" s="304">
        <f>STAFF!F5</f>
        <v>51.008498121039331</v>
      </c>
      <c r="CX30" s="304">
        <f>STAFF!G5</f>
        <v>39.330477469999998</v>
      </c>
      <c r="CY30" s="304">
        <f>STAFF!H5</f>
        <v>47.77745712251108</v>
      </c>
      <c r="CZ30" s="304">
        <f>STAFF!I5</f>
        <v>49.840760676711092</v>
      </c>
      <c r="DA30" s="304">
        <f>STAFF!J5</f>
        <v>52.007229408621093</v>
      </c>
      <c r="DB30" s="304">
        <f>STAFF!K5</f>
        <v>54.282021577126599</v>
      </c>
      <c r="DC30" s="305">
        <f t="shared" si="79"/>
        <v>1.2517866552806067E-2</v>
      </c>
    </row>
    <row r="31" spans="3:107" s="21" customFormat="1" ht="13.5" x14ac:dyDescent="0.3">
      <c r="C31" s="268"/>
      <c r="D31" s="269" t="s">
        <v>3271</v>
      </c>
      <c r="E31" s="270"/>
      <c r="F31" s="271">
        <f>SUM(F32:F35)</f>
        <v>974.1159339400001</v>
      </c>
      <c r="G31" s="271">
        <f>SUM(G32:G35)</f>
        <v>909.47265644526067</v>
      </c>
      <c r="H31" s="271">
        <f t="shared" ref="H31:I31" si="81">SUM(H32:H35)</f>
        <v>953.71126558550202</v>
      </c>
      <c r="I31" s="271">
        <f t="shared" si="81"/>
        <v>1251.0905364089697</v>
      </c>
      <c r="J31" s="272">
        <f t="shared" ref="J31:J46" si="82">IFERROR((I31/G31)^(1/2)-1,0)</f>
        <v>0.17286910438110703</v>
      </c>
      <c r="M31" s="301"/>
      <c r="N31" s="306" t="s">
        <v>1988</v>
      </c>
      <c r="O31" s="307"/>
      <c r="P31" s="308">
        <f>플랫폼!E75+콘텐츠!E78+엔터!E105+IRIVER!E23+돌핀!E21+LDC!E21+STAFF!E6</f>
        <v>73.264003720000005</v>
      </c>
      <c r="Q31" s="308">
        <f>플랫폼!F75+콘텐츠!F78+엔터!F105+IRIVER!F23+돌핀!F21+LDC!F21+STAFF!F6</f>
        <v>75.098622711638214</v>
      </c>
      <c r="R31" s="308">
        <f>플랫폼!G75+콘텐츠!G78+엔터!G105+IRIVER!G23+돌핀!G21+LDC!G21+STAFF!G6</f>
        <v>78.83473362556667</v>
      </c>
      <c r="S31" s="308">
        <f>플랫폼!H75+콘텐츠!H78+엔터!H105+IRIVER!H23+돌핀!H21+LDC!H21+STAFF!H6</f>
        <v>84.165740030241011</v>
      </c>
      <c r="T31" s="308">
        <f>플랫폼!I75+콘텐츠!I78+엔터!I105+IRIVER!I23+돌핀!I21+LDC!I21+STAFF!I6</f>
        <v>94.323225700279863</v>
      </c>
      <c r="U31" s="308">
        <f>플랫폼!J75+콘텐츠!J78+엔터!J105+IRIVER!J23+돌핀!J21+LDC!J21+STAFF!J6</f>
        <v>97.864019023890364</v>
      </c>
      <c r="V31" s="308">
        <f>플랫폼!K75+콘텐츠!K78+엔터!K105+IRIVER!K23+돌핀!K21+LDC!K21+STAFF!K6</f>
        <v>101.62012584247586</v>
      </c>
      <c r="W31" s="309">
        <f t="shared" si="48"/>
        <v>6.2354718633672146E-2</v>
      </c>
      <c r="Y31" s="301"/>
      <c r="Z31" s="306" t="s">
        <v>1988</v>
      </c>
      <c r="AA31" s="307"/>
      <c r="AB31" s="308">
        <f>플랫폼!E75</f>
        <v>19.498235992332184</v>
      </c>
      <c r="AC31" s="308">
        <f>플랫폼!F75</f>
        <v>21.257449839472805</v>
      </c>
      <c r="AD31" s="308">
        <f>플랫폼!G75</f>
        <v>26.690236173333336</v>
      </c>
      <c r="AE31" s="308">
        <f>플랫폼!H75</f>
        <v>28.891296801133326</v>
      </c>
      <c r="AF31" s="308">
        <f>플랫폼!I75</f>
        <v>29.946405157184323</v>
      </c>
      <c r="AG31" s="308">
        <f>플랫폼!J75</f>
        <v>31.297993389257613</v>
      </c>
      <c r="AH31" s="308">
        <f>플랫폼!K75</f>
        <v>32.660603091774199</v>
      </c>
      <c r="AI31" s="309">
        <f t="shared" si="50"/>
        <v>8.9689101641696745E-2</v>
      </c>
      <c r="AK31" s="301"/>
      <c r="AL31" s="306" t="s">
        <v>1988</v>
      </c>
      <c r="AM31" s="307"/>
      <c r="AN31" s="308">
        <f>콘텐츠!E78</f>
        <v>22.604187511481239</v>
      </c>
      <c r="AO31" s="308">
        <f>콘텐츠!F78</f>
        <v>21.542249746202124</v>
      </c>
      <c r="AP31" s="308">
        <f>콘텐츠!G78</f>
        <v>8.8630627100000012</v>
      </c>
      <c r="AQ31" s="308">
        <f>콘텐츠!H78</f>
        <v>10.484106430082756</v>
      </c>
      <c r="AR31" s="308">
        <f>콘텐츠!I78</f>
        <v>12.11312690660451</v>
      </c>
      <c r="AS31" s="308">
        <f>콘텐츠!J78</f>
        <v>12.666241971232232</v>
      </c>
      <c r="AT31" s="308">
        <f>콘텐츠!K78</f>
        <v>13.254922613541744</v>
      </c>
      <c r="AU31" s="309">
        <f t="shared" si="52"/>
        <v>-9.256144395725463E-2</v>
      </c>
      <c r="AW31" s="301"/>
      <c r="AX31" s="306" t="s">
        <v>1988</v>
      </c>
      <c r="AY31" s="307"/>
      <c r="AZ31" s="308">
        <f>엔터!E105</f>
        <v>0.57165085535770954</v>
      </c>
      <c r="BA31" s="308">
        <f>엔터!F105</f>
        <v>0.66889090844277854</v>
      </c>
      <c r="BB31" s="308">
        <f>엔터!G105</f>
        <v>0.81596126000000002</v>
      </c>
      <c r="BC31" s="308">
        <f>엔터!H105</f>
        <v>0.84044009780000006</v>
      </c>
      <c r="BD31" s="308">
        <f>엔터!I105</f>
        <v>0.86565330073400004</v>
      </c>
      <c r="BE31" s="308">
        <f>엔터!J105</f>
        <v>0.89162289975602005</v>
      </c>
      <c r="BF31" s="308">
        <f>엔터!K105</f>
        <v>0.91837158674870067</v>
      </c>
      <c r="BG31" s="309">
        <f t="shared" si="5"/>
        <v>6.5448909285634516E-2</v>
      </c>
      <c r="BI31" s="301"/>
      <c r="BJ31" s="306" t="s">
        <v>1988</v>
      </c>
      <c r="BK31" s="307"/>
      <c r="BL31" s="308">
        <f>IRIVER!E23</f>
        <v>16.713099310057526</v>
      </c>
      <c r="BM31" s="308">
        <f>IRIVER!F23</f>
        <v>16.529953432222722</v>
      </c>
      <c r="BN31" s="308">
        <f>IRIVER!G23</f>
        <v>21.521799288899999</v>
      </c>
      <c r="BO31" s="308">
        <f>IRIVER!H23</f>
        <v>22.167453267566998</v>
      </c>
      <c r="BP31" s="308">
        <f>IRIVER!I23</f>
        <v>28.817689247837098</v>
      </c>
      <c r="BQ31" s="308">
        <f>IRIVER!J23</f>
        <v>29.682219925272211</v>
      </c>
      <c r="BR31" s="308">
        <f>IRIVER!K23</f>
        <v>30.572686523030377</v>
      </c>
      <c r="BS31" s="309">
        <f t="shared" si="55"/>
        <v>0.13086924874380679</v>
      </c>
      <c r="BU31" s="301"/>
      <c r="BV31" s="306" t="s">
        <v>1988</v>
      </c>
      <c r="BW31" s="307"/>
      <c r="BX31" s="308">
        <f>LDC!E21</f>
        <v>3.8218065700000001</v>
      </c>
      <c r="BY31" s="308">
        <f>LDC!F21</f>
        <v>4.0217810433187573</v>
      </c>
      <c r="BZ31" s="308">
        <f>LDC!G21</f>
        <v>5.6576666700000002</v>
      </c>
      <c r="CA31" s="308">
        <f>LDC!H21</f>
        <v>5.8273966701000006</v>
      </c>
      <c r="CB31" s="308">
        <f>LDC!I21</f>
        <v>6.0022185702030004</v>
      </c>
      <c r="CC31" s="308">
        <f>LDC!J21</f>
        <v>6.1822851273090906</v>
      </c>
      <c r="CD31" s="308">
        <f>LDC!K21</f>
        <v>6.3677536811283639</v>
      </c>
      <c r="CE31" s="309">
        <f t="shared" si="57"/>
        <v>9.6259996404768566E-2</v>
      </c>
      <c r="CG31" s="301"/>
      <c r="CH31" s="306" t="s">
        <v>1988</v>
      </c>
      <c r="CI31" s="307"/>
      <c r="CJ31" s="308">
        <f>돌핀!E21</f>
        <v>0.65124521999999996</v>
      </c>
      <c r="CK31" s="308">
        <f>돌핀!F21</f>
        <v>1.9954526599999998</v>
      </c>
      <c r="CL31" s="308">
        <f>돌핀!G21</f>
        <v>2.1461388800000001</v>
      </c>
      <c r="CM31" s="308">
        <f>돌핀!H21</f>
        <v>2.1729656159999999</v>
      </c>
      <c r="CN31" s="308">
        <f>돌핀!I21</f>
        <v>2.2534458240000004</v>
      </c>
      <c r="CO31" s="308">
        <f>돌핀!J21</f>
        <v>2.2534458240000004</v>
      </c>
      <c r="CP31" s="308">
        <f>돌핀!K21</f>
        <v>2.3661181152000004</v>
      </c>
      <c r="CQ31" s="309">
        <f t="shared" si="59"/>
        <v>3.4663189383745907E-2</v>
      </c>
      <c r="CS31" s="301"/>
      <c r="CT31" s="306" t="s">
        <v>1988</v>
      </c>
      <c r="CU31" s="307"/>
      <c r="CV31" s="308">
        <f>STAFF!E6</f>
        <v>9.4037782607713432</v>
      </c>
      <c r="CW31" s="308">
        <f>STAFF!F6</f>
        <v>9.0828450819790305</v>
      </c>
      <c r="CX31" s="308">
        <f>STAFF!G6</f>
        <v>13.139868643333333</v>
      </c>
      <c r="CY31" s="308">
        <f>STAFF!H6</f>
        <v>13.782081147557932</v>
      </c>
      <c r="CZ31" s="308">
        <f>STAFF!I6</f>
        <v>14.324686693716933</v>
      </c>
      <c r="DA31" s="308">
        <f>STAFF!J6</f>
        <v>14.890209887063204</v>
      </c>
      <c r="DB31" s="308">
        <f>STAFF!K6</f>
        <v>15.479670231052488</v>
      </c>
      <c r="DC31" s="309">
        <f t="shared" si="79"/>
        <v>0.11252033917481619</v>
      </c>
    </row>
    <row r="32" spans="3:107" s="21" customFormat="1" ht="13.5" x14ac:dyDescent="0.3">
      <c r="C32" s="277"/>
      <c r="D32" s="277"/>
      <c r="E32" s="278" t="s">
        <v>3303</v>
      </c>
      <c r="F32" s="275">
        <f>플랫폼!E28+플랫폼!E33</f>
        <v>974.1159339400001</v>
      </c>
      <c r="G32" s="275">
        <f>플랫폼!F28+플랫폼!F33</f>
        <v>909.46065644526072</v>
      </c>
      <c r="H32" s="275">
        <f>플랫폼!G28+플랫폼!G33</f>
        <v>941.07939121201423</v>
      </c>
      <c r="I32" s="275">
        <f>플랫폼!H28+플랫폼!H33</f>
        <v>1224.1076709736401</v>
      </c>
      <c r="J32" s="276">
        <f t="shared" si="82"/>
        <v>0.16015990360480292</v>
      </c>
      <c r="M32" s="301"/>
      <c r="N32" s="306" t="s">
        <v>3327</v>
      </c>
      <c r="O32" s="307"/>
      <c r="P32" s="308">
        <f>플랫폼!E76+콘텐츠!E79+엔터!E106+IRIVER!E24+돌핀!E22+LDC!E22+STAFF!E7</f>
        <v>48.171001010000005</v>
      </c>
      <c r="Q32" s="308">
        <f>플랫폼!F76+콘텐츠!F79+엔터!F106+IRIVER!F24+돌핀!F22+LDC!F22+STAFF!F7</f>
        <v>71.200713749999991</v>
      </c>
      <c r="R32" s="308">
        <f>플랫폼!G76+콘텐츠!G79+엔터!G106+IRIVER!G24+돌핀!G22+LDC!G22+STAFF!G7</f>
        <v>88.085135326873598</v>
      </c>
      <c r="S32" s="308">
        <f>플랫폼!H76+콘텐츠!H79+엔터!H106+IRIVER!H24+돌핀!H22+LDC!H22+STAFF!H7</f>
        <v>102.81741828677116</v>
      </c>
      <c r="T32" s="308">
        <f>플랫폼!I76+콘텐츠!I79+엔터!I106+IRIVER!I24+돌핀!I22+LDC!I22+STAFF!I7</f>
        <v>113.29355827332331</v>
      </c>
      <c r="U32" s="308">
        <f>플랫폼!J76+콘텐츠!J79+엔터!J106+IRIVER!J24+돌핀!J22+LDC!J22+STAFF!J7</f>
        <v>126.72362513124855</v>
      </c>
      <c r="V32" s="308">
        <f>플랫폼!K76+콘텐츠!K79+엔터!K106+IRIVER!K24+돌핀!K22+LDC!K22+STAFF!K7</f>
        <v>137.65167579562413</v>
      </c>
      <c r="W32" s="309">
        <f t="shared" si="48"/>
        <v>0.14093113325622153</v>
      </c>
      <c r="Y32" s="301"/>
      <c r="Z32" s="306" t="s">
        <v>3327</v>
      </c>
      <c r="AA32" s="307"/>
      <c r="AB32" s="308">
        <f>플랫폼!E76</f>
        <v>44.008868469999996</v>
      </c>
      <c r="AC32" s="308">
        <f>플랫폼!F76</f>
        <v>54.206860489999997</v>
      </c>
      <c r="AD32" s="308">
        <f>플랫폼!G76</f>
        <v>61.088999999999999</v>
      </c>
      <c r="AE32" s="308">
        <f>플랫폼!H76</f>
        <v>67.616224999999986</v>
      </c>
      <c r="AF32" s="308">
        <f>플랫폼!I76</f>
        <v>69.181630624999983</v>
      </c>
      <c r="AG32" s="308">
        <f>플랫폼!J76</f>
        <v>70.786171390624972</v>
      </c>
      <c r="AH32" s="308">
        <f>플랫폼!K76</f>
        <v>72.680825675390594</v>
      </c>
      <c r="AI32" s="309">
        <f t="shared" si="50"/>
        <v>6.0408302747976261E-2</v>
      </c>
      <c r="AK32" s="301"/>
      <c r="AL32" s="306" t="s">
        <v>3327</v>
      </c>
      <c r="AM32" s="307"/>
      <c r="AN32" s="308">
        <f>콘텐츠!E79</f>
        <v>1.8522054600000002</v>
      </c>
      <c r="AO32" s="308">
        <f>콘텐츠!F79</f>
        <v>2.3776966499999999</v>
      </c>
      <c r="AP32" s="308">
        <f>콘텐츠!G79</f>
        <v>5</v>
      </c>
      <c r="AQ32" s="308">
        <f>콘텐츠!H79</f>
        <v>7.2192907309689875</v>
      </c>
      <c r="AR32" s="308">
        <f>콘텐츠!I79</f>
        <v>9.4415639613636859</v>
      </c>
      <c r="AS32" s="308">
        <f>콘텐츠!J79</f>
        <v>13.754952454046247</v>
      </c>
      <c r="AT32" s="308">
        <f>콘텐츠!K79</f>
        <v>17.513450838243706</v>
      </c>
      <c r="AU32" s="309">
        <f t="shared" si="52"/>
        <v>0.49088126183336178</v>
      </c>
      <c r="AW32" s="301"/>
      <c r="AX32" s="306" t="s">
        <v>3327</v>
      </c>
      <c r="AY32" s="307"/>
      <c r="AZ32" s="308">
        <f>엔터!E106</f>
        <v>0</v>
      </c>
      <c r="BA32" s="308">
        <f>엔터!F106</f>
        <v>0</v>
      </c>
      <c r="BB32" s="308">
        <f>엔터!G106</f>
        <v>0</v>
      </c>
      <c r="BC32" s="308">
        <f>엔터!H106</f>
        <v>0</v>
      </c>
      <c r="BD32" s="308">
        <f>엔터!I106</f>
        <v>0</v>
      </c>
      <c r="BE32" s="308">
        <f>엔터!J106</f>
        <v>0</v>
      </c>
      <c r="BF32" s="308">
        <f>엔터!K106</f>
        <v>0</v>
      </c>
      <c r="BG32" s="309">
        <f t="shared" si="5"/>
        <v>0</v>
      </c>
      <c r="BI32" s="301"/>
      <c r="BJ32" s="306" t="s">
        <v>3327</v>
      </c>
      <c r="BK32" s="307"/>
      <c r="BL32" s="308">
        <f>IRIVER!E24</f>
        <v>5.2865602000000003</v>
      </c>
      <c r="BM32" s="308">
        <f>IRIVER!F24</f>
        <v>13.304689579999998</v>
      </c>
      <c r="BN32" s="308">
        <f>IRIVER!G24</f>
        <v>17.846775326873601</v>
      </c>
      <c r="BO32" s="308">
        <f>IRIVER!H24</f>
        <v>23.279625766814995</v>
      </c>
      <c r="BP32" s="308">
        <f>IRIVER!I24</f>
        <v>29.506819156866499</v>
      </c>
      <c r="BQ32" s="308">
        <f>IRIVER!J24</f>
        <v>36.620371402998558</v>
      </c>
      <c r="BR32" s="308">
        <f>IRIVER!K24</f>
        <v>41.41912768719363</v>
      </c>
      <c r="BS32" s="309">
        <f t="shared" si="55"/>
        <v>0.25498703831758829</v>
      </c>
      <c r="BU32" s="301"/>
      <c r="BV32" s="306" t="s">
        <v>3327</v>
      </c>
      <c r="BW32" s="307"/>
      <c r="BX32" s="308">
        <f>LDC!E22</f>
        <v>0.49133809000000001</v>
      </c>
      <c r="BY32" s="308">
        <f>LDC!F22</f>
        <v>0.20494347000000002</v>
      </c>
      <c r="BZ32" s="308">
        <f>LDC!G22</f>
        <v>1.74936</v>
      </c>
      <c r="CA32" s="308">
        <f>LDC!H22</f>
        <v>2.1822767889871866</v>
      </c>
      <c r="CB32" s="308">
        <f>LDC!I22</f>
        <v>2.5175445300931441</v>
      </c>
      <c r="CC32" s="308">
        <f>LDC!J22</f>
        <v>2.7838298835787825</v>
      </c>
      <c r="CD32" s="308">
        <f>LDC!K22</f>
        <v>3.121056594796221</v>
      </c>
      <c r="CE32" s="309">
        <f t="shared" si="57"/>
        <v>0.72398511485222339</v>
      </c>
      <c r="CG32" s="301"/>
      <c r="CH32" s="306" t="s">
        <v>3327</v>
      </c>
      <c r="CI32" s="307"/>
      <c r="CJ32" s="308">
        <f>돌핀!E22</f>
        <v>-4.6449999999999996</v>
      </c>
      <c r="CK32" s="308">
        <f>돌핀!F22</f>
        <v>-4.5000000000000005E-2</v>
      </c>
      <c r="CL32" s="308">
        <f>돌핀!G22</f>
        <v>0</v>
      </c>
      <c r="CM32" s="308">
        <f>돌핀!H22</f>
        <v>0</v>
      </c>
      <c r="CN32" s="308">
        <f>돌핀!I22</f>
        <v>0</v>
      </c>
      <c r="CO32" s="308">
        <f>돌핀!J22</f>
        <v>0</v>
      </c>
      <c r="CP32" s="308">
        <f>돌핀!K22</f>
        <v>0</v>
      </c>
      <c r="CQ32" s="309">
        <f t="shared" si="59"/>
        <v>-1</v>
      </c>
      <c r="CS32" s="301"/>
      <c r="CT32" s="306" t="s">
        <v>3327</v>
      </c>
      <c r="CU32" s="307"/>
      <c r="CV32" s="308">
        <f>STAFF!E7</f>
        <v>1.17702879</v>
      </c>
      <c r="CW32" s="308">
        <f>STAFF!F7</f>
        <v>1.15152356</v>
      </c>
      <c r="CX32" s="308">
        <f>STAFF!G7</f>
        <v>2.4</v>
      </c>
      <c r="CY32" s="308">
        <f>STAFF!H7</f>
        <v>2.52</v>
      </c>
      <c r="CZ32" s="308">
        <f>STAFF!I7</f>
        <v>2.6460000000000004</v>
      </c>
      <c r="DA32" s="308">
        <f>STAFF!J7</f>
        <v>2.7783000000000007</v>
      </c>
      <c r="DB32" s="308">
        <f>STAFF!K7</f>
        <v>2.917215000000001</v>
      </c>
      <c r="DC32" s="309">
        <f t="shared" si="79"/>
        <v>0.2043123001258591</v>
      </c>
    </row>
    <row r="33" spans="3:107" s="21" customFormat="1" ht="13.5" x14ac:dyDescent="0.3">
      <c r="C33" s="277"/>
      <c r="D33" s="277"/>
      <c r="E33" s="283" t="s">
        <v>3307</v>
      </c>
      <c r="F33" s="281">
        <f>플랫폼!E38</f>
        <v>0</v>
      </c>
      <c r="G33" s="281">
        <f>플랫폼!F38</f>
        <v>1.2E-2</v>
      </c>
      <c r="H33" s="281">
        <f>플랫폼!G38</f>
        <v>0</v>
      </c>
      <c r="I33" s="281">
        <f>플랫폼!H38</f>
        <v>0</v>
      </c>
      <c r="J33" s="282">
        <f t="shared" si="82"/>
        <v>-1</v>
      </c>
      <c r="M33" s="301"/>
      <c r="N33" s="306" t="s">
        <v>1995</v>
      </c>
      <c r="O33" s="307"/>
      <c r="P33" s="308">
        <f>플랫폼!E77+콘텐츠!E80+엔터!E107+IRIVER!E25+돌핀!E23+LDC!E23+STAFF!E8</f>
        <v>127.87709937</v>
      </c>
      <c r="Q33" s="308">
        <f>플랫폼!F77+콘텐츠!F80+엔터!F107+IRIVER!F25+돌핀!F23+LDC!F23+STAFF!F8</f>
        <v>190.76172651175256</v>
      </c>
      <c r="R33" s="308">
        <f>플랫폼!G77+콘텐츠!G80+엔터!G107+IRIVER!G25+돌핀!G23+LDC!G23+STAFF!G8</f>
        <v>218.57462727275234</v>
      </c>
      <c r="S33" s="308">
        <f>플랫폼!H77+콘텐츠!H80+엔터!H107+IRIVER!H25+돌핀!H23+LDC!H23+STAFF!H8</f>
        <v>232.27095962078812</v>
      </c>
      <c r="T33" s="308">
        <f>플랫폼!I77+콘텐츠!I80+엔터!I107+IRIVER!I25+돌핀!I23+LDC!I23+STAFF!I8</f>
        <v>252.92195285994967</v>
      </c>
      <c r="U33" s="308">
        <f>플랫폼!J77+콘텐츠!J80+엔터!J107+IRIVER!J25+돌핀!J23+LDC!J23+STAFF!J8</f>
        <v>283.01476821646298</v>
      </c>
      <c r="V33" s="308">
        <f>플랫폼!K77+콘텐츠!K80+엔터!K107+IRIVER!K25+돌핀!K23+LDC!K23+STAFF!K8</f>
        <v>332.96949744902594</v>
      </c>
      <c r="W33" s="309">
        <f t="shared" si="48"/>
        <v>0.11784770943199185</v>
      </c>
      <c r="Y33" s="301"/>
      <c r="Z33" s="306" t="s">
        <v>1995</v>
      </c>
      <c r="AA33" s="307"/>
      <c r="AB33" s="308">
        <f>플랫폼!E77</f>
        <v>91.331257989999997</v>
      </c>
      <c r="AC33" s="308">
        <f>플랫폼!F77</f>
        <v>152.53786518207255</v>
      </c>
      <c r="AD33" s="308">
        <f>플랫폼!G77</f>
        <v>169.18345244262741</v>
      </c>
      <c r="AE33" s="308">
        <f>플랫폼!H77</f>
        <v>176.95121327402023</v>
      </c>
      <c r="AF33" s="308">
        <f>플랫폼!I77</f>
        <v>182.04875370288917</v>
      </c>
      <c r="AG33" s="308">
        <f>플랫폼!J77</f>
        <v>197.64952473402556</v>
      </c>
      <c r="AH33" s="308">
        <f>플랫폼!K77</f>
        <v>237.19299403309608</v>
      </c>
      <c r="AI33" s="309">
        <f t="shared" si="50"/>
        <v>9.230730636033524E-2</v>
      </c>
      <c r="AK33" s="301"/>
      <c r="AL33" s="306" t="s">
        <v>1995</v>
      </c>
      <c r="AM33" s="307"/>
      <c r="AN33" s="308">
        <f>콘텐츠!E80</f>
        <v>7.0058720899999996</v>
      </c>
      <c r="AO33" s="308">
        <f>콘텐츠!F80</f>
        <v>20.027335239999999</v>
      </c>
      <c r="AP33" s="308">
        <f>콘텐츠!G80</f>
        <v>23.499748296338254</v>
      </c>
      <c r="AQ33" s="308">
        <f>콘텐츠!H80</f>
        <v>22.332342440112189</v>
      </c>
      <c r="AR33" s="308">
        <f>콘텐츠!I80</f>
        <v>32.338388292127711</v>
      </c>
      <c r="AS33" s="308">
        <f>콘텐츠!J80</f>
        <v>40.947837849811044</v>
      </c>
      <c r="AT33" s="308">
        <f>콘텐츠!K80</f>
        <v>48.082429936385665</v>
      </c>
      <c r="AU33" s="309">
        <f t="shared" si="52"/>
        <v>0.19144129343506888</v>
      </c>
      <c r="AW33" s="301"/>
      <c r="AX33" s="306" t="s">
        <v>1995</v>
      </c>
      <c r="AY33" s="307"/>
      <c r="AZ33" s="308">
        <f>엔터!E107</f>
        <v>4.081924E-2</v>
      </c>
      <c r="BA33" s="308">
        <f>엔터!F107</f>
        <v>8.1065540000000005E-2</v>
      </c>
      <c r="BB33" s="308">
        <f>엔터!G107</f>
        <v>7.0000000000000007E-2</v>
      </c>
      <c r="BC33" s="308">
        <f>엔터!H107</f>
        <v>7.2100000000000011E-2</v>
      </c>
      <c r="BD33" s="308">
        <f>엔터!I107</f>
        <v>7.426300000000001E-2</v>
      </c>
      <c r="BE33" s="308">
        <f>엔터!J107</f>
        <v>7.6490890000000006E-2</v>
      </c>
      <c r="BF33" s="308">
        <f>엔터!K107</f>
        <v>7.8785616700000005E-2</v>
      </c>
      <c r="BG33" s="309">
        <f t="shared" si="5"/>
        <v>-5.6892569888209454E-3</v>
      </c>
      <c r="BI33" s="301"/>
      <c r="BJ33" s="306" t="s">
        <v>1995</v>
      </c>
      <c r="BK33" s="307"/>
      <c r="BL33" s="308">
        <f>IRIVER!E25</f>
        <v>9.3887922800000005</v>
      </c>
      <c r="BM33" s="308">
        <f>IRIVER!F25</f>
        <v>9.3993084499999995</v>
      </c>
      <c r="BN33" s="308">
        <f>IRIVER!G25</f>
        <v>14.730366647119999</v>
      </c>
      <c r="BO33" s="308">
        <f>IRIVER!H25</f>
        <v>19.214531290510685</v>
      </c>
      <c r="BP33" s="308">
        <f>IRIVER!I25</f>
        <v>24.354330505658304</v>
      </c>
      <c r="BQ33" s="308">
        <f>IRIVER!J25</f>
        <v>30.225712356427952</v>
      </c>
      <c r="BR33" s="308">
        <f>IRIVER!K25</f>
        <v>34.186508535103648</v>
      </c>
      <c r="BS33" s="309">
        <f t="shared" si="55"/>
        <v>0.29464819261326913</v>
      </c>
      <c r="BU33" s="301"/>
      <c r="BV33" s="306" t="s">
        <v>1995</v>
      </c>
      <c r="BW33" s="307"/>
      <c r="BX33" s="308">
        <f>LDC!E23</f>
        <v>2.6736540199999999</v>
      </c>
      <c r="BY33" s="308">
        <f>LDC!F23</f>
        <v>3.8137436496799997</v>
      </c>
      <c r="BZ33" s="308">
        <f>LDC!G23</f>
        <v>2.9482908499999998</v>
      </c>
      <c r="CA33" s="308">
        <f>LDC!H23</f>
        <v>3.0367395755</v>
      </c>
      <c r="CB33" s="308">
        <f>LDC!I23</f>
        <v>3.1278417627650001</v>
      </c>
      <c r="CC33" s="308">
        <f>LDC!J23</f>
        <v>3.2216770156479502</v>
      </c>
      <c r="CD33" s="308">
        <f>LDC!K23</f>
        <v>3.3183273261173887</v>
      </c>
      <c r="CE33" s="309">
        <f t="shared" si="57"/>
        <v>-2.7446401315823432E-2</v>
      </c>
      <c r="CG33" s="301"/>
      <c r="CH33" s="306" t="s">
        <v>1995</v>
      </c>
      <c r="CI33" s="307"/>
      <c r="CJ33" s="308">
        <f>돌핀!E23</f>
        <v>3.70512212</v>
      </c>
      <c r="CK33" s="308">
        <f>돌핀!F23</f>
        <v>-11.94122248</v>
      </c>
      <c r="CL33" s="308">
        <f>돌핀!G23</f>
        <v>-14.008483310000001</v>
      </c>
      <c r="CM33" s="308">
        <f>돌핀!H23</f>
        <v>-12.594781923355026</v>
      </c>
      <c r="CN33" s="308">
        <f>돌핀!I23</f>
        <v>-13.443380115690529</v>
      </c>
      <c r="CO33" s="308">
        <f>돌핀!J23</f>
        <v>-14.749318127259581</v>
      </c>
      <c r="CP33" s="308">
        <f>돌핀!K23</f>
        <v>-16.814533671077371</v>
      </c>
      <c r="CQ33" s="309">
        <f t="shared" si="59"/>
        <v>7.0846465288457949E-2</v>
      </c>
      <c r="CS33" s="301"/>
      <c r="CT33" s="306" t="s">
        <v>1995</v>
      </c>
      <c r="CU33" s="307"/>
      <c r="CV33" s="308">
        <f>STAFF!E8</f>
        <v>13.731581630000001</v>
      </c>
      <c r="CW33" s="308">
        <f>STAFF!F8</f>
        <v>16.84363093</v>
      </c>
      <c r="CX33" s="308">
        <f>STAFF!G8</f>
        <v>22.15125234666667</v>
      </c>
      <c r="CY33" s="308">
        <f>STAFF!H8</f>
        <v>23.258814964000006</v>
      </c>
      <c r="CZ33" s="308">
        <f>STAFF!I8</f>
        <v>24.421755712200007</v>
      </c>
      <c r="DA33" s="308">
        <f>STAFF!J8</f>
        <v>25.642843497810009</v>
      </c>
      <c r="DB33" s="308">
        <f>STAFF!K8</f>
        <v>26.924985672700512</v>
      </c>
      <c r="DC33" s="309">
        <f t="shared" si="79"/>
        <v>9.8358089056778342E-2</v>
      </c>
    </row>
    <row r="34" spans="3:107" s="21" customFormat="1" ht="13.5" x14ac:dyDescent="0.3">
      <c r="C34" s="277"/>
      <c r="D34" s="277"/>
      <c r="E34" s="283" t="s">
        <v>3308</v>
      </c>
      <c r="F34" s="281">
        <f>플랫폼!E42</f>
        <v>0</v>
      </c>
      <c r="G34" s="281">
        <f>플랫폼!F42</f>
        <v>0</v>
      </c>
      <c r="H34" s="281">
        <f>플랫폼!G42</f>
        <v>12.631874373487738</v>
      </c>
      <c r="I34" s="281">
        <f>플랫폼!H42</f>
        <v>26.982865435329533</v>
      </c>
      <c r="J34" s="282">
        <f t="shared" si="82"/>
        <v>0</v>
      </c>
      <c r="M34" s="310"/>
      <c r="N34" s="311" t="s">
        <v>71</v>
      </c>
      <c r="O34" s="312"/>
      <c r="P34" s="313">
        <f>플랫폼!E78+콘텐츠!E81+엔터!E108+IRIVER!E26+돌핀!E24+LDC!E24+STAFF!E9</f>
        <v>28.305240409999985</v>
      </c>
      <c r="Q34" s="313">
        <f>플랫폼!F78+콘텐츠!F81+엔터!F108+IRIVER!F26+돌핀!F24+LDC!F24+STAFF!F9</f>
        <v>33.544287100276215</v>
      </c>
      <c r="R34" s="313">
        <f>플랫폼!G78+콘텐츠!G81+엔터!G108+IRIVER!G26+돌핀!G24+LDC!G24+STAFF!G9</f>
        <v>38.876969459680005</v>
      </c>
      <c r="S34" s="313">
        <f>플랫폼!H78+콘텐츠!H81+엔터!H108+IRIVER!H26+돌핀!H24+LDC!H24+STAFF!H9</f>
        <v>48.692691924068875</v>
      </c>
      <c r="T34" s="313">
        <f>플랫폼!I78+콘텐츠!I81+엔터!I108+IRIVER!I26+돌핀!I24+LDC!I24+STAFF!I9</f>
        <v>55.389239064554054</v>
      </c>
      <c r="U34" s="313">
        <f>플랫폼!J78+콘텐츠!J81+엔터!J108+IRIVER!J26+돌핀!J24+LDC!J24+STAFF!J9</f>
        <v>65.226617351106313</v>
      </c>
      <c r="V34" s="313">
        <f>플랫폼!K78+콘텐츠!K81+엔터!K108+IRIVER!K26+돌핀!K24+LDC!K24+STAFF!K9</f>
        <v>72.177603040436054</v>
      </c>
      <c r="W34" s="314">
        <f t="shared" si="48"/>
        <v>0.16561942892737158</v>
      </c>
      <c r="Y34" s="310"/>
      <c r="Z34" s="311" t="s">
        <v>71</v>
      </c>
      <c r="AA34" s="312"/>
      <c r="AB34" s="313">
        <f>플랫폼!E78</f>
        <v>1.2672553857672568</v>
      </c>
      <c r="AC34" s="313">
        <f>플랫폼!F78</f>
        <v>0.79624961142503992</v>
      </c>
      <c r="AD34" s="313">
        <f>플랫폼!G78</f>
        <v>2.7530895000000002</v>
      </c>
      <c r="AE34" s="313">
        <f>플랫폼!H78</f>
        <v>4.8907439750000004</v>
      </c>
      <c r="AF34" s="313">
        <f>플랫폼!I78</f>
        <v>3.0352811737500005</v>
      </c>
      <c r="AG34" s="313">
        <f>플랫폼!J78</f>
        <v>3.1870452324375007</v>
      </c>
      <c r="AH34" s="313">
        <f>플랫폼!K78</f>
        <v>3.3463974940593757</v>
      </c>
      <c r="AI34" s="314">
        <f t="shared" si="50"/>
        <v>0.3326179493552317</v>
      </c>
      <c r="AK34" s="310"/>
      <c r="AL34" s="311" t="s">
        <v>71</v>
      </c>
      <c r="AM34" s="312"/>
      <c r="AN34" s="313">
        <f>콘텐츠!E81</f>
        <v>0.23652692747285631</v>
      </c>
      <c r="AO34" s="313">
        <f>콘텐츠!F81</f>
        <v>1.1422336700000013</v>
      </c>
      <c r="AP34" s="313">
        <f>콘텐츠!G81</f>
        <v>1.8976599999999999</v>
      </c>
      <c r="AQ34" s="313">
        <f>콘텐츠!H81</f>
        <v>2.1599478477058289</v>
      </c>
      <c r="AR34" s="313">
        <f>콘텐츠!I81</f>
        <v>2.4239435894116586</v>
      </c>
      <c r="AS34" s="313">
        <f>콘텐츠!J81</f>
        <v>2.6896984619374877</v>
      </c>
      <c r="AT34" s="313">
        <f>콘텐츠!K81</f>
        <v>2.9572652392079171</v>
      </c>
      <c r="AU34" s="314">
        <f t="shared" si="52"/>
        <v>0.20955901905172447</v>
      </c>
      <c r="AW34" s="310"/>
      <c r="AX34" s="311" t="s">
        <v>71</v>
      </c>
      <c r="AY34" s="312"/>
      <c r="AZ34" s="313">
        <f>엔터!E108</f>
        <v>5.6417811555909927E-2</v>
      </c>
      <c r="BA34" s="313">
        <f>엔터!F108</f>
        <v>0.10336765999999981</v>
      </c>
      <c r="BB34" s="313">
        <f>엔터!G108</f>
        <v>0.2274688</v>
      </c>
      <c r="BC34" s="313">
        <f>엔터!H108</f>
        <v>0.23429286400000002</v>
      </c>
      <c r="BD34" s="313">
        <f>엔터!I108</f>
        <v>0.24132164992000002</v>
      </c>
      <c r="BE34" s="313">
        <f>엔터!J108</f>
        <v>0.24856129941760002</v>
      </c>
      <c r="BF34" s="313">
        <f>엔터!K108</f>
        <v>0.25601813840012805</v>
      </c>
      <c r="BG34" s="314">
        <f t="shared" si="5"/>
        <v>0.19888412648741172</v>
      </c>
      <c r="BI34" s="310"/>
      <c r="BJ34" s="311" t="s">
        <v>71</v>
      </c>
      <c r="BK34" s="312"/>
      <c r="BL34" s="313">
        <f>IRIVER!E26</f>
        <v>17.317062218658815</v>
      </c>
      <c r="BM34" s="313">
        <f>IRIVER!F26</f>
        <v>19.371705638779869</v>
      </c>
      <c r="BN34" s="313">
        <f>IRIVER!G26</f>
        <v>22.374114119679998</v>
      </c>
      <c r="BO34" s="313">
        <f>IRIVER!H26</f>
        <v>29.185160569923873</v>
      </c>
      <c r="BP34" s="313">
        <f>IRIVER!I26</f>
        <v>36.992057502420685</v>
      </c>
      <c r="BQ34" s="313">
        <f>IRIVER!J26</f>
        <v>45.91016325744765</v>
      </c>
      <c r="BR34" s="313">
        <f>IRIVER!K26</f>
        <v>51.926259654057624</v>
      </c>
      <c r="BS34" s="314">
        <f t="shared" si="55"/>
        <v>0.21799031764478505</v>
      </c>
      <c r="BU34" s="310"/>
      <c r="BV34" s="311" t="s">
        <v>71</v>
      </c>
      <c r="BW34" s="312"/>
      <c r="BX34" s="313">
        <f>LDC!E24</f>
        <v>1.61931687</v>
      </c>
      <c r="BY34" s="313">
        <f>LDC!F24</f>
        <v>2.2221130038012427</v>
      </c>
      <c r="BZ34" s="313">
        <f>LDC!G24</f>
        <v>1.7029883999999997</v>
      </c>
      <c r="CA34" s="313">
        <f>LDC!H24</f>
        <v>1.7540780519999997</v>
      </c>
      <c r="CB34" s="313">
        <f>LDC!I24</f>
        <v>1.8067003935599997</v>
      </c>
      <c r="CC34" s="313">
        <f>LDC!J24</f>
        <v>1.8609014053667998</v>
      </c>
      <c r="CD34" s="313">
        <f>LDC!K24</f>
        <v>1.9167284475278039</v>
      </c>
      <c r="CE34" s="314">
        <f t="shared" si="57"/>
        <v>-2.913490023266585E-2</v>
      </c>
      <c r="CG34" s="310"/>
      <c r="CH34" s="311" t="s">
        <v>71</v>
      </c>
      <c r="CI34" s="312"/>
      <c r="CJ34" s="313">
        <f>돌핀!E24</f>
        <v>0.51219804999999996</v>
      </c>
      <c r="CK34" s="313">
        <f>돌핀!F24</f>
        <v>0.34541003000000037</v>
      </c>
      <c r="CL34" s="313">
        <f>돌핀!G24</f>
        <v>0.11235000000000001</v>
      </c>
      <c r="CM34" s="313">
        <f>돌핀!H24</f>
        <v>0.18196692335502535</v>
      </c>
      <c r="CN34" s="313">
        <f>돌핀!I24</f>
        <v>0.20016361569052787</v>
      </c>
      <c r="CO34" s="313">
        <f>돌핀!J24</f>
        <v>0.22017997725958069</v>
      </c>
      <c r="CP34" s="313">
        <f>돌핀!K24</f>
        <v>0.22678537657736811</v>
      </c>
      <c r="CQ34" s="314">
        <f t="shared" si="59"/>
        <v>-8.0702623847912602E-2</v>
      </c>
      <c r="CS34" s="310"/>
      <c r="CT34" s="311" t="s">
        <v>71</v>
      </c>
      <c r="CU34" s="312"/>
      <c r="CV34" s="313">
        <f>STAFF!E9</f>
        <v>7.2964631465451504</v>
      </c>
      <c r="CW34" s="313">
        <f>STAFF!F9</f>
        <v>9.5632074862700591</v>
      </c>
      <c r="CX34" s="313">
        <f>STAFF!G9</f>
        <v>9.8092986400000086</v>
      </c>
      <c r="CY34" s="313">
        <f>STAFF!H9</f>
        <v>10.286501692084144</v>
      </c>
      <c r="CZ34" s="313">
        <f>STAFF!I9</f>
        <v>10.689771139801181</v>
      </c>
      <c r="DA34" s="313">
        <f>STAFF!J9</f>
        <v>11.110067717239687</v>
      </c>
      <c r="DB34" s="313">
        <f>STAFF!K9</f>
        <v>11.548148690605842</v>
      </c>
      <c r="DC34" s="314">
        <f t="shared" si="79"/>
        <v>3.8440835020258524E-2</v>
      </c>
    </row>
    <row r="35" spans="3:107" s="21" customFormat="1" ht="13.5" x14ac:dyDescent="0.3">
      <c r="C35" s="277"/>
      <c r="D35" s="284"/>
      <c r="E35" s="285" t="s">
        <v>3312</v>
      </c>
      <c r="F35" s="286">
        <f>플랫폼!E46</f>
        <v>0</v>
      </c>
      <c r="G35" s="286">
        <f>플랫폼!F46</f>
        <v>0</v>
      </c>
      <c r="H35" s="286">
        <f>플랫폼!G46</f>
        <v>0</v>
      </c>
      <c r="I35" s="286">
        <f>플랫폼!H46</f>
        <v>0</v>
      </c>
      <c r="J35" s="287">
        <f t="shared" si="82"/>
        <v>0</v>
      </c>
      <c r="M35" s="315" t="s">
        <v>137</v>
      </c>
      <c r="N35" s="262"/>
      <c r="O35" s="291"/>
      <c r="P35" s="292">
        <f>P20-P29</f>
        <v>48.479873802720704</v>
      </c>
      <c r="Q35" s="316">
        <f>Q20-Q29</f>
        <v>-91.890850342516387</v>
      </c>
      <c r="R35" s="316">
        <f>R20-R29</f>
        <v>-87.362325080716232</v>
      </c>
      <c r="S35" s="292">
        <f>S20-S29</f>
        <v>44.634240531022215</v>
      </c>
      <c r="T35" s="292">
        <f t="shared" ref="T35:V35" si="83">T20-T29</f>
        <v>214.20954599473657</v>
      </c>
      <c r="U35" s="292">
        <f t="shared" si="83"/>
        <v>462.23956498704774</v>
      </c>
      <c r="V35" s="292">
        <f t="shared" si="83"/>
        <v>648.66511173427421</v>
      </c>
      <c r="W35" s="293"/>
      <c r="Y35" s="315" t="s">
        <v>137</v>
      </c>
      <c r="Z35" s="262"/>
      <c r="AA35" s="291"/>
      <c r="AB35" s="292">
        <f>AB20-AB29</f>
        <v>37.706464937260932</v>
      </c>
      <c r="AC35" s="292">
        <f>AC20-AC29</f>
        <v>-103.7894369444445</v>
      </c>
      <c r="AD35" s="292">
        <f>AD20-AD29</f>
        <v>-93.362052151412911</v>
      </c>
      <c r="AE35" s="292">
        <f>AE20-AE29</f>
        <v>1.9811711411615534</v>
      </c>
      <c r="AF35" s="292">
        <f t="shared" ref="AF35:AH35" si="84">AF20-AF29</f>
        <v>77.22573207021054</v>
      </c>
      <c r="AG35" s="292">
        <f t="shared" si="84"/>
        <v>220.13131217469902</v>
      </c>
      <c r="AH35" s="292">
        <f t="shared" si="84"/>
        <v>306.29805940953554</v>
      </c>
      <c r="AI35" s="293"/>
      <c r="AK35" s="315" t="s">
        <v>137</v>
      </c>
      <c r="AL35" s="262"/>
      <c r="AM35" s="291"/>
      <c r="AN35" s="292">
        <f>AN20-AN29</f>
        <v>91.309178274079571</v>
      </c>
      <c r="AO35" s="292">
        <f>AO20-AO29</f>
        <v>119.60876141146406</v>
      </c>
      <c r="AP35" s="292">
        <f>AP20-AP29</f>
        <v>99.91953178434693</v>
      </c>
      <c r="AQ35" s="292">
        <f>AQ20-AQ29</f>
        <v>101.4263651661693</v>
      </c>
      <c r="AR35" s="292">
        <f t="shared" ref="AR35:AT35" si="85">AR20-AR29</f>
        <v>175.34666940422903</v>
      </c>
      <c r="AS35" s="292">
        <f t="shared" si="85"/>
        <v>239.53441924084316</v>
      </c>
      <c r="AT35" s="292">
        <f t="shared" si="85"/>
        <v>302.29860910266132</v>
      </c>
      <c r="AU35" s="293">
        <f t="shared" si="52"/>
        <v>0.20374537406792492</v>
      </c>
      <c r="AW35" s="315" t="s">
        <v>137</v>
      </c>
      <c r="AX35" s="262"/>
      <c r="AY35" s="291"/>
      <c r="AZ35" s="292">
        <f>AZ20-AZ29</f>
        <v>5.1277174671602905</v>
      </c>
      <c r="BA35" s="292">
        <f>BA20-BA29</f>
        <v>-10.721891883173654</v>
      </c>
      <c r="BB35" s="292">
        <f>BB20-BB29</f>
        <v>-6.0087648341445279</v>
      </c>
      <c r="BC35" s="292">
        <f>BC20-BC29</f>
        <v>19.08764523670904</v>
      </c>
      <c r="BD35" s="292">
        <f t="shared" ref="BD35:BF35" si="86">BD20-BD29</f>
        <v>28.307374816893699</v>
      </c>
      <c r="BE35" s="292">
        <f t="shared" si="86"/>
        <v>24.00199470523755</v>
      </c>
      <c r="BF35" s="292">
        <f t="shared" si="86"/>
        <v>32.62588716192532</v>
      </c>
      <c r="BG35" s="293"/>
      <c r="BI35" s="315" t="s">
        <v>137</v>
      </c>
      <c r="BJ35" s="262"/>
      <c r="BK35" s="291"/>
      <c r="BL35" s="292">
        <f>BL20-BL29</f>
        <v>5.5052426423201553</v>
      </c>
      <c r="BM35" s="292">
        <f>BM20-BM29</f>
        <v>-10.670292559023792</v>
      </c>
      <c r="BN35" s="292">
        <f>BN20-BN29</f>
        <v>-4.6505419060057136</v>
      </c>
      <c r="BO35" s="292">
        <f>BO20-BO29</f>
        <v>9.9739430404677876</v>
      </c>
      <c r="BP35" s="292">
        <f t="shared" ref="BP35:BR35" si="87">BP20-BP29</f>
        <v>19.803538246860597</v>
      </c>
      <c r="BQ35" s="292">
        <f t="shared" si="87"/>
        <v>46.985317493585171</v>
      </c>
      <c r="BR35" s="292">
        <f t="shared" si="87"/>
        <v>60.299532797009249</v>
      </c>
      <c r="BS35" s="293"/>
      <c r="BU35" s="315" t="s">
        <v>137</v>
      </c>
      <c r="BV35" s="262"/>
      <c r="BW35" s="291"/>
      <c r="BX35" s="292">
        <f>BX20-BX29</f>
        <v>-5.4589876099999941</v>
      </c>
      <c r="BY35" s="292">
        <f>BY20-BY29</f>
        <v>8.4628001504902066</v>
      </c>
      <c r="BZ35" s="292">
        <f>BZ20-BZ29</f>
        <v>7.915510098500004</v>
      </c>
      <c r="CA35" s="292">
        <f>CA20-CA29</f>
        <v>13.770649488667583</v>
      </c>
      <c r="CB35" s="292">
        <f t="shared" ref="CB35:CD35" si="88">CB20-CB29</f>
        <v>17.836827002972033</v>
      </c>
      <c r="CC35" s="292">
        <f t="shared" si="88"/>
        <v>20.603110757416676</v>
      </c>
      <c r="CD35" s="292">
        <f t="shared" si="88"/>
        <v>24.414357135327876</v>
      </c>
      <c r="CE35" s="293">
        <f t="shared" si="57"/>
        <v>0.23602211603337464</v>
      </c>
      <c r="CG35" s="315" t="s">
        <v>137</v>
      </c>
      <c r="CH35" s="262"/>
      <c r="CI35" s="291"/>
      <c r="CJ35" s="292">
        <f>CJ20-CJ29</f>
        <v>-7.9913052800000006</v>
      </c>
      <c r="CK35" s="292">
        <f>CK20-CK29</f>
        <v>9.5381144100000022</v>
      </c>
      <c r="CL35" s="292">
        <f>CL20-CL29</f>
        <v>8.2698345900000021</v>
      </c>
      <c r="CM35" s="292">
        <f>CM20-CM29</f>
        <v>9.4401213840000029</v>
      </c>
      <c r="CN35" s="292">
        <f t="shared" ref="CN35:CP35" si="89">CN20-CN29</f>
        <v>16.059378676000001</v>
      </c>
      <c r="CO35" s="292">
        <f t="shared" si="89"/>
        <v>22.178861126000001</v>
      </c>
      <c r="CP35" s="292">
        <f t="shared" si="89"/>
        <v>31.222707299300005</v>
      </c>
      <c r="CQ35" s="293">
        <f t="shared" si="59"/>
        <v>0.26765655371413799</v>
      </c>
      <c r="CS35" s="315" t="s">
        <v>137</v>
      </c>
      <c r="CT35" s="262"/>
      <c r="CU35" s="291"/>
      <c r="CV35" s="292">
        <f>CV20-CV29</f>
        <v>-77.718436628100221</v>
      </c>
      <c r="CW35" s="292">
        <f>CW20-CW29</f>
        <v>-87.649705179288418</v>
      </c>
      <c r="CX35" s="292">
        <f>CX20-CX29</f>
        <v>-86.830897100000016</v>
      </c>
      <c r="CY35" s="292">
        <f>CY20-CY29</f>
        <v>-97.624854926153162</v>
      </c>
      <c r="CZ35" s="292">
        <f t="shared" ref="CZ35:DB35" si="90">CZ20-CZ29</f>
        <v>-101.92297422242922</v>
      </c>
      <c r="DA35" s="292">
        <f t="shared" si="90"/>
        <v>-106.42865051073399</v>
      </c>
      <c r="DB35" s="292">
        <f t="shared" si="90"/>
        <v>-111.15204117148544</v>
      </c>
      <c r="DC35" s="293">
        <f t="shared" si="79"/>
        <v>4.8656846320420444E-2</v>
      </c>
    </row>
    <row r="36" spans="3:107" s="21" customFormat="1" ht="13.5" x14ac:dyDescent="0.3">
      <c r="C36" s="277"/>
      <c r="D36" s="269" t="s">
        <v>3272</v>
      </c>
      <c r="E36" s="270"/>
      <c r="F36" s="271">
        <f>SUM(F37:F40)</f>
        <v>431.47219526500004</v>
      </c>
      <c r="G36" s="271">
        <f>SUM(G37:G40)</f>
        <v>712.1167672790001</v>
      </c>
      <c r="H36" s="271">
        <f t="shared" ref="H36:I36" si="91">SUM(H37:H40)</f>
        <v>579.30735535621352</v>
      </c>
      <c r="I36" s="271">
        <f t="shared" si="91"/>
        <v>743.20340964882951</v>
      </c>
      <c r="J36" s="272">
        <f t="shared" si="82"/>
        <v>2.1593781978086923E-2</v>
      </c>
      <c r="M36" s="317"/>
      <c r="N36" s="298" t="s">
        <v>3321</v>
      </c>
      <c r="O36" s="299"/>
      <c r="P36" s="300">
        <f>P35/P4</f>
        <v>1.9853443364679386E-2</v>
      </c>
      <c r="Q36" s="300">
        <f t="shared" ref="Q36:V36" si="92">Q35/Q4</f>
        <v>-3.3881846884749718E-2</v>
      </c>
      <c r="R36" s="300">
        <f t="shared" si="92"/>
        <v>-3.02101526220377E-2</v>
      </c>
      <c r="S36" s="300">
        <f t="shared" si="92"/>
        <v>1.1692773549666921E-2</v>
      </c>
      <c r="T36" s="300">
        <f t="shared" si="92"/>
        <v>4.3980179986525363E-2</v>
      </c>
      <c r="U36" s="300">
        <f t="shared" si="92"/>
        <v>7.5766105030411771E-2</v>
      </c>
      <c r="V36" s="300">
        <f t="shared" si="92"/>
        <v>8.9986767889228228E-2</v>
      </c>
      <c r="W36" s="318"/>
      <c r="Y36" s="317"/>
      <c r="Z36" s="298" t="s">
        <v>3321</v>
      </c>
      <c r="AA36" s="299"/>
      <c r="AB36" s="300">
        <f>AB35/AB4</f>
        <v>2.9091519797162194E-2</v>
      </c>
      <c r="AC36" s="300">
        <f t="shared" ref="AC36:AH36" si="93">AC35/AC4</f>
        <v>-8.8157802545970998E-2</v>
      </c>
      <c r="AD36" s="300">
        <f t="shared" si="93"/>
        <v>-7.2334670495263168E-2</v>
      </c>
      <c r="AE36" s="300">
        <f t="shared" si="93"/>
        <v>1.1558464438452824E-3</v>
      </c>
      <c r="AF36" s="300">
        <f t="shared" si="93"/>
        <v>3.7750403154254944E-2</v>
      </c>
      <c r="AG36" s="300">
        <f t="shared" si="93"/>
        <v>8.6097524175354614E-2</v>
      </c>
      <c r="AH36" s="300">
        <f t="shared" si="93"/>
        <v>0.10180203156321194</v>
      </c>
      <c r="AI36" s="318"/>
      <c r="AK36" s="317"/>
      <c r="AL36" s="298" t="s">
        <v>3321</v>
      </c>
      <c r="AM36" s="299"/>
      <c r="AN36" s="300">
        <f>AN35/AN4</f>
        <v>0.16111397657576518</v>
      </c>
      <c r="AO36" s="300">
        <f t="shared" ref="AO36:AT36" si="94">AO35/AO4</f>
        <v>0.13368239072371665</v>
      </c>
      <c r="AP36" s="300">
        <f t="shared" si="94"/>
        <v>0.13516172532825976</v>
      </c>
      <c r="AQ36" s="300">
        <f t="shared" si="94"/>
        <v>0.10965529357906702</v>
      </c>
      <c r="AR36" s="300">
        <f t="shared" si="94"/>
        <v>0.12306970518317224</v>
      </c>
      <c r="AS36" s="300">
        <f t="shared" si="94"/>
        <v>0.12966414414840102</v>
      </c>
      <c r="AT36" s="300">
        <f t="shared" si="94"/>
        <v>0.13434418645528617</v>
      </c>
      <c r="AU36" s="318"/>
      <c r="AW36" s="317"/>
      <c r="AX36" s="298" t="s">
        <v>3321</v>
      </c>
      <c r="AY36" s="299"/>
      <c r="AZ36" s="300">
        <f>AZ35/AZ4</f>
        <v>5.8240919824706042E-2</v>
      </c>
      <c r="BA36" s="300">
        <f t="shared" ref="BA36:BF36" si="95">BA35/BA4</f>
        <v>-0.14777439871490236</v>
      </c>
      <c r="BB36" s="300">
        <f t="shared" si="95"/>
        <v>-4.1535575753338064E-2</v>
      </c>
      <c r="BC36" s="300">
        <f t="shared" si="95"/>
        <v>6.9625450413234299E-2</v>
      </c>
      <c r="BD36" s="300">
        <f t="shared" si="95"/>
        <v>0.12675003575445923</v>
      </c>
      <c r="BE36" s="300">
        <f t="shared" si="95"/>
        <v>0.10715869344279443</v>
      </c>
      <c r="BF36" s="300">
        <f t="shared" si="95"/>
        <v>8.8010600640281031E-2</v>
      </c>
      <c r="BG36" s="318"/>
      <c r="BI36" s="317"/>
      <c r="BJ36" s="298" t="s">
        <v>3321</v>
      </c>
      <c r="BK36" s="299"/>
      <c r="BL36" s="300">
        <f>BL35/BL4</f>
        <v>1.2306212721694312E-2</v>
      </c>
      <c r="BM36" s="300">
        <f t="shared" ref="BM36:BR36" si="96">BM35/BM4</f>
        <v>-2.6061511256351574E-2</v>
      </c>
      <c r="BN36" s="300">
        <f t="shared" si="96"/>
        <v>-8.8312620084487689E-3</v>
      </c>
      <c r="BO36" s="300">
        <f t="shared" si="96"/>
        <v>1.5030420479631068E-2</v>
      </c>
      <c r="BP36" s="300">
        <f t="shared" si="96"/>
        <v>2.437248495108588E-2</v>
      </c>
      <c r="BQ36" s="300">
        <f t="shared" si="96"/>
        <v>4.6936388571172639E-2</v>
      </c>
      <c r="BR36" s="300">
        <f t="shared" si="96"/>
        <v>5.3647184949550765E-2</v>
      </c>
      <c r="BS36" s="318"/>
      <c r="BU36" s="317"/>
      <c r="BV36" s="298" t="s">
        <v>3321</v>
      </c>
      <c r="BW36" s="299"/>
      <c r="BX36" s="300">
        <f>BX35/BX4</f>
        <v>-0.13378818647318474</v>
      </c>
      <c r="BY36" s="300">
        <f t="shared" ref="BY36:CD36" si="97">BY35/BY4</f>
        <v>5.1770403718024008E-2</v>
      </c>
      <c r="BZ36" s="300">
        <f t="shared" si="97"/>
        <v>4.2331298051968363E-2</v>
      </c>
      <c r="CA36" s="300">
        <f t="shared" si="97"/>
        <v>5.9000672725331611E-2</v>
      </c>
      <c r="CB36" s="300">
        <f t="shared" si="97"/>
        <v>6.6244955389260687E-2</v>
      </c>
      <c r="CC36" s="300">
        <f t="shared" si="97"/>
        <v>6.9199423681414782E-2</v>
      </c>
      <c r="CD36" s="300">
        <f t="shared" si="97"/>
        <v>7.3140179549251158E-2</v>
      </c>
      <c r="CE36" s="318"/>
      <c r="CG36" s="317"/>
      <c r="CH36" s="298" t="s">
        <v>3321</v>
      </c>
      <c r="CI36" s="299"/>
      <c r="CJ36" s="300">
        <f>CJ35/CJ4</f>
        <v>-2.836612693454494</v>
      </c>
      <c r="CK36" s="300">
        <f t="shared" ref="CK36:CP36" si="98">CK35/CK4</f>
        <v>0.45418850760366541</v>
      </c>
      <c r="CL36" s="300">
        <f t="shared" si="98"/>
        <v>0.50969076436654104</v>
      </c>
      <c r="CM36" s="300">
        <f t="shared" si="98"/>
        <v>0.45956473275486054</v>
      </c>
      <c r="CN36" s="300">
        <f t="shared" si="98"/>
        <v>0.46749472158826277</v>
      </c>
      <c r="CO36" s="300">
        <f t="shared" si="98"/>
        <v>0.48479656572412827</v>
      </c>
      <c r="CP36" s="300">
        <f t="shared" si="98"/>
        <v>0.49682877123193947</v>
      </c>
      <c r="CQ36" s="318"/>
      <c r="CS36" s="317"/>
      <c r="CT36" s="298" t="s">
        <v>3321</v>
      </c>
      <c r="CU36" s="299"/>
      <c r="CV36" s="300" t="e">
        <f>CV35/CV4</f>
        <v>#DIV/0!</v>
      </c>
      <c r="CW36" s="300" t="e">
        <f t="shared" ref="CW36:DB36" si="99">CW35/CW4</f>
        <v>#DIV/0!</v>
      </c>
      <c r="CX36" s="300" t="e">
        <f t="shared" si="99"/>
        <v>#DIV/0!</v>
      </c>
      <c r="CY36" s="300" t="e">
        <f t="shared" si="99"/>
        <v>#DIV/0!</v>
      </c>
      <c r="CZ36" s="300" t="e">
        <f t="shared" si="99"/>
        <v>#DIV/0!</v>
      </c>
      <c r="DA36" s="300" t="e">
        <f t="shared" si="99"/>
        <v>#DIV/0!</v>
      </c>
      <c r="DB36" s="300" t="e">
        <f t="shared" si="99"/>
        <v>#DIV/0!</v>
      </c>
      <c r="DC36" s="318"/>
    </row>
    <row r="37" spans="3:107" s="21" customFormat="1" ht="13.5" x14ac:dyDescent="0.3">
      <c r="C37" s="277"/>
      <c r="D37" s="277"/>
      <c r="E37" s="278" t="s">
        <v>77</v>
      </c>
      <c r="F37" s="275">
        <f>콘텐츠!E29</f>
        <v>35.859365765000007</v>
      </c>
      <c r="G37" s="275">
        <f>콘텐츠!F29</f>
        <v>37.277631980000002</v>
      </c>
      <c r="H37" s="275">
        <f>콘텐츠!G29</f>
        <v>26.544829409726177</v>
      </c>
      <c r="I37" s="275">
        <f>콘텐츠!H29</f>
        <v>32.836336906090139</v>
      </c>
      <c r="J37" s="276">
        <f t="shared" si="82"/>
        <v>-6.1459121493917079E-2</v>
      </c>
      <c r="P37" s="319"/>
      <c r="Q37" s="319"/>
      <c r="R37" s="319"/>
      <c r="S37" s="319"/>
      <c r="T37" s="319"/>
      <c r="U37" s="319"/>
      <c r="V37" s="319"/>
      <c r="AB37" s="320"/>
      <c r="AC37" s="320"/>
      <c r="AD37" s="320"/>
      <c r="AE37" s="320"/>
      <c r="AF37" s="320"/>
      <c r="AG37" s="320"/>
      <c r="AH37" s="320"/>
      <c r="AN37" s="320">
        <f>AN35-콘텐츠!E82</f>
        <v>0</v>
      </c>
      <c r="AO37" s="320">
        <f>AO35-콘텐츠!F82</f>
        <v>0</v>
      </c>
      <c r="AP37" s="320">
        <f>AP35-콘텐츠!G82</f>
        <v>0</v>
      </c>
      <c r="AQ37" s="320">
        <f>AQ35-콘텐츠!H82</f>
        <v>0</v>
      </c>
      <c r="AR37" s="320">
        <f>AR35-콘텐츠!I82</f>
        <v>0</v>
      </c>
      <c r="AS37" s="320">
        <f>AS35-콘텐츠!J82</f>
        <v>0</v>
      </c>
      <c r="AT37" s="320">
        <f>AT35-콘텐츠!K82</f>
        <v>0</v>
      </c>
      <c r="AZ37" s="320">
        <f>AZ35-엔터!E109</f>
        <v>0</v>
      </c>
      <c r="BA37" s="320">
        <f>BA35-엔터!F109</f>
        <v>0</v>
      </c>
      <c r="BB37" s="320">
        <f>BB35-엔터!G109</f>
        <v>-1.4210854715202004E-14</v>
      </c>
      <c r="BC37" s="320">
        <f>BC35-엔터!H109</f>
        <v>0</v>
      </c>
      <c r="BD37" s="320">
        <f>BD35-엔터!I109</f>
        <v>4.0949999999999989</v>
      </c>
      <c r="BE37" s="320">
        <f>BE35-엔터!J109</f>
        <v>-10.982000000000006</v>
      </c>
      <c r="BF37" s="320">
        <f>BF35-엔터!K109</f>
        <v>-20.50200000000001</v>
      </c>
      <c r="BL37" s="320">
        <f>BL35-IRIVER!E27</f>
        <v>0</v>
      </c>
      <c r="BM37" s="320">
        <f>BM35-IRIVER!F27</f>
        <v>0</v>
      </c>
      <c r="BN37" s="320">
        <f>BN35-IRIVER!G27</f>
        <v>0</v>
      </c>
      <c r="BO37" s="320">
        <f>BO35-IRIVER!H27</f>
        <v>0</v>
      </c>
      <c r="BP37" s="320">
        <f>BP35-IRIVER!I27</f>
        <v>0</v>
      </c>
      <c r="BQ37" s="320">
        <f>BQ35-IRIVER!J27</f>
        <v>0</v>
      </c>
      <c r="BR37" s="320">
        <f>BR35-IRIVER!K27</f>
        <v>0</v>
      </c>
      <c r="BX37" s="320">
        <f>BX35-LDC!E25</f>
        <v>0</v>
      </c>
      <c r="BY37" s="320">
        <f>BY35-LDC!F25</f>
        <v>-0.30504556145992012</v>
      </c>
      <c r="BZ37" s="320">
        <f>BZ35-LDC!G25</f>
        <v>-0.10745443800000132</v>
      </c>
      <c r="CA37" s="320">
        <f>CA35-LDC!H25</f>
        <v>0</v>
      </c>
      <c r="CB37" s="320">
        <f>CB35-LDC!I25</f>
        <v>0</v>
      </c>
      <c r="CC37" s="320">
        <f>CC35-LDC!J25</f>
        <v>0</v>
      </c>
      <c r="CD37" s="320">
        <f>CD35-LDC!K25</f>
        <v>0</v>
      </c>
      <c r="CJ37" s="320">
        <f>CJ35-돌핀!E25</f>
        <v>0</v>
      </c>
      <c r="CK37" s="320">
        <f>CK35-돌핀!F25</f>
        <v>16.974245310000001</v>
      </c>
      <c r="CL37" s="320">
        <f>CL35-돌핀!G25</f>
        <v>12.7224</v>
      </c>
      <c r="CM37" s="320">
        <f>CM35-돌핀!H25</f>
        <v>13.4208</v>
      </c>
      <c r="CN37" s="320">
        <f>CN35-돌핀!I25</f>
        <v>14.352</v>
      </c>
      <c r="CO37" s="320">
        <f>CO35-돌핀!J25</f>
        <v>15.748800000000005</v>
      </c>
      <c r="CP37" s="320">
        <f>CP35-돌핀!K25</f>
        <v>17.844000000000005</v>
      </c>
      <c r="CV37" s="320">
        <f>CV29-STAFF!E4</f>
        <v>0</v>
      </c>
      <c r="CW37" s="320">
        <f>CW29-STAFF!F4</f>
        <v>0</v>
      </c>
      <c r="CX37" s="320">
        <f>CX29-STAFF!G4</f>
        <v>0</v>
      </c>
      <c r="CY37" s="320">
        <f>CY29-STAFF!H4</f>
        <v>0</v>
      </c>
      <c r="CZ37" s="320">
        <f>CZ29-STAFF!I4</f>
        <v>0</v>
      </c>
      <c r="DA37" s="320">
        <f>DA29-STAFF!J4</f>
        <v>0</v>
      </c>
      <c r="DB37" s="320">
        <f>DB29-STAFF!K4</f>
        <v>0</v>
      </c>
    </row>
    <row r="38" spans="3:107" s="21" customFormat="1" x14ac:dyDescent="0.3">
      <c r="C38" s="277"/>
      <c r="D38" s="277"/>
      <c r="E38" s="283" t="s">
        <v>80</v>
      </c>
      <c r="F38" s="281">
        <f>콘텐츠!E36</f>
        <v>366.30242351000004</v>
      </c>
      <c r="G38" s="281">
        <f>콘텐츠!F36</f>
        <v>479.49457603900009</v>
      </c>
      <c r="H38" s="281">
        <f>콘텐츠!G36</f>
        <v>476.81252594648731</v>
      </c>
      <c r="I38" s="281">
        <f>콘텐츠!H36</f>
        <v>644.71153339757279</v>
      </c>
      <c r="J38" s="282">
        <f t="shared" si="82"/>
        <v>0.1595537114459944</v>
      </c>
      <c r="M38"/>
      <c r="N38"/>
      <c r="O38"/>
      <c r="P38"/>
      <c r="Q38" s="321"/>
      <c r="R38" s="321"/>
      <c r="S38"/>
      <c r="T38"/>
      <c r="U38"/>
      <c r="V38"/>
      <c r="W38"/>
      <c r="Y38"/>
      <c r="Z38"/>
      <c r="AA38"/>
      <c r="AB38"/>
      <c r="AC38"/>
      <c r="AD38"/>
      <c r="AE38"/>
      <c r="AF38"/>
      <c r="AG38"/>
      <c r="AH38"/>
      <c r="AI38"/>
      <c r="AK38"/>
      <c r="AL38"/>
      <c r="AM38"/>
      <c r="AN38"/>
      <c r="AO38"/>
      <c r="AP38"/>
      <c r="AQ38"/>
      <c r="AR38"/>
      <c r="AS38"/>
      <c r="AT38"/>
      <c r="AU38"/>
      <c r="AW38"/>
      <c r="AX38"/>
      <c r="AY38"/>
      <c r="AZ38"/>
      <c r="BA38"/>
      <c r="BB38"/>
      <c r="BC38"/>
      <c r="BD38"/>
      <c r="BE38"/>
      <c r="BF38"/>
      <c r="BG38"/>
      <c r="BI38"/>
      <c r="BJ38"/>
      <c r="BK38"/>
      <c r="BL38"/>
      <c r="BM38"/>
      <c r="BN38" s="322"/>
      <c r="BO38"/>
      <c r="BP38"/>
      <c r="BQ38"/>
      <c r="BR38"/>
      <c r="BS38"/>
      <c r="BU38"/>
      <c r="BV38"/>
      <c r="BW38"/>
      <c r="BX38"/>
      <c r="BY38"/>
      <c r="BZ38"/>
      <c r="CA38"/>
      <c r="CB38"/>
      <c r="CC38"/>
      <c r="CD38"/>
      <c r="CE38"/>
      <c r="CG38"/>
      <c r="CH38"/>
      <c r="CI38"/>
      <c r="CJ38"/>
      <c r="CK38"/>
      <c r="CL38"/>
      <c r="CM38"/>
      <c r="CN38"/>
      <c r="CO38"/>
      <c r="CP38"/>
      <c r="CQ38"/>
      <c r="CS38"/>
      <c r="CT38"/>
      <c r="CU38"/>
      <c r="CV38"/>
      <c r="CW38"/>
      <c r="CX38"/>
      <c r="CY38"/>
      <c r="CZ38"/>
      <c r="DA38"/>
      <c r="DB38"/>
      <c r="DC38"/>
    </row>
    <row r="39" spans="3:107" s="21" customFormat="1" x14ac:dyDescent="0.3">
      <c r="C39" s="277"/>
      <c r="D39" s="277"/>
      <c r="E39" s="283" t="s">
        <v>83</v>
      </c>
      <c r="F39" s="281">
        <f>콘텐츠!E44</f>
        <v>29.31040599</v>
      </c>
      <c r="G39" s="281">
        <f>콘텐츠!F44</f>
        <v>195.34455925999995</v>
      </c>
      <c r="H39" s="281">
        <f>콘텐츠!G44</f>
        <v>75.95</v>
      </c>
      <c r="I39" s="281">
        <f>콘텐츠!H44</f>
        <v>32.655539345166645</v>
      </c>
      <c r="J39" s="282">
        <f t="shared" si="82"/>
        <v>-0.59113703790855876</v>
      </c>
      <c r="M39"/>
      <c r="N39"/>
      <c r="O39"/>
      <c r="P39" s="323"/>
      <c r="Q39" s="323"/>
      <c r="R39" s="323"/>
      <c r="S39" s="323"/>
      <c r="T39" s="323"/>
      <c r="U39" s="323"/>
      <c r="V39" s="323"/>
      <c r="W39" s="324"/>
      <c r="Y39"/>
      <c r="Z39"/>
      <c r="AA39"/>
      <c r="AB39" s="325"/>
      <c r="AC39" s="325"/>
      <c r="AD39" s="325"/>
      <c r="AE39" s="325"/>
      <c r="AF39" s="325"/>
      <c r="AG39" s="325"/>
      <c r="AH39" s="325"/>
      <c r="AI39"/>
      <c r="AK39"/>
      <c r="AL39"/>
      <c r="AM39"/>
      <c r="AN39"/>
      <c r="AO39"/>
      <c r="AP39"/>
      <c r="AQ39"/>
      <c r="AR39"/>
      <c r="AS39"/>
      <c r="AT39"/>
      <c r="AU39"/>
      <c r="AW39"/>
      <c r="AX39"/>
      <c r="AY39"/>
      <c r="AZ39"/>
      <c r="BA39"/>
      <c r="BB39"/>
      <c r="BC39"/>
      <c r="BD39"/>
      <c r="BE39"/>
      <c r="BF39"/>
      <c r="BG39"/>
      <c r="BI39"/>
      <c r="BJ39"/>
      <c r="BK39"/>
      <c r="BL39"/>
      <c r="BM39"/>
      <c r="BN39"/>
      <c r="BO39"/>
      <c r="BP39"/>
      <c r="BQ39"/>
      <c r="BR39"/>
      <c r="BS39"/>
      <c r="BU39"/>
      <c r="BV39"/>
      <c r="BW39"/>
      <c r="BX39"/>
      <c r="BY39"/>
      <c r="BZ39"/>
      <c r="CA39"/>
      <c r="CB39"/>
      <c r="CC39"/>
      <c r="CD39"/>
      <c r="CE39"/>
      <c r="CG39"/>
      <c r="CH39"/>
      <c r="CI39"/>
      <c r="CJ39"/>
      <c r="CK39"/>
      <c r="CL39"/>
      <c r="CM39"/>
      <c r="CN39"/>
      <c r="CO39"/>
      <c r="CP39"/>
      <c r="CQ39"/>
      <c r="CS39"/>
      <c r="CT39"/>
      <c r="CU39"/>
      <c r="CV39"/>
      <c r="CW39"/>
      <c r="CX39"/>
      <c r="CY39"/>
      <c r="CZ39"/>
      <c r="DA39"/>
      <c r="DB39"/>
      <c r="DC39"/>
    </row>
    <row r="40" spans="3:107" s="21" customFormat="1" x14ac:dyDescent="0.3">
      <c r="C40" s="277"/>
      <c r="D40" s="284"/>
      <c r="E40" s="285" t="s">
        <v>3317</v>
      </c>
      <c r="F40" s="286">
        <f>콘텐츠!E48</f>
        <v>0</v>
      </c>
      <c r="G40" s="286">
        <f>콘텐츠!F48</f>
        <v>0</v>
      </c>
      <c r="H40" s="286">
        <f>콘텐츠!G48</f>
        <v>0</v>
      </c>
      <c r="I40" s="286">
        <f>콘텐츠!H48</f>
        <v>33</v>
      </c>
      <c r="J40" s="287">
        <f t="shared" si="82"/>
        <v>0</v>
      </c>
      <c r="M40"/>
      <c r="N40"/>
      <c r="O40"/>
      <c r="P40"/>
      <c r="Q40" s="323"/>
      <c r="R40" s="326"/>
      <c r="S40" s="326"/>
      <c r="T40" s="326"/>
      <c r="U40" s="326"/>
      <c r="V40" s="326"/>
      <c r="W40" s="324"/>
      <c r="Y40"/>
      <c r="Z40"/>
      <c r="AA40"/>
      <c r="AB40"/>
      <c r="AC40"/>
      <c r="AD40" s="323"/>
      <c r="AE40"/>
      <c r="AF40"/>
      <c r="AG40"/>
      <c r="AH40"/>
      <c r="AI40"/>
      <c r="AK40"/>
      <c r="AL40"/>
      <c r="AM40"/>
      <c r="AN40"/>
      <c r="AO40"/>
      <c r="AP40"/>
      <c r="AQ40"/>
      <c r="AR40"/>
      <c r="AS40"/>
      <c r="AT40"/>
      <c r="AU40"/>
      <c r="AW40"/>
      <c r="AX40"/>
      <c r="AY40"/>
      <c r="AZ40"/>
      <c r="BA40"/>
      <c r="BB40"/>
      <c r="BC40"/>
      <c r="BD40"/>
      <c r="BE40"/>
      <c r="BF40"/>
      <c r="BG40"/>
      <c r="BI40"/>
      <c r="BJ40"/>
      <c r="BK40"/>
      <c r="BL40"/>
      <c r="BM40"/>
      <c r="BN40"/>
      <c r="BO40"/>
      <c r="BP40"/>
      <c r="BQ40"/>
      <c r="BR40"/>
      <c r="BS40"/>
      <c r="BU40"/>
      <c r="BV40"/>
      <c r="BW40"/>
      <c r="BX40"/>
      <c r="BY40"/>
      <c r="BZ40"/>
      <c r="CA40"/>
      <c r="CB40"/>
      <c r="CC40"/>
      <c r="CD40"/>
      <c r="CE40"/>
      <c r="CG40"/>
      <c r="CH40"/>
      <c r="CI40"/>
      <c r="CJ40"/>
      <c r="CK40"/>
      <c r="CL40"/>
      <c r="CM40"/>
      <c r="CN40"/>
      <c r="CO40"/>
      <c r="CP40"/>
      <c r="CQ40"/>
      <c r="CS40"/>
      <c r="CT40"/>
      <c r="CU40"/>
      <c r="CV40"/>
      <c r="CW40"/>
      <c r="CX40"/>
      <c r="CY40"/>
      <c r="CZ40"/>
      <c r="DA40"/>
      <c r="DB40"/>
      <c r="DC40"/>
    </row>
    <row r="41" spans="3:107" s="21" customFormat="1" x14ac:dyDescent="0.3">
      <c r="C41" s="277"/>
      <c r="D41" s="269" t="s">
        <v>208</v>
      </c>
      <c r="E41" s="270"/>
      <c r="F41" s="271">
        <f>SUM(F42:F44)</f>
        <v>77.021458969999998</v>
      </c>
      <c r="G41" s="271">
        <f>SUM(G42:G44)</f>
        <v>76.768402170000002</v>
      </c>
      <c r="H41" s="271">
        <f t="shared" ref="H41:I41" si="100">SUM(H42:H44)</f>
        <v>143.21051940500001</v>
      </c>
      <c r="I41" s="271">
        <f t="shared" si="100"/>
        <v>247.24522038788922</v>
      </c>
      <c r="J41" s="272">
        <f t="shared" si="82"/>
        <v>0.79462081931750883</v>
      </c>
      <c r="M41"/>
      <c r="N41"/>
      <c r="O41"/>
      <c r="P41" s="323"/>
      <c r="Q41" s="323"/>
      <c r="R41" s="326"/>
      <c r="S41" s="326"/>
      <c r="T41" s="326"/>
      <c r="U41" s="326"/>
      <c r="V41" s="326"/>
      <c r="W41" s="324"/>
      <c r="Y41"/>
      <c r="Z41"/>
      <c r="AA41"/>
      <c r="AB41"/>
      <c r="AC41"/>
      <c r="AD41" s="323"/>
      <c r="AE41"/>
      <c r="AF41"/>
      <c r="AG41"/>
      <c r="AH41"/>
      <c r="AI41"/>
      <c r="AK41"/>
      <c r="AL41"/>
      <c r="AM41"/>
      <c r="AN41"/>
      <c r="AO41"/>
      <c r="AP41"/>
      <c r="AQ41"/>
      <c r="AR41"/>
      <c r="AS41"/>
      <c r="AT41"/>
      <c r="AU41"/>
      <c r="AW41"/>
      <c r="AX41"/>
      <c r="AY41"/>
      <c r="AZ41"/>
      <c r="BA41"/>
      <c r="BB41"/>
      <c r="BC41"/>
      <c r="BD41"/>
      <c r="BE41"/>
      <c r="BF41"/>
      <c r="BG41"/>
      <c r="BI41"/>
      <c r="BJ41"/>
      <c r="BK41"/>
      <c r="BL41"/>
      <c r="BM41"/>
      <c r="BN41"/>
      <c r="BO41"/>
      <c r="BP41"/>
      <c r="BQ41"/>
      <c r="BR41"/>
      <c r="BS41"/>
      <c r="BU41"/>
      <c r="BV41"/>
      <c r="BW41"/>
      <c r="BX41"/>
      <c r="BY41"/>
      <c r="BZ41"/>
      <c r="CA41"/>
      <c r="CB41"/>
      <c r="CC41"/>
      <c r="CD41"/>
      <c r="CE41"/>
      <c r="CG41"/>
      <c r="CH41"/>
      <c r="CI41"/>
      <c r="CJ41"/>
      <c r="CK41"/>
      <c r="CL41"/>
      <c r="CM41"/>
      <c r="CN41"/>
      <c r="CO41"/>
      <c r="CP41"/>
      <c r="CQ41"/>
      <c r="CS41"/>
      <c r="CT41"/>
      <c r="CU41"/>
      <c r="CV41"/>
      <c r="CW41"/>
      <c r="CX41"/>
      <c r="CY41"/>
      <c r="CZ41"/>
      <c r="DA41"/>
      <c r="DB41"/>
      <c r="DC41"/>
    </row>
    <row r="42" spans="3:107" s="21" customFormat="1" x14ac:dyDescent="0.3">
      <c r="C42" s="277"/>
      <c r="D42" s="277"/>
      <c r="E42" s="278" t="s">
        <v>3301</v>
      </c>
      <c r="F42" s="275">
        <f>엔터!E38</f>
        <v>77.021458969999998</v>
      </c>
      <c r="G42" s="275">
        <f>엔터!F38</f>
        <v>62.849922620000001</v>
      </c>
      <c r="H42" s="275">
        <f>엔터!G38</f>
        <v>59.221200000000003</v>
      </c>
      <c r="I42" s="275">
        <f>엔터!H38</f>
        <v>101.82582615712001</v>
      </c>
      <c r="J42" s="276">
        <f t="shared" si="82"/>
        <v>0.27284815543325225</v>
      </c>
      <c r="M42"/>
      <c r="N42"/>
      <c r="O42"/>
      <c r="P42"/>
      <c r="Q42" s="323"/>
      <c r="R42" s="326"/>
      <c r="S42" s="326"/>
      <c r="T42" s="326"/>
      <c r="U42" s="326"/>
      <c r="V42" s="326"/>
      <c r="W42" s="324"/>
      <c r="Y42"/>
      <c r="Z42"/>
      <c r="AA42"/>
      <c r="AB42"/>
      <c r="AC42"/>
      <c r="AD42" s="323"/>
      <c r="AE42"/>
      <c r="AF42"/>
      <c r="AG42"/>
      <c r="AH42"/>
      <c r="AI42"/>
      <c r="AK42"/>
      <c r="AL42"/>
      <c r="AM42"/>
      <c r="AN42"/>
      <c r="AO42"/>
      <c r="AP42"/>
      <c r="AQ42"/>
      <c r="AR42"/>
      <c r="AS42"/>
      <c r="AT42"/>
      <c r="AU42"/>
      <c r="AW42"/>
      <c r="AX42"/>
      <c r="AY42"/>
      <c r="AZ42"/>
      <c r="BA42"/>
      <c r="BB42"/>
      <c r="BC42"/>
      <c r="BD42"/>
      <c r="BE42"/>
      <c r="BF42"/>
      <c r="BG42"/>
      <c r="BI42"/>
      <c r="BJ42"/>
      <c r="BK42"/>
      <c r="BL42"/>
      <c r="BM42"/>
      <c r="BN42"/>
      <c r="BO42"/>
      <c r="BP42"/>
      <c r="BQ42"/>
      <c r="BR42"/>
      <c r="BS42"/>
      <c r="BU42"/>
      <c r="BV42"/>
      <c r="BW42"/>
      <c r="BX42"/>
      <c r="BY42"/>
      <c r="BZ42"/>
      <c r="CA42"/>
      <c r="CB42"/>
      <c r="CC42"/>
      <c r="CD42"/>
      <c r="CE42"/>
      <c r="CG42"/>
      <c r="CH42"/>
      <c r="CI42"/>
      <c r="CJ42"/>
      <c r="CK42"/>
      <c r="CL42"/>
      <c r="CM42"/>
      <c r="CN42"/>
      <c r="CO42"/>
      <c r="CP42"/>
      <c r="CQ42"/>
      <c r="CS42"/>
      <c r="CT42"/>
      <c r="CU42"/>
      <c r="CV42"/>
      <c r="CW42"/>
      <c r="CX42"/>
      <c r="CY42"/>
      <c r="CZ42"/>
      <c r="DA42"/>
      <c r="DB42"/>
      <c r="DC42"/>
    </row>
    <row r="43" spans="3:107" s="21" customFormat="1" x14ac:dyDescent="0.3">
      <c r="C43" s="277"/>
      <c r="D43" s="277"/>
      <c r="E43" s="283" t="s">
        <v>3304</v>
      </c>
      <c r="F43" s="281">
        <f>엔터!E39</f>
        <v>0</v>
      </c>
      <c r="G43" s="281">
        <f>엔터!F39</f>
        <v>10.681398589999999</v>
      </c>
      <c r="H43" s="281">
        <f>엔터!G39</f>
        <v>12</v>
      </c>
      <c r="I43" s="281">
        <f>엔터!H39</f>
        <v>21.230769230769234</v>
      </c>
      <c r="J43" s="282">
        <f t="shared" si="82"/>
        <v>0.40983667534002932</v>
      </c>
      <c r="M43"/>
      <c r="N43"/>
      <c r="O43"/>
      <c r="P43"/>
      <c r="Q43"/>
      <c r="R43"/>
      <c r="S43"/>
      <c r="T43"/>
      <c r="U43"/>
      <c r="V43"/>
      <c r="W43"/>
      <c r="Y43"/>
      <c r="Z43"/>
      <c r="AA43"/>
      <c r="AB43"/>
      <c r="AC43"/>
      <c r="AD43" s="323"/>
      <c r="AE43"/>
      <c r="AF43"/>
      <c r="AG43"/>
      <c r="AH43"/>
      <c r="AI43"/>
      <c r="AK43"/>
      <c r="AL43"/>
      <c r="AM43"/>
      <c r="AN43"/>
      <c r="AO43"/>
      <c r="AP43"/>
      <c r="AQ43"/>
      <c r="AR43"/>
      <c r="AS43"/>
      <c r="AT43"/>
      <c r="AU43"/>
      <c r="AW43"/>
      <c r="AX43"/>
      <c r="AY43"/>
      <c r="AZ43"/>
      <c r="BA43"/>
      <c r="BB43"/>
      <c r="BC43"/>
      <c r="BD43"/>
      <c r="BE43"/>
      <c r="BF43"/>
      <c r="BG43"/>
      <c r="BI43"/>
      <c r="BJ43"/>
      <c r="BK43"/>
      <c r="BL43"/>
      <c r="BM43"/>
      <c r="BN43"/>
      <c r="BO43"/>
      <c r="BP43"/>
      <c r="BQ43"/>
      <c r="BR43"/>
      <c r="BS43"/>
      <c r="BU43"/>
      <c r="BV43"/>
      <c r="BW43"/>
      <c r="BX43"/>
      <c r="BY43"/>
      <c r="BZ43"/>
      <c r="CA43"/>
      <c r="CB43"/>
      <c r="CC43"/>
      <c r="CD43"/>
      <c r="CE43"/>
      <c r="CG43"/>
      <c r="CH43"/>
      <c r="CI43"/>
      <c r="CJ43"/>
      <c r="CK43"/>
      <c r="CL43"/>
      <c r="CM43"/>
      <c r="CN43"/>
      <c r="CO43"/>
      <c r="CP43"/>
      <c r="CQ43"/>
      <c r="CS43"/>
      <c r="CT43"/>
      <c r="CU43"/>
      <c r="CV43"/>
      <c r="CW43"/>
      <c r="CX43"/>
      <c r="CY43"/>
      <c r="CZ43"/>
      <c r="DA43"/>
      <c r="DB43"/>
      <c r="DC43"/>
    </row>
    <row r="44" spans="3:107" s="21" customFormat="1" x14ac:dyDescent="0.3">
      <c r="C44" s="277"/>
      <c r="D44" s="284"/>
      <c r="E44" s="285" t="s">
        <v>92</v>
      </c>
      <c r="F44" s="286">
        <f>엔터!E40+엔터!E45+엔터!E50+엔터!E65</f>
        <v>0</v>
      </c>
      <c r="G44" s="286">
        <f>엔터!F40+엔터!F45+엔터!F50+엔터!F65</f>
        <v>3.2370809600000001</v>
      </c>
      <c r="H44" s="286">
        <f>엔터!G40+엔터!G45+엔터!G50+엔터!G65</f>
        <v>71.989319405000003</v>
      </c>
      <c r="I44" s="286">
        <f>엔터!H40+엔터!H45+엔터!H50+엔터!H65</f>
        <v>124.18862499999999</v>
      </c>
      <c r="J44" s="287">
        <f t="shared" si="82"/>
        <v>5.1938991334139493</v>
      </c>
      <c r="M44"/>
      <c r="N44"/>
      <c r="O44"/>
      <c r="P44"/>
      <c r="Q44"/>
      <c r="R44"/>
      <c r="S44"/>
      <c r="T44"/>
      <c r="U44"/>
      <c r="V44"/>
      <c r="W44"/>
      <c r="Y44"/>
      <c r="Z44"/>
      <c r="AA44"/>
      <c r="AB44"/>
      <c r="AC44"/>
      <c r="AD44"/>
      <c r="AE44"/>
      <c r="AF44"/>
      <c r="AG44"/>
      <c r="AH44"/>
      <c r="AI44"/>
      <c r="AK44"/>
      <c r="AL44"/>
      <c r="AM44"/>
      <c r="AN44"/>
      <c r="AO44"/>
      <c r="AP44"/>
      <c r="AQ44"/>
      <c r="AR44"/>
      <c r="AS44"/>
      <c r="AT44"/>
      <c r="AU44"/>
      <c r="AW44"/>
      <c r="AX44"/>
      <c r="AY44"/>
      <c r="AZ44"/>
      <c r="BA44"/>
      <c r="BB44"/>
      <c r="BC44"/>
      <c r="BD44"/>
      <c r="BE44"/>
      <c r="BF44"/>
      <c r="BG44"/>
      <c r="BI44"/>
      <c r="BJ44"/>
      <c r="BK44"/>
      <c r="BL44"/>
      <c r="BM44"/>
      <c r="BN44"/>
      <c r="BO44"/>
      <c r="BP44"/>
      <c r="BQ44"/>
      <c r="BR44"/>
      <c r="BS44"/>
      <c r="BU44"/>
      <c r="BV44"/>
      <c r="BW44"/>
      <c r="BX44"/>
      <c r="BY44"/>
      <c r="BZ44"/>
      <c r="CA44"/>
      <c r="CB44"/>
      <c r="CC44"/>
      <c r="CD44"/>
      <c r="CE44"/>
      <c r="CG44"/>
      <c r="CH44"/>
      <c r="CI44"/>
      <c r="CJ44"/>
      <c r="CK44"/>
      <c r="CL44"/>
      <c r="CM44"/>
      <c r="CN44"/>
      <c r="CO44"/>
      <c r="CP44"/>
      <c r="CQ44"/>
      <c r="CS44"/>
      <c r="CT44"/>
      <c r="CU44"/>
      <c r="CV44"/>
      <c r="CW44"/>
      <c r="CX44"/>
      <c r="CY44"/>
      <c r="CZ44"/>
      <c r="DA44"/>
      <c r="DB44"/>
      <c r="DC44"/>
    </row>
    <row r="45" spans="3:107" s="21" customFormat="1" x14ac:dyDescent="0.3">
      <c r="C45" s="277"/>
      <c r="D45" s="269" t="s">
        <v>3309</v>
      </c>
      <c r="E45" s="270"/>
      <c r="F45" s="271">
        <f>SUM(F46:F50)</f>
        <v>328.27108532</v>
      </c>
      <c r="G45" s="271">
        <f>SUM(G46:G50)</f>
        <v>292.01184341999999</v>
      </c>
      <c r="H45" s="271">
        <f t="shared" ref="H45:I45" si="101">SUM(H46:H50)</f>
        <v>378.65174625566669</v>
      </c>
      <c r="I45" s="271">
        <f t="shared" si="101"/>
        <v>479.83110509704727</v>
      </c>
      <c r="J45" s="272">
        <f t="shared" si="82"/>
        <v>0.28186994737766025</v>
      </c>
      <c r="M45"/>
      <c r="N45"/>
      <c r="O45"/>
      <c r="P45"/>
      <c r="Q45"/>
      <c r="R45"/>
      <c r="S45"/>
      <c r="T45"/>
      <c r="U45"/>
      <c r="V45"/>
      <c r="W45"/>
      <c r="Y45"/>
      <c r="Z45"/>
      <c r="AA45"/>
      <c r="AB45"/>
      <c r="AC45"/>
      <c r="AD45"/>
      <c r="AE45"/>
      <c r="AF45"/>
      <c r="AG45"/>
      <c r="AH45"/>
      <c r="AI45"/>
      <c r="AK45"/>
      <c r="AL45"/>
      <c r="AM45"/>
      <c r="AN45"/>
      <c r="AO45"/>
      <c r="AP45"/>
      <c r="AQ45"/>
      <c r="AR45"/>
      <c r="AS45"/>
      <c r="AT45"/>
      <c r="AU45"/>
      <c r="AW45"/>
      <c r="AX45"/>
      <c r="AY45"/>
      <c r="AZ45"/>
      <c r="BA45"/>
      <c r="BB45"/>
      <c r="BC45"/>
      <c r="BD45"/>
      <c r="BE45"/>
      <c r="BF45"/>
      <c r="BG45"/>
      <c r="BI45"/>
      <c r="BJ45"/>
      <c r="BK45"/>
      <c r="BL45"/>
      <c r="BM45"/>
      <c r="BN45"/>
      <c r="BO45"/>
      <c r="BP45"/>
      <c r="BQ45"/>
      <c r="BR45"/>
      <c r="BS45"/>
      <c r="BU45"/>
      <c r="BV45"/>
      <c r="BW45"/>
      <c r="BX45"/>
      <c r="BY45"/>
      <c r="BZ45"/>
      <c r="CA45"/>
      <c r="CB45"/>
      <c r="CC45"/>
      <c r="CD45"/>
      <c r="CE45"/>
      <c r="CG45"/>
      <c r="CH45"/>
      <c r="CI45"/>
      <c r="CJ45"/>
      <c r="CK45"/>
      <c r="CL45"/>
      <c r="CM45"/>
      <c r="CN45"/>
      <c r="CO45"/>
      <c r="CP45"/>
      <c r="CQ45"/>
      <c r="CS45"/>
      <c r="CT45"/>
      <c r="CU45"/>
      <c r="CV45"/>
      <c r="CW45"/>
      <c r="CX45"/>
      <c r="CY45"/>
      <c r="CZ45"/>
      <c r="DA45"/>
      <c r="DB45"/>
      <c r="DC45"/>
    </row>
    <row r="46" spans="3:107" s="21" customFormat="1" x14ac:dyDescent="0.3">
      <c r="C46" s="277"/>
      <c r="D46" s="277"/>
      <c r="E46" s="278" t="s">
        <v>96</v>
      </c>
      <c r="F46" s="275">
        <f>IRIVER!E10</f>
        <v>117.92227380999999</v>
      </c>
      <c r="G46" s="275">
        <f>IRIVER!F10</f>
        <v>145.95094573999995</v>
      </c>
      <c r="H46" s="275">
        <f>IRIVER!G10</f>
        <v>212.98772995566668</v>
      </c>
      <c r="I46" s="275">
        <f>IRIVER!H10</f>
        <v>312.23405534991571</v>
      </c>
      <c r="J46" s="276">
        <f t="shared" si="82"/>
        <v>0.46263741312226769</v>
      </c>
      <c r="M46"/>
      <c r="N46"/>
      <c r="O46"/>
      <c r="P46"/>
      <c r="Q46"/>
      <c r="R46"/>
      <c r="S46"/>
      <c r="T46"/>
      <c r="U46"/>
      <c r="V46"/>
      <c r="W46"/>
      <c r="Y46"/>
      <c r="Z46"/>
      <c r="AA46"/>
      <c r="AB46"/>
      <c r="AC46"/>
      <c r="AD46"/>
      <c r="AE46"/>
      <c r="AF46"/>
      <c r="AG46"/>
      <c r="AH46"/>
      <c r="AI46"/>
      <c r="AK46"/>
      <c r="AL46"/>
      <c r="AM46"/>
      <c r="AN46"/>
      <c r="AO46"/>
      <c r="AP46"/>
      <c r="AQ46"/>
      <c r="AR46"/>
      <c r="AS46"/>
      <c r="AT46"/>
      <c r="AU46"/>
      <c r="AW46"/>
      <c r="AX46"/>
      <c r="AY46"/>
      <c r="AZ46"/>
      <c r="BA46"/>
      <c r="BB46"/>
      <c r="BC46"/>
      <c r="BD46"/>
      <c r="BE46"/>
      <c r="BF46"/>
      <c r="BG46"/>
      <c r="BI46"/>
      <c r="BJ46"/>
      <c r="BK46"/>
      <c r="BL46"/>
      <c r="BM46"/>
      <c r="BN46"/>
      <c r="BO46"/>
      <c r="BP46"/>
      <c r="BQ46"/>
      <c r="BR46"/>
      <c r="BS46"/>
      <c r="BU46"/>
      <c r="BV46"/>
      <c r="BW46"/>
      <c r="BX46"/>
      <c r="BY46"/>
      <c r="BZ46"/>
      <c r="CA46"/>
      <c r="CB46"/>
      <c r="CC46"/>
      <c r="CD46"/>
      <c r="CE46"/>
      <c r="CG46"/>
      <c r="CH46"/>
      <c r="CI46"/>
      <c r="CJ46"/>
      <c r="CK46"/>
      <c r="CL46"/>
      <c r="CM46"/>
      <c r="CN46"/>
      <c r="CO46"/>
      <c r="CP46"/>
      <c r="CQ46"/>
      <c r="CS46"/>
      <c r="CT46"/>
      <c r="CU46"/>
      <c r="CV46"/>
      <c r="CW46"/>
      <c r="CX46"/>
      <c r="CY46"/>
      <c r="CZ46"/>
      <c r="DA46"/>
      <c r="DB46"/>
      <c r="DC46"/>
    </row>
    <row r="47" spans="3:107" s="21" customFormat="1" x14ac:dyDescent="0.3">
      <c r="C47" s="277"/>
      <c r="D47" s="277"/>
      <c r="E47" s="294" t="s">
        <v>98</v>
      </c>
      <c r="F47" s="295">
        <f>IRIVER!E11</f>
        <v>141.35823576999999</v>
      </c>
      <c r="G47" s="295">
        <f>IRIVER!F11</f>
        <v>99.190773110000009</v>
      </c>
      <c r="H47" s="295">
        <f>IRIVER!G11</f>
        <v>97.946942299999989</v>
      </c>
      <c r="I47" s="295">
        <f>IRIVER!H11</f>
        <v>98.564271293758509</v>
      </c>
      <c r="J47" s="296"/>
      <c r="M47"/>
      <c r="N47"/>
      <c r="O47"/>
      <c r="P47"/>
      <c r="Q47"/>
      <c r="R47" s="327"/>
      <c r="S47"/>
      <c r="T47"/>
      <c r="U47"/>
      <c r="V47"/>
      <c r="W47"/>
      <c r="Y47"/>
      <c r="Z47"/>
      <c r="AA47"/>
      <c r="AB47"/>
      <c r="AC47"/>
      <c r="AD47"/>
      <c r="AE47"/>
      <c r="AF47"/>
      <c r="AG47"/>
      <c r="AH47"/>
      <c r="AI47"/>
      <c r="AK47"/>
      <c r="AL47"/>
      <c r="AM47"/>
      <c r="AN47"/>
      <c r="AO47"/>
      <c r="AP47"/>
      <c r="AQ47"/>
      <c r="AR47"/>
      <c r="AS47"/>
      <c r="AT47"/>
      <c r="AU47"/>
      <c r="AW47"/>
      <c r="AX47"/>
      <c r="AY47"/>
      <c r="AZ47"/>
      <c r="BA47"/>
      <c r="BB47"/>
      <c r="BC47"/>
      <c r="BD47"/>
      <c r="BE47"/>
      <c r="BF47"/>
      <c r="BG47"/>
      <c r="BI47"/>
      <c r="BJ47"/>
      <c r="BK47"/>
      <c r="BL47"/>
      <c r="BM47"/>
      <c r="BN47"/>
      <c r="BO47"/>
      <c r="BP47"/>
      <c r="BQ47"/>
      <c r="BR47"/>
      <c r="BS47"/>
      <c r="BU47"/>
      <c r="BV47"/>
      <c r="BW47"/>
      <c r="BX47"/>
      <c r="BY47"/>
      <c r="BZ47"/>
      <c r="CA47"/>
      <c r="CB47"/>
      <c r="CC47"/>
      <c r="CD47"/>
      <c r="CE47"/>
      <c r="CG47"/>
      <c r="CH47"/>
      <c r="CI47"/>
      <c r="CJ47"/>
      <c r="CK47"/>
      <c r="CL47"/>
      <c r="CM47"/>
      <c r="CN47"/>
      <c r="CO47"/>
      <c r="CP47"/>
      <c r="CQ47"/>
      <c r="CS47"/>
      <c r="CT47"/>
      <c r="CU47"/>
      <c r="CV47"/>
      <c r="CW47"/>
      <c r="CX47"/>
      <c r="CY47"/>
      <c r="CZ47"/>
      <c r="DA47"/>
      <c r="DB47"/>
      <c r="DC47"/>
    </row>
    <row r="48" spans="3:107" s="21" customFormat="1" x14ac:dyDescent="0.3">
      <c r="C48" s="277"/>
      <c r="D48" s="277"/>
      <c r="E48" s="283" t="s">
        <v>100</v>
      </c>
      <c r="F48" s="281">
        <f>IRIVER!E12</f>
        <v>67.327608670000004</v>
      </c>
      <c r="G48" s="281">
        <f>IRIVER!F12</f>
        <v>46.082646080000004</v>
      </c>
      <c r="H48" s="281">
        <f>IRIVER!G12</f>
        <v>67.717073999999997</v>
      </c>
      <c r="I48" s="281">
        <f>IRIVER!H12</f>
        <v>69.032778453373041</v>
      </c>
      <c r="J48" s="282">
        <f t="shared" ref="J48:J56" si="102">IFERROR((I48/G48)^(1/2)-1,0)</f>
        <v>0.22393674244759554</v>
      </c>
      <c r="M48"/>
      <c r="N48"/>
      <c r="O48"/>
      <c r="P48"/>
      <c r="Q48"/>
      <c r="R48"/>
      <c r="S48"/>
      <c r="T48"/>
      <c r="U48"/>
      <c r="V48"/>
      <c r="W48"/>
      <c r="Y48"/>
      <c r="Z48"/>
      <c r="AA48"/>
      <c r="AB48"/>
      <c r="AC48"/>
      <c r="AD48"/>
      <c r="AE48"/>
      <c r="AF48"/>
      <c r="AG48"/>
      <c r="AH48"/>
      <c r="AI48"/>
      <c r="AK48"/>
      <c r="AL48"/>
      <c r="AM48"/>
      <c r="AN48"/>
      <c r="AO48"/>
      <c r="AP48"/>
      <c r="AQ48"/>
      <c r="AR48"/>
      <c r="AS48"/>
      <c r="AT48"/>
      <c r="AU48"/>
      <c r="AW48"/>
      <c r="AX48"/>
      <c r="AY48"/>
      <c r="AZ48"/>
      <c r="BA48"/>
      <c r="BB48"/>
      <c r="BC48"/>
      <c r="BD48"/>
      <c r="BE48"/>
      <c r="BF48"/>
      <c r="BG48"/>
      <c r="BI48"/>
      <c r="BJ48"/>
      <c r="BK48"/>
      <c r="BL48"/>
      <c r="BM48"/>
      <c r="BN48"/>
      <c r="BO48"/>
      <c r="BP48"/>
      <c r="BQ48"/>
      <c r="BR48"/>
      <c r="BS48"/>
      <c r="BU48"/>
      <c r="BV48"/>
      <c r="BW48"/>
      <c r="BX48"/>
      <c r="BY48"/>
      <c r="BZ48"/>
      <c r="CA48"/>
      <c r="CB48"/>
      <c r="CC48"/>
      <c r="CD48"/>
      <c r="CE48"/>
      <c r="CG48"/>
      <c r="CH48"/>
      <c r="CI48"/>
      <c r="CJ48"/>
      <c r="CK48"/>
      <c r="CL48"/>
      <c r="CM48"/>
      <c r="CN48"/>
      <c r="CO48"/>
      <c r="CP48"/>
      <c r="CQ48"/>
      <c r="CS48"/>
      <c r="CT48"/>
      <c r="CU48"/>
      <c r="CV48"/>
      <c r="CW48"/>
      <c r="CX48"/>
      <c r="CY48"/>
      <c r="CZ48"/>
      <c r="DA48"/>
      <c r="DB48"/>
      <c r="DC48"/>
    </row>
    <row r="49" spans="3:107" s="21" customFormat="1" x14ac:dyDescent="0.3">
      <c r="C49" s="277"/>
      <c r="D49" s="277"/>
      <c r="E49" s="328" t="s">
        <v>103</v>
      </c>
      <c r="F49" s="329">
        <f>IRIVER!E13</f>
        <v>1.6629670700000001</v>
      </c>
      <c r="G49" s="329">
        <f>IRIVER!F13</f>
        <v>0.78747849000000003</v>
      </c>
      <c r="H49" s="329">
        <f>IRIVER!G13</f>
        <v>0</v>
      </c>
      <c r="I49" s="329">
        <f>IRIVER!H13</f>
        <v>0</v>
      </c>
      <c r="J49" s="330"/>
      <c r="M49"/>
      <c r="N49"/>
      <c r="O49"/>
      <c r="P49"/>
      <c r="Q49"/>
      <c r="R49"/>
      <c r="S49"/>
      <c r="T49"/>
      <c r="U49"/>
      <c r="V49"/>
      <c r="W49"/>
      <c r="Y49"/>
      <c r="Z49"/>
      <c r="AA49"/>
      <c r="AB49"/>
      <c r="AC49"/>
      <c r="AD49"/>
      <c r="AE49"/>
      <c r="AF49"/>
      <c r="AG49"/>
      <c r="AH49"/>
      <c r="AI49"/>
      <c r="AK49"/>
      <c r="AL49"/>
      <c r="AM49"/>
      <c r="AN49"/>
      <c r="AO49"/>
      <c r="AP49"/>
      <c r="AQ49"/>
      <c r="AR49"/>
      <c r="AS49"/>
      <c r="AT49"/>
      <c r="AU49"/>
      <c r="AW49"/>
      <c r="AX49"/>
      <c r="AY49"/>
      <c r="AZ49"/>
      <c r="BA49"/>
      <c r="BB49"/>
      <c r="BC49"/>
      <c r="BD49"/>
      <c r="BE49"/>
      <c r="BF49"/>
      <c r="BG49"/>
      <c r="BI49"/>
      <c r="BJ49"/>
      <c r="BK49"/>
      <c r="BL49"/>
      <c r="BM49"/>
      <c r="BN49"/>
      <c r="BO49"/>
      <c r="BP49"/>
      <c r="BQ49"/>
      <c r="BR49"/>
      <c r="BS49"/>
      <c r="BU49"/>
      <c r="BV49"/>
      <c r="BW49"/>
      <c r="BX49"/>
      <c r="BY49"/>
      <c r="BZ49"/>
      <c r="CA49"/>
      <c r="CB49"/>
      <c r="CC49"/>
      <c r="CD49"/>
      <c r="CE49"/>
      <c r="CG49"/>
      <c r="CH49"/>
      <c r="CI49"/>
      <c r="CJ49"/>
      <c r="CK49"/>
      <c r="CL49"/>
      <c r="CM49"/>
      <c r="CN49"/>
      <c r="CO49"/>
      <c r="CP49"/>
      <c r="CQ49"/>
      <c r="CS49"/>
      <c r="CT49"/>
      <c r="CU49"/>
      <c r="CV49"/>
      <c r="CW49"/>
      <c r="CX49"/>
      <c r="CY49"/>
      <c r="CZ49"/>
      <c r="DA49"/>
      <c r="DB49"/>
      <c r="DC49"/>
    </row>
    <row r="50" spans="3:107" s="21" customFormat="1" x14ac:dyDescent="0.3">
      <c r="C50" s="277"/>
      <c r="D50" s="284"/>
      <c r="E50" s="285" t="s">
        <v>3328</v>
      </c>
      <c r="F50" s="286">
        <f>IRIVER!E14</f>
        <v>0</v>
      </c>
      <c r="G50" s="286">
        <f>IRIVER!F14</f>
        <v>0</v>
      </c>
      <c r="H50" s="286">
        <f>IRIVER!G14</f>
        <v>0</v>
      </c>
      <c r="I50" s="286">
        <f>IRIVER!H14</f>
        <v>0</v>
      </c>
      <c r="J50" s="287">
        <f t="shared" si="102"/>
        <v>0</v>
      </c>
      <c r="M50"/>
      <c r="N50"/>
      <c r="O50"/>
      <c r="P50"/>
      <c r="Q50"/>
      <c r="R50"/>
      <c r="S50"/>
      <c r="T50"/>
      <c r="U50"/>
      <c r="V50"/>
      <c r="W50"/>
      <c r="Y50"/>
      <c r="Z50"/>
      <c r="AA50"/>
      <c r="AB50"/>
      <c r="AC50"/>
      <c r="AD50"/>
      <c r="AE50"/>
      <c r="AF50"/>
      <c r="AG50"/>
      <c r="AH50"/>
      <c r="AI50"/>
      <c r="AK50"/>
      <c r="AL50"/>
      <c r="AM50"/>
      <c r="AN50"/>
      <c r="AO50"/>
      <c r="AP50"/>
      <c r="AQ50"/>
      <c r="AR50"/>
      <c r="AS50"/>
      <c r="AT50"/>
      <c r="AU50"/>
      <c r="AW50"/>
      <c r="AX50"/>
      <c r="AY50"/>
      <c r="AZ50"/>
      <c r="BA50"/>
      <c r="BB50"/>
      <c r="BC50"/>
      <c r="BD50"/>
      <c r="BE50"/>
      <c r="BF50"/>
      <c r="BG50"/>
      <c r="BI50"/>
      <c r="BJ50"/>
      <c r="BK50"/>
      <c r="BL50"/>
      <c r="BM50"/>
      <c r="BN50"/>
      <c r="BO50"/>
      <c r="BP50"/>
      <c r="BQ50"/>
      <c r="BR50"/>
      <c r="BS50"/>
      <c r="BU50"/>
      <c r="BV50"/>
      <c r="BW50"/>
      <c r="BX50"/>
      <c r="BY50"/>
      <c r="BZ50"/>
      <c r="CA50"/>
      <c r="CB50"/>
      <c r="CC50"/>
      <c r="CD50"/>
      <c r="CE50"/>
      <c r="CG50"/>
      <c r="CH50"/>
      <c r="CI50"/>
      <c r="CJ50"/>
      <c r="CK50"/>
      <c r="CL50"/>
      <c r="CM50"/>
      <c r="CN50"/>
      <c r="CO50"/>
      <c r="CP50"/>
      <c r="CQ50"/>
      <c r="CS50"/>
      <c r="CT50"/>
      <c r="CU50"/>
      <c r="CV50"/>
      <c r="CW50"/>
      <c r="CX50"/>
      <c r="CY50"/>
      <c r="CZ50"/>
      <c r="DA50"/>
      <c r="DB50"/>
      <c r="DC50"/>
    </row>
    <row r="51" spans="3:107" s="21" customFormat="1" x14ac:dyDescent="0.3">
      <c r="C51" s="277"/>
      <c r="D51" s="269" t="s">
        <v>3313</v>
      </c>
      <c r="E51" s="270"/>
      <c r="F51" s="271">
        <f>LDC!E9</f>
        <v>30.11222673</v>
      </c>
      <c r="G51" s="271">
        <f>LDC!F9</f>
        <v>125.65992098142026</v>
      </c>
      <c r="H51" s="271">
        <f>LDC!G9</f>
        <v>155.27275813150001</v>
      </c>
      <c r="I51" s="271">
        <f>LDC!H9</f>
        <v>193.9097706956976</v>
      </c>
      <c r="J51" s="272">
        <f t="shared" si="102"/>
        <v>0.24222840380658495</v>
      </c>
      <c r="M51"/>
      <c r="N51"/>
      <c r="O51"/>
      <c r="P51"/>
      <c r="Q51"/>
      <c r="R51"/>
      <c r="S51"/>
      <c r="T51"/>
      <c r="U51"/>
      <c r="V51"/>
      <c r="W51"/>
      <c r="Y51"/>
      <c r="Z51"/>
      <c r="AA51"/>
      <c r="AB51"/>
      <c r="AC51"/>
      <c r="AD51"/>
      <c r="AE51"/>
      <c r="AF51"/>
      <c r="AG51"/>
      <c r="AH51"/>
      <c r="AI51"/>
      <c r="AK51"/>
      <c r="AL51"/>
      <c r="AM51"/>
      <c r="AN51"/>
      <c r="AO51"/>
      <c r="AP51"/>
      <c r="AQ51"/>
      <c r="AR51"/>
      <c r="AS51"/>
      <c r="AT51"/>
      <c r="AU51"/>
      <c r="AW51"/>
      <c r="AX51"/>
      <c r="AY51"/>
      <c r="AZ51"/>
      <c r="BA51"/>
      <c r="BB51"/>
      <c r="BC51"/>
      <c r="BD51"/>
      <c r="BE51"/>
      <c r="BF51"/>
      <c r="BG51"/>
      <c r="BI51"/>
      <c r="BJ51"/>
      <c r="BK51"/>
      <c r="BL51"/>
      <c r="BM51"/>
      <c r="BN51"/>
      <c r="BO51"/>
      <c r="BP51"/>
      <c r="BQ51"/>
      <c r="BR51"/>
      <c r="BS51"/>
      <c r="BU51"/>
      <c r="BV51"/>
      <c r="BW51"/>
      <c r="BX51"/>
      <c r="BY51"/>
      <c r="BZ51"/>
      <c r="CA51"/>
      <c r="CB51"/>
      <c r="CC51"/>
      <c r="CD51"/>
      <c r="CE51"/>
      <c r="CG51"/>
      <c r="CH51"/>
      <c r="CI51"/>
      <c r="CJ51"/>
      <c r="CK51"/>
      <c r="CL51"/>
      <c r="CM51"/>
      <c r="CN51"/>
      <c r="CO51"/>
      <c r="CP51"/>
      <c r="CQ51"/>
      <c r="CS51"/>
      <c r="CT51"/>
      <c r="CU51"/>
      <c r="CV51"/>
      <c r="CW51"/>
      <c r="CX51"/>
      <c r="CY51"/>
      <c r="CZ51"/>
      <c r="DA51"/>
      <c r="DB51"/>
      <c r="DC51"/>
    </row>
    <row r="52" spans="3:107" s="21" customFormat="1" x14ac:dyDescent="0.3">
      <c r="C52" s="277"/>
      <c r="D52" s="269" t="s">
        <v>3316</v>
      </c>
      <c r="E52" s="270"/>
      <c r="F52" s="271">
        <f>돌핀!E9</f>
        <v>5.8902032999999996</v>
      </c>
      <c r="G52" s="271">
        <f>돌핀!F9</f>
        <v>17.44615147</v>
      </c>
      <c r="H52" s="271">
        <f>돌핀!G9</f>
        <v>17.233359839999999</v>
      </c>
      <c r="I52" s="271">
        <f>돌핀!H9</f>
        <v>18.945367999999998</v>
      </c>
      <c r="J52" s="272">
        <f t="shared" si="102"/>
        <v>4.2081541814536605E-2</v>
      </c>
      <c r="M52"/>
      <c r="N52"/>
      <c r="O52"/>
      <c r="P52"/>
      <c r="Q52"/>
      <c r="R52"/>
      <c r="S52"/>
      <c r="T52"/>
      <c r="U52"/>
      <c r="V52"/>
      <c r="W52"/>
      <c r="Y52"/>
      <c r="Z52"/>
      <c r="AA52"/>
      <c r="AB52"/>
      <c r="AC52"/>
      <c r="AD52"/>
      <c r="AE52"/>
      <c r="AF52"/>
      <c r="AG52"/>
      <c r="AH52"/>
      <c r="AI52"/>
      <c r="AK52"/>
      <c r="AL52"/>
      <c r="AM52"/>
      <c r="AN52"/>
      <c r="AO52"/>
      <c r="AP52"/>
      <c r="AQ52"/>
      <c r="AR52"/>
      <c r="AS52"/>
      <c r="AT52"/>
      <c r="AU52"/>
      <c r="AW52"/>
      <c r="AX52"/>
      <c r="AY52"/>
      <c r="AZ52"/>
      <c r="BA52"/>
      <c r="BB52"/>
      <c r="BC52"/>
      <c r="BD52"/>
      <c r="BE52"/>
      <c r="BF52"/>
      <c r="BG52"/>
      <c r="BI52"/>
      <c r="BJ52"/>
      <c r="BK52"/>
      <c r="BL52"/>
      <c r="BM52"/>
      <c r="BN52"/>
      <c r="BO52"/>
      <c r="BP52"/>
      <c r="BQ52"/>
      <c r="BR52"/>
      <c r="BS52"/>
      <c r="BU52"/>
      <c r="BV52"/>
      <c r="BW52"/>
      <c r="BX52"/>
      <c r="BY52"/>
      <c r="BZ52"/>
      <c r="CA52"/>
      <c r="CB52"/>
      <c r="CC52"/>
      <c r="CD52"/>
      <c r="CE52"/>
      <c r="CG52"/>
      <c r="CH52"/>
      <c r="CI52"/>
      <c r="CJ52"/>
      <c r="CK52"/>
      <c r="CL52"/>
      <c r="CM52"/>
      <c r="CN52"/>
      <c r="CO52"/>
      <c r="CP52"/>
      <c r="CQ52"/>
      <c r="CS52"/>
      <c r="CT52"/>
      <c r="CU52"/>
      <c r="CV52"/>
      <c r="CW52"/>
      <c r="CX52"/>
      <c r="CY52"/>
      <c r="CZ52"/>
      <c r="DA52"/>
      <c r="DB52"/>
      <c r="DC52"/>
    </row>
    <row r="53" spans="3:107" s="21" customFormat="1" x14ac:dyDescent="0.3">
      <c r="C53" s="277"/>
      <c r="D53" s="269" t="s">
        <v>3312</v>
      </c>
      <c r="E53" s="270"/>
      <c r="F53" s="271">
        <f>SUM(F54:F56)</f>
        <v>0</v>
      </c>
      <c r="G53" s="271">
        <f>SUM(G54:G56)</f>
        <v>0</v>
      </c>
      <c r="H53" s="271">
        <f t="shared" ref="H53:I53" si="103">SUM(H54:H56)</f>
        <v>0</v>
      </c>
      <c r="I53" s="271">
        <f t="shared" si="103"/>
        <v>0</v>
      </c>
      <c r="J53" s="272">
        <f t="shared" si="102"/>
        <v>0</v>
      </c>
      <c r="M53"/>
      <c r="N53"/>
      <c r="O53"/>
      <c r="P53"/>
      <c r="Q53"/>
      <c r="R53"/>
      <c r="S53"/>
      <c r="T53"/>
      <c r="U53"/>
      <c r="V53"/>
      <c r="W53"/>
      <c r="Y53"/>
      <c r="Z53"/>
      <c r="AA53"/>
      <c r="AB53"/>
      <c r="AC53"/>
      <c r="AD53"/>
      <c r="AE53"/>
      <c r="AF53"/>
      <c r="AG53"/>
      <c r="AH53"/>
      <c r="AI53"/>
      <c r="AK53"/>
      <c r="AL53"/>
      <c r="AM53"/>
      <c r="AN53"/>
      <c r="AO53"/>
      <c r="AP53"/>
      <c r="AQ53"/>
      <c r="AR53"/>
      <c r="AS53"/>
      <c r="AT53"/>
      <c r="AU53"/>
      <c r="AW53"/>
      <c r="AX53"/>
      <c r="AY53"/>
      <c r="AZ53"/>
      <c r="BA53"/>
      <c r="BB53"/>
      <c r="BC53"/>
      <c r="BD53"/>
      <c r="BE53"/>
      <c r="BF53"/>
      <c r="BG53"/>
      <c r="BI53"/>
      <c r="BJ53"/>
      <c r="BK53"/>
      <c r="BL53"/>
      <c r="BM53"/>
      <c r="BN53"/>
      <c r="BO53"/>
      <c r="BP53"/>
      <c r="BQ53"/>
      <c r="BR53"/>
      <c r="BS53"/>
      <c r="BU53"/>
      <c r="BV53"/>
      <c r="BW53"/>
      <c r="BX53"/>
      <c r="BY53"/>
      <c r="BZ53"/>
      <c r="CA53"/>
      <c r="CB53"/>
      <c r="CC53"/>
      <c r="CD53"/>
      <c r="CE53"/>
      <c r="CG53"/>
      <c r="CH53"/>
      <c r="CI53"/>
      <c r="CJ53"/>
      <c r="CK53"/>
      <c r="CL53"/>
      <c r="CM53"/>
      <c r="CN53"/>
      <c r="CO53"/>
      <c r="CP53"/>
      <c r="CQ53"/>
      <c r="CS53"/>
      <c r="CT53"/>
      <c r="CU53"/>
      <c r="CV53"/>
      <c r="CW53"/>
      <c r="CX53"/>
      <c r="CY53"/>
      <c r="CZ53"/>
      <c r="DA53"/>
      <c r="DB53"/>
      <c r="DC53"/>
    </row>
    <row r="54" spans="3:107" s="21" customFormat="1" x14ac:dyDescent="0.3">
      <c r="C54" s="277"/>
      <c r="D54" s="277"/>
      <c r="E54" s="278" t="s">
        <v>3322</v>
      </c>
      <c r="F54" s="275">
        <v>0</v>
      </c>
      <c r="G54" s="275">
        <v>0</v>
      </c>
      <c r="H54" s="275">
        <v>0</v>
      </c>
      <c r="I54" s="275">
        <v>0</v>
      </c>
      <c r="J54" s="276">
        <f t="shared" si="102"/>
        <v>0</v>
      </c>
      <c r="M54"/>
      <c r="N54"/>
      <c r="O54"/>
      <c r="P54"/>
      <c r="Q54"/>
      <c r="R54"/>
      <c r="S54"/>
      <c r="T54"/>
      <c r="U54"/>
      <c r="V54"/>
      <c r="W54"/>
      <c r="Y54"/>
      <c r="Z54"/>
      <c r="AA54"/>
      <c r="AB54"/>
      <c r="AC54"/>
      <c r="AD54"/>
      <c r="AE54"/>
      <c r="AF54"/>
      <c r="AG54"/>
      <c r="AH54"/>
      <c r="AI54"/>
      <c r="AK54"/>
      <c r="AL54"/>
      <c r="AM54"/>
      <c r="AN54"/>
      <c r="AO54"/>
      <c r="AP54"/>
      <c r="AQ54"/>
      <c r="AR54"/>
      <c r="AS54"/>
      <c r="AT54"/>
      <c r="AU54"/>
      <c r="AW54"/>
      <c r="AX54"/>
      <c r="AY54"/>
      <c r="AZ54"/>
      <c r="BA54"/>
      <c r="BB54"/>
      <c r="BC54"/>
      <c r="BD54"/>
      <c r="BE54"/>
      <c r="BF54"/>
      <c r="BG54"/>
      <c r="BI54"/>
      <c r="BJ54"/>
      <c r="BK54"/>
      <c r="BL54"/>
      <c r="BM54"/>
      <c r="BN54"/>
      <c r="BO54"/>
      <c r="BP54"/>
      <c r="BQ54"/>
      <c r="BR54"/>
      <c r="BS54"/>
      <c r="BU54"/>
      <c r="BV54"/>
      <c r="BW54"/>
      <c r="BX54"/>
      <c r="BY54"/>
      <c r="BZ54"/>
      <c r="CA54"/>
      <c r="CB54"/>
      <c r="CC54"/>
      <c r="CD54"/>
      <c r="CE54"/>
      <c r="CG54"/>
      <c r="CH54"/>
      <c r="CI54"/>
      <c r="CJ54"/>
      <c r="CK54"/>
      <c r="CL54"/>
      <c r="CM54"/>
      <c r="CN54"/>
      <c r="CO54"/>
      <c r="CP54"/>
      <c r="CQ54"/>
      <c r="CS54"/>
      <c r="CT54"/>
      <c r="CU54"/>
      <c r="CV54"/>
      <c r="CW54"/>
      <c r="CX54"/>
      <c r="CY54"/>
      <c r="CZ54"/>
      <c r="DA54"/>
      <c r="DB54"/>
      <c r="DC54"/>
    </row>
    <row r="55" spans="3:107" s="21" customFormat="1" x14ac:dyDescent="0.3">
      <c r="C55" s="277"/>
      <c r="D55" s="277"/>
      <c r="E55" s="283" t="s">
        <v>3323</v>
      </c>
      <c r="F55" s="281">
        <v>0</v>
      </c>
      <c r="G55" s="281">
        <v>0</v>
      </c>
      <c r="H55" s="281">
        <v>0</v>
      </c>
      <c r="I55" s="281">
        <v>0</v>
      </c>
      <c r="J55" s="282">
        <f t="shared" si="102"/>
        <v>0</v>
      </c>
      <c r="M55"/>
      <c r="N55"/>
      <c r="O55"/>
      <c r="P55"/>
      <c r="Q55"/>
      <c r="R55"/>
      <c r="S55"/>
      <c r="T55"/>
      <c r="U55"/>
      <c r="V55"/>
      <c r="W55"/>
      <c r="Y55"/>
      <c r="Z55"/>
      <c r="AA55"/>
      <c r="AB55"/>
      <c r="AC55"/>
      <c r="AD55"/>
      <c r="AE55"/>
      <c r="AF55"/>
      <c r="AG55"/>
      <c r="AH55"/>
      <c r="AI55"/>
      <c r="AK55"/>
      <c r="AL55"/>
      <c r="AM55"/>
      <c r="AN55"/>
      <c r="AO55"/>
      <c r="AP55"/>
      <c r="AQ55"/>
      <c r="AR55"/>
      <c r="AS55"/>
      <c r="AT55"/>
      <c r="AU55"/>
      <c r="AW55"/>
      <c r="AX55"/>
      <c r="AY55"/>
      <c r="AZ55"/>
      <c r="BA55"/>
      <c r="BB55"/>
      <c r="BC55"/>
      <c r="BD55"/>
      <c r="BE55"/>
      <c r="BF55"/>
      <c r="BG55"/>
      <c r="BI55"/>
      <c r="BJ55"/>
      <c r="BK55"/>
      <c r="BL55"/>
      <c r="BM55"/>
      <c r="BN55"/>
      <c r="BO55"/>
      <c r="BP55"/>
      <c r="BQ55"/>
      <c r="BR55"/>
      <c r="BS55"/>
      <c r="BU55"/>
      <c r="BV55"/>
      <c r="BW55"/>
      <c r="BX55"/>
      <c r="BY55"/>
      <c r="BZ55"/>
      <c r="CA55"/>
      <c r="CB55"/>
      <c r="CC55"/>
      <c r="CD55"/>
      <c r="CE55"/>
      <c r="CG55"/>
      <c r="CH55"/>
      <c r="CI55"/>
      <c r="CJ55"/>
      <c r="CK55"/>
      <c r="CL55"/>
      <c r="CM55"/>
      <c r="CN55"/>
      <c r="CO55"/>
      <c r="CP55"/>
      <c r="CQ55"/>
      <c r="CS55"/>
      <c r="CT55"/>
      <c r="CU55"/>
      <c r="CV55"/>
      <c r="CW55"/>
      <c r="CX55"/>
      <c r="CY55"/>
      <c r="CZ55"/>
      <c r="DA55"/>
      <c r="DB55"/>
      <c r="DC55"/>
    </row>
    <row r="56" spans="3:107" s="21" customFormat="1" x14ac:dyDescent="0.3">
      <c r="C56" s="277"/>
      <c r="D56" s="284"/>
      <c r="E56" s="285" t="s">
        <v>3324</v>
      </c>
      <c r="F56" s="286">
        <v>0</v>
      </c>
      <c r="G56" s="286">
        <v>0</v>
      </c>
      <c r="H56" s="286">
        <v>0</v>
      </c>
      <c r="I56" s="286">
        <v>0</v>
      </c>
      <c r="J56" s="287">
        <f t="shared" si="102"/>
        <v>0</v>
      </c>
      <c r="M56"/>
      <c r="N56"/>
      <c r="O56"/>
      <c r="P56"/>
      <c r="Q56"/>
      <c r="R56"/>
      <c r="S56"/>
      <c r="T56"/>
      <c r="U56"/>
      <c r="V56"/>
      <c r="W56"/>
      <c r="Y56"/>
      <c r="Z56"/>
      <c r="AA56"/>
      <c r="AB56"/>
      <c r="AC56"/>
      <c r="AD56"/>
      <c r="AE56"/>
      <c r="AF56"/>
      <c r="AG56"/>
      <c r="AH56"/>
      <c r="AI56"/>
      <c r="AK56"/>
      <c r="AL56"/>
      <c r="AM56"/>
      <c r="AN56"/>
      <c r="AO56"/>
      <c r="AP56"/>
      <c r="AQ56"/>
      <c r="AR56"/>
      <c r="AS56"/>
      <c r="AT56"/>
      <c r="AU56"/>
      <c r="AW56"/>
      <c r="AX56"/>
      <c r="AY56"/>
      <c r="AZ56"/>
      <c r="BA56"/>
      <c r="BB56"/>
      <c r="BC56"/>
      <c r="BD56"/>
      <c r="BE56"/>
      <c r="BF56"/>
      <c r="BG56"/>
      <c r="BI56"/>
      <c r="BJ56"/>
      <c r="BK56"/>
      <c r="BL56"/>
      <c r="BM56"/>
      <c r="BN56"/>
      <c r="BO56"/>
      <c r="BP56"/>
      <c r="BQ56"/>
      <c r="BR56"/>
      <c r="BS56"/>
      <c r="BU56"/>
      <c r="BV56"/>
      <c r="BW56"/>
      <c r="BX56"/>
      <c r="BY56"/>
      <c r="BZ56"/>
      <c r="CA56"/>
      <c r="CB56"/>
      <c r="CC56"/>
      <c r="CD56"/>
      <c r="CE56"/>
      <c r="CG56"/>
      <c r="CH56"/>
      <c r="CI56"/>
      <c r="CJ56"/>
      <c r="CK56"/>
      <c r="CL56"/>
      <c r="CM56"/>
      <c r="CN56"/>
      <c r="CO56"/>
      <c r="CP56"/>
      <c r="CQ56"/>
      <c r="CS56"/>
      <c r="CT56"/>
      <c r="CU56"/>
      <c r="CV56"/>
      <c r="CW56"/>
      <c r="CX56"/>
      <c r="CY56"/>
      <c r="CZ56"/>
      <c r="DA56"/>
      <c r="DB56"/>
      <c r="DC56"/>
    </row>
    <row r="57" spans="3:107" s="21" customFormat="1" x14ac:dyDescent="0.3">
      <c r="C57" s="262" t="s">
        <v>3320</v>
      </c>
      <c r="D57" s="263"/>
      <c r="E57" s="264"/>
      <c r="F57" s="265">
        <f>SUM(F58,F63,F68,F72,F80,F78,F79)</f>
        <v>595.00432689272077</v>
      </c>
      <c r="G57" s="265">
        <f>SUM(G58,G63,G68,G72,G80,G78,G79)</f>
        <v>578.62111219527083</v>
      </c>
      <c r="H57" s="265">
        <f t="shared" ref="H57:I57" si="104">SUM(H58,H63,H68,H72,H80,H78,H79)</f>
        <v>664.43304591428262</v>
      </c>
      <c r="I57" s="265">
        <f t="shared" si="104"/>
        <v>883.02464950412082</v>
      </c>
      <c r="J57" s="266">
        <f>IFERROR((I57/G57)^(1/2)-1,0)</f>
        <v>0.23534788389702554</v>
      </c>
      <c r="K57" s="267"/>
      <c r="L57" s="267"/>
      <c r="M57"/>
      <c r="N57"/>
      <c r="O57"/>
      <c r="P57"/>
      <c r="Q57"/>
      <c r="R57"/>
      <c r="S57"/>
      <c r="T57"/>
      <c r="U57"/>
      <c r="V57"/>
      <c r="W57"/>
      <c r="Y57"/>
      <c r="Z57"/>
      <c r="AA57"/>
      <c r="AB57"/>
      <c r="AC57"/>
      <c r="AD57"/>
      <c r="AE57"/>
      <c r="AF57"/>
      <c r="AG57"/>
      <c r="AH57"/>
      <c r="AI57"/>
      <c r="AK57"/>
      <c r="AL57"/>
      <c r="AM57"/>
      <c r="AN57"/>
      <c r="AO57"/>
      <c r="AP57"/>
      <c r="AQ57"/>
      <c r="AR57"/>
      <c r="AS57"/>
      <c r="AT57"/>
      <c r="AU57"/>
      <c r="AW57"/>
      <c r="AX57"/>
      <c r="AY57"/>
      <c r="AZ57"/>
      <c r="BA57"/>
      <c r="BB57"/>
      <c r="BC57"/>
      <c r="BD57"/>
      <c r="BE57"/>
      <c r="BF57"/>
      <c r="BG57"/>
      <c r="BI57"/>
      <c r="BJ57"/>
      <c r="BK57"/>
      <c r="BL57"/>
      <c r="BM57"/>
      <c r="BN57"/>
      <c r="BO57"/>
      <c r="BP57"/>
      <c r="BQ57"/>
      <c r="BR57"/>
      <c r="BS57"/>
      <c r="BU57"/>
      <c r="BV57"/>
      <c r="BW57"/>
      <c r="BX57"/>
      <c r="BY57"/>
      <c r="BZ57"/>
      <c r="CA57"/>
      <c r="CB57"/>
      <c r="CC57"/>
      <c r="CD57"/>
      <c r="CE57"/>
      <c r="CG57"/>
      <c r="CH57"/>
      <c r="CI57"/>
      <c r="CJ57"/>
      <c r="CK57"/>
      <c r="CL57"/>
      <c r="CM57"/>
      <c r="CN57"/>
      <c r="CO57"/>
      <c r="CP57"/>
      <c r="CQ57"/>
      <c r="CS57"/>
      <c r="CT57"/>
      <c r="CU57"/>
      <c r="CV57"/>
      <c r="CW57"/>
      <c r="CX57"/>
      <c r="CY57"/>
      <c r="CZ57"/>
      <c r="DA57"/>
      <c r="DB57"/>
      <c r="DC57"/>
    </row>
    <row r="58" spans="3:107" s="21" customFormat="1" x14ac:dyDescent="0.3">
      <c r="C58" s="268"/>
      <c r="D58" s="269" t="s">
        <v>3271</v>
      </c>
      <c r="E58" s="270"/>
      <c r="F58" s="271">
        <f>SUM(F59:F62)</f>
        <v>322.01658853272073</v>
      </c>
      <c r="G58" s="271">
        <f>SUM(G59:G62)</f>
        <v>267.84159081404675</v>
      </c>
      <c r="H58" s="271">
        <f t="shared" ref="H58:I58" si="105">SUM(H59:H62)</f>
        <v>336.98448946776415</v>
      </c>
      <c r="I58" s="271">
        <f t="shared" si="105"/>
        <v>462.95301298377819</v>
      </c>
      <c r="J58" s="272">
        <f t="shared" ref="J58:J73" si="106">IFERROR((I58/G58)^(1/2)-1,0)</f>
        <v>0.31470843577103436</v>
      </c>
      <c r="M58"/>
      <c r="N58"/>
      <c r="O58"/>
      <c r="P58"/>
      <c r="Q58"/>
      <c r="R58"/>
      <c r="S58"/>
      <c r="T58"/>
      <c r="U58"/>
      <c r="V58"/>
      <c r="W58"/>
      <c r="Y58"/>
      <c r="Z58"/>
      <c r="AA58"/>
      <c r="AB58"/>
      <c r="AC58"/>
      <c r="AD58"/>
      <c r="AE58"/>
      <c r="AF58"/>
      <c r="AG58"/>
      <c r="AH58"/>
      <c r="AI58"/>
      <c r="AK58"/>
      <c r="AL58"/>
      <c r="AM58"/>
      <c r="AN58"/>
      <c r="AO58"/>
      <c r="AP58"/>
      <c r="AQ58"/>
      <c r="AR58"/>
      <c r="AS58"/>
      <c r="AT58"/>
      <c r="AU58"/>
      <c r="AW58"/>
      <c r="AX58"/>
      <c r="AY58"/>
      <c r="AZ58"/>
      <c r="BA58"/>
      <c r="BB58"/>
      <c r="BC58"/>
      <c r="BD58"/>
      <c r="BE58"/>
      <c r="BF58"/>
      <c r="BG58"/>
      <c r="BI58"/>
      <c r="BJ58"/>
      <c r="BK58"/>
      <c r="BL58"/>
      <c r="BM58"/>
      <c r="BN58"/>
      <c r="BO58"/>
      <c r="BP58"/>
      <c r="BQ58"/>
      <c r="BR58"/>
      <c r="BS58"/>
      <c r="BU58"/>
      <c r="BV58"/>
      <c r="BW58"/>
      <c r="BX58"/>
      <c r="BY58"/>
      <c r="BZ58"/>
      <c r="CA58"/>
      <c r="CB58"/>
      <c r="CC58"/>
      <c r="CD58"/>
      <c r="CE58"/>
      <c r="CG58"/>
      <c r="CH58"/>
      <c r="CI58"/>
      <c r="CJ58"/>
      <c r="CK58"/>
      <c r="CL58"/>
      <c r="CM58"/>
      <c r="CN58"/>
      <c r="CO58"/>
      <c r="CP58"/>
      <c r="CQ58"/>
      <c r="CS58"/>
      <c r="CT58"/>
      <c r="CU58"/>
      <c r="CV58"/>
      <c r="CW58"/>
      <c r="CX58"/>
      <c r="CY58"/>
      <c r="CZ58"/>
      <c r="DA58"/>
      <c r="DB58"/>
      <c r="DC58"/>
    </row>
    <row r="59" spans="3:107" s="21" customFormat="1" x14ac:dyDescent="0.3">
      <c r="C59" s="277"/>
      <c r="D59" s="277"/>
      <c r="E59" s="278" t="s">
        <v>3303</v>
      </c>
      <c r="F59" s="275">
        <f>F6-F32</f>
        <v>292.15764369272074</v>
      </c>
      <c r="G59" s="275">
        <f>G6-G32</f>
        <v>247.94977749404677</v>
      </c>
      <c r="H59" s="275">
        <f t="shared" ref="H59:I59" si="107">H6-H32</f>
        <v>309.55323988543898</v>
      </c>
      <c r="I59" s="275">
        <f t="shared" si="107"/>
        <v>404.92789602689186</v>
      </c>
      <c r="J59" s="276">
        <f t="shared" si="106"/>
        <v>0.27792976898735011</v>
      </c>
      <c r="M59"/>
      <c r="N59"/>
      <c r="O59"/>
      <c r="P59"/>
      <c r="Q59"/>
      <c r="R59"/>
      <c r="S59"/>
      <c r="T59"/>
      <c r="U59"/>
      <c r="V59"/>
      <c r="W59"/>
      <c r="Y59"/>
      <c r="Z59"/>
      <c r="AA59"/>
      <c r="AB59"/>
      <c r="AC59"/>
      <c r="AD59"/>
      <c r="AE59"/>
      <c r="AF59"/>
      <c r="AG59"/>
      <c r="AH59"/>
      <c r="AI59"/>
      <c r="AK59"/>
      <c r="AL59"/>
      <c r="AM59"/>
      <c r="AN59"/>
      <c r="AO59"/>
      <c r="AP59"/>
      <c r="AQ59"/>
      <c r="AR59"/>
      <c r="AS59"/>
      <c r="AT59"/>
      <c r="AU59"/>
      <c r="AW59"/>
      <c r="AX59"/>
      <c r="AY59"/>
      <c r="AZ59"/>
      <c r="BA59"/>
      <c r="BB59"/>
      <c r="BC59"/>
      <c r="BD59"/>
      <c r="BE59"/>
      <c r="BF59"/>
      <c r="BG59"/>
      <c r="BI59"/>
      <c r="BJ59"/>
      <c r="BK59"/>
      <c r="BL59"/>
      <c r="BM59"/>
      <c r="BN59"/>
      <c r="BO59"/>
      <c r="BP59"/>
      <c r="BQ59"/>
      <c r="BR59"/>
      <c r="BS59"/>
      <c r="BU59"/>
      <c r="BV59"/>
      <c r="BW59"/>
      <c r="BX59"/>
      <c r="BY59"/>
      <c r="BZ59"/>
      <c r="CA59"/>
      <c r="CB59"/>
      <c r="CC59"/>
      <c r="CD59"/>
      <c r="CE59"/>
      <c r="CG59"/>
      <c r="CH59"/>
      <c r="CI59"/>
      <c r="CJ59"/>
      <c r="CK59"/>
      <c r="CL59"/>
      <c r="CM59"/>
      <c r="CN59"/>
      <c r="CO59"/>
      <c r="CP59"/>
      <c r="CQ59"/>
      <c r="CS59"/>
      <c r="CT59"/>
      <c r="CU59"/>
      <c r="CV59"/>
      <c r="CW59"/>
      <c r="CX59"/>
      <c r="CY59"/>
      <c r="CZ59"/>
      <c r="DA59"/>
      <c r="DB59"/>
      <c r="DC59"/>
    </row>
    <row r="60" spans="3:107" s="21" customFormat="1" x14ac:dyDescent="0.3">
      <c r="C60" s="277"/>
      <c r="D60" s="277"/>
      <c r="E60" s="283" t="s">
        <v>3307</v>
      </c>
      <c r="F60" s="281">
        <f t="shared" ref="F60:I62" si="108">F7-F33</f>
        <v>29.858944839999999</v>
      </c>
      <c r="G60" s="281">
        <f t="shared" si="108"/>
        <v>19.891813320000001</v>
      </c>
      <c r="H60" s="281">
        <f t="shared" si="108"/>
        <v>19.010000000000002</v>
      </c>
      <c r="I60" s="281">
        <f t="shared" si="108"/>
        <v>20.036540000000002</v>
      </c>
      <c r="J60" s="282">
        <f t="shared" si="106"/>
        <v>3.6312523236592398E-3</v>
      </c>
      <c r="M60"/>
      <c r="N60"/>
      <c r="O60"/>
      <c r="P60"/>
      <c r="Q60"/>
      <c r="R60"/>
      <c r="S60"/>
      <c r="T60"/>
      <c r="U60"/>
      <c r="V60"/>
      <c r="W60"/>
      <c r="Y60"/>
      <c r="Z60"/>
      <c r="AA60"/>
      <c r="AB60"/>
      <c r="AC60"/>
      <c r="AD60"/>
      <c r="AE60"/>
      <c r="AF60"/>
      <c r="AG60"/>
      <c r="AH60"/>
      <c r="AI60"/>
      <c r="AK60"/>
      <c r="AL60"/>
      <c r="AM60"/>
      <c r="AN60"/>
      <c r="AO60"/>
      <c r="AP60"/>
      <c r="AQ60"/>
      <c r="AR60"/>
      <c r="AS60"/>
      <c r="AT60"/>
      <c r="AU60"/>
      <c r="AW60"/>
      <c r="AX60"/>
      <c r="AY60"/>
      <c r="AZ60"/>
      <c r="BA60"/>
      <c r="BB60"/>
      <c r="BC60"/>
      <c r="BD60"/>
      <c r="BE60"/>
      <c r="BF60"/>
      <c r="BG60"/>
      <c r="BI60"/>
      <c r="BJ60"/>
      <c r="BK60"/>
      <c r="BL60"/>
      <c r="BM60"/>
      <c r="BN60"/>
      <c r="BO60"/>
      <c r="BP60"/>
      <c r="BQ60"/>
      <c r="BR60"/>
      <c r="BS60"/>
      <c r="BU60"/>
      <c r="BV60"/>
      <c r="BW60"/>
      <c r="BX60"/>
      <c r="BY60"/>
      <c r="BZ60"/>
      <c r="CA60"/>
      <c r="CB60"/>
      <c r="CC60"/>
      <c r="CD60"/>
      <c r="CE60"/>
      <c r="CG60"/>
      <c r="CH60"/>
      <c r="CI60"/>
      <c r="CJ60"/>
      <c r="CK60"/>
      <c r="CL60"/>
      <c r="CM60"/>
      <c r="CN60"/>
      <c r="CO60"/>
      <c r="CP60"/>
      <c r="CQ60"/>
      <c r="CS60"/>
      <c r="CT60"/>
      <c r="CU60"/>
      <c r="CV60"/>
      <c r="CW60"/>
      <c r="CX60"/>
      <c r="CY60"/>
      <c r="CZ60"/>
      <c r="DA60"/>
      <c r="DB60"/>
      <c r="DC60"/>
    </row>
    <row r="61" spans="3:107" s="21" customFormat="1" x14ac:dyDescent="0.3">
      <c r="C61" s="277"/>
      <c r="D61" s="277"/>
      <c r="E61" s="283" t="s">
        <v>3308</v>
      </c>
      <c r="F61" s="281">
        <f t="shared" si="108"/>
        <v>0</v>
      </c>
      <c r="G61" s="281">
        <f t="shared" si="108"/>
        <v>0</v>
      </c>
      <c r="H61" s="281">
        <f t="shared" si="108"/>
        <v>8.4212495823251583</v>
      </c>
      <c r="I61" s="281">
        <f t="shared" si="108"/>
        <v>17.988576956886359</v>
      </c>
      <c r="J61" s="282">
        <f t="shared" si="106"/>
        <v>0</v>
      </c>
      <c r="M61"/>
      <c r="N61"/>
      <c r="O61"/>
      <c r="P61"/>
      <c r="Q61"/>
      <c r="R61"/>
      <c r="S61"/>
      <c r="T61"/>
      <c r="U61"/>
      <c r="V61"/>
      <c r="W61"/>
      <c r="Y61"/>
      <c r="Z61"/>
      <c r="AA61"/>
      <c r="AB61"/>
      <c r="AC61"/>
      <c r="AD61"/>
      <c r="AE61"/>
      <c r="AF61"/>
      <c r="AG61"/>
      <c r="AH61"/>
      <c r="AI61"/>
      <c r="AK61"/>
      <c r="AL61"/>
      <c r="AM61"/>
      <c r="AN61"/>
      <c r="AO61"/>
      <c r="AP61"/>
      <c r="AQ61"/>
      <c r="AR61"/>
      <c r="AS61"/>
      <c r="AT61"/>
      <c r="AU61"/>
      <c r="AW61"/>
      <c r="AX61"/>
      <c r="AY61"/>
      <c r="AZ61"/>
      <c r="BA61"/>
      <c r="BB61"/>
      <c r="BC61"/>
      <c r="BD61"/>
      <c r="BE61"/>
      <c r="BF61"/>
      <c r="BG61"/>
      <c r="BI61"/>
      <c r="BJ61"/>
      <c r="BK61"/>
      <c r="BL61"/>
      <c r="BM61"/>
      <c r="BN61"/>
      <c r="BO61"/>
      <c r="BP61"/>
      <c r="BQ61"/>
      <c r="BR61"/>
      <c r="BS61"/>
      <c r="BU61"/>
      <c r="BV61"/>
      <c r="BW61"/>
      <c r="BX61"/>
      <c r="BY61"/>
      <c r="BZ61"/>
      <c r="CA61"/>
      <c r="CB61"/>
      <c r="CC61"/>
      <c r="CD61"/>
      <c r="CE61"/>
      <c r="CG61"/>
      <c r="CH61"/>
      <c r="CI61"/>
      <c r="CJ61"/>
      <c r="CK61"/>
      <c r="CL61"/>
      <c r="CM61"/>
      <c r="CN61"/>
      <c r="CO61"/>
      <c r="CP61"/>
      <c r="CQ61"/>
      <c r="CS61"/>
      <c r="CT61"/>
      <c r="CU61"/>
      <c r="CV61"/>
      <c r="CW61"/>
      <c r="CX61"/>
      <c r="CY61"/>
      <c r="CZ61"/>
      <c r="DA61"/>
      <c r="DB61"/>
      <c r="DC61"/>
    </row>
    <row r="62" spans="3:107" s="21" customFormat="1" x14ac:dyDescent="0.3">
      <c r="C62" s="277"/>
      <c r="D62" s="284"/>
      <c r="E62" s="285" t="s">
        <v>3312</v>
      </c>
      <c r="F62" s="286">
        <f t="shared" si="108"/>
        <v>0</v>
      </c>
      <c r="G62" s="286">
        <f t="shared" si="108"/>
        <v>0</v>
      </c>
      <c r="H62" s="286">
        <f t="shared" si="108"/>
        <v>0</v>
      </c>
      <c r="I62" s="286">
        <f t="shared" si="108"/>
        <v>20</v>
      </c>
      <c r="J62" s="287">
        <f t="shared" si="106"/>
        <v>0</v>
      </c>
      <c r="M62"/>
      <c r="N62"/>
      <c r="O62"/>
      <c r="P62"/>
      <c r="Q62"/>
      <c r="R62"/>
      <c r="S62"/>
      <c r="T62"/>
      <c r="U62"/>
      <c r="V62"/>
      <c r="W62"/>
      <c r="Y62"/>
      <c r="Z62"/>
      <c r="AA62"/>
      <c r="AB62"/>
      <c r="AC62"/>
      <c r="AD62"/>
      <c r="AE62"/>
      <c r="AF62"/>
      <c r="AG62"/>
      <c r="AH62"/>
      <c r="AI62"/>
      <c r="AK62"/>
      <c r="AL62"/>
      <c r="AM62"/>
      <c r="AN62"/>
      <c r="AO62"/>
      <c r="AP62"/>
      <c r="AQ62"/>
      <c r="AR62"/>
      <c r="AS62"/>
      <c r="AT62"/>
      <c r="AU62"/>
      <c r="AW62"/>
      <c r="AX62"/>
      <c r="AY62"/>
      <c r="AZ62"/>
      <c r="BA62"/>
      <c r="BB62"/>
      <c r="BC62"/>
      <c r="BD62"/>
      <c r="BE62"/>
      <c r="BF62"/>
      <c r="BG62"/>
      <c r="BI62"/>
      <c r="BJ62"/>
      <c r="BK62"/>
      <c r="BL62"/>
      <c r="BM62"/>
      <c r="BN62"/>
      <c r="BO62"/>
      <c r="BP62"/>
      <c r="BQ62"/>
      <c r="BR62"/>
      <c r="BS62"/>
      <c r="BU62"/>
      <c r="BV62"/>
      <c r="BW62"/>
      <c r="BX62"/>
      <c r="BY62"/>
      <c r="BZ62"/>
      <c r="CA62"/>
      <c r="CB62"/>
      <c r="CC62"/>
      <c r="CD62"/>
      <c r="CE62"/>
      <c r="CG62"/>
      <c r="CH62"/>
      <c r="CI62"/>
      <c r="CJ62"/>
      <c r="CK62"/>
      <c r="CL62"/>
      <c r="CM62"/>
      <c r="CN62"/>
      <c r="CO62"/>
      <c r="CP62"/>
      <c r="CQ62"/>
      <c r="CS62"/>
      <c r="CT62"/>
      <c r="CU62"/>
      <c r="CV62"/>
      <c r="CW62"/>
      <c r="CX62"/>
      <c r="CY62"/>
      <c r="CZ62"/>
      <c r="DA62"/>
      <c r="DB62"/>
      <c r="DC62"/>
    </row>
    <row r="63" spans="3:107" s="21" customFormat="1" x14ac:dyDescent="0.3">
      <c r="C63" s="277"/>
      <c r="D63" s="269" t="s">
        <v>3272</v>
      </c>
      <c r="E63" s="270"/>
      <c r="F63" s="271">
        <f>SUM(F64:F67)</f>
        <v>135.26434873148366</v>
      </c>
      <c r="G63" s="271">
        <f>SUM(G64:G67)</f>
        <v>182.60661972760445</v>
      </c>
      <c r="H63" s="271">
        <f t="shared" ref="H63:I63" si="109">SUM(H64:H67)</f>
        <v>159.95171774068518</v>
      </c>
      <c r="I63" s="271">
        <f t="shared" si="109"/>
        <v>181.75298648753906</v>
      </c>
      <c r="J63" s="272">
        <f t="shared" si="106"/>
        <v>-2.3400937003956734E-3</v>
      </c>
      <c r="M63"/>
      <c r="N63"/>
      <c r="O63"/>
      <c r="P63"/>
      <c r="Q63"/>
      <c r="R63"/>
      <c r="S63"/>
      <c r="T63"/>
      <c r="U63"/>
      <c r="V63"/>
      <c r="W63"/>
      <c r="Y63"/>
      <c r="Z63"/>
      <c r="AA63"/>
      <c r="AB63"/>
      <c r="AC63"/>
      <c r="AD63"/>
      <c r="AE63"/>
      <c r="AF63"/>
      <c r="AG63"/>
      <c r="AH63"/>
      <c r="AI63"/>
      <c r="AK63"/>
      <c r="AL63"/>
      <c r="AM63"/>
      <c r="AN63"/>
      <c r="AO63"/>
      <c r="AP63"/>
      <c r="AQ63"/>
      <c r="AR63"/>
      <c r="AS63"/>
      <c r="AT63"/>
      <c r="AU63"/>
      <c r="AW63"/>
      <c r="AX63"/>
      <c r="AY63"/>
      <c r="AZ63"/>
      <c r="BA63"/>
      <c r="BB63"/>
      <c r="BC63"/>
      <c r="BD63"/>
      <c r="BE63"/>
      <c r="BF63"/>
      <c r="BG63"/>
      <c r="BI63"/>
      <c r="BJ63"/>
      <c r="BK63"/>
      <c r="BL63"/>
      <c r="BM63"/>
      <c r="BN63"/>
      <c r="BO63"/>
      <c r="BP63"/>
      <c r="BQ63"/>
      <c r="BR63"/>
      <c r="BS63"/>
      <c r="BU63"/>
      <c r="BV63"/>
      <c r="BW63"/>
      <c r="BX63"/>
      <c r="BY63"/>
      <c r="BZ63"/>
      <c r="CA63"/>
      <c r="CB63"/>
      <c r="CC63"/>
      <c r="CD63"/>
      <c r="CE63"/>
      <c r="CG63"/>
      <c r="CH63"/>
      <c r="CI63"/>
      <c r="CJ63"/>
      <c r="CK63"/>
      <c r="CL63"/>
      <c r="CM63"/>
      <c r="CN63"/>
      <c r="CO63"/>
      <c r="CP63"/>
      <c r="CQ63"/>
      <c r="CS63"/>
      <c r="CT63"/>
      <c r="CU63"/>
      <c r="CV63"/>
      <c r="CW63"/>
      <c r="CX63"/>
      <c r="CY63"/>
      <c r="CZ63"/>
      <c r="DA63"/>
      <c r="DB63"/>
      <c r="DC63"/>
    </row>
    <row r="64" spans="3:107" s="21" customFormat="1" x14ac:dyDescent="0.3">
      <c r="C64" s="277"/>
      <c r="D64" s="277"/>
      <c r="E64" s="278" t="s">
        <v>77</v>
      </c>
      <c r="F64" s="275">
        <f t="shared" ref="F64:I67" si="110">F11-F37</f>
        <v>90.440450529999993</v>
      </c>
      <c r="G64" s="275">
        <f t="shared" si="110"/>
        <v>85.817984380000013</v>
      </c>
      <c r="H64" s="275">
        <f t="shared" si="110"/>
        <v>43.589806054422937</v>
      </c>
      <c r="I64" s="275">
        <f t="shared" si="110"/>
        <v>57.838669460722016</v>
      </c>
      <c r="J64" s="276">
        <f t="shared" si="106"/>
        <v>-0.17904379090373224</v>
      </c>
      <c r="M64"/>
      <c r="N64"/>
      <c r="O64"/>
      <c r="P64"/>
      <c r="Q64"/>
      <c r="R64"/>
      <c r="S64"/>
      <c r="T64"/>
      <c r="U64"/>
      <c r="V64"/>
      <c r="W64"/>
      <c r="Y64"/>
      <c r="Z64"/>
      <c r="AA64"/>
      <c r="AB64"/>
      <c r="AC64"/>
      <c r="AD64"/>
      <c r="AE64"/>
      <c r="AF64"/>
      <c r="AG64"/>
      <c r="AH64"/>
      <c r="AI64"/>
      <c r="AK64"/>
      <c r="AL64"/>
      <c r="AM64"/>
      <c r="AN64"/>
      <c r="AO64"/>
      <c r="AP64"/>
      <c r="AQ64"/>
      <c r="AR64"/>
      <c r="AS64"/>
      <c r="AT64"/>
      <c r="AU64"/>
      <c r="AW64"/>
      <c r="AX64"/>
      <c r="AY64"/>
      <c r="AZ64"/>
      <c r="BA64"/>
      <c r="BB64"/>
      <c r="BC64"/>
      <c r="BD64"/>
      <c r="BE64"/>
      <c r="BF64"/>
      <c r="BG64"/>
      <c r="BI64"/>
      <c r="BJ64"/>
      <c r="BK64"/>
      <c r="BL64"/>
      <c r="BM64"/>
      <c r="BN64"/>
      <c r="BO64"/>
      <c r="BP64"/>
      <c r="BQ64"/>
      <c r="BR64"/>
      <c r="BS64"/>
      <c r="BU64"/>
      <c r="BV64"/>
      <c r="BW64"/>
      <c r="BX64"/>
      <c r="BY64"/>
      <c r="BZ64"/>
      <c r="CA64"/>
      <c r="CB64"/>
      <c r="CC64"/>
      <c r="CD64"/>
      <c r="CE64"/>
      <c r="CG64"/>
      <c r="CH64"/>
      <c r="CI64"/>
      <c r="CJ64"/>
      <c r="CK64"/>
      <c r="CL64"/>
      <c r="CM64"/>
      <c r="CN64"/>
      <c r="CO64"/>
      <c r="CP64"/>
      <c r="CQ64"/>
      <c r="CS64"/>
      <c r="CT64"/>
      <c r="CU64"/>
      <c r="CV64"/>
      <c r="CW64"/>
      <c r="CX64"/>
      <c r="CY64"/>
      <c r="CZ64"/>
      <c r="DA64"/>
      <c r="DB64"/>
      <c r="DC64"/>
    </row>
    <row r="65" spans="3:107" s="21" customFormat="1" x14ac:dyDescent="0.3">
      <c r="C65" s="277"/>
      <c r="D65" s="277"/>
      <c r="E65" s="283" t="s">
        <v>80</v>
      </c>
      <c r="F65" s="281">
        <f t="shared" si="110"/>
        <v>38.85196123999998</v>
      </c>
      <c r="G65" s="281">
        <f t="shared" si="110"/>
        <v>58.809753017604407</v>
      </c>
      <c r="H65" s="281">
        <f t="shared" si="110"/>
        <v>94.981911686262265</v>
      </c>
      <c r="I65" s="281">
        <f t="shared" si="110"/>
        <v>108.76985637198368</v>
      </c>
      <c r="J65" s="282">
        <f t="shared" si="106"/>
        <v>0.3599708503022514</v>
      </c>
      <c r="M65"/>
      <c r="N65"/>
      <c r="O65"/>
      <c r="P65"/>
      <c r="Q65"/>
      <c r="R65"/>
      <c r="S65"/>
      <c r="T65"/>
      <c r="U65"/>
      <c r="V65"/>
      <c r="W65"/>
      <c r="Y65"/>
      <c r="Z65"/>
      <c r="AA65"/>
      <c r="AB65"/>
      <c r="AC65"/>
      <c r="AD65"/>
      <c r="AE65"/>
      <c r="AF65"/>
      <c r="AG65"/>
      <c r="AH65"/>
      <c r="AI65"/>
      <c r="AK65"/>
      <c r="AL65"/>
      <c r="AM65"/>
      <c r="AN65"/>
      <c r="AO65"/>
      <c r="AP65"/>
      <c r="AQ65"/>
      <c r="AR65"/>
      <c r="AS65"/>
      <c r="AT65"/>
      <c r="AU65"/>
      <c r="AW65"/>
      <c r="AX65"/>
      <c r="AY65"/>
      <c r="AZ65"/>
      <c r="BA65"/>
      <c r="BB65"/>
      <c r="BC65"/>
      <c r="BD65"/>
      <c r="BE65"/>
      <c r="BF65"/>
      <c r="BG65"/>
      <c r="BI65"/>
      <c r="BJ65"/>
      <c r="BK65"/>
      <c r="BL65"/>
      <c r="BM65"/>
      <c r="BN65"/>
      <c r="BO65"/>
      <c r="BP65"/>
      <c r="BQ65"/>
      <c r="BR65"/>
      <c r="BS65"/>
      <c r="BU65"/>
      <c r="BV65"/>
      <c r="BW65"/>
      <c r="BX65"/>
      <c r="BY65"/>
      <c r="BZ65"/>
      <c r="CA65"/>
      <c r="CB65"/>
      <c r="CC65"/>
      <c r="CD65"/>
      <c r="CE65"/>
      <c r="CG65"/>
      <c r="CH65"/>
      <c r="CI65"/>
      <c r="CJ65"/>
      <c r="CK65"/>
      <c r="CL65"/>
      <c r="CM65"/>
      <c r="CN65"/>
      <c r="CO65"/>
      <c r="CP65"/>
      <c r="CQ65"/>
      <c r="CS65"/>
      <c r="CT65"/>
      <c r="CU65"/>
      <c r="CV65"/>
      <c r="CW65"/>
      <c r="CX65"/>
      <c r="CY65"/>
      <c r="CZ65"/>
      <c r="DA65"/>
      <c r="DB65"/>
      <c r="DC65"/>
    </row>
    <row r="66" spans="3:107" s="21" customFormat="1" x14ac:dyDescent="0.3">
      <c r="C66" s="277"/>
      <c r="D66" s="277"/>
      <c r="E66" s="283" t="s">
        <v>83</v>
      </c>
      <c r="F66" s="281">
        <f t="shared" si="110"/>
        <v>5.9719369614836921</v>
      </c>
      <c r="G66" s="281">
        <f t="shared" si="110"/>
        <v>37.978882330000033</v>
      </c>
      <c r="H66" s="281">
        <f t="shared" si="110"/>
        <v>18.379999999999995</v>
      </c>
      <c r="I66" s="281">
        <f t="shared" si="110"/>
        <v>8.1444606548333525</v>
      </c>
      <c r="J66" s="282">
        <f t="shared" si="106"/>
        <v>-0.53691568127012967</v>
      </c>
      <c r="M66"/>
      <c r="N66"/>
      <c r="O66"/>
      <c r="P66"/>
      <c r="Q66"/>
      <c r="R66"/>
      <c r="S66"/>
      <c r="T66"/>
      <c r="U66"/>
      <c r="V66"/>
      <c r="W66"/>
      <c r="Y66"/>
      <c r="Z66"/>
      <c r="AA66"/>
      <c r="AB66"/>
      <c r="AC66"/>
      <c r="AD66"/>
      <c r="AE66"/>
      <c r="AF66"/>
      <c r="AG66"/>
      <c r="AH66"/>
      <c r="AI66"/>
      <c r="AK66"/>
      <c r="AL66"/>
      <c r="AM66"/>
      <c r="AN66"/>
      <c r="AO66"/>
      <c r="AP66"/>
      <c r="AQ66"/>
      <c r="AR66"/>
      <c r="AS66"/>
      <c r="AT66"/>
      <c r="AU66"/>
      <c r="AW66"/>
      <c r="AX66"/>
      <c r="AY66"/>
      <c r="AZ66"/>
      <c r="BA66"/>
      <c r="BB66"/>
      <c r="BC66"/>
      <c r="BD66"/>
      <c r="BE66"/>
      <c r="BF66"/>
      <c r="BG66"/>
      <c r="BI66"/>
      <c r="BJ66"/>
      <c r="BK66"/>
      <c r="BL66"/>
      <c r="BM66"/>
      <c r="BN66"/>
      <c r="BO66"/>
      <c r="BP66"/>
      <c r="BQ66"/>
      <c r="BR66"/>
      <c r="BS66"/>
      <c r="BU66"/>
      <c r="BV66"/>
      <c r="BW66"/>
      <c r="BX66"/>
      <c r="BY66"/>
      <c r="BZ66"/>
      <c r="CA66"/>
      <c r="CB66"/>
      <c r="CC66"/>
      <c r="CD66"/>
      <c r="CE66"/>
      <c r="CG66"/>
      <c r="CH66"/>
      <c r="CI66"/>
      <c r="CJ66"/>
      <c r="CK66"/>
      <c r="CL66"/>
      <c r="CM66"/>
      <c r="CN66"/>
      <c r="CO66"/>
      <c r="CP66"/>
      <c r="CQ66"/>
      <c r="CS66"/>
      <c r="CT66"/>
      <c r="CU66"/>
      <c r="CV66"/>
      <c r="CW66"/>
      <c r="CX66"/>
      <c r="CY66"/>
      <c r="CZ66"/>
      <c r="DA66"/>
      <c r="DB66"/>
      <c r="DC66"/>
    </row>
    <row r="67" spans="3:107" s="21" customFormat="1" x14ac:dyDescent="0.3">
      <c r="C67" s="277"/>
      <c r="D67" s="284"/>
      <c r="E67" s="285" t="s">
        <v>3317</v>
      </c>
      <c r="F67" s="286">
        <f t="shared" si="110"/>
        <v>0</v>
      </c>
      <c r="G67" s="286">
        <f t="shared" si="110"/>
        <v>0</v>
      </c>
      <c r="H67" s="286">
        <f t="shared" si="110"/>
        <v>3</v>
      </c>
      <c r="I67" s="286">
        <f t="shared" si="110"/>
        <v>7</v>
      </c>
      <c r="J67" s="287">
        <f t="shared" si="106"/>
        <v>0</v>
      </c>
      <c r="M67"/>
      <c r="N67"/>
      <c r="O67"/>
      <c r="P67"/>
      <c r="Q67"/>
      <c r="R67"/>
      <c r="S67"/>
      <c r="T67"/>
      <c r="U67"/>
      <c r="V67"/>
      <c r="W67"/>
      <c r="Y67"/>
      <c r="Z67"/>
      <c r="AA67"/>
      <c r="AB67"/>
      <c r="AC67"/>
      <c r="AD67"/>
      <c r="AE67"/>
      <c r="AF67"/>
      <c r="AG67"/>
      <c r="AH67"/>
      <c r="AI67"/>
      <c r="AK67"/>
      <c r="AL67"/>
      <c r="AM67"/>
      <c r="AN67"/>
      <c r="AO67"/>
      <c r="AP67"/>
      <c r="AQ67"/>
      <c r="AR67"/>
      <c r="AS67"/>
      <c r="AT67"/>
      <c r="AU67"/>
      <c r="AW67"/>
      <c r="AX67"/>
      <c r="AY67"/>
      <c r="AZ67"/>
      <c r="BA67"/>
      <c r="BB67"/>
      <c r="BC67"/>
      <c r="BD67"/>
      <c r="BE67"/>
      <c r="BF67"/>
      <c r="BG67"/>
      <c r="BI67"/>
      <c r="BJ67"/>
      <c r="BK67"/>
      <c r="BL67"/>
      <c r="BM67"/>
      <c r="BN67"/>
      <c r="BO67"/>
      <c r="BP67"/>
      <c r="BQ67"/>
      <c r="BR67"/>
      <c r="BS67"/>
      <c r="BU67"/>
      <c r="BV67"/>
      <c r="BW67"/>
      <c r="BX67"/>
      <c r="BY67"/>
      <c r="BZ67"/>
      <c r="CA67"/>
      <c r="CB67"/>
      <c r="CC67"/>
      <c r="CD67"/>
      <c r="CE67"/>
      <c r="CG67"/>
      <c r="CH67"/>
      <c r="CI67"/>
      <c r="CJ67"/>
      <c r="CK67"/>
      <c r="CL67"/>
      <c r="CM67"/>
      <c r="CN67"/>
      <c r="CO67"/>
      <c r="CP67"/>
      <c r="CQ67"/>
      <c r="CS67"/>
      <c r="CT67"/>
      <c r="CU67"/>
      <c r="CV67"/>
      <c r="CW67"/>
      <c r="CX67"/>
      <c r="CY67"/>
      <c r="CZ67"/>
      <c r="DA67"/>
      <c r="DB67"/>
      <c r="DC67"/>
    </row>
    <row r="68" spans="3:107" s="21" customFormat="1" x14ac:dyDescent="0.3">
      <c r="C68" s="277"/>
      <c r="D68" s="269" t="s">
        <v>208</v>
      </c>
      <c r="E68" s="270"/>
      <c r="F68" s="271">
        <f>SUM(F69:F71)</f>
        <v>11.021749870000008</v>
      </c>
      <c r="G68" s="271">
        <f>SUM(G69:G71)</f>
        <v>-4.2125875199999978</v>
      </c>
      <c r="H68" s="271">
        <f t="shared" ref="H68:I68" si="111">SUM(H69:H71)</f>
        <v>1.4549805949999914</v>
      </c>
      <c r="I68" s="271">
        <f t="shared" si="111"/>
        <v>26.902309336110786</v>
      </c>
      <c r="J68" s="272">
        <f t="shared" si="106"/>
        <v>0</v>
      </c>
      <c r="M68"/>
      <c r="N68"/>
      <c r="O68"/>
      <c r="P68"/>
      <c r="Q68"/>
      <c r="R68"/>
      <c r="S68"/>
      <c r="T68"/>
      <c r="U68"/>
      <c r="V68"/>
      <c r="W68"/>
      <c r="Y68"/>
      <c r="Z68"/>
      <c r="AA68"/>
      <c r="AB68"/>
      <c r="AC68"/>
      <c r="AD68"/>
      <c r="AE68"/>
      <c r="AF68"/>
      <c r="AG68"/>
      <c r="AH68"/>
      <c r="AI68"/>
      <c r="AK68"/>
      <c r="AL68"/>
      <c r="AM68"/>
      <c r="AN68"/>
      <c r="AO68"/>
      <c r="AP68"/>
      <c r="AQ68"/>
      <c r="AR68"/>
      <c r="AS68"/>
      <c r="AT68"/>
      <c r="AU68"/>
      <c r="AW68"/>
      <c r="AX68"/>
      <c r="AY68"/>
      <c r="AZ68"/>
      <c r="BA68"/>
      <c r="BB68"/>
      <c r="BC68"/>
      <c r="BD68"/>
      <c r="BE68"/>
      <c r="BF68"/>
      <c r="BG68"/>
      <c r="BI68"/>
      <c r="BJ68"/>
      <c r="BK68"/>
      <c r="BL68"/>
      <c r="BM68"/>
      <c r="BN68"/>
      <c r="BO68"/>
      <c r="BP68"/>
      <c r="BQ68"/>
      <c r="BR68"/>
      <c r="BS68"/>
      <c r="BU68"/>
      <c r="BV68"/>
      <c r="BW68"/>
      <c r="BX68"/>
      <c r="BY68"/>
      <c r="BZ68"/>
      <c r="CA68"/>
      <c r="CB68"/>
      <c r="CC68"/>
      <c r="CD68"/>
      <c r="CE68"/>
      <c r="CG68"/>
      <c r="CH68"/>
      <c r="CI68"/>
      <c r="CJ68"/>
      <c r="CK68"/>
      <c r="CL68"/>
      <c r="CM68"/>
      <c r="CN68"/>
      <c r="CO68"/>
      <c r="CP68"/>
      <c r="CQ68"/>
      <c r="CS68"/>
      <c r="CT68"/>
      <c r="CU68"/>
      <c r="CV68"/>
      <c r="CW68"/>
      <c r="CX68"/>
      <c r="CY68"/>
      <c r="CZ68"/>
      <c r="DA68"/>
      <c r="DB68"/>
      <c r="DC68"/>
    </row>
    <row r="69" spans="3:107" s="21" customFormat="1" x14ac:dyDescent="0.3">
      <c r="C69" s="277"/>
      <c r="D69" s="277"/>
      <c r="E69" s="278" t="s">
        <v>3301</v>
      </c>
      <c r="F69" s="275">
        <f t="shared" ref="F69:I76" si="112">F16-F42</f>
        <v>11.021749870000008</v>
      </c>
      <c r="G69" s="275">
        <f t="shared" si="112"/>
        <v>5.7990913000000006</v>
      </c>
      <c r="H69" s="275">
        <f t="shared" si="112"/>
        <v>11.2943</v>
      </c>
      <c r="I69" s="275">
        <f t="shared" si="112"/>
        <v>15.021703566880007</v>
      </c>
      <c r="J69" s="276">
        <f t="shared" si="106"/>
        <v>0.60945789878741219</v>
      </c>
      <c r="M69"/>
      <c r="N69"/>
      <c r="O69"/>
      <c r="P69"/>
      <c r="Q69"/>
      <c r="R69"/>
      <c r="S69"/>
      <c r="T69"/>
      <c r="U69"/>
      <c r="V69"/>
      <c r="W69"/>
      <c r="Y69"/>
      <c r="Z69"/>
      <c r="AA69"/>
      <c r="AB69"/>
      <c r="AC69"/>
      <c r="AD69"/>
      <c r="AE69"/>
      <c r="AF69"/>
      <c r="AG69"/>
      <c r="AH69"/>
      <c r="AI69"/>
      <c r="AK69"/>
      <c r="AL69"/>
      <c r="AM69"/>
      <c r="AN69"/>
      <c r="AO69"/>
      <c r="AP69"/>
      <c r="AQ69"/>
      <c r="AR69"/>
      <c r="AS69"/>
      <c r="AT69"/>
      <c r="AU69"/>
      <c r="AW69"/>
      <c r="AX69"/>
      <c r="AY69"/>
      <c r="AZ69"/>
      <c r="BA69"/>
      <c r="BB69"/>
      <c r="BC69"/>
      <c r="BD69"/>
      <c r="BE69"/>
      <c r="BF69"/>
      <c r="BG69"/>
      <c r="BI69"/>
      <c r="BJ69"/>
      <c r="BK69"/>
      <c r="BL69"/>
      <c r="BM69"/>
      <c r="BN69"/>
      <c r="BO69"/>
      <c r="BP69"/>
      <c r="BQ69"/>
      <c r="BR69"/>
      <c r="BS69"/>
      <c r="BU69"/>
      <c r="BV69"/>
      <c r="BW69"/>
      <c r="BX69"/>
      <c r="BY69"/>
      <c r="BZ69"/>
      <c r="CA69"/>
      <c r="CB69"/>
      <c r="CC69"/>
      <c r="CD69"/>
      <c r="CE69"/>
      <c r="CG69"/>
      <c r="CH69"/>
      <c r="CI69"/>
      <c r="CJ69"/>
      <c r="CK69"/>
      <c r="CL69"/>
      <c r="CM69"/>
      <c r="CN69"/>
      <c r="CO69"/>
      <c r="CP69"/>
      <c r="CQ69"/>
      <c r="CS69"/>
      <c r="CT69"/>
      <c r="CU69"/>
      <c r="CV69"/>
      <c r="CW69"/>
      <c r="CX69"/>
      <c r="CY69"/>
      <c r="CZ69"/>
      <c r="DA69"/>
      <c r="DB69"/>
      <c r="DC69"/>
    </row>
    <row r="70" spans="3:107" s="21" customFormat="1" x14ac:dyDescent="0.3">
      <c r="C70" s="277"/>
      <c r="D70" s="277"/>
      <c r="E70" s="283" t="s">
        <v>3304</v>
      </c>
      <c r="F70" s="281">
        <f t="shared" si="112"/>
        <v>0</v>
      </c>
      <c r="G70" s="281">
        <f t="shared" si="112"/>
        <v>-7.5673985899999989</v>
      </c>
      <c r="H70" s="281">
        <f t="shared" si="112"/>
        <v>4.8000000000000007</v>
      </c>
      <c r="I70" s="281">
        <f t="shared" si="112"/>
        <v>5.5692307692307672</v>
      </c>
      <c r="J70" s="282">
        <f t="shared" si="106"/>
        <v>0</v>
      </c>
      <c r="M70"/>
      <c r="N70"/>
      <c r="O70"/>
      <c r="P70"/>
      <c r="Q70"/>
      <c r="R70"/>
      <c r="S70"/>
      <c r="T70"/>
      <c r="U70"/>
      <c r="V70"/>
      <c r="W70"/>
      <c r="Y70"/>
      <c r="Z70"/>
      <c r="AA70"/>
      <c r="AB70"/>
      <c r="AC70"/>
      <c r="AD70"/>
      <c r="AE70"/>
      <c r="AF70"/>
      <c r="AG70"/>
      <c r="AH70"/>
      <c r="AI70"/>
      <c r="AK70"/>
      <c r="AL70"/>
      <c r="AM70"/>
      <c r="AN70"/>
      <c r="AO70"/>
      <c r="AP70"/>
      <c r="AQ70"/>
      <c r="AR70"/>
      <c r="AS70"/>
      <c r="AT70"/>
      <c r="AU70"/>
      <c r="AW70"/>
      <c r="AX70"/>
      <c r="AY70"/>
      <c r="AZ70"/>
      <c r="BA70"/>
      <c r="BB70"/>
      <c r="BC70"/>
      <c r="BD70"/>
      <c r="BE70"/>
      <c r="BF70"/>
      <c r="BG70"/>
      <c r="BI70"/>
      <c r="BJ70"/>
      <c r="BK70"/>
      <c r="BL70"/>
      <c r="BM70"/>
      <c r="BN70"/>
      <c r="BO70"/>
      <c r="BP70"/>
      <c r="BQ70"/>
      <c r="BR70"/>
      <c r="BS70"/>
      <c r="BU70"/>
      <c r="BV70"/>
      <c r="BW70"/>
      <c r="BX70"/>
      <c r="BY70"/>
      <c r="BZ70"/>
      <c r="CA70"/>
      <c r="CB70"/>
      <c r="CC70"/>
      <c r="CD70"/>
      <c r="CE70"/>
      <c r="CG70"/>
      <c r="CH70"/>
      <c r="CI70"/>
      <c r="CJ70"/>
      <c r="CK70"/>
      <c r="CL70"/>
      <c r="CM70"/>
      <c r="CN70"/>
      <c r="CO70"/>
      <c r="CP70"/>
      <c r="CQ70"/>
      <c r="CS70"/>
      <c r="CT70"/>
      <c r="CU70"/>
      <c r="CV70"/>
      <c r="CW70"/>
      <c r="CX70"/>
      <c r="CY70"/>
      <c r="CZ70"/>
      <c r="DA70"/>
      <c r="DB70"/>
      <c r="DC70"/>
    </row>
    <row r="71" spans="3:107" s="21" customFormat="1" x14ac:dyDescent="0.3">
      <c r="C71" s="277"/>
      <c r="D71" s="284"/>
      <c r="E71" s="285" t="s">
        <v>92</v>
      </c>
      <c r="F71" s="286">
        <f t="shared" si="112"/>
        <v>0</v>
      </c>
      <c r="G71" s="286">
        <f t="shared" si="112"/>
        <v>-2.4442802299999999</v>
      </c>
      <c r="H71" s="286">
        <f t="shared" si="112"/>
        <v>-14.639319405000009</v>
      </c>
      <c r="I71" s="286">
        <f t="shared" si="112"/>
        <v>6.3113750000000124</v>
      </c>
      <c r="J71" s="287">
        <f t="shared" si="106"/>
        <v>0</v>
      </c>
      <c r="M71"/>
      <c r="N71"/>
      <c r="O71"/>
      <c r="P71"/>
      <c r="Q71"/>
      <c r="R71"/>
      <c r="S71"/>
      <c r="T71"/>
      <c r="U71"/>
      <c r="V71"/>
      <c r="W71"/>
      <c r="Y71"/>
      <c r="Z71"/>
      <c r="AA71"/>
      <c r="AB71"/>
      <c r="AC71"/>
      <c r="AD71"/>
      <c r="AE71"/>
      <c r="AF71"/>
      <c r="AG71"/>
      <c r="AH71"/>
      <c r="AI71"/>
      <c r="AK71"/>
      <c r="AL71"/>
      <c r="AM71"/>
      <c r="AN71"/>
      <c r="AO71"/>
      <c r="AP71"/>
      <c r="AQ71"/>
      <c r="AR71"/>
      <c r="AS71"/>
      <c r="AT71"/>
      <c r="AU71"/>
      <c r="AW71"/>
      <c r="AX71"/>
      <c r="AY71"/>
      <c r="AZ71"/>
      <c r="BA71"/>
      <c r="BB71"/>
      <c r="BC71"/>
      <c r="BD71"/>
      <c r="BE71"/>
      <c r="BF71"/>
      <c r="BG71"/>
      <c r="BI71"/>
      <c r="BJ71"/>
      <c r="BK71"/>
      <c r="BL71"/>
      <c r="BM71"/>
      <c r="BN71"/>
      <c r="BO71"/>
      <c r="BP71"/>
      <c r="BQ71"/>
      <c r="BR71"/>
      <c r="BS71"/>
      <c r="BU71"/>
      <c r="BV71"/>
      <c r="BW71"/>
      <c r="BX71"/>
      <c r="BY71"/>
      <c r="BZ71"/>
      <c r="CA71"/>
      <c r="CB71"/>
      <c r="CC71"/>
      <c r="CD71"/>
      <c r="CE71"/>
      <c r="CG71"/>
      <c r="CH71"/>
      <c r="CI71"/>
      <c r="CJ71"/>
      <c r="CK71"/>
      <c r="CL71"/>
      <c r="CM71"/>
      <c r="CN71"/>
      <c r="CO71"/>
      <c r="CP71"/>
      <c r="CQ71"/>
      <c r="CS71"/>
      <c r="CT71"/>
      <c r="CU71"/>
      <c r="CV71"/>
      <c r="CW71"/>
      <c r="CX71"/>
      <c r="CY71"/>
      <c r="CZ71"/>
      <c r="DA71"/>
      <c r="DB71"/>
      <c r="DC71"/>
    </row>
    <row r="72" spans="3:107" s="21" customFormat="1" x14ac:dyDescent="0.3">
      <c r="C72" s="277"/>
      <c r="D72" s="269" t="s">
        <v>3309</v>
      </c>
      <c r="E72" s="270"/>
      <c r="F72" s="271">
        <f>SUM(F73:F77)</f>
        <v>119.08365872851631</v>
      </c>
      <c r="G72" s="271">
        <f>SUM(G73:G77)</f>
        <v>117.41539408999999</v>
      </c>
      <c r="H72" s="271">
        <f t="shared" ref="H72:I72" si="113">SUM(H73:H77)</f>
        <v>147.9481781443333</v>
      </c>
      <c r="I72" s="271">
        <f t="shared" si="113"/>
        <v>183.75266183643802</v>
      </c>
      <c r="J72" s="272">
        <f t="shared" si="106"/>
        <v>0.25099132889716169</v>
      </c>
      <c r="M72"/>
      <c r="N72"/>
      <c r="O72"/>
      <c r="P72"/>
      <c r="Q72"/>
      <c r="R72"/>
      <c r="S72"/>
      <c r="T72"/>
      <c r="U72"/>
      <c r="V72"/>
      <c r="W72"/>
      <c r="Y72"/>
      <c r="Z72"/>
      <c r="AA72"/>
      <c r="AB72"/>
      <c r="AC72"/>
      <c r="AD72"/>
      <c r="AE72"/>
      <c r="AF72"/>
      <c r="AG72"/>
      <c r="AH72"/>
      <c r="AI72"/>
      <c r="AK72"/>
      <c r="AL72"/>
      <c r="AM72"/>
      <c r="AN72"/>
      <c r="AO72"/>
      <c r="AP72"/>
      <c r="AQ72"/>
      <c r="AR72"/>
      <c r="AS72"/>
      <c r="AT72"/>
      <c r="AU72"/>
      <c r="AW72"/>
      <c r="AX72"/>
      <c r="AY72"/>
      <c r="AZ72"/>
      <c r="BA72"/>
      <c r="BB72"/>
      <c r="BC72"/>
      <c r="BD72"/>
      <c r="BE72"/>
      <c r="BF72"/>
      <c r="BG72"/>
      <c r="BI72"/>
      <c r="BJ72"/>
      <c r="BK72"/>
      <c r="BL72"/>
      <c r="BM72"/>
      <c r="BN72"/>
      <c r="BO72"/>
      <c r="BP72"/>
      <c r="BQ72"/>
      <c r="BR72"/>
      <c r="BS72"/>
      <c r="BU72"/>
      <c r="BV72"/>
      <c r="BW72"/>
      <c r="BX72"/>
      <c r="BY72"/>
      <c r="BZ72"/>
      <c r="CA72"/>
      <c r="CB72"/>
      <c r="CC72"/>
      <c r="CD72"/>
      <c r="CE72"/>
      <c r="CG72"/>
      <c r="CH72"/>
      <c r="CI72"/>
      <c r="CJ72"/>
      <c r="CK72"/>
      <c r="CL72"/>
      <c r="CM72"/>
      <c r="CN72"/>
      <c r="CO72"/>
      <c r="CP72"/>
      <c r="CQ72"/>
      <c r="CS72"/>
      <c r="CT72"/>
      <c r="CU72"/>
      <c r="CV72"/>
      <c r="CW72"/>
      <c r="CX72"/>
      <c r="CY72"/>
      <c r="CZ72"/>
      <c r="DA72"/>
      <c r="DB72"/>
      <c r="DC72"/>
    </row>
    <row r="73" spans="3:107" s="21" customFormat="1" x14ac:dyDescent="0.3">
      <c r="C73" s="277"/>
      <c r="D73" s="277"/>
      <c r="E73" s="278" t="s">
        <v>96</v>
      </c>
      <c r="F73" s="275">
        <f t="shared" ref="F73:F76" si="114">F20-F46</f>
        <v>64.01299444094208</v>
      </c>
      <c r="G73" s="275">
        <f t="shared" si="112"/>
        <v>75.423133419999999</v>
      </c>
      <c r="H73" s="275">
        <f t="shared" si="112"/>
        <v>98.971620044333292</v>
      </c>
      <c r="I73" s="275">
        <f t="shared" si="112"/>
        <v>134.28210259508427</v>
      </c>
      <c r="J73" s="276">
        <f t="shared" si="106"/>
        <v>0.33431012304203467</v>
      </c>
      <c r="M73"/>
      <c r="N73"/>
      <c r="O73"/>
      <c r="P73"/>
      <c r="Q73"/>
      <c r="R73"/>
      <c r="S73"/>
      <c r="T73"/>
      <c r="U73"/>
      <c r="V73"/>
      <c r="W73"/>
      <c r="Y73"/>
      <c r="Z73"/>
      <c r="AA73"/>
      <c r="AB73"/>
      <c r="AC73"/>
      <c r="AD73"/>
      <c r="AE73"/>
      <c r="AF73"/>
      <c r="AG73"/>
      <c r="AH73"/>
      <c r="AI73"/>
      <c r="AK73"/>
      <c r="AL73"/>
      <c r="AM73"/>
      <c r="AN73"/>
      <c r="AO73"/>
      <c r="AP73"/>
      <c r="AQ73"/>
      <c r="AR73"/>
      <c r="AS73"/>
      <c r="AT73"/>
      <c r="AU73"/>
      <c r="AW73"/>
      <c r="AX73"/>
      <c r="AY73"/>
      <c r="AZ73"/>
      <c r="BA73"/>
      <c r="BB73"/>
      <c r="BC73"/>
      <c r="BD73"/>
      <c r="BE73"/>
      <c r="BF73"/>
      <c r="BG73"/>
      <c r="BI73"/>
      <c r="BJ73"/>
      <c r="BK73"/>
      <c r="BL73"/>
      <c r="BM73"/>
      <c r="BN73"/>
      <c r="BO73"/>
      <c r="BP73"/>
      <c r="BQ73"/>
      <c r="BR73"/>
      <c r="BS73"/>
      <c r="BU73"/>
      <c r="BV73"/>
      <c r="BW73"/>
      <c r="BX73"/>
      <c r="BY73"/>
      <c r="BZ73"/>
      <c r="CA73"/>
      <c r="CB73"/>
      <c r="CC73"/>
      <c r="CD73"/>
      <c r="CE73"/>
      <c r="CG73"/>
      <c r="CH73"/>
      <c r="CI73"/>
      <c r="CJ73"/>
      <c r="CK73"/>
      <c r="CL73"/>
      <c r="CM73"/>
      <c r="CN73"/>
      <c r="CO73"/>
      <c r="CP73"/>
      <c r="CQ73"/>
      <c r="CS73"/>
      <c r="CT73"/>
      <c r="CU73"/>
      <c r="CV73"/>
      <c r="CW73"/>
      <c r="CX73"/>
      <c r="CY73"/>
      <c r="CZ73"/>
      <c r="DA73"/>
      <c r="DB73"/>
      <c r="DC73"/>
    </row>
    <row r="74" spans="3:107" s="21" customFormat="1" x14ac:dyDescent="0.3">
      <c r="C74" s="277"/>
      <c r="D74" s="277"/>
      <c r="E74" s="294" t="s">
        <v>98</v>
      </c>
      <c r="F74" s="295">
        <f t="shared" si="114"/>
        <v>32.791701907574236</v>
      </c>
      <c r="G74" s="295">
        <f t="shared" si="112"/>
        <v>28.618011739999986</v>
      </c>
      <c r="H74" s="295">
        <f t="shared" si="112"/>
        <v>34.859032100000007</v>
      </c>
      <c r="I74" s="295">
        <f t="shared" si="112"/>
        <v>35.078737694726783</v>
      </c>
      <c r="J74" s="296"/>
      <c r="M74"/>
      <c r="N74"/>
      <c r="O74"/>
      <c r="P74"/>
      <c r="Q74"/>
      <c r="R74"/>
      <c r="S74"/>
      <c r="T74"/>
      <c r="U74"/>
      <c r="V74"/>
      <c r="W74"/>
      <c r="Y74"/>
      <c r="Z74"/>
      <c r="AA74"/>
      <c r="AB74"/>
      <c r="AC74"/>
      <c r="AD74"/>
      <c r="AE74"/>
      <c r="AF74"/>
      <c r="AG74"/>
      <c r="AH74"/>
      <c r="AI74"/>
      <c r="AK74"/>
      <c r="AL74"/>
      <c r="AM74"/>
      <c r="AN74"/>
      <c r="AO74"/>
      <c r="AP74"/>
      <c r="AQ74"/>
      <c r="AR74"/>
      <c r="AS74"/>
      <c r="AT74"/>
      <c r="AU74"/>
      <c r="AW74"/>
      <c r="AX74"/>
      <c r="AY74"/>
      <c r="AZ74"/>
      <c r="BA74"/>
      <c r="BB74"/>
      <c r="BC74"/>
      <c r="BD74"/>
      <c r="BE74"/>
      <c r="BF74"/>
      <c r="BG74"/>
      <c r="BI74"/>
      <c r="BJ74"/>
      <c r="BK74"/>
      <c r="BL74"/>
      <c r="BM74"/>
      <c r="BN74"/>
      <c r="BO74"/>
      <c r="BP74"/>
      <c r="BQ74"/>
      <c r="BR74"/>
      <c r="BS74"/>
      <c r="BU74"/>
      <c r="BV74"/>
      <c r="BW74"/>
      <c r="BX74"/>
      <c r="BY74"/>
      <c r="BZ74"/>
      <c r="CA74"/>
      <c r="CB74"/>
      <c r="CC74"/>
      <c r="CD74"/>
      <c r="CE74"/>
      <c r="CG74"/>
      <c r="CH74"/>
      <c r="CI74"/>
      <c r="CJ74"/>
      <c r="CK74"/>
      <c r="CL74"/>
      <c r="CM74"/>
      <c r="CN74"/>
      <c r="CO74"/>
      <c r="CP74"/>
      <c r="CQ74"/>
      <c r="CS74"/>
      <c r="CT74"/>
      <c r="CU74"/>
      <c r="CV74"/>
      <c r="CW74"/>
      <c r="CX74"/>
      <c r="CY74"/>
      <c r="CZ74"/>
      <c r="DA74"/>
      <c r="DB74"/>
      <c r="DC74"/>
    </row>
    <row r="75" spans="3:107" s="21" customFormat="1" x14ac:dyDescent="0.3">
      <c r="C75" s="277"/>
      <c r="D75" s="277"/>
      <c r="E75" s="283" t="s">
        <v>100</v>
      </c>
      <c r="F75" s="281">
        <f t="shared" si="114"/>
        <v>21.83579146999999</v>
      </c>
      <c r="G75" s="281">
        <f t="shared" si="112"/>
        <v>13.203920940000003</v>
      </c>
      <c r="H75" s="281">
        <f t="shared" si="112"/>
        <v>14.117525999999998</v>
      </c>
      <c r="I75" s="281">
        <f t="shared" si="112"/>
        <v>14.391821546626971</v>
      </c>
      <c r="J75" s="282">
        <f t="shared" ref="J75:J90" si="115">IFERROR((I75/G75)^(1/2)-1,0)</f>
        <v>4.4014246402714674E-2</v>
      </c>
      <c r="M75"/>
      <c r="N75"/>
      <c r="O75"/>
      <c r="P75"/>
      <c r="Q75"/>
      <c r="R75"/>
      <c r="S75"/>
      <c r="T75"/>
      <c r="U75"/>
      <c r="V75"/>
      <c r="W75"/>
      <c r="Y75"/>
      <c r="Z75"/>
      <c r="AA75"/>
      <c r="AB75"/>
      <c r="AC75"/>
      <c r="AD75"/>
      <c r="AE75"/>
      <c r="AF75"/>
      <c r="AG75"/>
      <c r="AH75"/>
      <c r="AI75"/>
      <c r="AK75"/>
      <c r="AL75"/>
      <c r="AM75"/>
      <c r="AN75"/>
      <c r="AO75"/>
      <c r="AP75"/>
      <c r="AQ75"/>
      <c r="AR75"/>
      <c r="AS75"/>
      <c r="AT75"/>
      <c r="AU75"/>
      <c r="AW75"/>
      <c r="AX75"/>
      <c r="AY75"/>
      <c r="AZ75"/>
      <c r="BA75"/>
      <c r="BB75"/>
      <c r="BC75"/>
      <c r="BD75"/>
      <c r="BE75"/>
      <c r="BF75"/>
      <c r="BG75"/>
      <c r="BI75"/>
      <c r="BJ75"/>
      <c r="BK75"/>
      <c r="BL75"/>
      <c r="BM75"/>
      <c r="BN75"/>
      <c r="BO75"/>
      <c r="BP75"/>
      <c r="BQ75"/>
      <c r="BR75"/>
      <c r="BS75"/>
      <c r="BU75"/>
      <c r="BV75"/>
      <c r="BW75"/>
      <c r="BX75"/>
      <c r="BY75"/>
      <c r="BZ75"/>
      <c r="CA75"/>
      <c r="CB75"/>
      <c r="CC75"/>
      <c r="CD75"/>
      <c r="CE75"/>
      <c r="CG75"/>
      <c r="CH75"/>
      <c r="CI75"/>
      <c r="CJ75"/>
      <c r="CK75"/>
      <c r="CL75"/>
      <c r="CM75"/>
      <c r="CN75"/>
      <c r="CO75"/>
      <c r="CP75"/>
      <c r="CQ75"/>
      <c r="CS75"/>
      <c r="CT75"/>
      <c r="CU75"/>
      <c r="CV75"/>
      <c r="CW75"/>
      <c r="CX75"/>
      <c r="CY75"/>
      <c r="CZ75"/>
      <c r="DA75"/>
      <c r="DB75"/>
      <c r="DC75"/>
    </row>
    <row r="76" spans="3:107" s="21" customFormat="1" x14ac:dyDescent="0.3">
      <c r="C76" s="277"/>
      <c r="D76" s="277"/>
      <c r="E76" s="328" t="s">
        <v>103</v>
      </c>
      <c r="F76" s="329">
        <f t="shared" si="114"/>
        <v>0.44317091000000008</v>
      </c>
      <c r="G76" s="329">
        <f t="shared" si="112"/>
        <v>0.17032798999999998</v>
      </c>
      <c r="H76" s="329">
        <f t="shared" si="112"/>
        <v>0</v>
      </c>
      <c r="I76" s="329">
        <f t="shared" si="112"/>
        <v>0</v>
      </c>
      <c r="J76" s="330"/>
      <c r="M76"/>
      <c r="N76"/>
      <c r="O76"/>
      <c r="P76"/>
      <c r="Q76"/>
      <c r="R76"/>
      <c r="S76"/>
      <c r="T76"/>
      <c r="U76"/>
      <c r="V76"/>
      <c r="W76"/>
      <c r="Y76"/>
      <c r="Z76"/>
      <c r="AA76"/>
      <c r="AB76"/>
      <c r="AC76"/>
      <c r="AD76"/>
      <c r="AE76"/>
      <c r="AF76"/>
      <c r="AG76"/>
      <c r="AH76"/>
      <c r="AI76"/>
      <c r="AK76"/>
      <c r="AL76"/>
      <c r="AM76"/>
      <c r="AN76"/>
      <c r="AO76"/>
      <c r="AP76"/>
      <c r="AQ76"/>
      <c r="AR76"/>
      <c r="AS76"/>
      <c r="AT76"/>
      <c r="AU76"/>
      <c r="AW76"/>
      <c r="AX76"/>
      <c r="AY76"/>
      <c r="AZ76"/>
      <c r="BA76"/>
      <c r="BB76"/>
      <c r="BC76"/>
      <c r="BD76"/>
      <c r="BE76"/>
      <c r="BF76"/>
      <c r="BG76"/>
      <c r="BI76"/>
      <c r="BJ76"/>
      <c r="BK76"/>
      <c r="BL76"/>
      <c r="BM76"/>
      <c r="BN76"/>
      <c r="BO76"/>
      <c r="BP76"/>
      <c r="BQ76"/>
      <c r="BR76"/>
      <c r="BS76"/>
      <c r="BU76"/>
      <c r="BV76"/>
      <c r="BW76"/>
      <c r="BX76"/>
      <c r="BY76"/>
      <c r="BZ76"/>
      <c r="CA76"/>
      <c r="CB76"/>
      <c r="CC76"/>
      <c r="CD76"/>
      <c r="CE76"/>
      <c r="CG76"/>
      <c r="CH76"/>
      <c r="CI76"/>
      <c r="CJ76"/>
      <c r="CK76"/>
      <c r="CL76"/>
      <c r="CM76"/>
      <c r="CN76"/>
      <c r="CO76"/>
      <c r="CP76"/>
      <c r="CQ76"/>
      <c r="CS76"/>
      <c r="CT76"/>
      <c r="CU76"/>
      <c r="CV76"/>
      <c r="CW76"/>
      <c r="CX76"/>
      <c r="CY76"/>
      <c r="CZ76"/>
      <c r="DA76"/>
      <c r="DB76"/>
      <c r="DC76"/>
    </row>
    <row r="77" spans="3:107" s="21" customFormat="1" x14ac:dyDescent="0.3">
      <c r="C77" s="277"/>
      <c r="D77" s="284"/>
      <c r="E77" s="285" t="s">
        <v>3329</v>
      </c>
      <c r="F77" s="286">
        <f>-F50</f>
        <v>0</v>
      </c>
      <c r="G77" s="286">
        <f>-G50</f>
        <v>0</v>
      </c>
      <c r="H77" s="286">
        <f t="shared" ref="H77:I77" si="116">-H50</f>
        <v>0</v>
      </c>
      <c r="I77" s="286">
        <f t="shared" si="116"/>
        <v>0</v>
      </c>
      <c r="J77" s="287">
        <f t="shared" si="115"/>
        <v>0</v>
      </c>
      <c r="M77"/>
      <c r="N77"/>
      <c r="O77"/>
      <c r="P77"/>
      <c r="Q77"/>
      <c r="R77"/>
      <c r="S77"/>
      <c r="T77"/>
      <c r="U77"/>
      <c r="V77"/>
      <c r="W77"/>
      <c r="Y77"/>
      <c r="Z77"/>
      <c r="AA77"/>
      <c r="AB77"/>
      <c r="AC77"/>
      <c r="AD77"/>
      <c r="AE77"/>
      <c r="AF77"/>
      <c r="AG77"/>
      <c r="AH77"/>
      <c r="AI77"/>
      <c r="AK77"/>
      <c r="AL77"/>
      <c r="AM77"/>
      <c r="AN77"/>
      <c r="AO77"/>
      <c r="AP77"/>
      <c r="AQ77"/>
      <c r="AR77"/>
      <c r="AS77"/>
      <c r="AT77"/>
      <c r="AU77"/>
      <c r="AW77"/>
      <c r="AX77"/>
      <c r="AY77"/>
      <c r="AZ77"/>
      <c r="BA77"/>
      <c r="BB77"/>
      <c r="BC77"/>
      <c r="BD77"/>
      <c r="BE77"/>
      <c r="BF77"/>
      <c r="BG77"/>
      <c r="BI77"/>
      <c r="BJ77"/>
      <c r="BK77"/>
      <c r="BL77"/>
      <c r="BM77"/>
      <c r="BN77"/>
      <c r="BO77"/>
      <c r="BP77"/>
      <c r="BQ77"/>
      <c r="BR77"/>
      <c r="BS77"/>
      <c r="BU77"/>
      <c r="BV77"/>
      <c r="BW77"/>
      <c r="BX77"/>
      <c r="BY77"/>
      <c r="BZ77"/>
      <c r="CA77"/>
      <c r="CB77"/>
      <c r="CC77"/>
      <c r="CD77"/>
      <c r="CE77"/>
      <c r="CG77"/>
      <c r="CH77"/>
      <c r="CI77"/>
      <c r="CJ77"/>
      <c r="CK77"/>
      <c r="CL77"/>
      <c r="CM77"/>
      <c r="CN77"/>
      <c r="CO77"/>
      <c r="CP77"/>
      <c r="CQ77"/>
      <c r="CS77"/>
      <c r="CT77"/>
      <c r="CU77"/>
      <c r="CV77"/>
      <c r="CW77"/>
      <c r="CX77"/>
      <c r="CY77"/>
      <c r="CZ77"/>
      <c r="DA77"/>
      <c r="DB77"/>
      <c r="DC77"/>
    </row>
    <row r="78" spans="3:107" s="21" customFormat="1" x14ac:dyDescent="0.3">
      <c r="C78" s="277"/>
      <c r="D78" s="269" t="s">
        <v>3313</v>
      </c>
      <c r="E78" s="270"/>
      <c r="F78" s="271">
        <f>F24-F51</f>
        <v>10.690984330000003</v>
      </c>
      <c r="G78" s="271">
        <f>G24-G51</f>
        <v>28.390148943619735</v>
      </c>
      <c r="H78" s="271">
        <f t="shared" ref="H78:I79" si="117">H24-H51</f>
        <v>31.824239806499975</v>
      </c>
      <c r="I78" s="271">
        <f t="shared" si="117"/>
        <v>39.48840686025477</v>
      </c>
      <c r="J78" s="272">
        <f t="shared" si="115"/>
        <v>0.17937242927557895</v>
      </c>
      <c r="M78"/>
      <c r="N78"/>
      <c r="O78"/>
      <c r="P78"/>
      <c r="Q78"/>
      <c r="R78"/>
      <c r="S78"/>
      <c r="T78"/>
      <c r="U78"/>
      <c r="V78"/>
      <c r="W78"/>
      <c r="Y78"/>
      <c r="Z78"/>
      <c r="AA78"/>
      <c r="AB78"/>
      <c r="AC78"/>
      <c r="AD78"/>
      <c r="AE78"/>
      <c r="AF78"/>
      <c r="AG78"/>
      <c r="AH78"/>
      <c r="AI78"/>
      <c r="AK78"/>
      <c r="AL78"/>
      <c r="AM78"/>
      <c r="AN78"/>
      <c r="AO78"/>
      <c r="AP78"/>
      <c r="AQ78"/>
      <c r="AR78"/>
      <c r="AS78"/>
      <c r="AT78"/>
      <c r="AU78"/>
      <c r="AW78"/>
      <c r="AX78"/>
      <c r="AY78"/>
      <c r="AZ78"/>
      <c r="BA78"/>
      <c r="BB78"/>
      <c r="BC78"/>
      <c r="BD78"/>
      <c r="BE78"/>
      <c r="BF78"/>
      <c r="BG78"/>
      <c r="BI78"/>
      <c r="BJ78"/>
      <c r="BK78"/>
      <c r="BL78"/>
      <c r="BM78"/>
      <c r="BN78"/>
      <c r="BO78"/>
      <c r="BP78"/>
      <c r="BQ78"/>
      <c r="BR78"/>
      <c r="BS78"/>
      <c r="BU78"/>
      <c r="BV78"/>
      <c r="BW78"/>
      <c r="BX78"/>
      <c r="BY78"/>
      <c r="BZ78"/>
      <c r="CA78"/>
      <c r="CB78"/>
      <c r="CC78"/>
      <c r="CD78"/>
      <c r="CE78"/>
      <c r="CG78"/>
      <c r="CH78"/>
      <c r="CI78"/>
      <c r="CJ78"/>
      <c r="CK78"/>
      <c r="CL78"/>
      <c r="CM78"/>
      <c r="CN78"/>
      <c r="CO78"/>
      <c r="CP78"/>
      <c r="CQ78"/>
      <c r="CS78"/>
      <c r="CT78"/>
      <c r="CU78"/>
      <c r="CV78"/>
      <c r="CW78"/>
      <c r="CX78"/>
      <c r="CY78"/>
      <c r="CZ78"/>
      <c r="DA78"/>
      <c r="DB78"/>
      <c r="DC78"/>
    </row>
    <row r="79" spans="3:107" s="21" customFormat="1" x14ac:dyDescent="0.3">
      <c r="C79" s="277"/>
      <c r="D79" s="269" t="s">
        <v>3316</v>
      </c>
      <c r="E79" s="270"/>
      <c r="F79" s="271">
        <f>F25-F52</f>
        <v>-3.0730032999999994</v>
      </c>
      <c r="G79" s="271">
        <f>G25-G52</f>
        <v>-13.420053859999999</v>
      </c>
      <c r="H79" s="271">
        <f t="shared" si="117"/>
        <v>-13.73055984</v>
      </c>
      <c r="I79" s="271">
        <f t="shared" si="117"/>
        <v>-11.824727999999997</v>
      </c>
      <c r="J79" s="272">
        <f t="shared" si="115"/>
        <v>-6.1318085604087247E-2</v>
      </c>
      <c r="M79"/>
      <c r="N79"/>
      <c r="O79"/>
      <c r="P79"/>
      <c r="Q79"/>
      <c r="R79"/>
      <c r="S79"/>
      <c r="T79"/>
      <c r="U79"/>
      <c r="V79"/>
      <c r="W79"/>
      <c r="Y79"/>
      <c r="Z79"/>
      <c r="AA79"/>
      <c r="AB79"/>
      <c r="AC79"/>
      <c r="AD79"/>
      <c r="AE79"/>
      <c r="AF79"/>
      <c r="AG79"/>
      <c r="AH79"/>
      <c r="AI79"/>
      <c r="AK79"/>
      <c r="AL79"/>
      <c r="AM79"/>
      <c r="AN79"/>
      <c r="AO79"/>
      <c r="AP79"/>
      <c r="AQ79"/>
      <c r="AR79"/>
      <c r="AS79"/>
      <c r="AT79"/>
      <c r="AU79"/>
      <c r="AW79"/>
      <c r="AX79"/>
      <c r="AY79"/>
      <c r="AZ79"/>
      <c r="BA79"/>
      <c r="BB79"/>
      <c r="BC79"/>
      <c r="BD79"/>
      <c r="BE79"/>
      <c r="BF79"/>
      <c r="BG79"/>
      <c r="BI79"/>
      <c r="BJ79"/>
      <c r="BK79"/>
      <c r="BL79"/>
      <c r="BM79"/>
      <c r="BN79"/>
      <c r="BO79"/>
      <c r="BP79"/>
      <c r="BQ79"/>
      <c r="BR79"/>
      <c r="BS79"/>
      <c r="BU79"/>
      <c r="BV79"/>
      <c r="BW79"/>
      <c r="BX79"/>
      <c r="BY79"/>
      <c r="BZ79"/>
      <c r="CA79"/>
      <c r="CB79"/>
      <c r="CC79"/>
      <c r="CD79"/>
      <c r="CE79"/>
      <c r="CG79"/>
      <c r="CH79"/>
      <c r="CI79"/>
      <c r="CJ79"/>
      <c r="CK79"/>
      <c r="CL79"/>
      <c r="CM79"/>
      <c r="CN79"/>
      <c r="CO79"/>
      <c r="CP79"/>
      <c r="CQ79"/>
      <c r="CS79"/>
      <c r="CT79"/>
      <c r="CU79"/>
      <c r="CV79"/>
      <c r="CW79"/>
      <c r="CX79"/>
      <c r="CY79"/>
      <c r="CZ79"/>
      <c r="DA79"/>
      <c r="DB79"/>
      <c r="DC79"/>
    </row>
    <row r="80" spans="3:107" s="21" customFormat="1" x14ac:dyDescent="0.3">
      <c r="C80" s="277"/>
      <c r="D80" s="269" t="s">
        <v>3312</v>
      </c>
      <c r="E80" s="270"/>
      <c r="F80" s="271">
        <f>SUM(F81:F83)</f>
        <v>0</v>
      </c>
      <c r="G80" s="271">
        <f>SUM(G81:G83)</f>
        <v>0</v>
      </c>
      <c r="H80" s="271">
        <f t="shared" ref="H80:I80" si="118">SUM(H81:H83)</f>
        <v>0</v>
      </c>
      <c r="I80" s="271">
        <f t="shared" si="118"/>
        <v>0</v>
      </c>
      <c r="J80" s="272">
        <f t="shared" si="115"/>
        <v>0</v>
      </c>
      <c r="M80"/>
      <c r="N80"/>
      <c r="O80"/>
      <c r="P80"/>
      <c r="Q80"/>
      <c r="R80"/>
      <c r="S80"/>
      <c r="T80"/>
      <c r="U80"/>
      <c r="V80"/>
      <c r="W80"/>
      <c r="Y80"/>
      <c r="Z80"/>
      <c r="AA80"/>
      <c r="AB80"/>
      <c r="AC80"/>
      <c r="AD80"/>
      <c r="AE80"/>
      <c r="AF80"/>
      <c r="AG80"/>
      <c r="AH80"/>
      <c r="AI80"/>
      <c r="AK80"/>
      <c r="AL80"/>
      <c r="AM80"/>
      <c r="AN80"/>
      <c r="AO80"/>
      <c r="AP80"/>
      <c r="AQ80"/>
      <c r="AR80"/>
      <c r="AS80"/>
      <c r="AT80"/>
      <c r="AU80"/>
      <c r="AW80"/>
      <c r="AX80"/>
      <c r="AY80"/>
      <c r="AZ80"/>
      <c r="BA80"/>
      <c r="BB80"/>
      <c r="BC80"/>
      <c r="BD80"/>
      <c r="BE80"/>
      <c r="BF80"/>
      <c r="BG80"/>
      <c r="BI80"/>
      <c r="BJ80"/>
      <c r="BK80"/>
      <c r="BL80"/>
      <c r="BM80"/>
      <c r="BN80"/>
      <c r="BO80"/>
      <c r="BP80"/>
      <c r="BQ80"/>
      <c r="BR80"/>
      <c r="BS80"/>
      <c r="BU80"/>
      <c r="BV80"/>
      <c r="BW80"/>
      <c r="BX80"/>
      <c r="BY80"/>
      <c r="BZ80"/>
      <c r="CA80"/>
      <c r="CB80"/>
      <c r="CC80"/>
      <c r="CD80"/>
      <c r="CE80"/>
      <c r="CG80"/>
      <c r="CH80"/>
      <c r="CI80"/>
      <c r="CJ80"/>
      <c r="CK80"/>
      <c r="CL80"/>
      <c r="CM80"/>
      <c r="CN80"/>
      <c r="CO80"/>
      <c r="CP80"/>
      <c r="CQ80"/>
      <c r="CS80"/>
      <c r="CT80"/>
      <c r="CU80"/>
      <c r="CV80"/>
      <c r="CW80"/>
      <c r="CX80"/>
      <c r="CY80"/>
      <c r="CZ80"/>
      <c r="DA80"/>
      <c r="DB80"/>
      <c r="DC80"/>
    </row>
    <row r="81" spans="3:107" s="21" customFormat="1" x14ac:dyDescent="0.3">
      <c r="C81" s="277"/>
      <c r="D81" s="277"/>
      <c r="E81" s="278" t="s">
        <v>3322</v>
      </c>
      <c r="F81" s="275">
        <f t="shared" ref="F81:I83" si="119">F27-F54</f>
        <v>0</v>
      </c>
      <c r="G81" s="275">
        <f t="shared" si="119"/>
        <v>0</v>
      </c>
      <c r="H81" s="275">
        <f t="shared" si="119"/>
        <v>0</v>
      </c>
      <c r="I81" s="275">
        <f t="shared" si="119"/>
        <v>0</v>
      </c>
      <c r="J81" s="276">
        <f t="shared" si="115"/>
        <v>0</v>
      </c>
      <c r="M81"/>
      <c r="N81"/>
      <c r="O81"/>
      <c r="P81"/>
      <c r="Q81"/>
      <c r="R81"/>
      <c r="S81"/>
      <c r="T81"/>
      <c r="U81"/>
      <c r="V81"/>
      <c r="W81"/>
      <c r="Y81"/>
      <c r="Z81"/>
      <c r="AA81"/>
      <c r="AB81"/>
      <c r="AC81"/>
      <c r="AD81"/>
      <c r="AE81"/>
      <c r="AF81"/>
      <c r="AG81"/>
      <c r="AH81"/>
      <c r="AI81"/>
      <c r="AK81"/>
      <c r="AL81"/>
      <c r="AM81"/>
      <c r="AN81"/>
      <c r="AO81"/>
      <c r="AP81"/>
      <c r="AQ81"/>
      <c r="AR81"/>
      <c r="AS81"/>
      <c r="AT81"/>
      <c r="AU81"/>
      <c r="AW81"/>
      <c r="AX81"/>
      <c r="AY81"/>
      <c r="AZ81"/>
      <c r="BA81"/>
      <c r="BB81"/>
      <c r="BC81"/>
      <c r="BD81"/>
      <c r="BE81"/>
      <c r="BF81"/>
      <c r="BG81"/>
      <c r="BI81"/>
      <c r="BJ81"/>
      <c r="BK81"/>
      <c r="BL81"/>
      <c r="BM81"/>
      <c r="BN81"/>
      <c r="BO81"/>
      <c r="BP81"/>
      <c r="BQ81"/>
      <c r="BR81"/>
      <c r="BS81"/>
      <c r="BU81"/>
      <c r="BV81"/>
      <c r="BW81"/>
      <c r="BX81"/>
      <c r="BY81"/>
      <c r="BZ81"/>
      <c r="CA81"/>
      <c r="CB81"/>
      <c r="CC81"/>
      <c r="CD81"/>
      <c r="CE81"/>
      <c r="CG81"/>
      <c r="CH81"/>
      <c r="CI81"/>
      <c r="CJ81"/>
      <c r="CK81"/>
      <c r="CL81"/>
      <c r="CM81"/>
      <c r="CN81"/>
      <c r="CO81"/>
      <c r="CP81"/>
      <c r="CQ81"/>
      <c r="CS81"/>
      <c r="CT81"/>
      <c r="CU81"/>
      <c r="CV81"/>
      <c r="CW81"/>
      <c r="CX81"/>
      <c r="CY81"/>
      <c r="CZ81"/>
      <c r="DA81"/>
      <c r="DB81"/>
      <c r="DC81"/>
    </row>
    <row r="82" spans="3:107" s="21" customFormat="1" x14ac:dyDescent="0.3">
      <c r="C82" s="277"/>
      <c r="D82" s="277"/>
      <c r="E82" s="283" t="s">
        <v>3323</v>
      </c>
      <c r="F82" s="281">
        <f t="shared" si="119"/>
        <v>0</v>
      </c>
      <c r="G82" s="281">
        <f t="shared" si="119"/>
        <v>0</v>
      </c>
      <c r="H82" s="281">
        <f t="shared" si="119"/>
        <v>0</v>
      </c>
      <c r="I82" s="281">
        <f t="shared" si="119"/>
        <v>0</v>
      </c>
      <c r="J82" s="282">
        <f t="shared" si="115"/>
        <v>0</v>
      </c>
      <c r="M82"/>
      <c r="N82"/>
      <c r="O82"/>
      <c r="P82"/>
      <c r="Q82"/>
      <c r="R82"/>
      <c r="S82"/>
      <c r="T82"/>
      <c r="U82"/>
      <c r="V82"/>
      <c r="W82"/>
      <c r="Y82"/>
      <c r="Z82"/>
      <c r="AA82"/>
      <c r="AB82"/>
      <c r="AC82"/>
      <c r="AD82"/>
      <c r="AE82"/>
      <c r="AF82"/>
      <c r="AG82"/>
      <c r="AH82"/>
      <c r="AI82"/>
      <c r="AK82"/>
      <c r="AL82"/>
      <c r="AM82"/>
      <c r="AN82"/>
      <c r="AO82"/>
      <c r="AP82"/>
      <c r="AQ82"/>
      <c r="AR82"/>
      <c r="AS82"/>
      <c r="AT82"/>
      <c r="AU82"/>
      <c r="AW82"/>
      <c r="AX82"/>
      <c r="AY82"/>
      <c r="AZ82"/>
      <c r="BA82"/>
      <c r="BB82"/>
      <c r="BC82"/>
      <c r="BD82"/>
      <c r="BE82"/>
      <c r="BF82"/>
      <c r="BG82"/>
      <c r="BI82"/>
      <c r="BJ82"/>
      <c r="BK82"/>
      <c r="BL82"/>
      <c r="BM82"/>
      <c r="BN82"/>
      <c r="BO82"/>
      <c r="BP82"/>
      <c r="BQ82"/>
      <c r="BR82"/>
      <c r="BS82"/>
      <c r="BU82"/>
      <c r="BV82"/>
      <c r="BW82"/>
      <c r="BX82"/>
      <c r="BY82"/>
      <c r="BZ82"/>
      <c r="CA82"/>
      <c r="CB82"/>
      <c r="CC82"/>
      <c r="CD82"/>
      <c r="CE82"/>
      <c r="CG82"/>
      <c r="CH82"/>
      <c r="CI82"/>
      <c r="CJ82"/>
      <c r="CK82"/>
      <c r="CL82"/>
      <c r="CM82"/>
      <c r="CN82"/>
      <c r="CO82"/>
      <c r="CP82"/>
      <c r="CQ82"/>
      <c r="CS82"/>
      <c r="CT82"/>
      <c r="CU82"/>
      <c r="CV82"/>
      <c r="CW82"/>
      <c r="CX82"/>
      <c r="CY82"/>
      <c r="CZ82"/>
      <c r="DA82"/>
      <c r="DB82"/>
      <c r="DC82"/>
    </row>
    <row r="83" spans="3:107" s="21" customFormat="1" x14ac:dyDescent="0.3">
      <c r="C83" s="277"/>
      <c r="D83" s="284"/>
      <c r="E83" s="285" t="s">
        <v>3324</v>
      </c>
      <c r="F83" s="286">
        <f t="shared" si="119"/>
        <v>0</v>
      </c>
      <c r="G83" s="286">
        <f t="shared" si="119"/>
        <v>0</v>
      </c>
      <c r="H83" s="286">
        <f t="shared" si="119"/>
        <v>0</v>
      </c>
      <c r="I83" s="286">
        <f t="shared" si="119"/>
        <v>0</v>
      </c>
      <c r="J83" s="287">
        <f t="shared" si="115"/>
        <v>0</v>
      </c>
      <c r="M83"/>
      <c r="N83"/>
      <c r="O83"/>
      <c r="P83"/>
      <c r="Q83"/>
      <c r="R83"/>
      <c r="S83"/>
      <c r="T83"/>
      <c r="U83"/>
      <c r="V83"/>
      <c r="W83"/>
      <c r="Y83"/>
      <c r="Z83"/>
      <c r="AA83"/>
      <c r="AB83"/>
      <c r="AC83"/>
      <c r="AD83"/>
      <c r="AE83"/>
      <c r="AF83"/>
      <c r="AG83"/>
      <c r="AH83"/>
      <c r="AI83"/>
      <c r="AK83"/>
      <c r="AL83"/>
      <c r="AM83"/>
      <c r="AN83"/>
      <c r="AO83"/>
      <c r="AP83"/>
      <c r="AQ83"/>
      <c r="AR83"/>
      <c r="AS83"/>
      <c r="AT83"/>
      <c r="AU83"/>
      <c r="AW83"/>
      <c r="AX83"/>
      <c r="AY83"/>
      <c r="AZ83"/>
      <c r="BA83"/>
      <c r="BB83"/>
      <c r="BC83"/>
      <c r="BD83"/>
      <c r="BE83"/>
      <c r="BF83"/>
      <c r="BG83"/>
      <c r="BI83"/>
      <c r="BJ83"/>
      <c r="BK83"/>
      <c r="BL83"/>
      <c r="BM83"/>
      <c r="BN83"/>
      <c r="BO83"/>
      <c r="BP83"/>
      <c r="BQ83"/>
      <c r="BR83"/>
      <c r="BS83"/>
      <c r="BU83"/>
      <c r="BV83"/>
      <c r="BW83"/>
      <c r="BX83"/>
      <c r="BY83"/>
      <c r="BZ83"/>
      <c r="CA83"/>
      <c r="CB83"/>
      <c r="CC83"/>
      <c r="CD83"/>
      <c r="CE83"/>
      <c r="CG83"/>
      <c r="CH83"/>
      <c r="CI83"/>
      <c r="CJ83"/>
      <c r="CK83"/>
      <c r="CL83"/>
      <c r="CM83"/>
      <c r="CN83"/>
      <c r="CO83"/>
      <c r="CP83"/>
      <c r="CQ83"/>
      <c r="CS83"/>
      <c r="CT83"/>
      <c r="CU83"/>
      <c r="CV83"/>
      <c r="CW83"/>
      <c r="CX83"/>
      <c r="CY83"/>
      <c r="CZ83"/>
      <c r="DA83"/>
      <c r="DB83"/>
      <c r="DC83"/>
    </row>
    <row r="84" spans="3:107" s="21" customFormat="1" x14ac:dyDescent="0.3">
      <c r="C84" s="262" t="s">
        <v>3325</v>
      </c>
      <c r="D84" s="263"/>
      <c r="E84" s="264"/>
      <c r="F84" s="265">
        <f>SUM(F85:F89)</f>
        <v>546.52445309000007</v>
      </c>
      <c r="G84" s="265">
        <f>SUM(G85:G89)</f>
        <v>670.5119625377871</v>
      </c>
      <c r="H84" s="265">
        <f t="shared" ref="H84:I84" si="120">SUM(H85:H89)</f>
        <v>751.79537099499885</v>
      </c>
      <c r="I84" s="265">
        <f t="shared" si="120"/>
        <v>838.3904089730986</v>
      </c>
      <c r="J84" s="266">
        <f t="shared" si="115"/>
        <v>0.11820102361150964</v>
      </c>
      <c r="M84"/>
      <c r="N84"/>
      <c r="O84"/>
      <c r="P84"/>
      <c r="Q84"/>
      <c r="R84"/>
      <c r="S84"/>
      <c r="T84"/>
      <c r="U84"/>
      <c r="V84"/>
      <c r="W84"/>
      <c r="Y84"/>
      <c r="Z84"/>
      <c r="AA84"/>
      <c r="AB84"/>
      <c r="AC84"/>
      <c r="AD84"/>
      <c r="AE84"/>
      <c r="AF84"/>
      <c r="AG84"/>
      <c r="AH84"/>
      <c r="AI84"/>
      <c r="AK84"/>
      <c r="AL84"/>
      <c r="AM84"/>
      <c r="AN84"/>
      <c r="AO84"/>
      <c r="AP84"/>
      <c r="AQ84"/>
      <c r="AR84"/>
      <c r="AS84"/>
      <c r="AT84"/>
      <c r="AU84"/>
      <c r="AW84"/>
      <c r="AX84"/>
      <c r="AY84"/>
      <c r="AZ84"/>
      <c r="BA84"/>
      <c r="BB84"/>
      <c r="BC84"/>
      <c r="BD84"/>
      <c r="BE84"/>
      <c r="BF84"/>
      <c r="BG84"/>
      <c r="BI84"/>
      <c r="BJ84"/>
      <c r="BK84"/>
      <c r="BL84"/>
      <c r="BM84"/>
      <c r="BN84"/>
      <c r="BO84"/>
      <c r="BP84"/>
      <c r="BQ84"/>
      <c r="BR84"/>
      <c r="BS84"/>
      <c r="BU84"/>
      <c r="BV84"/>
      <c r="BW84"/>
      <c r="BX84"/>
      <c r="BY84"/>
      <c r="BZ84"/>
      <c r="CA84"/>
      <c r="CB84"/>
      <c r="CC84"/>
      <c r="CD84"/>
      <c r="CE84"/>
      <c r="CG84"/>
      <c r="CH84"/>
      <c r="CI84"/>
      <c r="CJ84"/>
      <c r="CK84"/>
      <c r="CL84"/>
      <c r="CM84"/>
      <c r="CN84"/>
      <c r="CO84"/>
      <c r="CP84"/>
      <c r="CQ84"/>
      <c r="CS84"/>
      <c r="CT84"/>
      <c r="CU84"/>
      <c r="CV84"/>
      <c r="CW84"/>
      <c r="CX84"/>
      <c r="CY84"/>
      <c r="CZ84"/>
      <c r="DA84"/>
      <c r="DB84"/>
      <c r="DC84"/>
    </row>
    <row r="85" spans="3:107" s="21" customFormat="1" x14ac:dyDescent="0.3">
      <c r="C85" s="301"/>
      <c r="D85" s="302" t="s">
        <v>3326</v>
      </c>
      <c r="E85" s="303"/>
      <c r="F85" s="304">
        <f>플랫폼!E74+콘텐츠!E77+엔터!E104+IRIVER!E22+돌핀!E20+LDC!E20+STAFF!E5</f>
        <v>268.90710858</v>
      </c>
      <c r="G85" s="304">
        <f>플랫폼!F74+콘텐츠!F77+엔터!F104+IRIVER!F22+돌핀!F20+LDC!F20+STAFF!F5</f>
        <v>299.90661246412014</v>
      </c>
      <c r="H85" s="304">
        <f>플랫폼!G74+콘텐츠!G77+엔터!G104+IRIVER!G22+돌핀!G20+LDC!G20+STAFF!G5</f>
        <v>327.42390531012626</v>
      </c>
      <c r="I85" s="304">
        <f>플랫폼!H74+콘텐츠!H77+엔터!H104+IRIVER!H22+돌핀!H20+LDC!H20+STAFF!H5</f>
        <v>370.44359911122956</v>
      </c>
      <c r="J85" s="305">
        <f t="shared" si="115"/>
        <v>0.11139394616104314</v>
      </c>
      <c r="M85"/>
      <c r="N85"/>
      <c r="O85"/>
      <c r="P85"/>
      <c r="Q85"/>
      <c r="R85"/>
      <c r="S85"/>
      <c r="T85"/>
      <c r="U85"/>
      <c r="V85"/>
      <c r="W85"/>
      <c r="Y85"/>
      <c r="Z85"/>
      <c r="AA85"/>
      <c r="AB85"/>
      <c r="AC85"/>
      <c r="AD85"/>
      <c r="AE85"/>
      <c r="AF85"/>
      <c r="AG85"/>
      <c r="AH85"/>
      <c r="AI85"/>
      <c r="AK85"/>
      <c r="AL85"/>
      <c r="AM85"/>
      <c r="AN85"/>
      <c r="AO85"/>
      <c r="AP85"/>
      <c r="AQ85"/>
      <c r="AR85"/>
      <c r="AS85"/>
      <c r="AT85"/>
      <c r="AU85"/>
      <c r="AW85"/>
      <c r="AX85"/>
      <c r="AY85"/>
      <c r="AZ85"/>
      <c r="BA85"/>
      <c r="BB85"/>
      <c r="BC85"/>
      <c r="BD85"/>
      <c r="BE85"/>
      <c r="BF85"/>
      <c r="BG85"/>
      <c r="BI85"/>
      <c r="BJ85"/>
      <c r="BK85"/>
      <c r="BL85"/>
      <c r="BM85"/>
      <c r="BN85"/>
      <c r="BO85"/>
      <c r="BP85"/>
      <c r="BQ85"/>
      <c r="BR85"/>
      <c r="BS85"/>
      <c r="BU85"/>
      <c r="BV85"/>
      <c r="BW85"/>
      <c r="BX85"/>
      <c r="BY85"/>
      <c r="BZ85"/>
      <c r="CA85"/>
      <c r="CB85"/>
      <c r="CC85"/>
      <c r="CD85"/>
      <c r="CE85"/>
      <c r="CG85"/>
      <c r="CH85"/>
      <c r="CI85"/>
      <c r="CJ85"/>
      <c r="CK85"/>
      <c r="CL85"/>
      <c r="CM85"/>
      <c r="CN85"/>
      <c r="CO85"/>
      <c r="CP85"/>
      <c r="CQ85"/>
      <c r="CS85"/>
      <c r="CT85"/>
      <c r="CU85"/>
      <c r="CV85"/>
      <c r="CW85"/>
      <c r="CX85"/>
      <c r="CY85"/>
      <c r="CZ85"/>
      <c r="DA85"/>
      <c r="DB85"/>
      <c r="DC85"/>
    </row>
    <row r="86" spans="3:107" s="21" customFormat="1" x14ac:dyDescent="0.3">
      <c r="C86" s="301"/>
      <c r="D86" s="306" t="s">
        <v>1988</v>
      </c>
      <c r="E86" s="307"/>
      <c r="F86" s="308">
        <f>플랫폼!E75+콘텐츠!E78+엔터!E105+IRIVER!E23+돌핀!E21+LDC!E21+STAFF!E6</f>
        <v>73.264003720000005</v>
      </c>
      <c r="G86" s="308">
        <f>플랫폼!F75+콘텐츠!F78+엔터!F105+IRIVER!F23+돌핀!F21+LDC!F21+STAFF!F6</f>
        <v>75.098622711638214</v>
      </c>
      <c r="H86" s="308">
        <f>플랫폼!G75+콘텐츠!G78+엔터!G105+IRIVER!G23+돌핀!G21+LDC!G21+STAFF!G6</f>
        <v>78.83473362556667</v>
      </c>
      <c r="I86" s="308">
        <f>플랫폼!H75+콘텐츠!H78+엔터!H105+IRIVER!H23+돌핀!H21+LDC!H21+STAFF!H6</f>
        <v>84.165740030241011</v>
      </c>
      <c r="J86" s="309">
        <f t="shared" si="115"/>
        <v>5.8648257567161188E-2</v>
      </c>
      <c r="M86"/>
      <c r="N86"/>
      <c r="O86"/>
      <c r="P86"/>
      <c r="Q86"/>
      <c r="R86"/>
      <c r="S86"/>
      <c r="T86"/>
      <c r="U86"/>
      <c r="V86"/>
      <c r="W86"/>
      <c r="Y86"/>
      <c r="Z86"/>
      <c r="AA86"/>
      <c r="AB86"/>
      <c r="AC86"/>
      <c r="AD86"/>
      <c r="AE86"/>
      <c r="AF86"/>
      <c r="AG86"/>
      <c r="AH86"/>
      <c r="AI86"/>
      <c r="AK86"/>
      <c r="AL86"/>
      <c r="AM86"/>
      <c r="AN86"/>
      <c r="AO86"/>
      <c r="AP86"/>
      <c r="AQ86"/>
      <c r="AR86"/>
      <c r="AS86"/>
      <c r="AT86"/>
      <c r="AU86"/>
      <c r="AW86"/>
      <c r="AX86"/>
      <c r="AY86"/>
      <c r="AZ86"/>
      <c r="BA86"/>
      <c r="BB86"/>
      <c r="BC86"/>
      <c r="BD86"/>
      <c r="BE86"/>
      <c r="BF86"/>
      <c r="BG86"/>
      <c r="BI86"/>
      <c r="BJ86"/>
      <c r="BK86"/>
      <c r="BL86"/>
      <c r="BM86"/>
      <c r="BN86"/>
      <c r="BO86"/>
      <c r="BP86"/>
      <c r="BQ86"/>
      <c r="BR86"/>
      <c r="BS86"/>
      <c r="BU86"/>
      <c r="BV86"/>
      <c r="BW86"/>
      <c r="BX86"/>
      <c r="BY86"/>
      <c r="BZ86"/>
      <c r="CA86"/>
      <c r="CB86"/>
      <c r="CC86"/>
      <c r="CD86"/>
      <c r="CE86"/>
      <c r="CG86"/>
      <c r="CH86"/>
      <c r="CI86"/>
      <c r="CJ86"/>
      <c r="CK86"/>
      <c r="CL86"/>
      <c r="CM86"/>
      <c r="CN86"/>
      <c r="CO86"/>
      <c r="CP86"/>
      <c r="CQ86"/>
      <c r="CS86"/>
      <c r="CT86"/>
      <c r="CU86"/>
      <c r="CV86"/>
      <c r="CW86"/>
      <c r="CX86"/>
      <c r="CY86"/>
      <c r="CZ86"/>
      <c r="DA86"/>
      <c r="DB86"/>
      <c r="DC86"/>
    </row>
    <row r="87" spans="3:107" s="21" customFormat="1" x14ac:dyDescent="0.3">
      <c r="C87" s="301"/>
      <c r="D87" s="306" t="s">
        <v>3327</v>
      </c>
      <c r="E87" s="307"/>
      <c r="F87" s="308">
        <f>플랫폼!E76+콘텐츠!E79+엔터!E106+IRIVER!E24+돌핀!E22+LDC!E22+STAFF!E7</f>
        <v>48.171001010000005</v>
      </c>
      <c r="G87" s="308">
        <f>플랫폼!F76+콘텐츠!F79+엔터!F106+IRIVER!F24+돌핀!F22+LDC!F22+STAFF!F7</f>
        <v>71.200713749999991</v>
      </c>
      <c r="H87" s="308">
        <f>플랫폼!G76+콘텐츠!G79+엔터!G106+IRIVER!G24+돌핀!G22+LDC!G22+STAFF!G7</f>
        <v>88.085135326873598</v>
      </c>
      <c r="I87" s="308">
        <f>플랫폼!H76+콘텐츠!H79+엔터!H106+IRIVER!H24+돌핀!H22+LDC!H22+STAFF!H7</f>
        <v>102.81741828677116</v>
      </c>
      <c r="J87" s="309">
        <f t="shared" si="115"/>
        <v>0.20168647640786896</v>
      </c>
      <c r="M87"/>
      <c r="N87"/>
      <c r="O87"/>
      <c r="P87"/>
      <c r="Q87"/>
      <c r="R87"/>
      <c r="S87"/>
      <c r="T87"/>
      <c r="U87"/>
      <c r="V87"/>
      <c r="W87"/>
      <c r="Y87"/>
      <c r="Z87"/>
      <c r="AA87"/>
      <c r="AB87"/>
      <c r="AC87"/>
      <c r="AD87"/>
      <c r="AE87"/>
      <c r="AF87"/>
      <c r="AG87"/>
      <c r="AH87"/>
      <c r="AI87"/>
      <c r="AK87"/>
      <c r="AL87"/>
      <c r="AM87"/>
      <c r="AN87"/>
      <c r="AO87"/>
      <c r="AP87"/>
      <c r="AQ87"/>
      <c r="AR87"/>
      <c r="AS87"/>
      <c r="AT87"/>
      <c r="AU87"/>
      <c r="AW87"/>
      <c r="AX87"/>
      <c r="AY87"/>
      <c r="AZ87"/>
      <c r="BA87"/>
      <c r="BB87"/>
      <c r="BC87"/>
      <c r="BD87"/>
      <c r="BE87"/>
      <c r="BF87"/>
      <c r="BG87"/>
      <c r="BI87"/>
      <c r="BJ87"/>
      <c r="BK87"/>
      <c r="BL87"/>
      <c r="BM87"/>
      <c r="BN87"/>
      <c r="BO87"/>
      <c r="BP87"/>
      <c r="BQ87"/>
      <c r="BR87"/>
      <c r="BS87"/>
      <c r="BU87"/>
      <c r="BV87"/>
      <c r="BW87"/>
      <c r="BX87"/>
      <c r="BY87"/>
      <c r="BZ87"/>
      <c r="CA87"/>
      <c r="CB87"/>
      <c r="CC87"/>
      <c r="CD87"/>
      <c r="CE87"/>
      <c r="CG87"/>
      <c r="CH87"/>
      <c r="CI87"/>
      <c r="CJ87"/>
      <c r="CK87"/>
      <c r="CL87"/>
      <c r="CM87"/>
      <c r="CN87"/>
      <c r="CO87"/>
      <c r="CP87"/>
      <c r="CQ87"/>
      <c r="CS87"/>
      <c r="CT87"/>
      <c r="CU87"/>
      <c r="CV87"/>
      <c r="CW87"/>
      <c r="CX87"/>
      <c r="CY87"/>
      <c r="CZ87"/>
      <c r="DA87"/>
      <c r="DB87"/>
      <c r="DC87"/>
    </row>
    <row r="88" spans="3:107" s="21" customFormat="1" x14ac:dyDescent="0.3">
      <c r="C88" s="301"/>
      <c r="D88" s="306" t="s">
        <v>1995</v>
      </c>
      <c r="E88" s="307"/>
      <c r="F88" s="308">
        <f>플랫폼!E77+콘텐츠!E80+엔터!E107+IRIVER!E25+돌핀!E23+LDC!E23+STAFF!E8</f>
        <v>127.87709937</v>
      </c>
      <c r="G88" s="308">
        <f>플랫폼!F77+콘텐츠!F80+엔터!F107+IRIVER!F25+돌핀!F23+LDC!F23+STAFF!F8</f>
        <v>190.76172651175256</v>
      </c>
      <c r="H88" s="308">
        <f>플랫폼!G77+콘텐츠!G80+엔터!G107+IRIVER!G25+돌핀!G23+LDC!G23+STAFF!G8</f>
        <v>218.57462727275234</v>
      </c>
      <c r="I88" s="308">
        <f>플랫폼!H77+콘텐츠!H80+엔터!H107+IRIVER!H25+돌핀!H23+LDC!H23+STAFF!H8</f>
        <v>232.27095962078812</v>
      </c>
      <c r="J88" s="309">
        <f t="shared" si="115"/>
        <v>0.10344790612451238</v>
      </c>
      <c r="M88"/>
      <c r="N88"/>
      <c r="O88"/>
      <c r="P88"/>
      <c r="Q88"/>
      <c r="R88"/>
      <c r="S88"/>
      <c r="T88"/>
      <c r="U88"/>
      <c r="V88"/>
      <c r="W88"/>
      <c r="Y88"/>
      <c r="Z88"/>
      <c r="AA88"/>
      <c r="AB88"/>
      <c r="AC88"/>
      <c r="AD88"/>
      <c r="AE88"/>
      <c r="AF88"/>
      <c r="AG88"/>
      <c r="AH88"/>
      <c r="AI88"/>
      <c r="AK88"/>
      <c r="AL88"/>
      <c r="AM88"/>
      <c r="AN88"/>
      <c r="AO88"/>
      <c r="AP88"/>
      <c r="AQ88"/>
      <c r="AR88"/>
      <c r="AS88"/>
      <c r="AT88"/>
      <c r="AU88"/>
      <c r="AW88"/>
      <c r="AX88"/>
      <c r="AY88"/>
      <c r="AZ88"/>
      <c r="BA88"/>
      <c r="BB88"/>
      <c r="BC88"/>
      <c r="BD88"/>
      <c r="BE88"/>
      <c r="BF88"/>
      <c r="BG88"/>
      <c r="BI88"/>
      <c r="BJ88"/>
      <c r="BK88"/>
      <c r="BL88"/>
      <c r="BM88"/>
      <c r="BN88"/>
      <c r="BO88"/>
      <c r="BP88"/>
      <c r="BQ88"/>
      <c r="BR88"/>
      <c r="BS88"/>
      <c r="BU88"/>
      <c r="BV88"/>
      <c r="BW88"/>
      <c r="BX88"/>
      <c r="BY88"/>
      <c r="BZ88"/>
      <c r="CA88"/>
      <c r="CB88"/>
      <c r="CC88"/>
      <c r="CD88"/>
      <c r="CE88"/>
      <c r="CG88"/>
      <c r="CH88"/>
      <c r="CI88"/>
      <c r="CJ88"/>
      <c r="CK88"/>
      <c r="CL88"/>
      <c r="CM88"/>
      <c r="CN88"/>
      <c r="CO88"/>
      <c r="CP88"/>
      <c r="CQ88"/>
      <c r="CS88"/>
      <c r="CT88"/>
      <c r="CU88"/>
      <c r="CV88"/>
      <c r="CW88"/>
      <c r="CX88"/>
      <c r="CY88"/>
      <c r="CZ88"/>
      <c r="DA88"/>
      <c r="DB88"/>
      <c r="DC88"/>
    </row>
    <row r="89" spans="3:107" s="21" customFormat="1" x14ac:dyDescent="0.3">
      <c r="C89" s="310"/>
      <c r="D89" s="311" t="s">
        <v>71</v>
      </c>
      <c r="E89" s="312"/>
      <c r="F89" s="313">
        <f>플랫폼!E78+콘텐츠!E81+엔터!E108+IRIVER!E26+돌핀!E24+LDC!E24+STAFF!E9</f>
        <v>28.305240409999985</v>
      </c>
      <c r="G89" s="313">
        <f>플랫폼!F78+콘텐츠!F81+엔터!F108+IRIVER!F26+돌핀!F24+LDC!F24+STAFF!F9</f>
        <v>33.544287100276215</v>
      </c>
      <c r="H89" s="313">
        <f>플랫폼!G78+콘텐츠!G81+엔터!G108+IRIVER!G26+돌핀!G24+LDC!G24+STAFF!G9</f>
        <v>38.876969459680005</v>
      </c>
      <c r="I89" s="313">
        <f>플랫폼!H78+콘텐츠!H81+엔터!H108+IRIVER!H26+돌핀!H24+LDC!H24+STAFF!H9</f>
        <v>48.692691924068875</v>
      </c>
      <c r="J89" s="314">
        <f t="shared" si="115"/>
        <v>0.20482122321625806</v>
      </c>
      <c r="M89"/>
      <c r="N89"/>
      <c r="O89"/>
      <c r="P89"/>
      <c r="Q89"/>
      <c r="R89"/>
      <c r="S89"/>
      <c r="T89"/>
      <c r="U89"/>
      <c r="V89"/>
      <c r="W89"/>
      <c r="Y89"/>
      <c r="Z89"/>
      <c r="AA89"/>
      <c r="AB89"/>
      <c r="AC89"/>
      <c r="AD89"/>
      <c r="AE89"/>
      <c r="AF89"/>
      <c r="AG89"/>
      <c r="AH89"/>
      <c r="AI89"/>
      <c r="AK89"/>
      <c r="AL89"/>
      <c r="AM89"/>
      <c r="AN89"/>
      <c r="AO89"/>
      <c r="AP89"/>
      <c r="AQ89"/>
      <c r="AR89"/>
      <c r="AS89"/>
      <c r="AT89"/>
      <c r="AU89"/>
      <c r="AW89"/>
      <c r="AX89"/>
      <c r="AY89"/>
      <c r="AZ89"/>
      <c r="BA89"/>
      <c r="BB89"/>
      <c r="BC89"/>
      <c r="BD89"/>
      <c r="BE89"/>
      <c r="BF89"/>
      <c r="BG89"/>
      <c r="BI89"/>
      <c r="BJ89"/>
      <c r="BK89"/>
      <c r="BL89"/>
      <c r="BM89"/>
      <c r="BN89"/>
      <c r="BO89"/>
      <c r="BP89"/>
      <c r="BQ89"/>
      <c r="BR89"/>
      <c r="BS89"/>
      <c r="BU89"/>
      <c r="BV89"/>
      <c r="BW89"/>
      <c r="BX89"/>
      <c r="BY89"/>
      <c r="BZ89"/>
      <c r="CA89"/>
      <c r="CB89"/>
      <c r="CC89"/>
      <c r="CD89"/>
      <c r="CE89"/>
      <c r="CG89"/>
      <c r="CH89"/>
      <c r="CI89"/>
      <c r="CJ89"/>
      <c r="CK89"/>
      <c r="CL89"/>
      <c r="CM89"/>
      <c r="CN89"/>
      <c r="CO89"/>
      <c r="CP89"/>
      <c r="CQ89"/>
      <c r="CS89"/>
      <c r="CT89"/>
      <c r="CU89"/>
      <c r="CV89"/>
      <c r="CW89"/>
      <c r="CX89"/>
      <c r="CY89"/>
      <c r="CZ89"/>
      <c r="DA89"/>
      <c r="DB89"/>
      <c r="DC89"/>
    </row>
    <row r="90" spans="3:107" s="21" customFormat="1" x14ac:dyDescent="0.3">
      <c r="C90" s="331" t="s">
        <v>137</v>
      </c>
      <c r="D90" s="332"/>
      <c r="E90" s="264"/>
      <c r="F90" s="265">
        <f>F57-F84</f>
        <v>48.479873802720704</v>
      </c>
      <c r="G90" s="265">
        <f>G57-G84</f>
        <v>-91.890850342516273</v>
      </c>
      <c r="H90" s="265">
        <f t="shared" ref="H90:I90" si="121">H57-H84</f>
        <v>-87.362325080716232</v>
      </c>
      <c r="I90" s="265">
        <f t="shared" si="121"/>
        <v>44.634240531022215</v>
      </c>
      <c r="J90" s="266">
        <f t="shared" si="115"/>
        <v>0</v>
      </c>
      <c r="M90"/>
      <c r="N90"/>
      <c r="O90"/>
      <c r="P90"/>
      <c r="Q90"/>
      <c r="R90"/>
      <c r="S90"/>
      <c r="T90"/>
      <c r="U90"/>
      <c r="V90"/>
      <c r="W90"/>
      <c r="Y90"/>
      <c r="Z90"/>
      <c r="AA90"/>
      <c r="AB90"/>
      <c r="AC90"/>
      <c r="AD90"/>
      <c r="AE90"/>
      <c r="AF90"/>
      <c r="AG90"/>
      <c r="AH90"/>
      <c r="AI90"/>
      <c r="AK90"/>
      <c r="AL90"/>
      <c r="AM90"/>
      <c r="AN90"/>
      <c r="AO90"/>
      <c r="AP90"/>
      <c r="AQ90"/>
      <c r="AR90"/>
      <c r="AS90"/>
      <c r="AT90"/>
      <c r="AU90"/>
      <c r="AW90"/>
      <c r="AX90"/>
      <c r="AY90"/>
      <c r="AZ90"/>
      <c r="BA90"/>
      <c r="BB90"/>
      <c r="BC90"/>
      <c r="BD90"/>
      <c r="BE90"/>
      <c r="BF90"/>
      <c r="BG90"/>
      <c r="BI90"/>
      <c r="BJ90"/>
      <c r="BK90"/>
      <c r="BL90"/>
      <c r="BM90"/>
      <c r="BN90"/>
      <c r="BO90"/>
      <c r="BP90"/>
      <c r="BQ90"/>
      <c r="BR90"/>
      <c r="BS90"/>
      <c r="BU90"/>
      <c r="BV90"/>
      <c r="BW90"/>
      <c r="BX90"/>
      <c r="BY90"/>
      <c r="BZ90"/>
      <c r="CA90"/>
      <c r="CB90"/>
      <c r="CC90"/>
      <c r="CD90"/>
      <c r="CE90"/>
      <c r="CG90"/>
      <c r="CH90"/>
      <c r="CI90"/>
      <c r="CJ90"/>
      <c r="CK90"/>
      <c r="CL90"/>
      <c r="CM90"/>
      <c r="CN90"/>
      <c r="CO90"/>
      <c r="CP90"/>
      <c r="CQ90"/>
      <c r="CS90"/>
      <c r="CT90"/>
      <c r="CU90"/>
      <c r="CV90"/>
      <c r="CW90"/>
      <c r="CX90"/>
      <c r="CY90"/>
      <c r="CZ90"/>
      <c r="DA90"/>
      <c r="DB90"/>
      <c r="DC90"/>
    </row>
    <row r="91" spans="3:107" x14ac:dyDescent="0.3">
      <c r="F91" s="333">
        <f>F90-(플랫폼!E79+콘텐츠!E82+엔터!E109+IRIVER!E27+돌핀!E25+LDC!E25-STAFF!E4)</f>
        <v>-7.1054273576010019E-14</v>
      </c>
      <c r="G91" s="333">
        <f>G90-(플랫폼!F79+콘텐츠!F82+엔터!F109+IRIVER!F27+돌핀!F25+LDC!F25-STAFF!F4)</f>
        <v>-1.7053025658242404E-13</v>
      </c>
      <c r="H91" s="333">
        <f>H90-(플랫폼!G79+콘텐츠!G82+엔터!G109+IRIVER!G27+돌핀!G25+LDC!G25-STAFF!G4)</f>
        <v>0</v>
      </c>
      <c r="I91" s="333">
        <f>I90-(플랫폼!H79+콘텐츠!H82+엔터!H109+IRIVER!H27+돌핀!H25+LDC!H25-STAFF!H4)</f>
        <v>0</v>
      </c>
    </row>
  </sheetData>
  <mergeCells count="9">
    <mergeCell ref="BU3:BW3"/>
    <mergeCell ref="CG3:CI3"/>
    <mergeCell ref="CS3:CU3"/>
    <mergeCell ref="C3:E3"/>
    <mergeCell ref="M3:O3"/>
    <mergeCell ref="Y3:AA3"/>
    <mergeCell ref="AK3:AM3"/>
    <mergeCell ref="AW3:AY3"/>
    <mergeCell ref="BI3:BK3"/>
  </mergeCells>
  <phoneticPr fontId="2" type="noConversion"/>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BFDAF-CE91-45F3-A266-605474CE02D9}">
  <sheetPr>
    <tabColor theme="8" tint="-0.249977111117893"/>
  </sheetPr>
  <dimension ref="B3:E24"/>
  <sheetViews>
    <sheetView workbookViewId="0"/>
  </sheetViews>
  <sheetFormatPr defaultColWidth="12.625" defaultRowHeight="13.5" x14ac:dyDescent="0.3"/>
  <cols>
    <col min="1" max="1" width="2.625" style="903" customWidth="1"/>
    <col min="2" max="2" width="12.625" style="1411"/>
    <col min="3" max="3" width="5.125" style="1411" customWidth="1"/>
    <col min="4" max="4" width="23.875" style="1411" customWidth="1"/>
    <col min="5" max="5" width="88.5" style="903" customWidth="1"/>
    <col min="6" max="16384" width="12.625" style="903"/>
  </cols>
  <sheetData>
    <row r="3" spans="2:5" ht="15.75" x14ac:dyDescent="0.3">
      <c r="B3" s="1410" t="s">
        <v>3330</v>
      </c>
      <c r="C3" s="1410" t="s">
        <v>3331</v>
      </c>
      <c r="D3" s="1410" t="s">
        <v>3332</v>
      </c>
      <c r="E3" s="1410" t="s">
        <v>3333</v>
      </c>
    </row>
    <row r="4" spans="2:5" x14ac:dyDescent="0.3">
      <c r="B4" s="1411" t="s">
        <v>3271</v>
      </c>
      <c r="C4" s="1411">
        <v>1</v>
      </c>
      <c r="D4" s="1411" t="s">
        <v>3334</v>
      </c>
      <c r="E4" s="903" t="s">
        <v>3335</v>
      </c>
    </row>
    <row r="5" spans="2:5" x14ac:dyDescent="0.3">
      <c r="E5" s="903" t="s">
        <v>3336</v>
      </c>
    </row>
    <row r="6" spans="2:5" x14ac:dyDescent="0.3">
      <c r="E6" s="903" t="s">
        <v>3337</v>
      </c>
    </row>
    <row r="7" spans="2:5" x14ac:dyDescent="0.3">
      <c r="E7" s="903" t="s">
        <v>3338</v>
      </c>
    </row>
    <row r="8" spans="2:5" x14ac:dyDescent="0.3">
      <c r="D8" s="1411" t="s">
        <v>3339</v>
      </c>
      <c r="E8" s="903" t="s">
        <v>3340</v>
      </c>
    </row>
    <row r="9" spans="2:5" x14ac:dyDescent="0.3">
      <c r="D9" s="1411" t="s">
        <v>3341</v>
      </c>
      <c r="E9" s="903" t="s">
        <v>3342</v>
      </c>
    </row>
    <row r="11" spans="2:5" x14ac:dyDescent="0.3">
      <c r="D11" s="1411" t="s">
        <v>3343</v>
      </c>
      <c r="E11" s="903" t="s">
        <v>3344</v>
      </c>
    </row>
    <row r="12" spans="2:5" x14ac:dyDescent="0.3">
      <c r="E12" s="903" t="s">
        <v>3345</v>
      </c>
    </row>
    <row r="15" spans="2:5" x14ac:dyDescent="0.3">
      <c r="B15" s="1411" t="s">
        <v>3272</v>
      </c>
      <c r="D15" s="1411" t="s">
        <v>3346</v>
      </c>
      <c r="E15" s="903" t="s">
        <v>3347</v>
      </c>
    </row>
    <row r="16" spans="2:5" x14ac:dyDescent="0.3">
      <c r="D16" s="1411" t="s">
        <v>3348</v>
      </c>
      <c r="E16" s="903" t="s">
        <v>3349</v>
      </c>
    </row>
    <row r="20" spans="2:5" x14ac:dyDescent="0.3">
      <c r="B20" s="1411" t="s">
        <v>3350</v>
      </c>
      <c r="D20" s="1411" t="s">
        <v>161</v>
      </c>
      <c r="E20" s="903" t="s">
        <v>3351</v>
      </c>
    </row>
    <row r="22" spans="2:5" x14ac:dyDescent="0.3">
      <c r="B22" s="1411" t="s">
        <v>3352</v>
      </c>
      <c r="D22" s="1411" t="s">
        <v>3272</v>
      </c>
      <c r="E22" s="903" t="s">
        <v>3353</v>
      </c>
    </row>
    <row r="24" spans="2:5" x14ac:dyDescent="0.3">
      <c r="B24" s="1411" t="s">
        <v>3325</v>
      </c>
      <c r="D24" s="1411" t="s">
        <v>3354</v>
      </c>
      <c r="E24" s="903" t="s">
        <v>3355</v>
      </c>
    </row>
  </sheetData>
  <phoneticPr fontId="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9AC5B-B39B-4282-920E-6437745F954C}">
  <sheetPr>
    <tabColor theme="1" tint="0.34998626667073579"/>
  </sheetPr>
  <dimension ref="A1:AC97"/>
  <sheetViews>
    <sheetView topLeftCell="A17" workbookViewId="0">
      <selection activeCell="A45" sqref="A45"/>
    </sheetView>
  </sheetViews>
  <sheetFormatPr defaultRowHeight="16.5" x14ac:dyDescent="0.3"/>
  <cols>
    <col min="1" max="3" width="2.625" customWidth="1"/>
    <col min="4" max="4" width="24.75" customWidth="1"/>
    <col min="5" max="12" width="9.625" customWidth="1"/>
    <col min="13" max="13" width="43.875" customWidth="1"/>
    <col min="15" max="15" width="2" customWidth="1"/>
    <col min="16" max="16" width="2.375" customWidth="1"/>
    <col min="17" max="17" width="13.25" customWidth="1"/>
    <col min="20" max="20" width="11.625" bestFit="1" customWidth="1"/>
    <col min="21" max="21" width="10.25" customWidth="1"/>
    <col min="22" max="22" width="9.875" customWidth="1"/>
    <col min="23" max="23" width="9.875" bestFit="1" customWidth="1"/>
    <col min="24" max="24" width="11.875" bestFit="1" customWidth="1"/>
    <col min="26" max="26" width="7.625" bestFit="1" customWidth="1"/>
    <col min="27" max="27" width="57.25" bestFit="1" customWidth="1"/>
  </cols>
  <sheetData>
    <row r="1" spans="1:29" ht="17.25" thickBot="1" x14ac:dyDescent="0.35">
      <c r="A1" s="258" t="s">
        <v>3356</v>
      </c>
      <c r="B1" s="259"/>
      <c r="C1" s="259"/>
      <c r="D1" s="259"/>
      <c r="E1" s="259"/>
      <c r="F1" s="259"/>
      <c r="G1" s="259"/>
      <c r="H1" s="259"/>
      <c r="I1" s="259"/>
      <c r="J1" s="259"/>
      <c r="K1" s="259"/>
      <c r="L1" s="259"/>
      <c r="M1" s="259"/>
      <c r="U1" s="334"/>
      <c r="V1" s="334"/>
      <c r="W1" s="334"/>
    </row>
    <row r="2" spans="1:29" x14ac:dyDescent="0.3">
      <c r="E2" s="260"/>
      <c r="F2" s="260"/>
      <c r="G2" s="260"/>
      <c r="H2" s="260"/>
      <c r="I2" s="260"/>
      <c r="J2" s="335"/>
      <c r="K2" s="260"/>
      <c r="T2" s="334"/>
      <c r="U2" s="334"/>
      <c r="V2" s="334"/>
      <c r="W2" s="334">
        <f>0.6*0.25</f>
        <v>0.15</v>
      </c>
    </row>
    <row r="3" spans="1:29" s="21" customFormat="1" ht="13.5" x14ac:dyDescent="0.3">
      <c r="B3" s="1775" t="s">
        <v>3292</v>
      </c>
      <c r="C3" s="1776"/>
      <c r="D3" s="1777"/>
      <c r="E3" s="261" t="s">
        <v>3293</v>
      </c>
      <c r="F3" s="261" t="s">
        <v>3294</v>
      </c>
      <c r="G3" s="261" t="s">
        <v>3295</v>
      </c>
      <c r="H3" s="261" t="s">
        <v>3296</v>
      </c>
      <c r="I3" s="261" t="s">
        <v>3297</v>
      </c>
      <c r="J3" s="261" t="s">
        <v>3298</v>
      </c>
      <c r="K3" s="261" t="s">
        <v>3299</v>
      </c>
      <c r="L3" s="261" t="s">
        <v>51</v>
      </c>
      <c r="M3" s="261" t="s">
        <v>3357</v>
      </c>
      <c r="O3" s="1789" t="s">
        <v>3358</v>
      </c>
      <c r="P3" s="1790"/>
      <c r="Q3" s="1791"/>
      <c r="R3" s="336" t="s">
        <v>3359</v>
      </c>
      <c r="S3" s="337" t="s">
        <v>3360</v>
      </c>
      <c r="T3" s="338" t="s">
        <v>3361</v>
      </c>
      <c r="U3" s="337" t="s">
        <v>3362</v>
      </c>
      <c r="V3" s="337">
        <v>2025</v>
      </c>
      <c r="W3" s="337">
        <v>2026</v>
      </c>
      <c r="X3" s="337">
        <v>2027</v>
      </c>
      <c r="Y3" s="337" t="s">
        <v>3363</v>
      </c>
      <c r="Z3" s="339" t="s">
        <v>3364</v>
      </c>
      <c r="AA3" s="340"/>
      <c r="AC3" s="341" t="s">
        <v>3365</v>
      </c>
    </row>
    <row r="4" spans="1:29" s="21" customFormat="1" ht="13.5" x14ac:dyDescent="0.3">
      <c r="B4" s="262" t="s">
        <v>161</v>
      </c>
      <c r="C4" s="263"/>
      <c r="D4" s="264"/>
      <c r="E4" s="265">
        <f>SUM(E5,E10,E15,E19,E23)</f>
        <v>1296.1325224727209</v>
      </c>
      <c r="F4" s="265">
        <f t="shared" ref="F4:K4" si="0">SUM(F5,F10,F15,F19,F23)</f>
        <v>1177.3142472593074</v>
      </c>
      <c r="G4" s="265">
        <f t="shared" si="0"/>
        <v>1290.6957550532661</v>
      </c>
      <c r="H4" s="265">
        <f t="shared" si="0"/>
        <v>1714.043549392748</v>
      </c>
      <c r="I4" s="265">
        <f t="shared" si="0"/>
        <v>2045.6929096797269</v>
      </c>
      <c r="J4" s="265">
        <f t="shared" si="0"/>
        <v>2556.7670415975972</v>
      </c>
      <c r="K4" s="265">
        <f t="shared" si="0"/>
        <v>3008.7617575622339</v>
      </c>
      <c r="L4" s="266">
        <f t="shared" ref="L4:L67" si="1">IFERROR((K4/F4)^(1/5)-1,0)</f>
        <v>0.20642153295357546</v>
      </c>
      <c r="M4" s="266"/>
      <c r="N4" s="267"/>
      <c r="O4" s="1778" t="s">
        <v>3366</v>
      </c>
      <c r="P4" s="1779"/>
      <c r="Q4" s="1783"/>
      <c r="R4" s="342">
        <v>239</v>
      </c>
      <c r="S4" s="343">
        <v>220</v>
      </c>
      <c r="T4" s="344">
        <v>285</v>
      </c>
      <c r="U4" s="345">
        <f t="shared" ref="U4:X5" si="2">+T4*(1+$Y$5)</f>
        <v>342</v>
      </c>
      <c r="V4" s="345">
        <f t="shared" si="2"/>
        <v>410.4</v>
      </c>
      <c r="W4" s="345">
        <f t="shared" si="2"/>
        <v>492.47999999999996</v>
      </c>
      <c r="X4" s="345">
        <f t="shared" si="2"/>
        <v>590.97599999999989</v>
      </c>
      <c r="Y4" s="345"/>
      <c r="Z4" s="346"/>
      <c r="AA4" s="347"/>
      <c r="AC4" s="21" t="s">
        <v>3367</v>
      </c>
    </row>
    <row r="5" spans="1:29" s="21" customFormat="1" ht="13.5" x14ac:dyDescent="0.3">
      <c r="B5" s="268"/>
      <c r="C5" s="269" t="s">
        <v>3368</v>
      </c>
      <c r="D5" s="270"/>
      <c r="E5" s="271">
        <f>SUM(E6:E9)</f>
        <v>934.74880530272083</v>
      </c>
      <c r="F5" s="271">
        <f t="shared" ref="F5:G5" si="3">SUM(F6:F9)</f>
        <v>833.65683239599707</v>
      </c>
      <c r="G5" s="271">
        <f t="shared" si="3"/>
        <v>824.03386049999995</v>
      </c>
      <c r="H5" s="271">
        <f>SUM(H6:H9)</f>
        <v>967.54813411600082</v>
      </c>
      <c r="I5" s="271">
        <f t="shared" ref="I5:K5" si="4">SUM(I6:I9)</f>
        <v>1074.7983883705206</v>
      </c>
      <c r="J5" s="271">
        <f t="shared" si="4"/>
        <v>1188.9382112760093</v>
      </c>
      <c r="K5" s="271">
        <f t="shared" si="4"/>
        <v>1315.499294326575</v>
      </c>
      <c r="L5" s="272">
        <f t="shared" si="1"/>
        <v>9.5520884383770932E-2</v>
      </c>
      <c r="M5" s="271"/>
      <c r="N5" s="267"/>
      <c r="O5" s="348"/>
      <c r="P5" s="349" t="s">
        <v>3369</v>
      </c>
      <c r="Q5" s="350"/>
      <c r="R5" s="351">
        <v>0</v>
      </c>
      <c r="S5" s="352">
        <v>21</v>
      </c>
      <c r="T5" s="353">
        <v>25.961820162302363</v>
      </c>
      <c r="U5" s="354">
        <f t="shared" si="2"/>
        <v>31.154184194762834</v>
      </c>
      <c r="V5" s="354">
        <f t="shared" si="2"/>
        <v>37.385021033715397</v>
      </c>
      <c r="W5" s="354">
        <f t="shared" si="2"/>
        <v>44.862025240458472</v>
      </c>
      <c r="X5" s="354">
        <f t="shared" si="2"/>
        <v>53.834430288550166</v>
      </c>
      <c r="Y5" s="355">
        <v>0.2</v>
      </c>
      <c r="Z5" s="356"/>
      <c r="AA5" s="357" t="s">
        <v>3370</v>
      </c>
      <c r="AC5" s="358" t="s">
        <v>3371</v>
      </c>
    </row>
    <row r="6" spans="1:29" s="21" customFormat="1" ht="13.5" x14ac:dyDescent="0.3">
      <c r="B6" s="277"/>
      <c r="C6" s="277"/>
      <c r="D6" s="278" t="s">
        <v>27</v>
      </c>
      <c r="E6" s="275">
        <v>874.13956829272081</v>
      </c>
      <c r="F6" s="1420">
        <v>787.32167973000003</v>
      </c>
      <c r="G6" s="275">
        <v>777</v>
      </c>
      <c r="H6" s="275">
        <f>+U9*(U22*12)/10000</f>
        <v>919.56577342600076</v>
      </c>
      <c r="I6" s="275">
        <f t="shared" ref="I6:K6" si="5">+V9*(V22*12)/10000</f>
        <v>1025.7928209223205</v>
      </c>
      <c r="J6" s="275">
        <f t="shared" si="5"/>
        <v>1138.8371144606133</v>
      </c>
      <c r="K6" s="275">
        <f t="shared" si="5"/>
        <v>1264.232338497342</v>
      </c>
      <c r="L6" s="276">
        <f t="shared" si="1"/>
        <v>9.9347357827134664E-2</v>
      </c>
      <c r="M6" s="275" t="s">
        <v>3372</v>
      </c>
      <c r="N6" s="359"/>
      <c r="O6" s="1778" t="s">
        <v>3373</v>
      </c>
      <c r="P6" s="1779"/>
      <c r="Q6" s="1783"/>
      <c r="R6" s="360">
        <f t="shared" ref="R6:X6" si="6">SUM(R7,R16)</f>
        <v>191.6223</v>
      </c>
      <c r="S6" s="361">
        <f t="shared" si="6"/>
        <v>205.52711000000005</v>
      </c>
      <c r="T6" s="362">
        <f t="shared" si="6"/>
        <v>389.50962705373882</v>
      </c>
      <c r="U6" s="361">
        <f t="shared" si="6"/>
        <v>478.44688208105708</v>
      </c>
      <c r="V6" s="361">
        <f t="shared" si="6"/>
        <v>597.11544499000752</v>
      </c>
      <c r="W6" s="361">
        <f t="shared" si="6"/>
        <v>759.93421904060654</v>
      </c>
      <c r="X6" s="361">
        <f t="shared" si="6"/>
        <v>935.8017117618715</v>
      </c>
      <c r="Y6" s="361"/>
      <c r="Z6" s="346"/>
      <c r="AA6" s="363"/>
      <c r="AC6" s="358" t="s">
        <v>3374</v>
      </c>
    </row>
    <row r="7" spans="1:29" s="21" customFormat="1" ht="13.5" x14ac:dyDescent="0.3">
      <c r="B7" s="277"/>
      <c r="C7" s="277"/>
      <c r="D7" s="283" t="s">
        <v>28</v>
      </c>
      <c r="E7" s="281">
        <v>51.719696419999998</v>
      </c>
      <c r="F7" s="281">
        <v>40.99607524889246</v>
      </c>
      <c r="G7" s="281">
        <v>43.476047999999999</v>
      </c>
      <c r="H7" s="281">
        <f t="shared" ref="H7:K8" si="7">+U10*(U23*12)/10000</f>
        <v>44.780329440000003</v>
      </c>
      <c r="I7" s="281">
        <f t="shared" si="7"/>
        <v>46.123739323200006</v>
      </c>
      <c r="J7" s="281">
        <f t="shared" si="7"/>
        <v>47.507451502896004</v>
      </c>
      <c r="K7" s="281">
        <f t="shared" si="7"/>
        <v>48.932675047982883</v>
      </c>
      <c r="L7" s="282">
        <f t="shared" si="1"/>
        <v>3.6027624075836817E-2</v>
      </c>
      <c r="M7" s="281"/>
      <c r="N7" s="359"/>
      <c r="O7" s="364"/>
      <c r="P7" s="1787" t="s">
        <v>3375</v>
      </c>
      <c r="Q7" s="1788"/>
      <c r="R7" s="365">
        <f t="shared" ref="R7" si="8">SUM(R8,R12)</f>
        <v>191.6223</v>
      </c>
      <c r="S7" s="366">
        <f>+S8+S12</f>
        <v>205.52711000000005</v>
      </c>
      <c r="T7" s="366">
        <f t="shared" ref="T7:W7" si="9">+T8+T12</f>
        <v>379.5346270537388</v>
      </c>
      <c r="U7" s="366">
        <f t="shared" si="9"/>
        <v>459.00364573715342</v>
      </c>
      <c r="V7" s="366">
        <f t="shared" si="9"/>
        <v>559.21675431081985</v>
      </c>
      <c r="W7" s="366">
        <f t="shared" si="9"/>
        <v>686.06221904061192</v>
      </c>
      <c r="X7" s="366">
        <f>+X8+X12</f>
        <v>847.15531176187801</v>
      </c>
      <c r="Y7" s="366"/>
      <c r="Z7" s="367"/>
      <c r="AA7" s="368"/>
    </row>
    <row r="8" spans="1:29" s="21" customFormat="1" ht="13.5" x14ac:dyDescent="0.3">
      <c r="B8" s="277"/>
      <c r="C8" s="277"/>
      <c r="D8" s="283" t="s">
        <v>29</v>
      </c>
      <c r="E8" s="281">
        <v>8.8895405899999993</v>
      </c>
      <c r="F8" s="281">
        <v>5.339077417104539</v>
      </c>
      <c r="G8" s="281">
        <v>3.5578124999999998</v>
      </c>
      <c r="H8" s="281">
        <f t="shared" si="7"/>
        <v>3.2020312500000001</v>
      </c>
      <c r="I8" s="281">
        <f t="shared" si="7"/>
        <v>2.8818281250000002</v>
      </c>
      <c r="J8" s="281">
        <f t="shared" si="7"/>
        <v>2.5936453125000001</v>
      </c>
      <c r="K8" s="281">
        <f t="shared" si="7"/>
        <v>2.3342807812499999</v>
      </c>
      <c r="L8" s="282">
        <f t="shared" si="1"/>
        <v>-0.1525045500452904</v>
      </c>
      <c r="M8" s="281"/>
      <c r="N8" s="359"/>
      <c r="O8" s="369"/>
      <c r="P8" s="349" t="s">
        <v>3368</v>
      </c>
      <c r="Q8" s="350"/>
      <c r="R8" s="370">
        <f t="shared" ref="R8" si="10">SUM(R9:R11)</f>
        <v>145.41980000000001</v>
      </c>
      <c r="S8" s="371">
        <v>147.09726000000003</v>
      </c>
      <c r="T8" s="371">
        <f t="shared" ref="T8:X8" si="11">SUM(T9:T11)</f>
        <v>134.46567876430601</v>
      </c>
      <c r="U8" s="371">
        <f t="shared" si="11"/>
        <v>146.06477688073662</v>
      </c>
      <c r="V8" s="371">
        <f t="shared" si="11"/>
        <v>158.78415810801027</v>
      </c>
      <c r="W8" s="371">
        <f t="shared" si="11"/>
        <v>172.73308221698733</v>
      </c>
      <c r="X8" s="371">
        <f t="shared" si="11"/>
        <v>188.03180987332735</v>
      </c>
      <c r="Y8" s="371"/>
      <c r="Z8" s="372"/>
      <c r="AA8" s="373"/>
    </row>
    <row r="9" spans="1:29" s="21" customFormat="1" ht="13.5" x14ac:dyDescent="0.3">
      <c r="B9" s="277"/>
      <c r="C9" s="284"/>
      <c r="D9" s="285"/>
      <c r="E9" s="286"/>
      <c r="F9" s="286"/>
      <c r="G9" s="286"/>
      <c r="H9" s="286"/>
      <c r="I9" s="286"/>
      <c r="J9" s="286"/>
      <c r="K9" s="286"/>
      <c r="L9" s="287">
        <f t="shared" si="1"/>
        <v>0</v>
      </c>
      <c r="M9" s="286"/>
      <c r="O9" s="369"/>
      <c r="P9" s="374"/>
      <c r="Q9" s="375" t="s">
        <v>3376</v>
      </c>
      <c r="R9" s="376">
        <v>120.92829999999999</v>
      </c>
      <c r="S9" s="377">
        <v>116.77299200000002</v>
      </c>
      <c r="T9" s="378">
        <v>109.201638764306</v>
      </c>
      <c r="U9" s="379">
        <f t="shared" ref="U9:X11" si="12">+T9*(1+$Y9)</f>
        <v>120.1218026407366</v>
      </c>
      <c r="V9" s="379">
        <f t="shared" si="12"/>
        <v>132.13398290481027</v>
      </c>
      <c r="W9" s="379">
        <f t="shared" si="12"/>
        <v>145.34738119529132</v>
      </c>
      <c r="X9" s="379">
        <f t="shared" si="12"/>
        <v>159.88211931482047</v>
      </c>
      <c r="Y9" s="380">
        <v>0.1</v>
      </c>
      <c r="Z9" s="381"/>
      <c r="AA9" s="382" t="s">
        <v>3377</v>
      </c>
    </row>
    <row r="10" spans="1:29" s="21" customFormat="1" ht="13.5" x14ac:dyDescent="0.3">
      <c r="B10" s="277"/>
      <c r="C10" s="269" t="s">
        <v>30</v>
      </c>
      <c r="D10" s="270"/>
      <c r="E10" s="271">
        <f>SUM(E11:E14)</f>
        <v>331.52477233000002</v>
      </c>
      <c r="F10" s="271">
        <f t="shared" ref="F10:G10" si="13">SUM(F11:F14)</f>
        <v>323.75360154331042</v>
      </c>
      <c r="G10" s="271">
        <f t="shared" si="13"/>
        <v>426.59877059745321</v>
      </c>
      <c r="H10" s="271">
        <f>SUM(H11:H14)</f>
        <v>661.48743288453124</v>
      </c>
      <c r="I10" s="271">
        <f t="shared" ref="I10:K10" si="14">SUM(I11:I14)</f>
        <v>812.50015825170999</v>
      </c>
      <c r="J10" s="271">
        <f t="shared" si="14"/>
        <v>1000.0819174509701</v>
      </c>
      <c r="K10" s="271">
        <f t="shared" si="14"/>
        <v>1236.1590275658207</v>
      </c>
      <c r="L10" s="272">
        <f t="shared" si="1"/>
        <v>0.30729002468071132</v>
      </c>
      <c r="M10" s="271"/>
      <c r="O10" s="369"/>
      <c r="P10" s="374"/>
      <c r="Q10" s="383" t="s">
        <v>3378</v>
      </c>
      <c r="R10" s="384">
        <v>23.476700000000001</v>
      </c>
      <c r="S10" s="385">
        <v>29.574000000000002</v>
      </c>
      <c r="T10" s="386">
        <v>24.656448000000001</v>
      </c>
      <c r="U10" s="387">
        <f t="shared" si="12"/>
        <v>25.396141440000001</v>
      </c>
      <c r="V10" s="387">
        <f t="shared" si="12"/>
        <v>26.158025683200002</v>
      </c>
      <c r="W10" s="387">
        <f t="shared" si="12"/>
        <v>26.942766453696002</v>
      </c>
      <c r="X10" s="387">
        <f t="shared" si="12"/>
        <v>27.751049447306883</v>
      </c>
      <c r="Y10" s="388">
        <v>0.03</v>
      </c>
      <c r="Z10" s="389"/>
      <c r="AA10" s="390"/>
    </row>
    <row r="11" spans="1:29" s="21" customFormat="1" ht="13.5" x14ac:dyDescent="0.3">
      <c r="B11" s="277"/>
      <c r="C11" s="277"/>
      <c r="D11" s="278" t="s">
        <v>31</v>
      </c>
      <c r="E11" s="275">
        <v>176.22877751999999</v>
      </c>
      <c r="F11" s="275">
        <v>166.89216065006948</v>
      </c>
      <c r="G11" s="275">
        <v>162.2052638635997</v>
      </c>
      <c r="H11" s="275">
        <f>+U13*(U26*12)/10000</f>
        <v>190.09739703045463</v>
      </c>
      <c r="I11" s="275">
        <f t="shared" ref="I11:K11" si="15">+V13*(V26*12)/10000</f>
        <v>211.67489022520905</v>
      </c>
      <c r="J11" s="275">
        <f t="shared" si="15"/>
        <v>234.72539847498322</v>
      </c>
      <c r="K11" s="275">
        <f t="shared" si="15"/>
        <v>260.26925947246002</v>
      </c>
      <c r="L11" s="276">
        <f t="shared" si="1"/>
        <v>9.2942685303733619E-2</v>
      </c>
      <c r="M11" s="275"/>
      <c r="N11" s="359"/>
      <c r="O11" s="369"/>
      <c r="P11" s="374"/>
      <c r="Q11" s="391" t="s">
        <v>3379</v>
      </c>
      <c r="R11" s="384">
        <v>1.0147999999999999</v>
      </c>
      <c r="S11" s="392">
        <v>0.75026800000000005</v>
      </c>
      <c r="T11" s="393">
        <v>0.60759200000000002</v>
      </c>
      <c r="U11" s="394">
        <f t="shared" si="12"/>
        <v>0.54683280000000001</v>
      </c>
      <c r="V11" s="394">
        <f t="shared" si="12"/>
        <v>0.49214952000000001</v>
      </c>
      <c r="W11" s="394">
        <f t="shared" si="12"/>
        <v>0.44293456800000003</v>
      </c>
      <c r="X11" s="394">
        <f t="shared" si="12"/>
        <v>0.39864111120000001</v>
      </c>
      <c r="Y11" s="395">
        <v>-0.1</v>
      </c>
      <c r="Z11" s="396"/>
      <c r="AA11" s="357"/>
    </row>
    <row r="12" spans="1:29" s="21" customFormat="1" ht="13.5" x14ac:dyDescent="0.3">
      <c r="B12" s="277"/>
      <c r="C12" s="277"/>
      <c r="D12" s="283" t="s">
        <v>32</v>
      </c>
      <c r="E12" s="281">
        <v>114.64623453</v>
      </c>
      <c r="F12" s="281">
        <v>126.35384321691767</v>
      </c>
      <c r="G12" s="281">
        <v>112.85838556685336</v>
      </c>
      <c r="H12" s="281">
        <f t="shared" ref="H12:K13" si="16">+U14*(U27*12)/10000</f>
        <v>146.58168899610854</v>
      </c>
      <c r="I12" s="281">
        <f t="shared" si="16"/>
        <v>178.57441711114251</v>
      </c>
      <c r="J12" s="281">
        <f t="shared" si="16"/>
        <v>216.43041278602084</v>
      </c>
      <c r="K12" s="281">
        <f t="shared" si="16"/>
        <v>262.28583004640478</v>
      </c>
      <c r="L12" s="282">
        <f t="shared" si="1"/>
        <v>0.1572768735621648</v>
      </c>
      <c r="M12" s="281"/>
      <c r="N12" s="359"/>
      <c r="O12" s="369"/>
      <c r="P12" s="349" t="s">
        <v>3380</v>
      </c>
      <c r="Q12" s="397"/>
      <c r="R12" s="370">
        <f t="shared" ref="R12:X12" si="17">SUM(R13:R15)</f>
        <v>46.202500000000001</v>
      </c>
      <c r="S12" s="371">
        <v>58.429850000000002</v>
      </c>
      <c r="T12" s="371">
        <f t="shared" si="17"/>
        <v>245.0689482894328</v>
      </c>
      <c r="U12" s="371">
        <f t="shared" si="17"/>
        <v>312.93886885641683</v>
      </c>
      <c r="V12" s="371">
        <f t="shared" si="17"/>
        <v>400.43259620280958</v>
      </c>
      <c r="W12" s="371">
        <f t="shared" si="17"/>
        <v>513.32913682362459</v>
      </c>
      <c r="X12" s="371">
        <f t="shared" si="17"/>
        <v>659.12350188855066</v>
      </c>
      <c r="Y12" s="398"/>
      <c r="Z12" s="399"/>
      <c r="AA12" s="390"/>
    </row>
    <row r="13" spans="1:29" s="21" customFormat="1" ht="13.5" x14ac:dyDescent="0.3">
      <c r="B13" s="277"/>
      <c r="C13" s="277"/>
      <c r="D13" s="283" t="s">
        <v>33</v>
      </c>
      <c r="E13" s="281">
        <v>40.649760280000002</v>
      </c>
      <c r="F13" s="281">
        <v>30.507597676323257</v>
      </c>
      <c r="G13" s="281">
        <v>151.53512116700017</v>
      </c>
      <c r="H13" s="281">
        <f t="shared" si="16"/>
        <v>324.80834685796805</v>
      </c>
      <c r="I13" s="281">
        <f t="shared" si="16"/>
        <v>422.2508509153584</v>
      </c>
      <c r="J13" s="281">
        <f t="shared" si="16"/>
        <v>548.92610618996605</v>
      </c>
      <c r="K13" s="281">
        <f t="shared" si="16"/>
        <v>713.60393804695582</v>
      </c>
      <c r="L13" s="282">
        <f t="shared" si="1"/>
        <v>0.87849414394349945</v>
      </c>
      <c r="M13" s="281"/>
      <c r="N13" s="359"/>
      <c r="O13" s="369"/>
      <c r="P13" s="374"/>
      <c r="Q13" s="375" t="s">
        <v>31</v>
      </c>
      <c r="R13" s="376">
        <v>20.0076</v>
      </c>
      <c r="S13" s="377">
        <v>18.043002000000001</v>
      </c>
      <c r="T13" s="378">
        <v>19.649169664132966</v>
      </c>
      <c r="U13" s="379">
        <f t="shared" ref="U13:X15" si="18">+T13*(1+$Y13)</f>
        <v>21.614086630546264</v>
      </c>
      <c r="V13" s="379">
        <f t="shared" si="18"/>
        <v>23.775495293600894</v>
      </c>
      <c r="W13" s="379">
        <f t="shared" si="18"/>
        <v>26.153044822960986</v>
      </c>
      <c r="X13" s="379">
        <f t="shared" si="18"/>
        <v>28.768349305257086</v>
      </c>
      <c r="Y13" s="388">
        <v>0.1</v>
      </c>
      <c r="Z13" s="389"/>
      <c r="AA13" s="382" t="s">
        <v>3381</v>
      </c>
    </row>
    <row r="14" spans="1:29" s="21" customFormat="1" ht="13.5" x14ac:dyDescent="0.3">
      <c r="B14" s="277"/>
      <c r="C14" s="284"/>
      <c r="D14" s="285"/>
      <c r="E14" s="286"/>
      <c r="F14" s="286"/>
      <c r="G14" s="286"/>
      <c r="H14" s="286"/>
      <c r="I14" s="286"/>
      <c r="J14" s="286"/>
      <c r="K14" s="286"/>
      <c r="L14" s="287">
        <f t="shared" si="1"/>
        <v>0</v>
      </c>
      <c r="M14" s="286"/>
      <c r="O14" s="369"/>
      <c r="P14" s="374"/>
      <c r="Q14" s="383" t="s">
        <v>32</v>
      </c>
      <c r="R14" s="384">
        <v>21.336200000000002</v>
      </c>
      <c r="S14" s="385">
        <v>17.652498000000001</v>
      </c>
      <c r="T14" s="386">
        <v>17.20929987019213</v>
      </c>
      <c r="U14" s="387">
        <f t="shared" si="18"/>
        <v>20.651159844230556</v>
      </c>
      <c r="V14" s="387">
        <f t="shared" si="18"/>
        <v>24.781391813076667</v>
      </c>
      <c r="W14" s="387">
        <f t="shared" si="18"/>
        <v>29.737670175691999</v>
      </c>
      <c r="X14" s="387">
        <f t="shared" si="18"/>
        <v>35.685204210830399</v>
      </c>
      <c r="Y14" s="388">
        <v>0.2</v>
      </c>
      <c r="Z14" s="389"/>
      <c r="AA14" s="390"/>
    </row>
    <row r="15" spans="1:29" s="21" customFormat="1" ht="13.5" x14ac:dyDescent="0.3">
      <c r="B15" s="277"/>
      <c r="C15" s="269" t="s">
        <v>1527</v>
      </c>
      <c r="D15" s="270"/>
      <c r="E15" s="271">
        <f>SUM(E16:E18)</f>
        <v>29.858944839999999</v>
      </c>
      <c r="F15" s="271">
        <f t="shared" ref="F15:K15" si="19">SUM(F16:F18)</f>
        <v>19.903813320000001</v>
      </c>
      <c r="G15" s="271">
        <f t="shared" si="19"/>
        <v>19.010000000000002</v>
      </c>
      <c r="H15" s="271">
        <f t="shared" si="19"/>
        <v>20.036540000000002</v>
      </c>
      <c r="I15" s="271">
        <f t="shared" si="19"/>
        <v>21.118513160000003</v>
      </c>
      <c r="J15" s="271">
        <f t="shared" si="19"/>
        <v>22.258912870640003</v>
      </c>
      <c r="K15" s="271">
        <f t="shared" si="19"/>
        <v>23.460894165654565</v>
      </c>
      <c r="L15" s="272">
        <f t="shared" si="1"/>
        <v>3.3431402429529467E-2</v>
      </c>
      <c r="M15" s="271"/>
      <c r="O15" s="369"/>
      <c r="P15" s="400"/>
      <c r="Q15" s="391" t="s">
        <v>3382</v>
      </c>
      <c r="R15" s="401">
        <v>4.8586999999999998</v>
      </c>
      <c r="S15" s="394">
        <v>22.734350000000003</v>
      </c>
      <c r="T15" s="393">
        <v>208.21047875510769</v>
      </c>
      <c r="U15" s="394">
        <f t="shared" si="18"/>
        <v>270.67362238164003</v>
      </c>
      <c r="V15" s="394">
        <f t="shared" si="18"/>
        <v>351.87570909613203</v>
      </c>
      <c r="W15" s="394">
        <f t="shared" si="18"/>
        <v>457.43842182497167</v>
      </c>
      <c r="X15" s="394">
        <f t="shared" si="18"/>
        <v>594.66994837246318</v>
      </c>
      <c r="Y15" s="388">
        <v>0.3</v>
      </c>
      <c r="Z15" s="389"/>
      <c r="AA15" s="357" t="s">
        <v>3383</v>
      </c>
    </row>
    <row r="16" spans="1:29" s="21" customFormat="1" ht="13.5" x14ac:dyDescent="0.3">
      <c r="B16" s="277"/>
      <c r="C16" s="277"/>
      <c r="D16" s="278" t="s">
        <v>3384</v>
      </c>
      <c r="E16" s="275">
        <v>29.47494</v>
      </c>
      <c r="F16" s="275">
        <v>15.840150003333335</v>
      </c>
      <c r="G16" s="402">
        <v>19.010000000000002</v>
      </c>
      <c r="H16" s="402">
        <f>+G16*(1+U33)</f>
        <v>20.036540000000002</v>
      </c>
      <c r="I16" s="275">
        <f t="shared" ref="I16:K16" si="20">+H16*(1+V33)</f>
        <v>21.118513160000003</v>
      </c>
      <c r="J16" s="275">
        <f t="shared" si="20"/>
        <v>22.258912870640003</v>
      </c>
      <c r="K16" s="275">
        <f t="shared" si="20"/>
        <v>23.460894165654565</v>
      </c>
      <c r="L16" s="276">
        <f t="shared" si="1"/>
        <v>8.1725466212853259E-2</v>
      </c>
      <c r="M16" s="275"/>
      <c r="N16" s="359"/>
      <c r="O16" s="403"/>
      <c r="P16" s="1787" t="s">
        <v>3385</v>
      </c>
      <c r="Q16" s="1788"/>
      <c r="R16" s="404">
        <v>0</v>
      </c>
      <c r="S16" s="405">
        <v>0</v>
      </c>
      <c r="T16" s="405">
        <f>+T4*T30*T31</f>
        <v>9.9750000000000014</v>
      </c>
      <c r="U16" s="405">
        <f>+U4*U30*U31</f>
        <v>19.443236343903685</v>
      </c>
      <c r="V16" s="405">
        <f>+V4*V30*V31</f>
        <v>37.898690679187681</v>
      </c>
      <c r="W16" s="405">
        <f>+W4*W30*W31</f>
        <v>73.871999999994571</v>
      </c>
      <c r="X16" s="405">
        <f>+X4*X30*X31</f>
        <v>88.646399999993477</v>
      </c>
      <c r="Y16" s="406"/>
      <c r="Z16" s="407"/>
      <c r="AA16" s="408" t="s">
        <v>3386</v>
      </c>
    </row>
    <row r="17" spans="2:29" s="21" customFormat="1" ht="13.5" x14ac:dyDescent="0.25">
      <c r="B17" s="277"/>
      <c r="C17" s="277"/>
      <c r="D17" s="283" t="s">
        <v>3387</v>
      </c>
      <c r="E17" s="281">
        <v>0</v>
      </c>
      <c r="F17" s="281">
        <v>3.9946666666666659</v>
      </c>
      <c r="G17" s="281"/>
      <c r="H17" s="281"/>
      <c r="I17" s="281"/>
      <c r="J17" s="281"/>
      <c r="K17" s="281"/>
      <c r="L17" s="282">
        <f t="shared" si="1"/>
        <v>-1</v>
      </c>
      <c r="M17" s="281"/>
      <c r="O17" s="1784" t="s">
        <v>3388</v>
      </c>
      <c r="P17" s="1785"/>
      <c r="Q17" s="1786"/>
      <c r="R17" s="409"/>
      <c r="S17" s="409"/>
      <c r="T17" s="409"/>
      <c r="U17" s="409"/>
      <c r="V17" s="409"/>
      <c r="W17" s="409"/>
      <c r="X17" s="409"/>
      <c r="Y17" s="409"/>
      <c r="Z17" s="410"/>
      <c r="AA17" s="411" t="s">
        <v>3389</v>
      </c>
    </row>
    <row r="18" spans="2:29" s="21" customFormat="1" ht="13.5" x14ac:dyDescent="0.25">
      <c r="B18" s="277"/>
      <c r="C18" s="284"/>
      <c r="D18" s="285" t="s">
        <v>71</v>
      </c>
      <c r="E18" s="286">
        <v>0.38400484000000001</v>
      </c>
      <c r="F18" s="286">
        <v>6.8996650000000007E-2</v>
      </c>
      <c r="G18" s="286"/>
      <c r="H18" s="286"/>
      <c r="I18" s="286"/>
      <c r="J18" s="286"/>
      <c r="K18" s="286"/>
      <c r="L18" s="287">
        <f t="shared" si="1"/>
        <v>-1</v>
      </c>
      <c r="M18" s="286"/>
      <c r="O18" s="369"/>
      <c r="P18" s="412" t="s">
        <v>3390</v>
      </c>
      <c r="Q18" s="413"/>
      <c r="R18" s="414"/>
      <c r="S18" s="414"/>
      <c r="T18" s="415"/>
      <c r="U18" s="416">
        <v>3000</v>
      </c>
      <c r="V18" s="416">
        <v>3000</v>
      </c>
      <c r="W18" s="416">
        <v>3000</v>
      </c>
      <c r="X18" s="416">
        <v>3000</v>
      </c>
      <c r="Y18" s="416"/>
      <c r="Z18" s="417"/>
      <c r="AA18" s="418" t="s">
        <v>3391</v>
      </c>
    </row>
    <row r="19" spans="2:29" s="21" customFormat="1" ht="13.5" x14ac:dyDescent="0.25">
      <c r="B19" s="277"/>
      <c r="C19" s="269" t="s">
        <v>67</v>
      </c>
      <c r="D19" s="270"/>
      <c r="E19" s="271">
        <f>SUM(E20:E22)</f>
        <v>0</v>
      </c>
      <c r="F19" s="271">
        <f t="shared" ref="F19:K19" si="21">SUM(F20:F22)</f>
        <v>0</v>
      </c>
      <c r="G19" s="271">
        <f t="shared" si="21"/>
        <v>21.053123955812897</v>
      </c>
      <c r="H19" s="271">
        <f t="shared" si="21"/>
        <v>44.971442392215891</v>
      </c>
      <c r="I19" s="271">
        <f t="shared" si="21"/>
        <v>115.27584989749633</v>
      </c>
      <c r="J19" s="271">
        <f t="shared" si="21"/>
        <v>295.48799999997811</v>
      </c>
      <c r="K19" s="271">
        <f t="shared" si="21"/>
        <v>354.58559999997374</v>
      </c>
      <c r="L19" s="272">
        <f t="shared" si="1"/>
        <v>0</v>
      </c>
      <c r="M19" s="419"/>
      <c r="O19" s="420"/>
      <c r="P19" s="421" t="s">
        <v>3392</v>
      </c>
      <c r="Q19" s="422"/>
      <c r="R19" s="392"/>
      <c r="S19" s="392"/>
      <c r="T19" s="423"/>
      <c r="U19" s="424">
        <v>0.15</v>
      </c>
      <c r="V19" s="424">
        <v>0.18</v>
      </c>
      <c r="W19" s="424">
        <v>0.2</v>
      </c>
      <c r="X19" s="424">
        <v>0.22</v>
      </c>
      <c r="Y19" s="424"/>
      <c r="Z19" s="425"/>
      <c r="AA19" s="426" t="s">
        <v>3393</v>
      </c>
      <c r="AC19" s="358" t="s">
        <v>3394</v>
      </c>
    </row>
    <row r="20" spans="2:29" s="21" customFormat="1" ht="13.5" x14ac:dyDescent="0.3">
      <c r="B20" s="277"/>
      <c r="C20" s="277"/>
      <c r="D20" s="278" t="s">
        <v>67</v>
      </c>
      <c r="E20" s="275"/>
      <c r="F20" s="275">
        <v>0</v>
      </c>
      <c r="G20" s="275">
        <v>21.053123955812897</v>
      </c>
      <c r="H20" s="275">
        <f>+U32*U16/1000</f>
        <v>44.971442392215891</v>
      </c>
      <c r="I20" s="275">
        <f t="shared" ref="I20" si="22">+V32*V16/1000</f>
        <v>115.27584989749633</v>
      </c>
      <c r="J20" s="275">
        <f>+W32*W16/1000</f>
        <v>295.48799999997811</v>
      </c>
      <c r="K20" s="275">
        <f>+X32*X16/1000</f>
        <v>354.58559999997374</v>
      </c>
      <c r="L20" s="276">
        <f t="shared" si="1"/>
        <v>0</v>
      </c>
      <c r="M20" s="275"/>
      <c r="O20" s="1778" t="s">
        <v>3339</v>
      </c>
      <c r="P20" s="1779"/>
      <c r="Q20" s="1783"/>
      <c r="R20" s="427">
        <v>5373.320203691379</v>
      </c>
      <c r="S20" s="427">
        <v>6500</v>
      </c>
      <c r="T20" s="427">
        <f t="shared" ref="T20:X20" si="23">SUM(T21,T27)</f>
        <v>5464.9901709217229</v>
      </c>
      <c r="U20" s="427">
        <f t="shared" si="23"/>
        <v>5914.9901709217229</v>
      </c>
      <c r="V20" s="427">
        <f t="shared" si="23"/>
        <v>6004.9901709217229</v>
      </c>
      <c r="W20" s="427">
        <f t="shared" si="23"/>
        <v>6064.9901709217229</v>
      </c>
      <c r="X20" s="427">
        <f t="shared" si="23"/>
        <v>6124.9901709217229</v>
      </c>
      <c r="Y20" s="427"/>
      <c r="Z20" s="428"/>
      <c r="AA20" s="429" t="s">
        <v>3395</v>
      </c>
    </row>
    <row r="21" spans="2:29" s="21" customFormat="1" ht="13.5" x14ac:dyDescent="0.25">
      <c r="B21" s="277"/>
      <c r="C21" s="277"/>
      <c r="D21" s="283"/>
      <c r="E21" s="281"/>
      <c r="F21" s="281"/>
      <c r="G21" s="281"/>
      <c r="H21" s="281"/>
      <c r="I21" s="281"/>
      <c r="J21" s="281"/>
      <c r="K21" s="281"/>
      <c r="L21" s="282">
        <f t="shared" si="1"/>
        <v>0</v>
      </c>
      <c r="M21" s="281"/>
      <c r="O21" s="369"/>
      <c r="P21" s="349" t="s">
        <v>3368</v>
      </c>
      <c r="Q21" s="350"/>
      <c r="R21" s="350"/>
      <c r="S21" s="350"/>
      <c r="T21" s="350"/>
      <c r="U21" s="350"/>
      <c r="V21" s="350"/>
      <c r="W21" s="350"/>
      <c r="X21" s="350"/>
      <c r="Y21" s="350"/>
      <c r="Z21" s="350"/>
      <c r="AA21" s="430"/>
    </row>
    <row r="22" spans="2:29" s="21" customFormat="1" ht="13.5" x14ac:dyDescent="0.25">
      <c r="B22" s="277"/>
      <c r="C22" s="284"/>
      <c r="D22" s="285"/>
      <c r="E22" s="286"/>
      <c r="F22" s="286"/>
      <c r="G22" s="286"/>
      <c r="H22" s="286"/>
      <c r="I22" s="286"/>
      <c r="J22" s="286"/>
      <c r="K22" s="286"/>
      <c r="L22" s="287">
        <f t="shared" si="1"/>
        <v>0</v>
      </c>
      <c r="M22" s="286"/>
      <c r="O22" s="369"/>
      <c r="P22" s="374"/>
      <c r="Q22" s="375" t="s">
        <v>3376</v>
      </c>
      <c r="R22" s="431">
        <v>7228.5773329319945</v>
      </c>
      <c r="S22" s="431">
        <f>+F6/S9*1000</f>
        <v>6742.3268535416128</v>
      </c>
      <c r="T22" s="432">
        <v>5929.398197013561</v>
      </c>
      <c r="U22" s="432">
        <v>6379.398197013561</v>
      </c>
      <c r="V22" s="432">
        <v>6469.3981970135619</v>
      </c>
      <c r="W22" s="432">
        <v>6529.398197013561</v>
      </c>
      <c r="X22" s="433">
        <f t="shared" ref="X22" si="24">$T$22*(1-X19)+(($T$22+X18)*X19)</f>
        <v>6589.398197013561</v>
      </c>
      <c r="Y22" s="433"/>
      <c r="Z22" s="431"/>
      <c r="AA22" s="434"/>
    </row>
    <row r="23" spans="2:29" s="21" customFormat="1" ht="13.5" x14ac:dyDescent="0.25">
      <c r="B23" s="277"/>
      <c r="C23" s="269" t="s">
        <v>3312</v>
      </c>
      <c r="D23" s="270"/>
      <c r="E23" s="271">
        <f>SUM(E24:E26)</f>
        <v>0</v>
      </c>
      <c r="F23" s="271">
        <f t="shared" ref="F23:K23" si="25">SUM(F24:F26)</f>
        <v>0</v>
      </c>
      <c r="G23" s="271">
        <f t="shared" si="25"/>
        <v>0</v>
      </c>
      <c r="H23" s="271">
        <f t="shared" si="25"/>
        <v>20</v>
      </c>
      <c r="I23" s="271">
        <f t="shared" si="25"/>
        <v>22</v>
      </c>
      <c r="J23" s="271">
        <f t="shared" si="25"/>
        <v>50</v>
      </c>
      <c r="K23" s="271">
        <f t="shared" si="25"/>
        <v>79.056941504209448</v>
      </c>
      <c r="L23" s="272">
        <f t="shared" si="1"/>
        <v>0</v>
      </c>
      <c r="M23" s="271"/>
      <c r="O23" s="369"/>
      <c r="P23" s="374"/>
      <c r="Q23" s="383" t="s">
        <v>3378</v>
      </c>
      <c r="R23" s="431">
        <v>2203.0224188237698</v>
      </c>
      <c r="S23" s="431">
        <f t="shared" ref="S23:S24" si="26">+F7/S10*1000</f>
        <v>1386.2201680155697</v>
      </c>
      <c r="T23" s="432">
        <v>1469.3941317094823</v>
      </c>
      <c r="U23" s="432">
        <v>1469.3941317094823</v>
      </c>
      <c r="V23" s="432">
        <v>1469.3941317094823</v>
      </c>
      <c r="W23" s="432">
        <v>1469.3941317094823</v>
      </c>
      <c r="X23" s="433">
        <f t="shared" ref="X23:X24" si="27">+W23</f>
        <v>1469.3941317094823</v>
      </c>
      <c r="Y23" s="435"/>
      <c r="Z23" s="436"/>
      <c r="AA23" s="430"/>
    </row>
    <row r="24" spans="2:29" s="21" customFormat="1" ht="13.5" x14ac:dyDescent="0.25">
      <c r="B24" s="277"/>
      <c r="C24" s="277"/>
      <c r="D24" s="278" t="s">
        <v>3310</v>
      </c>
      <c r="E24" s="275"/>
      <c r="F24" s="275"/>
      <c r="G24" s="275"/>
      <c r="H24" s="304"/>
      <c r="I24" s="304"/>
      <c r="J24" s="304"/>
      <c r="K24" s="304"/>
      <c r="L24" s="276">
        <f t="shared" si="1"/>
        <v>0</v>
      </c>
      <c r="M24" s="275"/>
      <c r="O24" s="369"/>
      <c r="P24" s="374"/>
      <c r="Q24" s="391" t="s">
        <v>3379</v>
      </c>
      <c r="R24" s="431">
        <v>8759.8941564840352</v>
      </c>
      <c r="S24" s="431">
        <f t="shared" si="26"/>
        <v>7116.2270243493504</v>
      </c>
      <c r="T24" s="432">
        <v>4879.6622569092415</v>
      </c>
      <c r="U24" s="432">
        <v>4879.6622569092415</v>
      </c>
      <c r="V24" s="432">
        <v>4879.6622569092415</v>
      </c>
      <c r="W24" s="432">
        <v>4879.6622569092415</v>
      </c>
      <c r="X24" s="433">
        <f t="shared" si="27"/>
        <v>4879.6622569092415</v>
      </c>
      <c r="Y24" s="437"/>
      <c r="Z24" s="391"/>
      <c r="AA24" s="438"/>
    </row>
    <row r="25" spans="2:29" s="21" customFormat="1" ht="13.5" x14ac:dyDescent="0.25">
      <c r="B25" s="277"/>
      <c r="C25" s="277"/>
      <c r="D25" s="283" t="s">
        <v>3314</v>
      </c>
      <c r="E25" s="281"/>
      <c r="F25" s="281"/>
      <c r="G25" s="281"/>
      <c r="H25" s="281">
        <f>+U82</f>
        <v>20</v>
      </c>
      <c r="I25" s="281">
        <f t="shared" ref="I25:K25" si="28">+V82</f>
        <v>22</v>
      </c>
      <c r="J25" s="281">
        <f t="shared" si="28"/>
        <v>50</v>
      </c>
      <c r="K25" s="281">
        <f t="shared" si="28"/>
        <v>79.056941504209448</v>
      </c>
      <c r="L25" s="282">
        <f t="shared" si="1"/>
        <v>0</v>
      </c>
      <c r="M25" s="281"/>
      <c r="O25" s="369"/>
      <c r="P25" s="349" t="s">
        <v>3380</v>
      </c>
      <c r="Q25" s="397"/>
      <c r="R25" s="397"/>
      <c r="S25" s="397"/>
      <c r="T25" s="397"/>
      <c r="U25" s="1483"/>
      <c r="V25" s="1483"/>
      <c r="W25" s="1483"/>
      <c r="X25" s="1484"/>
      <c r="Y25" s="397"/>
      <c r="Z25" s="397"/>
      <c r="AA25" s="430"/>
    </row>
    <row r="26" spans="2:29" s="21" customFormat="1" ht="13.5" x14ac:dyDescent="0.25">
      <c r="B26" s="277"/>
      <c r="C26" s="284"/>
      <c r="D26" s="285"/>
      <c r="E26" s="286"/>
      <c r="F26" s="286"/>
      <c r="G26" s="286"/>
      <c r="H26" s="286"/>
      <c r="I26" s="286"/>
      <c r="J26" s="286"/>
      <c r="K26" s="286"/>
      <c r="L26" s="287">
        <f t="shared" si="1"/>
        <v>0</v>
      </c>
      <c r="M26" s="286"/>
      <c r="O26" s="369"/>
      <c r="P26" s="374"/>
      <c r="Q26" s="375" t="s">
        <v>31</v>
      </c>
      <c r="R26" s="431">
        <v>8808.0918011155754</v>
      </c>
      <c r="S26" s="431">
        <f>+F11/S13*1000</f>
        <v>9249.6891952940805</v>
      </c>
      <c r="T26" s="432">
        <v>6879.2246965226122</v>
      </c>
      <c r="U26" s="432">
        <v>7329.2246965226113</v>
      </c>
      <c r="V26" s="432">
        <v>7419.2246965226132</v>
      </c>
      <c r="W26" s="432">
        <v>7479.2246965226122</v>
      </c>
      <c r="X26" s="433">
        <f t="shared" ref="X26" si="29">$T$26*(1-X19)+(($T$26+X18)*X19)</f>
        <v>7539.2246965226122</v>
      </c>
      <c r="Y26" s="435"/>
      <c r="Z26" s="436"/>
      <c r="AA26" s="430"/>
    </row>
    <row r="27" spans="2:29" s="21" customFormat="1" ht="13.5" x14ac:dyDescent="0.25">
      <c r="B27" s="262" t="s">
        <v>44</v>
      </c>
      <c r="C27" s="263"/>
      <c r="D27" s="264"/>
      <c r="E27" s="265">
        <f>SUM(E28,E33,E38,E42,E46)</f>
        <v>974.1159339400001</v>
      </c>
      <c r="F27" s="439">
        <f t="shared" ref="F27:K27" si="30">SUM(F28,F33,F38,F42,F46)</f>
        <v>909.47265644526067</v>
      </c>
      <c r="G27" s="265">
        <f t="shared" si="30"/>
        <v>953.71126558550202</v>
      </c>
      <c r="H27" s="265">
        <f t="shared" si="30"/>
        <v>1251.0905364089697</v>
      </c>
      <c r="I27" s="265">
        <f t="shared" si="30"/>
        <v>1488.9494681483172</v>
      </c>
      <c r="J27" s="265">
        <f t="shared" si="30"/>
        <v>1825.2700697906221</v>
      </c>
      <c r="K27" s="265">
        <f t="shared" si="30"/>
        <v>2134.4418628518201</v>
      </c>
      <c r="L27" s="266">
        <f t="shared" si="1"/>
        <v>0.18603890924956223</v>
      </c>
      <c r="M27" s="266"/>
      <c r="N27" s="267"/>
      <c r="O27" s="369"/>
      <c r="P27" s="374"/>
      <c r="Q27" s="383" t="s">
        <v>32</v>
      </c>
      <c r="R27" s="431">
        <v>5373.320203691379</v>
      </c>
      <c r="S27" s="431">
        <f t="shared" ref="S27:S28" si="31">+F12/S14*1000</f>
        <v>7157.8449246626551</v>
      </c>
      <c r="T27" s="432">
        <v>5464.9901709217229</v>
      </c>
      <c r="U27" s="440">
        <v>5914.9901709217229</v>
      </c>
      <c r="V27" s="440">
        <v>6004.9901709217229</v>
      </c>
      <c r="W27" s="440">
        <v>6064.9901709217229</v>
      </c>
      <c r="X27" s="441">
        <f t="shared" ref="X27" si="32">$T$27*(1-X19)+(($T$27+X18)*X19)</f>
        <v>6124.9901709217229</v>
      </c>
      <c r="Y27" s="442"/>
      <c r="Z27" s="443"/>
      <c r="AA27" s="444" t="s">
        <v>3396</v>
      </c>
    </row>
    <row r="28" spans="2:29" s="21" customFormat="1" ht="13.5" x14ac:dyDescent="0.25">
      <c r="B28" s="268"/>
      <c r="C28" s="269" t="s">
        <v>3368</v>
      </c>
      <c r="D28" s="270"/>
      <c r="E28" s="271">
        <f>SUM(E29:E32)</f>
        <v>702.37597817000005</v>
      </c>
      <c r="F28" s="271">
        <f t="shared" ref="F28:G28" si="33">SUM(F29:F32)</f>
        <v>662.58824632334063</v>
      </c>
      <c r="G28" s="271">
        <f t="shared" si="33"/>
        <v>634.51813195684724</v>
      </c>
      <c r="H28" s="271">
        <f>SUM(H29:H32)</f>
        <v>748.75135402376588</v>
      </c>
      <c r="I28" s="271">
        <f t="shared" ref="I28:K28" si="34">SUM(I29:I32)</f>
        <v>835.90728338999372</v>
      </c>
      <c r="J28" s="271">
        <f t="shared" si="34"/>
        <v>929.30109652666636</v>
      </c>
      <c r="K28" s="271">
        <f t="shared" si="34"/>
        <v>1033.365232716885</v>
      </c>
      <c r="L28" s="272">
        <f t="shared" si="1"/>
        <v>9.2954351751540543E-2</v>
      </c>
      <c r="M28" s="419"/>
      <c r="N28" s="267"/>
      <c r="O28" s="369"/>
      <c r="P28" s="400"/>
      <c r="Q28" s="391" t="s">
        <v>3382</v>
      </c>
      <c r="R28" s="445">
        <v>8366.3861279766206</v>
      </c>
      <c r="S28" s="446">
        <f t="shared" si="31"/>
        <v>1341.9164249834835</v>
      </c>
      <c r="T28" s="447">
        <v>606.49813781799878</v>
      </c>
      <c r="U28" s="448">
        <v>1000</v>
      </c>
      <c r="V28" s="448">
        <v>1000</v>
      </c>
      <c r="W28" s="448">
        <v>1000</v>
      </c>
      <c r="X28" s="448">
        <v>1000</v>
      </c>
      <c r="Y28" s="448"/>
      <c r="Z28" s="391"/>
      <c r="AA28" s="449" t="s">
        <v>3397</v>
      </c>
    </row>
    <row r="29" spans="2:29" s="21" customFormat="1" ht="13.5" x14ac:dyDescent="0.3">
      <c r="B29" s="277"/>
      <c r="C29" s="277"/>
      <c r="D29" s="278" t="s">
        <v>27</v>
      </c>
      <c r="E29" s="275">
        <v>667.07611304</v>
      </c>
      <c r="F29" s="275">
        <v>637.71179797969705</v>
      </c>
      <c r="G29" s="275">
        <v>598.30137105205802</v>
      </c>
      <c r="H29" s="275">
        <f>+H6*U$36</f>
        <v>711.61949849213511</v>
      </c>
      <c r="I29" s="275">
        <f t="shared" ref="I29:K29" si="35">+I6*V$36</f>
        <v>797.79398586382717</v>
      </c>
      <c r="J29" s="275">
        <f t="shared" si="35"/>
        <v>890.1409418893893</v>
      </c>
      <c r="K29" s="275">
        <f t="shared" si="35"/>
        <v>993.09345912518461</v>
      </c>
      <c r="L29" s="276">
        <f t="shared" si="1"/>
        <v>9.2630033515110677E-2</v>
      </c>
      <c r="M29" s="275"/>
      <c r="N29" s="267"/>
      <c r="O29" s="1778" t="s">
        <v>3398</v>
      </c>
      <c r="P29" s="1779"/>
      <c r="Q29" s="1783"/>
      <c r="R29" s="427"/>
      <c r="S29" s="427"/>
      <c r="T29" s="427"/>
      <c r="U29" s="427"/>
      <c r="V29" s="427"/>
      <c r="W29" s="427"/>
      <c r="X29" s="427"/>
      <c r="Y29" s="427"/>
      <c r="Z29" s="428"/>
      <c r="AA29" s="450"/>
    </row>
    <row r="30" spans="2:29" s="21" customFormat="1" ht="13.5" x14ac:dyDescent="0.25">
      <c r="B30" s="277"/>
      <c r="C30" s="277"/>
      <c r="D30" s="283" t="s">
        <v>28</v>
      </c>
      <c r="E30" s="281">
        <v>27.186635549999998</v>
      </c>
      <c r="F30" s="281">
        <v>19.807279958581955</v>
      </c>
      <c r="G30" s="281">
        <v>33.477193212773599</v>
      </c>
      <c r="H30" s="281">
        <f t="shared" ref="H30:K31" si="36">+H7*U$36</f>
        <v>34.653916554202588</v>
      </c>
      <c r="I30" s="281">
        <f t="shared" si="36"/>
        <v>35.87200172108281</v>
      </c>
      <c r="J30" s="281">
        <f t="shared" si="36"/>
        <v>37.132902581578861</v>
      </c>
      <c r="K30" s="281">
        <f t="shared" si="36"/>
        <v>38.438124107321357</v>
      </c>
      <c r="L30" s="282">
        <f t="shared" si="1"/>
        <v>0.14179324395117798</v>
      </c>
      <c r="M30" s="281"/>
      <c r="N30" s="267"/>
      <c r="O30" s="369"/>
      <c r="P30" s="451" t="s">
        <v>3399</v>
      </c>
      <c r="Q30" s="350"/>
      <c r="R30" s="452"/>
      <c r="S30" s="453"/>
      <c r="T30" s="454">
        <v>0.35</v>
      </c>
      <c r="U30" s="455">
        <f t="shared" ref="U30:W31" si="37">+T30*(1+$Y30)</f>
        <v>0.41888593641199695</v>
      </c>
      <c r="V30" s="455">
        <f t="shared" si="37"/>
        <v>0.50132979349644446</v>
      </c>
      <c r="W30" s="455">
        <f t="shared" si="37"/>
        <v>0.59999999999997489</v>
      </c>
      <c r="X30" s="455">
        <f>W30</f>
        <v>0.59999999999997489</v>
      </c>
      <c r="Y30" s="454">
        <v>0.19681696117713418</v>
      </c>
      <c r="Z30" s="417"/>
      <c r="AA30" s="418" t="s">
        <v>3393</v>
      </c>
    </row>
    <row r="31" spans="2:29" s="21" customFormat="1" ht="13.5" x14ac:dyDescent="0.25">
      <c r="B31" s="277"/>
      <c r="C31" s="277"/>
      <c r="D31" s="283" t="s">
        <v>29</v>
      </c>
      <c r="E31" s="281">
        <v>8.1132295800000005</v>
      </c>
      <c r="F31" s="281">
        <v>5.0691683850615981</v>
      </c>
      <c r="G31" s="281">
        <v>2.7395676920156373</v>
      </c>
      <c r="H31" s="281">
        <f t="shared" si="36"/>
        <v>2.4779389774281437</v>
      </c>
      <c r="I31" s="281">
        <f t="shared" si="36"/>
        <v>2.2412958050837561</v>
      </c>
      <c r="J31" s="281">
        <f t="shared" si="36"/>
        <v>2.0272520556982569</v>
      </c>
      <c r="K31" s="281">
        <f t="shared" si="36"/>
        <v>1.8336494843790732</v>
      </c>
      <c r="L31" s="282">
        <f t="shared" si="1"/>
        <v>-0.18402675174870697</v>
      </c>
      <c r="M31" s="281"/>
      <c r="N31" s="267"/>
      <c r="O31" s="369"/>
      <c r="P31" s="456" t="s">
        <v>3400</v>
      </c>
      <c r="Q31" s="457"/>
      <c r="R31" s="458"/>
      <c r="S31" s="459">
        <v>0</v>
      </c>
      <c r="T31" s="460">
        <v>0.1</v>
      </c>
      <c r="U31" s="461">
        <f t="shared" si="37"/>
        <v>0.1357208808297439</v>
      </c>
      <c r="V31" s="461">
        <f t="shared" si="37"/>
        <v>0.18420157493201544</v>
      </c>
      <c r="W31" s="461">
        <f t="shared" si="37"/>
        <v>0.24999999999999209</v>
      </c>
      <c r="X31" s="461">
        <f>W31</f>
        <v>0.24999999999999209</v>
      </c>
      <c r="Y31" s="460">
        <v>0.35720880829743901</v>
      </c>
      <c r="Z31" s="462"/>
      <c r="AA31" s="463"/>
    </row>
    <row r="32" spans="2:29" s="21" customFormat="1" ht="13.5" x14ac:dyDescent="0.25">
      <c r="B32" s="277"/>
      <c r="C32" s="284"/>
      <c r="D32" s="285"/>
      <c r="E32" s="286"/>
      <c r="F32" s="286"/>
      <c r="G32" s="286"/>
      <c r="H32" s="286"/>
      <c r="I32" s="286"/>
      <c r="J32" s="286"/>
      <c r="K32" s="286"/>
      <c r="L32" s="287">
        <f t="shared" si="1"/>
        <v>0</v>
      </c>
      <c r="M32" s="286"/>
      <c r="O32" s="369"/>
      <c r="P32" s="464"/>
      <c r="Q32" s="465" t="s">
        <v>3401</v>
      </c>
      <c r="R32" s="466"/>
      <c r="S32" s="467">
        <v>0</v>
      </c>
      <c r="T32" s="468">
        <v>1758.8240564588884</v>
      </c>
      <c r="U32" s="469">
        <f t="shared" ref="U32:W32" si="38">+T32*(1+$Y$32)</f>
        <v>2312.9607436118231</v>
      </c>
      <c r="V32" s="469">
        <f t="shared" si="38"/>
        <v>3041.6842331917505</v>
      </c>
      <c r="W32" s="469">
        <f t="shared" si="38"/>
        <v>3999.9999999999977</v>
      </c>
      <c r="X32" s="469">
        <f>W32</f>
        <v>3999.9999999999977</v>
      </c>
      <c r="Y32" s="460">
        <v>0.31506089828484635</v>
      </c>
      <c r="Z32" s="470"/>
      <c r="AA32" s="471" t="s">
        <v>3402</v>
      </c>
    </row>
    <row r="33" spans="2:27" s="21" customFormat="1" ht="13.5" x14ac:dyDescent="0.3">
      <c r="B33" s="277"/>
      <c r="C33" s="269" t="s">
        <v>30</v>
      </c>
      <c r="D33" s="270"/>
      <c r="E33" s="271">
        <f>SUM(E34:E37)</f>
        <v>271.73995576999999</v>
      </c>
      <c r="F33" s="472">
        <f t="shared" ref="F33:G33" si="39">SUM(F34:F37)</f>
        <v>246.87241012192007</v>
      </c>
      <c r="G33" s="271">
        <f t="shared" si="39"/>
        <v>306.56125925516699</v>
      </c>
      <c r="H33" s="271">
        <f>SUM(H34:H37)</f>
        <v>475.35631694987421</v>
      </c>
      <c r="I33" s="271">
        <f t="shared" ref="I33:K33" si="40">SUM(I34:I37)</f>
        <v>583.87667481982578</v>
      </c>
      <c r="J33" s="271">
        <f t="shared" si="40"/>
        <v>718.67617326396874</v>
      </c>
      <c r="K33" s="271">
        <f t="shared" si="40"/>
        <v>888.32527013495098</v>
      </c>
      <c r="L33" s="272">
        <f t="shared" si="1"/>
        <v>0.29187320917699422</v>
      </c>
      <c r="M33" s="419"/>
      <c r="O33" s="1778" t="s">
        <v>3403</v>
      </c>
      <c r="P33" s="1779"/>
      <c r="Q33" s="1783"/>
      <c r="R33" s="427"/>
      <c r="S33" s="427"/>
      <c r="T33" s="427"/>
      <c r="U33" s="473">
        <f>+$Y$33</f>
        <v>5.3999999999999999E-2</v>
      </c>
      <c r="V33" s="473">
        <f t="shared" ref="V33:X33" si="41">+$Y$33</f>
        <v>5.3999999999999999E-2</v>
      </c>
      <c r="W33" s="473">
        <f t="shared" si="41"/>
        <v>5.3999999999999999E-2</v>
      </c>
      <c r="X33" s="473">
        <f t="shared" si="41"/>
        <v>5.3999999999999999E-2</v>
      </c>
      <c r="Y33" s="474">
        <v>5.3999999999999999E-2</v>
      </c>
      <c r="Z33" s="428"/>
      <c r="AA33" s="450"/>
    </row>
    <row r="34" spans="2:27" s="21" customFormat="1" ht="13.5" x14ac:dyDescent="0.3">
      <c r="B34" s="277"/>
      <c r="C34" s="277"/>
      <c r="D34" s="278" t="s">
        <v>31</v>
      </c>
      <c r="E34" s="275">
        <v>127.96745582</v>
      </c>
      <c r="F34" s="275">
        <v>117.49104701294122</v>
      </c>
      <c r="G34" s="275">
        <f>+G11*T$37</f>
        <v>116.56350973117084</v>
      </c>
      <c r="H34" s="275">
        <f>+H11*U$37</f>
        <v>136.60727932518219</v>
      </c>
      <c r="I34" s="275">
        <f t="shared" ref="I34:K34" si="42">+I11*V$37</f>
        <v>152.11323935429721</v>
      </c>
      <c r="J34" s="275">
        <f t="shared" si="42"/>
        <v>168.6777334938979</v>
      </c>
      <c r="K34" s="275">
        <f t="shared" si="42"/>
        <v>187.03399406787571</v>
      </c>
      <c r="L34" s="276">
        <f t="shared" si="1"/>
        <v>9.7445987188409466E-2</v>
      </c>
      <c r="M34" s="275"/>
      <c r="O34" s="1778" t="s">
        <v>44</v>
      </c>
      <c r="P34" s="1779"/>
      <c r="Q34" s="1783"/>
      <c r="R34" s="427"/>
      <c r="S34" s="427"/>
      <c r="T34" s="427"/>
      <c r="U34" s="427"/>
      <c r="V34" s="427"/>
      <c r="W34" s="427"/>
      <c r="X34" s="427"/>
      <c r="Y34" s="427"/>
      <c r="Z34" s="428"/>
      <c r="AA34" s="450"/>
    </row>
    <row r="35" spans="2:27" s="21" customFormat="1" ht="13.5" x14ac:dyDescent="0.25">
      <c r="B35" s="277"/>
      <c r="C35" s="277"/>
      <c r="D35" s="283" t="s">
        <v>32</v>
      </c>
      <c r="E35" s="281">
        <v>112.36734047</v>
      </c>
      <c r="F35" s="281">
        <v>106.18960566590424</v>
      </c>
      <c r="G35" s="281">
        <f t="shared" ref="G35:K36" si="43">+G12*T$37</f>
        <v>81.101988991728888</v>
      </c>
      <c r="H35" s="281">
        <f t="shared" si="43"/>
        <v>105.3361384503356</v>
      </c>
      <c r="I35" s="281">
        <f t="shared" si="43"/>
        <v>128.32666653886534</v>
      </c>
      <c r="J35" s="281">
        <f t="shared" si="43"/>
        <v>155.5306401654085</v>
      </c>
      <c r="K35" s="281">
        <f t="shared" si="43"/>
        <v>188.48313658101429</v>
      </c>
      <c r="L35" s="282">
        <f t="shared" si="1"/>
        <v>0.12160025266385843</v>
      </c>
      <c r="M35" s="281"/>
      <c r="O35" s="369"/>
      <c r="P35" s="349" t="s">
        <v>3404</v>
      </c>
      <c r="Q35" s="350"/>
      <c r="R35" s="475"/>
      <c r="S35" s="475"/>
      <c r="T35" s="475"/>
      <c r="U35" s="475"/>
      <c r="V35" s="475"/>
      <c r="W35" s="475"/>
      <c r="X35" s="475"/>
      <c r="Y35" s="475"/>
      <c r="Z35" s="476"/>
      <c r="AA35" s="418"/>
    </row>
    <row r="36" spans="2:27" s="21" customFormat="1" ht="13.5" x14ac:dyDescent="0.25">
      <c r="B36" s="277"/>
      <c r="C36" s="277"/>
      <c r="D36" s="283" t="s">
        <v>33</v>
      </c>
      <c r="E36" s="281">
        <v>31.405159479999998</v>
      </c>
      <c r="F36" s="281">
        <v>23.191757443074618</v>
      </c>
      <c r="G36" s="281">
        <f t="shared" si="43"/>
        <v>108.89576053226726</v>
      </c>
      <c r="H36" s="281">
        <f t="shared" si="43"/>
        <v>233.4128991743564</v>
      </c>
      <c r="I36" s="281">
        <f t="shared" si="43"/>
        <v>303.43676892666326</v>
      </c>
      <c r="J36" s="281">
        <f t="shared" si="43"/>
        <v>394.46779960466233</v>
      </c>
      <c r="K36" s="281">
        <f t="shared" si="43"/>
        <v>512.80813948606101</v>
      </c>
      <c r="L36" s="282">
        <f t="shared" si="1"/>
        <v>0.85748044328268547</v>
      </c>
      <c r="M36" s="281"/>
      <c r="O36" s="369"/>
      <c r="P36" s="477"/>
      <c r="Q36" s="478" t="s">
        <v>26</v>
      </c>
      <c r="R36" s="479">
        <v>0.75140612557892283</v>
      </c>
      <c r="S36" s="480">
        <f>+F28/F5</f>
        <v>0.79479735614834279</v>
      </c>
      <c r="T36" s="481">
        <v>0.77001463455863328</v>
      </c>
      <c r="U36" s="482">
        <f>+T36*(1+$Y36)</f>
        <v>0.77386470773142635</v>
      </c>
      <c r="V36" s="482">
        <f>+U36*(1+$Y36)</f>
        <v>0.77773403127008345</v>
      </c>
      <c r="W36" s="482">
        <f>+V36*(1+$Y36)</f>
        <v>0.78162270142643375</v>
      </c>
      <c r="X36" s="482">
        <f>+W36*(1+$Y36)</f>
        <v>0.7855308149335658</v>
      </c>
      <c r="Y36" s="483">
        <v>5.0000000000000001E-3</v>
      </c>
      <c r="AA36" s="434"/>
    </row>
    <row r="37" spans="2:27" s="21" customFormat="1" ht="13.5" x14ac:dyDescent="0.25">
      <c r="B37" s="277"/>
      <c r="C37" s="284"/>
      <c r="D37" s="285"/>
      <c r="E37" s="286"/>
      <c r="F37" s="286"/>
      <c r="G37" s="286"/>
      <c r="H37" s="286"/>
      <c r="I37" s="286"/>
      <c r="J37" s="286"/>
      <c r="K37" s="286"/>
      <c r="L37" s="287">
        <f t="shared" si="1"/>
        <v>0</v>
      </c>
      <c r="M37" s="286"/>
      <c r="O37" s="369"/>
      <c r="P37" s="374"/>
      <c r="Q37" s="484" t="s">
        <v>3405</v>
      </c>
      <c r="R37" s="385"/>
      <c r="S37" s="485">
        <f>+F33/F10</f>
        <v>0.76253178017200995</v>
      </c>
      <c r="T37" s="486">
        <v>0.71861730596604101</v>
      </c>
      <c r="U37" s="487">
        <f>+T37</f>
        <v>0.71861730596604101</v>
      </c>
      <c r="V37" s="487">
        <f t="shared" ref="V37:X37" si="44">+U37</f>
        <v>0.71861730596604101</v>
      </c>
      <c r="W37" s="487">
        <f t="shared" si="44"/>
        <v>0.71861730596604101</v>
      </c>
      <c r="X37" s="487">
        <f t="shared" si="44"/>
        <v>0.71861730596604101</v>
      </c>
      <c r="Y37" s="487"/>
      <c r="Z37" s="487"/>
      <c r="AA37" s="418"/>
    </row>
    <row r="38" spans="2:27" s="21" customFormat="1" ht="13.5" x14ac:dyDescent="0.25">
      <c r="B38" s="277"/>
      <c r="C38" s="269" t="s">
        <v>1527</v>
      </c>
      <c r="D38" s="270"/>
      <c r="E38" s="271">
        <f>SUM(E39:E41)</f>
        <v>0</v>
      </c>
      <c r="F38" s="271">
        <f t="shared" ref="F38:K38" si="45">SUM(F39:F41)</f>
        <v>1.2E-2</v>
      </c>
      <c r="G38" s="271">
        <f t="shared" si="45"/>
        <v>0</v>
      </c>
      <c r="H38" s="271">
        <f t="shared" si="45"/>
        <v>0</v>
      </c>
      <c r="I38" s="271">
        <f t="shared" si="45"/>
        <v>0</v>
      </c>
      <c r="J38" s="271">
        <f t="shared" si="45"/>
        <v>0</v>
      </c>
      <c r="K38" s="271">
        <f t="shared" si="45"/>
        <v>0</v>
      </c>
      <c r="L38" s="272">
        <f t="shared" si="1"/>
        <v>-1</v>
      </c>
      <c r="M38" s="271"/>
      <c r="O38" s="369"/>
      <c r="P38" s="374"/>
      <c r="Q38" s="488" t="s">
        <v>3406</v>
      </c>
      <c r="R38" s="385"/>
      <c r="S38" s="489"/>
      <c r="T38" s="489"/>
      <c r="U38" s="489"/>
      <c r="V38" s="489"/>
      <c r="W38" s="489"/>
      <c r="X38" s="489"/>
      <c r="Y38" s="489"/>
      <c r="Z38" s="490"/>
      <c r="AA38" s="491" t="s">
        <v>3407</v>
      </c>
    </row>
    <row r="39" spans="2:27" s="21" customFormat="1" ht="13.5" x14ac:dyDescent="0.25">
      <c r="B39" s="277"/>
      <c r="C39" s="277"/>
      <c r="D39" s="278" t="s">
        <v>3384</v>
      </c>
      <c r="E39" s="275"/>
      <c r="F39" s="275">
        <v>0</v>
      </c>
      <c r="G39" s="275"/>
      <c r="H39" s="275">
        <v>0</v>
      </c>
      <c r="I39" s="275">
        <v>0</v>
      </c>
      <c r="J39" s="275">
        <v>0</v>
      </c>
      <c r="K39" s="275">
        <v>0</v>
      </c>
      <c r="L39" s="276">
        <f t="shared" si="1"/>
        <v>0</v>
      </c>
      <c r="M39" s="275"/>
      <c r="O39" s="369"/>
      <c r="P39" s="349" t="s">
        <v>3408</v>
      </c>
      <c r="Q39" s="350"/>
      <c r="R39" s="414"/>
      <c r="S39" s="492"/>
      <c r="T39" s="492"/>
      <c r="U39" s="492"/>
      <c r="V39" s="492"/>
      <c r="W39" s="492"/>
      <c r="X39" s="492"/>
      <c r="Y39" s="492"/>
      <c r="Z39" s="493"/>
      <c r="AA39" s="418"/>
    </row>
    <row r="40" spans="2:27" s="21" customFormat="1" ht="13.5" x14ac:dyDescent="0.25">
      <c r="B40" s="277"/>
      <c r="C40" s="277"/>
      <c r="D40" s="283" t="s">
        <v>3387</v>
      </c>
      <c r="E40" s="281"/>
      <c r="F40" s="281">
        <v>0</v>
      </c>
      <c r="G40" s="281"/>
      <c r="H40" s="281">
        <v>0</v>
      </c>
      <c r="I40" s="281">
        <v>0</v>
      </c>
      <c r="J40" s="281">
        <v>0</v>
      </c>
      <c r="K40" s="281">
        <v>0</v>
      </c>
      <c r="L40" s="282">
        <f t="shared" si="1"/>
        <v>0</v>
      </c>
      <c r="M40" s="281"/>
      <c r="O40" s="369"/>
      <c r="P40" s="494"/>
      <c r="Q40" s="478" t="s">
        <v>3409</v>
      </c>
      <c r="R40" s="480"/>
      <c r="S40" s="480"/>
      <c r="T40" s="380">
        <v>0.6</v>
      </c>
      <c r="U40" s="482">
        <f>+T40</f>
        <v>0.6</v>
      </c>
      <c r="V40" s="482">
        <f t="shared" ref="V40:X40" si="46">+U40</f>
        <v>0.6</v>
      </c>
      <c r="W40" s="482">
        <f t="shared" si="46"/>
        <v>0.6</v>
      </c>
      <c r="X40" s="482">
        <f t="shared" si="46"/>
        <v>0.6</v>
      </c>
      <c r="Y40" s="482"/>
      <c r="Z40" s="495"/>
      <c r="AA40" s="496"/>
    </row>
    <row r="41" spans="2:27" s="21" customFormat="1" ht="13.5" x14ac:dyDescent="0.25">
      <c r="B41" s="277"/>
      <c r="C41" s="284"/>
      <c r="D41" s="285" t="s">
        <v>71</v>
      </c>
      <c r="E41" s="286"/>
      <c r="F41" s="286">
        <v>1.2E-2</v>
      </c>
      <c r="G41" s="286"/>
      <c r="H41" s="286">
        <v>0</v>
      </c>
      <c r="I41" s="286">
        <v>0</v>
      </c>
      <c r="J41" s="286">
        <v>0</v>
      </c>
      <c r="K41" s="286">
        <v>0</v>
      </c>
      <c r="L41" s="287">
        <f t="shared" si="1"/>
        <v>-1</v>
      </c>
      <c r="M41" s="286"/>
      <c r="O41" s="403"/>
      <c r="P41" s="400"/>
      <c r="Q41" s="488" t="s">
        <v>3410</v>
      </c>
      <c r="R41" s="392"/>
      <c r="S41" s="497"/>
      <c r="T41" s="498"/>
      <c r="U41" s="498"/>
      <c r="V41" s="498"/>
      <c r="W41" s="498"/>
      <c r="X41" s="498"/>
      <c r="Y41" s="498"/>
      <c r="Z41" s="498"/>
      <c r="AA41" s="418"/>
    </row>
    <row r="42" spans="2:27" s="21" customFormat="1" ht="13.5" x14ac:dyDescent="0.3">
      <c r="B42" s="277"/>
      <c r="C42" s="269" t="s">
        <v>67</v>
      </c>
      <c r="D42" s="270"/>
      <c r="E42" s="271">
        <f>SUM(E43:E45)</f>
        <v>0</v>
      </c>
      <c r="F42" s="271">
        <f t="shared" ref="F42:K42" si="47">SUM(F43:F45)</f>
        <v>0</v>
      </c>
      <c r="G42" s="271">
        <f t="shared" si="47"/>
        <v>12.631874373487738</v>
      </c>
      <c r="H42" s="271">
        <f t="shared" si="47"/>
        <v>26.982865435329533</v>
      </c>
      <c r="I42" s="271">
        <f t="shared" si="47"/>
        <v>69.165509938497792</v>
      </c>
      <c r="J42" s="271">
        <f t="shared" si="47"/>
        <v>177.29279999998687</v>
      </c>
      <c r="K42" s="271">
        <f t="shared" si="47"/>
        <v>212.75135999998423</v>
      </c>
      <c r="L42" s="272">
        <f t="shared" si="1"/>
        <v>0</v>
      </c>
      <c r="M42" s="419" t="s">
        <v>3411</v>
      </c>
      <c r="O42" s="1778" t="s">
        <v>3325</v>
      </c>
      <c r="P42" s="1779"/>
      <c r="Q42" s="1783"/>
      <c r="R42" s="499"/>
      <c r="S42" s="427"/>
      <c r="T42" s="427">
        <f>+SUM(T43:T46,T50)</f>
        <v>431.23454161917698</v>
      </c>
      <c r="U42" s="427">
        <f t="shared" ref="U42:X42" si="48">+SUM(U43:U46,U50)</f>
        <v>450.37184184261667</v>
      </c>
      <c r="V42" s="427">
        <f t="shared" si="48"/>
        <v>469.31770946119906</v>
      </c>
      <c r="W42" s="427">
        <f t="shared" si="48"/>
        <v>498.22565963227635</v>
      </c>
      <c r="X42" s="427">
        <f t="shared" si="48"/>
        <v>549.67314434933701</v>
      </c>
      <c r="Y42" s="427"/>
      <c r="Z42" s="427"/>
      <c r="AA42" s="500"/>
    </row>
    <row r="43" spans="2:27" s="21" customFormat="1" ht="13.5" x14ac:dyDescent="0.3">
      <c r="B43" s="277"/>
      <c r="C43" s="277"/>
      <c r="D43" s="278" t="s">
        <v>67</v>
      </c>
      <c r="E43" s="275"/>
      <c r="F43" s="275">
        <v>0</v>
      </c>
      <c r="G43" s="275">
        <v>12.631874373487738</v>
      </c>
      <c r="H43" s="275">
        <f>+H20*U40</f>
        <v>26.982865435329533</v>
      </c>
      <c r="I43" s="275">
        <f t="shared" ref="I43:K43" si="49">+I20*V40</f>
        <v>69.165509938497792</v>
      </c>
      <c r="J43" s="275">
        <f t="shared" si="49"/>
        <v>177.29279999998687</v>
      </c>
      <c r="K43" s="275">
        <f t="shared" si="49"/>
        <v>212.75135999998423</v>
      </c>
      <c r="L43" s="276">
        <f t="shared" si="1"/>
        <v>0</v>
      </c>
      <c r="M43" s="275"/>
      <c r="O43" s="501"/>
      <c r="P43" s="502" t="s">
        <v>3412</v>
      </c>
      <c r="Q43" s="503"/>
      <c r="R43" s="504">
        <f t="shared" ref="R43:R46" si="50">+E74</f>
        <v>128.20450575736038</v>
      </c>
      <c r="S43" s="505">
        <v>142.83260263552086</v>
      </c>
      <c r="T43" s="506">
        <v>171.51876350321632</v>
      </c>
      <c r="U43" s="506">
        <v>181.02236279246307</v>
      </c>
      <c r="V43" s="506">
        <v>192.00563880237561</v>
      </c>
      <c r="W43" s="506">
        <v>203.64492488593064</v>
      </c>
      <c r="X43" s="505">
        <f t="shared" ref="X43:X45" si="51">+W43*(1+$Y43)</f>
        <v>213.82717113022719</v>
      </c>
      <c r="Y43" s="507">
        <v>0.05</v>
      </c>
      <c r="Z43" s="505"/>
      <c r="AA43" s="508"/>
    </row>
    <row r="44" spans="2:27" s="21" customFormat="1" ht="13.5" x14ac:dyDescent="0.3">
      <c r="B44" s="277"/>
      <c r="C44" s="277"/>
      <c r="D44" s="283"/>
      <c r="E44" s="281">
        <v>0</v>
      </c>
      <c r="F44" s="281"/>
      <c r="G44" s="281"/>
      <c r="H44" s="281"/>
      <c r="I44" s="281"/>
      <c r="J44" s="281"/>
      <c r="K44" s="281"/>
      <c r="L44" s="282">
        <f t="shared" si="1"/>
        <v>0</v>
      </c>
      <c r="M44" s="281"/>
      <c r="O44" s="501"/>
      <c r="P44" s="306" t="s">
        <v>3413</v>
      </c>
      <c r="Q44" s="509"/>
      <c r="R44" s="510">
        <f t="shared" si="50"/>
        <v>19.498235992332184</v>
      </c>
      <c r="S44" s="511">
        <v>21.257449839472805</v>
      </c>
      <c r="T44" s="512">
        <v>26.690236173333329</v>
      </c>
      <c r="U44" s="511">
        <f t="shared" ref="U44:W45" si="52">+T44*(1+$Y44)</f>
        <v>27.891296801133326</v>
      </c>
      <c r="V44" s="511">
        <f t="shared" si="52"/>
        <v>29.146405157184322</v>
      </c>
      <c r="W44" s="511">
        <f t="shared" si="52"/>
        <v>30.457993389257613</v>
      </c>
      <c r="X44" s="511">
        <f t="shared" si="51"/>
        <v>31.828603091774202</v>
      </c>
      <c r="Y44" s="513">
        <v>4.4999999999999998E-2</v>
      </c>
      <c r="Z44" s="511"/>
      <c r="AA44" s="301"/>
    </row>
    <row r="45" spans="2:27" s="21" customFormat="1" ht="13.5" x14ac:dyDescent="0.3">
      <c r="B45" s="277"/>
      <c r="C45" s="284"/>
      <c r="D45" s="285"/>
      <c r="E45" s="286">
        <v>0</v>
      </c>
      <c r="F45" s="286"/>
      <c r="G45" s="286"/>
      <c r="H45" s="286"/>
      <c r="I45" s="286"/>
      <c r="J45" s="286"/>
      <c r="K45" s="286"/>
      <c r="L45" s="287">
        <f t="shared" si="1"/>
        <v>0</v>
      </c>
      <c r="M45" s="286"/>
      <c r="O45" s="501"/>
      <c r="P45" s="306" t="s">
        <v>3414</v>
      </c>
      <c r="Q45" s="509"/>
      <c r="R45" s="510">
        <f t="shared" si="50"/>
        <v>44.008868469999996</v>
      </c>
      <c r="S45" s="511">
        <v>54.206860489999997</v>
      </c>
      <c r="T45" s="512">
        <v>61.088999999999999</v>
      </c>
      <c r="U45" s="511">
        <f t="shared" si="52"/>
        <v>62.616224999999993</v>
      </c>
      <c r="V45" s="511">
        <f t="shared" si="52"/>
        <v>64.181630624999983</v>
      </c>
      <c r="W45" s="511">
        <f t="shared" si="52"/>
        <v>65.786171390624972</v>
      </c>
      <c r="X45" s="511">
        <f t="shared" si="51"/>
        <v>67.430825675390594</v>
      </c>
      <c r="Y45" s="513">
        <v>2.5000000000000001E-2</v>
      </c>
      <c r="Z45" s="511"/>
      <c r="AA45" s="301"/>
    </row>
    <row r="46" spans="2:27" s="21" customFormat="1" ht="13.5" x14ac:dyDescent="0.3">
      <c r="B46" s="277"/>
      <c r="C46" s="269" t="s">
        <v>3312</v>
      </c>
      <c r="D46" s="270"/>
      <c r="E46" s="271">
        <f>SUM(E47:E49)</f>
        <v>0</v>
      </c>
      <c r="F46" s="271">
        <f t="shared" ref="F46:K46" si="53">SUM(F47:F49)</f>
        <v>0</v>
      </c>
      <c r="G46" s="271">
        <f t="shared" si="53"/>
        <v>0</v>
      </c>
      <c r="H46" s="271">
        <f t="shared" si="53"/>
        <v>0</v>
      </c>
      <c r="I46" s="271">
        <f t="shared" si="53"/>
        <v>0</v>
      </c>
      <c r="J46" s="271">
        <f t="shared" si="53"/>
        <v>0</v>
      </c>
      <c r="K46" s="271">
        <f t="shared" si="53"/>
        <v>0</v>
      </c>
      <c r="L46" s="272">
        <f t="shared" si="1"/>
        <v>0</v>
      </c>
      <c r="M46" s="271"/>
      <c r="O46" s="501"/>
      <c r="P46" s="514" t="s">
        <v>3354</v>
      </c>
      <c r="Q46" s="509"/>
      <c r="R46" s="510">
        <f t="shared" si="50"/>
        <v>91.331257989999997</v>
      </c>
      <c r="S46" s="511">
        <v>152.53786518207255</v>
      </c>
      <c r="T46" s="511">
        <f>+SUM(T47:T49)</f>
        <v>169.18345244262738</v>
      </c>
      <c r="U46" s="511">
        <f>+SUM(U47:U49)</f>
        <v>175.95121327402023</v>
      </c>
      <c r="V46" s="511">
        <f>+SUM(V47:V49)</f>
        <v>180.94875370288918</v>
      </c>
      <c r="W46" s="511">
        <f>+SUM(W47:W49)</f>
        <v>195.14952473402556</v>
      </c>
      <c r="X46" s="511">
        <f>+SUM(X47:X49)</f>
        <v>233.2401469578856</v>
      </c>
      <c r="Y46" s="515"/>
      <c r="Z46" s="511"/>
      <c r="AA46" s="301"/>
    </row>
    <row r="47" spans="2:27" s="21" customFormat="1" ht="13.5" x14ac:dyDescent="0.3">
      <c r="B47" s="277"/>
      <c r="C47" s="277"/>
      <c r="D47" s="278" t="s">
        <v>3310</v>
      </c>
      <c r="E47" s="275">
        <v>0</v>
      </c>
      <c r="F47" s="304"/>
      <c r="G47" s="304"/>
      <c r="H47" s="304">
        <f t="shared" ref="H47:K48" si="54">+H24*U84</f>
        <v>0</v>
      </c>
      <c r="I47" s="304">
        <f t="shared" si="54"/>
        <v>0</v>
      </c>
      <c r="J47" s="304">
        <f t="shared" si="54"/>
        <v>0</v>
      </c>
      <c r="K47" s="304">
        <f t="shared" si="54"/>
        <v>0</v>
      </c>
      <c r="L47" s="276">
        <f t="shared" si="1"/>
        <v>0</v>
      </c>
      <c r="M47" s="275"/>
      <c r="O47" s="501"/>
      <c r="P47" s="516"/>
      <c r="Q47" s="517" t="s">
        <v>3415</v>
      </c>
      <c r="R47" s="518">
        <f t="shared" ref="R47" si="55">+R53*SUM(E11:E12)</f>
        <v>15.792938126772411</v>
      </c>
      <c r="S47" s="519">
        <v>18.432814983278909</v>
      </c>
      <c r="T47" s="520">
        <v>22.108003176031922</v>
      </c>
      <c r="U47" s="519">
        <f t="shared" ref="U47:W47" si="56">+U53*H10</f>
        <v>34.623653296284871</v>
      </c>
      <c r="V47" s="519">
        <f t="shared" si="56"/>
        <v>42.953258985448322</v>
      </c>
      <c r="W47" s="519">
        <f t="shared" si="56"/>
        <v>53.398568532418267</v>
      </c>
      <c r="X47" s="519">
        <f>+X53*K10</f>
        <v>66.663752851239735</v>
      </c>
      <c r="Y47" s="521"/>
      <c r="Z47" s="519"/>
      <c r="AA47" s="301"/>
    </row>
    <row r="48" spans="2:27" s="21" customFormat="1" x14ac:dyDescent="0.3">
      <c r="B48" s="277"/>
      <c r="C48" s="277"/>
      <c r="D48" s="283" t="s">
        <v>3314</v>
      </c>
      <c r="E48" s="281">
        <v>0</v>
      </c>
      <c r="F48" s="308"/>
      <c r="G48" s="308"/>
      <c r="H48" s="308">
        <f t="shared" si="54"/>
        <v>0</v>
      </c>
      <c r="I48" s="308">
        <f t="shared" si="54"/>
        <v>0</v>
      </c>
      <c r="J48" s="308">
        <f t="shared" si="54"/>
        <v>0</v>
      </c>
      <c r="K48" s="308">
        <f t="shared" si="54"/>
        <v>0</v>
      </c>
      <c r="L48" s="282">
        <f t="shared" si="1"/>
        <v>0</v>
      </c>
      <c r="M48" s="281"/>
      <c r="O48" s="501"/>
      <c r="P48" s="522"/>
      <c r="Q48" s="523" t="s">
        <v>71</v>
      </c>
      <c r="R48" s="524">
        <f>+R46-SUM(R47,R49)</f>
        <v>75.538319863227585</v>
      </c>
      <c r="S48" s="524">
        <v>86.617345574793646</v>
      </c>
      <c r="T48" s="525">
        <v>115.32113168559546</v>
      </c>
      <c r="U48" s="526">
        <f>+(T48-5.4)*(1+$Y$48)+1.8</f>
        <v>114.46915997773533</v>
      </c>
      <c r="V48" s="526">
        <f>+(U48-1.8)*(1+$Y$48)</f>
        <v>115.4858889771787</v>
      </c>
      <c r="W48" s="526">
        <f t="shared" ref="W48:X48" si="57">+V48*(1+$Y$48)</f>
        <v>118.37303620160816</v>
      </c>
      <c r="X48" s="526">
        <f t="shared" si="57"/>
        <v>121.33236210664835</v>
      </c>
      <c r="Y48" s="527">
        <v>2.5000000000000001E-2</v>
      </c>
      <c r="Z48" s="526"/>
      <c r="AA48" s="528"/>
    </row>
    <row r="49" spans="2:27" s="21" customFormat="1" x14ac:dyDescent="0.3">
      <c r="B49" s="277"/>
      <c r="C49" s="284"/>
      <c r="D49" s="285"/>
      <c r="E49" s="286">
        <v>0</v>
      </c>
      <c r="F49" s="286"/>
      <c r="G49" s="286"/>
      <c r="H49" s="286"/>
      <c r="I49" s="286"/>
      <c r="J49" s="286"/>
      <c r="K49" s="286"/>
      <c r="L49" s="287">
        <f t="shared" si="1"/>
        <v>0</v>
      </c>
      <c r="M49" s="286"/>
      <c r="O49" s="501"/>
      <c r="P49" s="529"/>
      <c r="Q49" s="530" t="s">
        <v>67</v>
      </c>
      <c r="R49" s="531">
        <f t="shared" ref="R49" si="58">+R54</f>
        <v>0</v>
      </c>
      <c r="S49" s="532">
        <v>47.487704624000003</v>
      </c>
      <c r="T49" s="533">
        <v>31.754317581000009</v>
      </c>
      <c r="U49" s="532">
        <f t="shared" ref="U49:W49" si="59">+U54</f>
        <v>26.858400000000003</v>
      </c>
      <c r="V49" s="532">
        <f t="shared" si="59"/>
        <v>22.509605740262153</v>
      </c>
      <c r="W49" s="532">
        <f t="shared" si="59"/>
        <v>23.377919999999126</v>
      </c>
      <c r="X49" s="532">
        <f>+X54</f>
        <v>45.244031999997503</v>
      </c>
      <c r="Y49" s="534"/>
      <c r="Z49" s="532"/>
      <c r="AA49" s="528"/>
    </row>
    <row r="50" spans="2:27" s="21" customFormat="1" x14ac:dyDescent="0.3">
      <c r="B50" s="262" t="s">
        <v>3320</v>
      </c>
      <c r="C50" s="263"/>
      <c r="D50" s="264"/>
      <c r="E50" s="265">
        <f>SUM(E51,E56,E61,E65,E69)</f>
        <v>322.01658853272079</v>
      </c>
      <c r="F50" s="265">
        <f t="shared" ref="F50:K50" si="60">SUM(F51,F56,F61,F65,F69)</f>
        <v>267.84159081404675</v>
      </c>
      <c r="G50" s="265">
        <f t="shared" si="60"/>
        <v>336.98448946776415</v>
      </c>
      <c r="H50" s="265">
        <f t="shared" si="60"/>
        <v>462.95301298377831</v>
      </c>
      <c r="I50" s="265">
        <f t="shared" si="60"/>
        <v>556.74344153140953</v>
      </c>
      <c r="J50" s="265">
        <f t="shared" si="60"/>
        <v>731.49697180697535</v>
      </c>
      <c r="K50" s="265">
        <f t="shared" si="60"/>
        <v>874.31989471041277</v>
      </c>
      <c r="L50" s="266">
        <f t="shared" si="1"/>
        <v>0.26694706269012936</v>
      </c>
      <c r="M50" s="266"/>
      <c r="N50" s="267"/>
      <c r="O50" s="535"/>
      <c r="P50" s="536" t="s">
        <v>3416</v>
      </c>
      <c r="Q50" s="537"/>
      <c r="R50" s="538">
        <f>+E78</f>
        <v>1.2672553857672568</v>
      </c>
      <c r="S50" s="539">
        <v>0.79624961142504702</v>
      </c>
      <c r="T50" s="540">
        <v>2.7530895000000002</v>
      </c>
      <c r="U50" s="541">
        <f t="shared" ref="U50:W50" si="61">+T50*(1+$Y50)</f>
        <v>2.8907439750000004</v>
      </c>
      <c r="V50" s="541">
        <f t="shared" si="61"/>
        <v>3.0352811737500005</v>
      </c>
      <c r="W50" s="541">
        <f t="shared" si="61"/>
        <v>3.1870452324375007</v>
      </c>
      <c r="X50" s="541">
        <f>+W50*(1+$Y50)</f>
        <v>3.3463974940593757</v>
      </c>
      <c r="Y50" s="542">
        <v>0.05</v>
      </c>
      <c r="Z50" s="541"/>
      <c r="AA50" s="543"/>
    </row>
    <row r="51" spans="2:27" s="21" customFormat="1" ht="15.6" customHeight="1" x14ac:dyDescent="0.3">
      <c r="B51" s="268"/>
      <c r="C51" s="269" t="s">
        <v>3368</v>
      </c>
      <c r="D51" s="270"/>
      <c r="E51" s="271">
        <f>SUM(E52:E55)</f>
        <v>232.3728271327208</v>
      </c>
      <c r="F51" s="271">
        <f t="shared" ref="F51:G51" si="62">SUM(F52:F55)</f>
        <v>171.06858607265642</v>
      </c>
      <c r="G51" s="271">
        <f t="shared" si="62"/>
        <v>189.51572854315276</v>
      </c>
      <c r="H51" s="271">
        <f>SUM(H52:H55)</f>
        <v>218.79678009223491</v>
      </c>
      <c r="I51" s="271">
        <f t="shared" ref="I51:K51" si="63">SUM(I52:I55)</f>
        <v>238.89110498052679</v>
      </c>
      <c r="J51" s="271">
        <f t="shared" si="63"/>
        <v>259.63711474934286</v>
      </c>
      <c r="K51" s="271">
        <f t="shared" si="63"/>
        <v>282.13406160968981</v>
      </c>
      <c r="L51" s="272">
        <f t="shared" si="1"/>
        <v>0.1052411626550116</v>
      </c>
      <c r="M51" s="271"/>
      <c r="U51" s="544"/>
      <c r="V51" s="544"/>
      <c r="W51" s="544"/>
    </row>
    <row r="52" spans="2:27" s="21" customFormat="1" ht="13.5" x14ac:dyDescent="0.3">
      <c r="B52" s="277"/>
      <c r="C52" s="277"/>
      <c r="D52" s="278" t="s">
        <v>27</v>
      </c>
      <c r="E52" s="275">
        <f t="shared" ref="E52:K55" si="64">E6-E29</f>
        <v>207.06345525272081</v>
      </c>
      <c r="F52" s="275">
        <f t="shared" si="64"/>
        <v>149.60988175030297</v>
      </c>
      <c r="G52" s="275">
        <f t="shared" si="64"/>
        <v>178.69862894794198</v>
      </c>
      <c r="H52" s="275">
        <f t="shared" si="64"/>
        <v>207.94627493386565</v>
      </c>
      <c r="I52" s="275">
        <f t="shared" si="64"/>
        <v>227.99883505849334</v>
      </c>
      <c r="J52" s="275">
        <f t="shared" si="64"/>
        <v>248.696172571224</v>
      </c>
      <c r="K52" s="275">
        <f t="shared" si="64"/>
        <v>271.13887937215736</v>
      </c>
      <c r="L52" s="276">
        <f t="shared" si="1"/>
        <v>0.12627982171042618</v>
      </c>
      <c r="M52" s="275"/>
      <c r="O52" s="1778" t="s">
        <v>3417</v>
      </c>
      <c r="P52" s="1779"/>
      <c r="Q52" s="1779"/>
      <c r="R52" s="545"/>
      <c r="S52" s="545"/>
      <c r="T52" s="545"/>
      <c r="U52" s="545"/>
      <c r="V52" s="545"/>
      <c r="W52" s="545"/>
      <c r="X52" s="545"/>
      <c r="Y52" s="546"/>
      <c r="Z52" s="546"/>
      <c r="AA52" s="547"/>
    </row>
    <row r="53" spans="2:27" s="21" customFormat="1" ht="15.6" customHeight="1" x14ac:dyDescent="0.25">
      <c r="B53" s="277"/>
      <c r="C53" s="277"/>
      <c r="D53" s="283" t="s">
        <v>28</v>
      </c>
      <c r="E53" s="281">
        <f t="shared" si="64"/>
        <v>24.53306087</v>
      </c>
      <c r="F53" s="281">
        <f t="shared" si="64"/>
        <v>21.188795290310505</v>
      </c>
      <c r="G53" s="281">
        <f t="shared" si="64"/>
        <v>9.9988547872263993</v>
      </c>
      <c r="H53" s="281">
        <f t="shared" si="64"/>
        <v>10.126412885797414</v>
      </c>
      <c r="I53" s="281">
        <f t="shared" si="64"/>
        <v>10.251737602117196</v>
      </c>
      <c r="J53" s="281">
        <f t="shared" si="64"/>
        <v>10.374548921317142</v>
      </c>
      <c r="K53" s="281">
        <f t="shared" si="64"/>
        <v>10.494550940661526</v>
      </c>
      <c r="L53" s="282">
        <f t="shared" si="1"/>
        <v>-0.13109655529249775</v>
      </c>
      <c r="M53" s="281"/>
      <c r="O53" s="369"/>
      <c r="P53" s="451" t="s">
        <v>3418</v>
      </c>
      <c r="Q53" s="548"/>
      <c r="R53" s="549">
        <v>5.4294585208500758E-2</v>
      </c>
      <c r="S53" s="549">
        <f>+S47/F10</f>
        <v>5.6934702487975393E-2</v>
      </c>
      <c r="T53" s="549">
        <f>+T47/G10</f>
        <v>5.1823879250916687E-2</v>
      </c>
      <c r="U53" s="550">
        <f>T53*(1+$Y$53)</f>
        <v>5.2342118043425853E-2</v>
      </c>
      <c r="V53" s="550">
        <f t="shared" ref="V53:X53" si="65">U53*(1+$Y$53)</f>
        <v>5.2865539223860114E-2</v>
      </c>
      <c r="W53" s="550">
        <f t="shared" si="65"/>
        <v>5.3394194616098713E-2</v>
      </c>
      <c r="X53" s="550">
        <f t="shared" si="65"/>
        <v>5.3928136562259699E-2</v>
      </c>
      <c r="Y53" s="551">
        <v>0.01</v>
      </c>
      <c r="Z53" s="551"/>
      <c r="AA53" s="418"/>
    </row>
    <row r="54" spans="2:27" s="21" customFormat="1" ht="13.5" x14ac:dyDescent="0.3">
      <c r="B54" s="277"/>
      <c r="C54" s="277"/>
      <c r="D54" s="283" t="s">
        <v>29</v>
      </c>
      <c r="E54" s="281">
        <f t="shared" si="64"/>
        <v>0.7763110099999988</v>
      </c>
      <c r="F54" s="281">
        <f t="shared" si="64"/>
        <v>0.26990903204294092</v>
      </c>
      <c r="G54" s="281">
        <f t="shared" si="64"/>
        <v>0.8182448079843625</v>
      </c>
      <c r="H54" s="281">
        <f t="shared" si="64"/>
        <v>0.72409227257185638</v>
      </c>
      <c r="I54" s="281">
        <f t="shared" si="64"/>
        <v>0.64053231991624404</v>
      </c>
      <c r="J54" s="281">
        <f t="shared" si="64"/>
        <v>0.56639325680174313</v>
      </c>
      <c r="K54" s="281">
        <f t="shared" si="64"/>
        <v>0.50063129687092678</v>
      </c>
      <c r="L54" s="282">
        <f t="shared" si="1"/>
        <v>0.13151447909170111</v>
      </c>
      <c r="M54" s="281"/>
      <c r="O54" s="1780" t="s">
        <v>3419</v>
      </c>
      <c r="P54" s="1781"/>
      <c r="Q54" s="1782"/>
      <c r="R54" s="552"/>
      <c r="S54" s="552">
        <f t="shared" ref="S54:X54" si="66">S55+S56</f>
        <v>47.721873389999999</v>
      </c>
      <c r="T54" s="552">
        <f t="shared" si="66"/>
        <v>31.7</v>
      </c>
      <c r="U54" s="552">
        <f t="shared" si="66"/>
        <v>26.858400000000003</v>
      </c>
      <c r="V54" s="552">
        <f t="shared" si="66"/>
        <v>22.509605740262153</v>
      </c>
      <c r="W54" s="552">
        <f t="shared" si="66"/>
        <v>23.377919999999126</v>
      </c>
      <c r="X54" s="552">
        <f t="shared" si="66"/>
        <v>45.244031999997503</v>
      </c>
      <c r="Y54" s="552"/>
      <c r="Z54" s="552"/>
      <c r="AA54" s="552"/>
    </row>
    <row r="55" spans="2:27" s="21" customFormat="1" ht="13.5" x14ac:dyDescent="0.3">
      <c r="B55" s="277"/>
      <c r="C55" s="284"/>
      <c r="D55" s="285"/>
      <c r="E55" s="286">
        <f t="shared" si="64"/>
        <v>0</v>
      </c>
      <c r="F55" s="286">
        <f t="shared" si="64"/>
        <v>0</v>
      </c>
      <c r="G55" s="286">
        <f t="shared" si="64"/>
        <v>0</v>
      </c>
      <c r="H55" s="286">
        <f t="shared" si="64"/>
        <v>0</v>
      </c>
      <c r="I55" s="286">
        <f t="shared" si="64"/>
        <v>0</v>
      </c>
      <c r="J55" s="286">
        <f t="shared" si="64"/>
        <v>0</v>
      </c>
      <c r="K55" s="286">
        <f t="shared" si="64"/>
        <v>0</v>
      </c>
      <c r="L55" s="287">
        <f t="shared" si="1"/>
        <v>0</v>
      </c>
      <c r="M55" s="286"/>
      <c r="O55" s="553"/>
      <c r="P55" s="554" t="s">
        <v>3420</v>
      </c>
      <c r="Q55" s="555" t="s">
        <v>3421</v>
      </c>
      <c r="R55" s="556"/>
      <c r="S55" s="556">
        <v>9.3000000000000007</v>
      </c>
      <c r="T55" s="557">
        <v>15.3</v>
      </c>
      <c r="U55" s="556">
        <f>+T55</f>
        <v>15.3</v>
      </c>
      <c r="V55" s="556">
        <f t="shared" ref="V55" si="67">+I20*9.5%</f>
        <v>10.951205740262152</v>
      </c>
      <c r="W55" s="556">
        <f>+J20*4%</f>
        <v>11.819519999999125</v>
      </c>
      <c r="X55" s="556">
        <f>+K20*9.5%</f>
        <v>33.685631999997504</v>
      </c>
      <c r="Y55" s="558"/>
      <c r="Z55" s="556"/>
      <c r="AA55" s="556"/>
    </row>
    <row r="56" spans="2:27" s="21" customFormat="1" ht="13.5" x14ac:dyDescent="0.3">
      <c r="B56" s="277"/>
      <c r="C56" s="269" t="s">
        <v>30</v>
      </c>
      <c r="D56" s="270"/>
      <c r="E56" s="271">
        <f>SUM(E57:E60)</f>
        <v>59.784816559999996</v>
      </c>
      <c r="F56" s="271">
        <f t="shared" ref="F56:G56" si="68">SUM(F57:F60)</f>
        <v>76.881191421390326</v>
      </c>
      <c r="G56" s="271">
        <f t="shared" si="68"/>
        <v>120.03751134228624</v>
      </c>
      <c r="H56" s="271">
        <f>SUM(H57:H60)</f>
        <v>186.13111593465703</v>
      </c>
      <c r="I56" s="271">
        <f t="shared" ref="I56:K56" si="69">SUM(I57:I60)</f>
        <v>228.62348343188415</v>
      </c>
      <c r="J56" s="271">
        <f t="shared" si="69"/>
        <v>281.40574418700135</v>
      </c>
      <c r="K56" s="271">
        <f t="shared" si="69"/>
        <v>347.83375743086958</v>
      </c>
      <c r="L56" s="272">
        <f t="shared" si="1"/>
        <v>0.35241607638459471</v>
      </c>
      <c r="M56" s="271"/>
      <c r="O56" s="559"/>
      <c r="P56" s="560" t="s">
        <v>3422</v>
      </c>
      <c r="Q56" s="561"/>
      <c r="R56" s="562"/>
      <c r="S56" s="562">
        <v>38.421873390000002</v>
      </c>
      <c r="T56" s="563">
        <v>16.399999999999999</v>
      </c>
      <c r="U56" s="562">
        <f>+돌핀!H5</f>
        <v>11.558400000000001</v>
      </c>
      <c r="V56" s="562">
        <f>+돌핀!I5</f>
        <v>11.558400000000001</v>
      </c>
      <c r="W56" s="562">
        <f>+돌핀!J5</f>
        <v>11.558400000000001</v>
      </c>
      <c r="X56" s="562">
        <f>+돌핀!K5</f>
        <v>11.558400000000001</v>
      </c>
      <c r="Y56" s="564"/>
      <c r="Z56" s="562"/>
      <c r="AA56" s="562"/>
    </row>
    <row r="57" spans="2:27" s="21" customFormat="1" ht="13.5" x14ac:dyDescent="0.3">
      <c r="B57" s="277"/>
      <c r="C57" s="277"/>
      <c r="D57" s="278" t="s">
        <v>31</v>
      </c>
      <c r="E57" s="275">
        <f t="shared" ref="E57:K60" si="70">E11-E34</f>
        <v>48.261321699999996</v>
      </c>
      <c r="F57" s="275">
        <f t="shared" si="70"/>
        <v>49.401113637128262</v>
      </c>
      <c r="G57" s="275">
        <f t="shared" si="70"/>
        <v>45.641754132428858</v>
      </c>
      <c r="H57" s="275">
        <f t="shared" si="70"/>
        <v>53.490117705272439</v>
      </c>
      <c r="I57" s="275">
        <f t="shared" si="70"/>
        <v>59.561650870911848</v>
      </c>
      <c r="J57" s="275">
        <f t="shared" si="70"/>
        <v>66.047664981085319</v>
      </c>
      <c r="K57" s="275">
        <f t="shared" si="70"/>
        <v>73.235265404584311</v>
      </c>
      <c r="L57" s="276">
        <f t="shared" si="1"/>
        <v>8.1923873905493716E-2</v>
      </c>
      <c r="M57" s="275"/>
      <c r="S57" s="565"/>
      <c r="T57" s="565"/>
      <c r="U57" s="566"/>
      <c r="V57" s="566"/>
      <c r="W57" s="566"/>
      <c r="Z57" s="567"/>
      <c r="AA57" s="567"/>
    </row>
    <row r="58" spans="2:27" s="21" customFormat="1" ht="13.5" x14ac:dyDescent="0.3">
      <c r="B58" s="277"/>
      <c r="C58" s="277"/>
      <c r="D58" s="283" t="s">
        <v>32</v>
      </c>
      <c r="E58" s="281">
        <f t="shared" si="70"/>
        <v>2.2788940599999989</v>
      </c>
      <c r="F58" s="281">
        <f t="shared" si="70"/>
        <v>20.164237551013429</v>
      </c>
      <c r="G58" s="281">
        <f t="shared" si="70"/>
        <v>31.756396575124469</v>
      </c>
      <c r="H58" s="281">
        <f t="shared" si="70"/>
        <v>41.245550545772943</v>
      </c>
      <c r="I58" s="281">
        <f t="shared" si="70"/>
        <v>50.24775057227717</v>
      </c>
      <c r="J58" s="281">
        <f t="shared" si="70"/>
        <v>60.899772620612339</v>
      </c>
      <c r="K58" s="281">
        <f t="shared" si="70"/>
        <v>73.80269346539049</v>
      </c>
      <c r="L58" s="282">
        <f t="shared" si="1"/>
        <v>0.29627779393452225</v>
      </c>
      <c r="M58" s="281"/>
    </row>
    <row r="59" spans="2:27" s="21" customFormat="1" x14ac:dyDescent="0.3">
      <c r="B59" s="277"/>
      <c r="C59" s="277"/>
      <c r="D59" s="283" t="s">
        <v>33</v>
      </c>
      <c r="E59" s="281">
        <f t="shared" si="70"/>
        <v>9.2446008000000042</v>
      </c>
      <c r="F59" s="281">
        <f t="shared" si="70"/>
        <v>7.3158402332486396</v>
      </c>
      <c r="G59" s="281">
        <f t="shared" si="70"/>
        <v>42.63936063473291</v>
      </c>
      <c r="H59" s="281">
        <f t="shared" si="70"/>
        <v>91.39544768361165</v>
      </c>
      <c r="I59" s="281">
        <f t="shared" si="70"/>
        <v>118.81408198869514</v>
      </c>
      <c r="J59" s="281">
        <f t="shared" si="70"/>
        <v>154.45830658530372</v>
      </c>
      <c r="K59" s="281">
        <f t="shared" si="70"/>
        <v>200.79579856089481</v>
      </c>
      <c r="L59" s="282">
        <f t="shared" si="1"/>
        <v>0.93953705733699633</v>
      </c>
      <c r="M59" s="281"/>
      <c r="O59" s="2" t="s">
        <v>3423</v>
      </c>
      <c r="P59"/>
      <c r="Q59"/>
      <c r="R59"/>
      <c r="S59"/>
      <c r="T59"/>
      <c r="U59"/>
      <c r="V59"/>
      <c r="W59"/>
      <c r="X59"/>
    </row>
    <row r="60" spans="2:27" s="21" customFormat="1" x14ac:dyDescent="0.3">
      <c r="B60" s="277"/>
      <c r="C60" s="284"/>
      <c r="D60" s="285"/>
      <c r="E60" s="286">
        <f t="shared" si="70"/>
        <v>0</v>
      </c>
      <c r="F60" s="286">
        <f t="shared" si="70"/>
        <v>0</v>
      </c>
      <c r="G60" s="286">
        <f t="shared" si="70"/>
        <v>0</v>
      </c>
      <c r="H60" s="286">
        <f t="shared" si="70"/>
        <v>0</v>
      </c>
      <c r="I60" s="286">
        <f t="shared" si="70"/>
        <v>0</v>
      </c>
      <c r="J60" s="286">
        <f t="shared" si="70"/>
        <v>0</v>
      </c>
      <c r="K60" s="286">
        <f t="shared" si="70"/>
        <v>0</v>
      </c>
      <c r="L60" s="287">
        <f t="shared" si="1"/>
        <v>0</v>
      </c>
      <c r="M60" s="286"/>
      <c r="O60" s="568"/>
      <c r="P60" s="569"/>
      <c r="Q60" s="569"/>
      <c r="R60" s="570" t="s">
        <v>3424</v>
      </c>
      <c r="S60" s="571" t="s">
        <v>3425</v>
      </c>
      <c r="T60" s="571" t="s">
        <v>3426</v>
      </c>
      <c r="U60" s="570">
        <v>2024</v>
      </c>
      <c r="V60" s="572">
        <v>2025</v>
      </c>
      <c r="W60" s="572">
        <v>2026</v>
      </c>
      <c r="X60" s="573">
        <v>2027</v>
      </c>
      <c r="Y60" s="569"/>
      <c r="Z60" s="574"/>
      <c r="AA60" s="574"/>
    </row>
    <row r="61" spans="2:27" s="21" customFormat="1" x14ac:dyDescent="0.3">
      <c r="B61" s="277"/>
      <c r="C61" s="269" t="s">
        <v>1527</v>
      </c>
      <c r="D61" s="270"/>
      <c r="E61" s="271">
        <f>SUM(E62:E64)</f>
        <v>29.858944839999999</v>
      </c>
      <c r="F61" s="271">
        <f t="shared" ref="F61:K61" si="71">SUM(F62:F64)</f>
        <v>19.891813320000001</v>
      </c>
      <c r="G61" s="271">
        <f t="shared" si="71"/>
        <v>19.010000000000002</v>
      </c>
      <c r="H61" s="271">
        <f t="shared" si="71"/>
        <v>20.036540000000002</v>
      </c>
      <c r="I61" s="271">
        <f t="shared" si="71"/>
        <v>21.118513160000003</v>
      </c>
      <c r="J61" s="271">
        <f t="shared" si="71"/>
        <v>22.258912870640003</v>
      </c>
      <c r="K61" s="271">
        <f t="shared" si="71"/>
        <v>23.460894165654565</v>
      </c>
      <c r="L61" s="272">
        <f t="shared" si="1"/>
        <v>3.3556058590762161E-2</v>
      </c>
      <c r="M61" s="271"/>
      <c r="O61" s="575" t="s">
        <v>3427</v>
      </c>
      <c r="P61" s="576"/>
      <c r="Q61" s="576"/>
      <c r="R61" s="577"/>
      <c r="S61" s="578"/>
      <c r="T61" s="578"/>
      <c r="U61" s="579"/>
      <c r="V61" s="580"/>
      <c r="W61" s="579"/>
      <c r="X61" s="580"/>
      <c r="Y61" s="578"/>
      <c r="Z61" s="581"/>
      <c r="AA61" s="582"/>
    </row>
    <row r="62" spans="2:27" s="21" customFormat="1" x14ac:dyDescent="0.3">
      <c r="B62" s="277"/>
      <c r="C62" s="277"/>
      <c r="D62" s="278" t="s">
        <v>3384</v>
      </c>
      <c r="E62" s="275">
        <f t="shared" ref="E62:K64" si="72">E16-E39</f>
        <v>29.47494</v>
      </c>
      <c r="F62" s="275">
        <f t="shared" si="72"/>
        <v>15.840150003333335</v>
      </c>
      <c r="G62" s="275">
        <f t="shared" si="72"/>
        <v>19.010000000000002</v>
      </c>
      <c r="H62" s="275">
        <f t="shared" si="72"/>
        <v>20.036540000000002</v>
      </c>
      <c r="I62" s="275">
        <f t="shared" si="72"/>
        <v>21.118513160000003</v>
      </c>
      <c r="J62" s="275">
        <f t="shared" si="72"/>
        <v>22.258912870640003</v>
      </c>
      <c r="K62" s="275">
        <f t="shared" si="72"/>
        <v>23.460894165654565</v>
      </c>
      <c r="L62" s="276">
        <f t="shared" si="1"/>
        <v>8.1725466212853259E-2</v>
      </c>
      <c r="M62" s="275"/>
      <c r="O62" s="583"/>
      <c r="P62" s="584" t="s">
        <v>3428</v>
      </c>
      <c r="Q62" s="585"/>
      <c r="R62" s="502"/>
      <c r="S62" s="503"/>
      <c r="T62" s="503"/>
      <c r="U62" s="586">
        <v>100</v>
      </c>
      <c r="V62" s="586">
        <v>500</v>
      </c>
      <c r="W62" s="586">
        <v>1000</v>
      </c>
      <c r="X62" s="587">
        <v>2000</v>
      </c>
      <c r="Y62" s="588"/>
      <c r="Z62" s="508"/>
      <c r="AA62" s="589"/>
    </row>
    <row r="63" spans="2:27" s="21" customFormat="1" x14ac:dyDescent="0.3">
      <c r="B63" s="277"/>
      <c r="C63" s="277"/>
      <c r="D63" s="283" t="s">
        <v>3387</v>
      </c>
      <c r="E63" s="281">
        <f t="shared" si="72"/>
        <v>0</v>
      </c>
      <c r="F63" s="281">
        <f t="shared" si="72"/>
        <v>3.9946666666666659</v>
      </c>
      <c r="G63" s="281">
        <f t="shared" si="72"/>
        <v>0</v>
      </c>
      <c r="H63" s="281">
        <f t="shared" si="72"/>
        <v>0</v>
      </c>
      <c r="I63" s="281">
        <f t="shared" si="72"/>
        <v>0</v>
      </c>
      <c r="J63" s="281">
        <f t="shared" si="72"/>
        <v>0</v>
      </c>
      <c r="K63" s="281">
        <f t="shared" si="72"/>
        <v>0</v>
      </c>
      <c r="L63" s="282">
        <f t="shared" si="1"/>
        <v>-1</v>
      </c>
      <c r="M63" s="281"/>
      <c r="O63" s="583"/>
      <c r="P63" s="590" t="s">
        <v>3334</v>
      </c>
      <c r="Q63"/>
      <c r="R63" s="522"/>
      <c r="U63" s="525">
        <v>50000</v>
      </c>
      <c r="V63" s="525">
        <v>100000</v>
      </c>
      <c r="W63" s="525">
        <v>200000</v>
      </c>
      <c r="X63" s="591">
        <v>400000</v>
      </c>
      <c r="Y63" s="592"/>
      <c r="Z63" s="593"/>
      <c r="AA63" s="594"/>
    </row>
    <row r="64" spans="2:27" s="21" customFormat="1" ht="15.6" customHeight="1" x14ac:dyDescent="0.3">
      <c r="B64" s="277"/>
      <c r="C64" s="284"/>
      <c r="D64" s="285" t="s">
        <v>3416</v>
      </c>
      <c r="E64" s="286">
        <f t="shared" si="72"/>
        <v>0.38400484000000001</v>
      </c>
      <c r="F64" s="286">
        <f t="shared" si="72"/>
        <v>5.699665000000001E-2</v>
      </c>
      <c r="G64" s="286">
        <f t="shared" si="72"/>
        <v>0</v>
      </c>
      <c r="H64" s="286">
        <f t="shared" si="72"/>
        <v>0</v>
      </c>
      <c r="I64" s="286">
        <f t="shared" si="72"/>
        <v>0</v>
      </c>
      <c r="J64" s="286">
        <f t="shared" si="72"/>
        <v>0</v>
      </c>
      <c r="K64" s="286">
        <f t="shared" si="72"/>
        <v>0</v>
      </c>
      <c r="L64" s="287">
        <f t="shared" si="1"/>
        <v>-1</v>
      </c>
      <c r="M64" s="286"/>
      <c r="O64" s="595"/>
      <c r="P64" s="596" t="s">
        <v>3429</v>
      </c>
      <c r="Q64" s="537"/>
      <c r="R64" s="536"/>
      <c r="S64" s="597"/>
      <c r="T64" s="597"/>
      <c r="U64" s="598">
        <v>1000000</v>
      </c>
      <c r="V64" s="598">
        <v>1050000</v>
      </c>
      <c r="W64" s="598">
        <v>1100000</v>
      </c>
      <c r="X64" s="599">
        <v>1200000</v>
      </c>
      <c r="Y64" s="600"/>
      <c r="Z64" s="601"/>
      <c r="AA64" s="602"/>
    </row>
    <row r="65" spans="2:28" s="21" customFormat="1" x14ac:dyDescent="0.3">
      <c r="B65" s="277"/>
      <c r="C65" s="269" t="s">
        <v>67</v>
      </c>
      <c r="D65" s="270"/>
      <c r="E65" s="271">
        <f>SUM(E66:E68)</f>
        <v>0</v>
      </c>
      <c r="F65" s="271">
        <f t="shared" ref="F65:K65" si="73">SUM(F66:F68)</f>
        <v>0</v>
      </c>
      <c r="G65" s="271">
        <f t="shared" si="73"/>
        <v>8.4212495823251583</v>
      </c>
      <c r="H65" s="271">
        <f t="shared" si="73"/>
        <v>17.988576956886359</v>
      </c>
      <c r="I65" s="271">
        <f t="shared" si="73"/>
        <v>46.110339958998537</v>
      </c>
      <c r="J65" s="271">
        <f t="shared" si="73"/>
        <v>118.19519999999125</v>
      </c>
      <c r="K65" s="271">
        <f t="shared" si="73"/>
        <v>141.83423999998951</v>
      </c>
      <c r="L65" s="272">
        <f t="shared" si="1"/>
        <v>0</v>
      </c>
      <c r="M65" s="271"/>
      <c r="O65" s="575" t="s">
        <v>3430</v>
      </c>
      <c r="P65" s="576"/>
      <c r="Q65" s="576"/>
      <c r="R65" s="577"/>
      <c r="S65" s="578"/>
      <c r="T65" s="578"/>
      <c r="U65" s="577"/>
      <c r="V65" s="581"/>
      <c r="W65" s="577"/>
      <c r="X65" s="581"/>
      <c r="Y65" s="578"/>
      <c r="Z65" s="581"/>
      <c r="AA65" s="582"/>
    </row>
    <row r="66" spans="2:28" s="21" customFormat="1" x14ac:dyDescent="0.3">
      <c r="B66" s="277"/>
      <c r="C66" s="277"/>
      <c r="D66" s="278" t="s">
        <v>67</v>
      </c>
      <c r="E66" s="275">
        <f t="shared" ref="E66:K68" si="74">E20-E43</f>
        <v>0</v>
      </c>
      <c r="F66" s="275">
        <f t="shared" si="74"/>
        <v>0</v>
      </c>
      <c r="G66" s="275">
        <f t="shared" si="74"/>
        <v>8.4212495823251583</v>
      </c>
      <c r="H66" s="275">
        <f t="shared" si="74"/>
        <v>17.988576956886359</v>
      </c>
      <c r="I66" s="275">
        <f t="shared" si="74"/>
        <v>46.110339958998537</v>
      </c>
      <c r="J66" s="275">
        <f t="shared" si="74"/>
        <v>118.19519999999125</v>
      </c>
      <c r="K66" s="275">
        <f t="shared" si="74"/>
        <v>141.83423999998951</v>
      </c>
      <c r="L66" s="276">
        <f t="shared" si="1"/>
        <v>0</v>
      </c>
      <c r="M66" s="275"/>
      <c r="O66" s="583"/>
      <c r="P66" s="584" t="s">
        <v>3431</v>
      </c>
      <c r="Q66" s="585"/>
      <c r="R66" s="502"/>
      <c r="S66" s="503"/>
      <c r="T66" s="503"/>
      <c r="U66" s="603">
        <f>+$Y66</f>
        <v>0.01</v>
      </c>
      <c r="V66" s="604">
        <f t="shared" ref="V66:X66" si="75">+$Y66</f>
        <v>0.01</v>
      </c>
      <c r="W66" s="603">
        <f t="shared" si="75"/>
        <v>0.01</v>
      </c>
      <c r="X66" s="604">
        <f t="shared" si="75"/>
        <v>0.01</v>
      </c>
      <c r="Y66" s="605">
        <v>0.01</v>
      </c>
      <c r="Z66" s="604"/>
      <c r="AA66" s="606"/>
    </row>
    <row r="67" spans="2:28" s="21" customFormat="1" x14ac:dyDescent="0.3">
      <c r="B67" s="277"/>
      <c r="C67" s="277"/>
      <c r="D67" s="283"/>
      <c r="E67" s="281">
        <f t="shared" si="74"/>
        <v>0</v>
      </c>
      <c r="F67" s="281">
        <f t="shared" si="74"/>
        <v>0</v>
      </c>
      <c r="G67" s="281">
        <f t="shared" si="74"/>
        <v>0</v>
      </c>
      <c r="H67" s="281">
        <f t="shared" si="74"/>
        <v>0</v>
      </c>
      <c r="I67" s="281">
        <f t="shared" si="74"/>
        <v>0</v>
      </c>
      <c r="J67" s="281">
        <f t="shared" si="74"/>
        <v>0</v>
      </c>
      <c r="K67" s="281">
        <f t="shared" si="74"/>
        <v>0</v>
      </c>
      <c r="L67" s="282">
        <f t="shared" si="1"/>
        <v>0</v>
      </c>
      <c r="M67" s="281"/>
      <c r="O67" s="583"/>
      <c r="P67" s="590" t="s">
        <v>3432</v>
      </c>
      <c r="Q67"/>
      <c r="R67" s="522"/>
      <c r="U67" s="525">
        <v>1200</v>
      </c>
      <c r="V67" s="525">
        <v>1100</v>
      </c>
      <c r="W67" s="525">
        <v>1000</v>
      </c>
      <c r="X67" s="607">
        <f>+W67*(1+Y67)</f>
        <v>912.8709291753504</v>
      </c>
      <c r="Y67" s="608">
        <f>RATE(2,0,-U67,W67)</f>
        <v>-8.7129070824649615E-2</v>
      </c>
      <c r="Z67" s="301"/>
      <c r="AA67" s="528"/>
    </row>
    <row r="68" spans="2:28" s="21" customFormat="1" ht="15.6" customHeight="1" x14ac:dyDescent="0.3">
      <c r="B68" s="277"/>
      <c r="C68" s="284"/>
      <c r="D68" s="285"/>
      <c r="E68" s="286">
        <f t="shared" si="74"/>
        <v>0</v>
      </c>
      <c r="F68" s="286">
        <f t="shared" si="74"/>
        <v>0</v>
      </c>
      <c r="G68" s="286">
        <f t="shared" si="74"/>
        <v>0</v>
      </c>
      <c r="H68" s="286">
        <f t="shared" si="74"/>
        <v>0</v>
      </c>
      <c r="I68" s="286">
        <f t="shared" si="74"/>
        <v>0</v>
      </c>
      <c r="J68" s="286">
        <f t="shared" si="74"/>
        <v>0</v>
      </c>
      <c r="K68" s="286">
        <f t="shared" si="74"/>
        <v>0</v>
      </c>
      <c r="L68" s="287">
        <f t="shared" ref="L68:L79" si="76">IFERROR((K68/F68)^(1/5)-1,0)</f>
        <v>0</v>
      </c>
      <c r="M68" s="286"/>
      <c r="O68" s="595"/>
      <c r="P68" s="596" t="s">
        <v>3433</v>
      </c>
      <c r="Q68" s="537"/>
      <c r="R68" s="536"/>
      <c r="S68" s="597"/>
      <c r="T68" s="597"/>
      <c r="U68" s="609">
        <v>0.35</v>
      </c>
      <c r="V68" s="609">
        <v>0.2</v>
      </c>
      <c r="W68" s="609">
        <v>0.15</v>
      </c>
      <c r="X68" s="601">
        <f>+W68*(1+Y68)</f>
        <v>9.8198050606259246E-2</v>
      </c>
      <c r="Y68" s="610">
        <f>RATE(2,0,-U68,W68)</f>
        <v>-0.34534632929160497</v>
      </c>
      <c r="Z68" s="310"/>
      <c r="AA68" s="543"/>
    </row>
    <row r="69" spans="2:28" s="21" customFormat="1" x14ac:dyDescent="0.3">
      <c r="B69" s="277"/>
      <c r="C69" s="269" t="s">
        <v>3312</v>
      </c>
      <c r="D69" s="270"/>
      <c r="E69" s="271">
        <f>SUM(E70:E72)</f>
        <v>0</v>
      </c>
      <c r="F69" s="271">
        <f t="shared" ref="F69:K69" si="77">SUM(F70:F72)</f>
        <v>0</v>
      </c>
      <c r="G69" s="271">
        <f t="shared" si="77"/>
        <v>0</v>
      </c>
      <c r="H69" s="271">
        <f t="shared" si="77"/>
        <v>20</v>
      </c>
      <c r="I69" s="271">
        <f t="shared" si="77"/>
        <v>22</v>
      </c>
      <c r="J69" s="271">
        <f t="shared" si="77"/>
        <v>50</v>
      </c>
      <c r="K69" s="271">
        <f t="shared" si="77"/>
        <v>79.056941504209448</v>
      </c>
      <c r="L69" s="272">
        <f t="shared" si="76"/>
        <v>0</v>
      </c>
      <c r="M69" s="271"/>
      <c r="O69" s="575" t="s">
        <v>3434</v>
      </c>
      <c r="P69" s="576"/>
      <c r="Q69" s="576"/>
      <c r="R69" s="577"/>
      <c r="S69" s="578"/>
      <c r="T69" s="578"/>
      <c r="U69" s="577"/>
      <c r="V69" s="581"/>
      <c r="W69" s="577"/>
      <c r="X69" s="581"/>
      <c r="Y69" s="578"/>
      <c r="Z69" s="581"/>
      <c r="AA69" s="582"/>
    </row>
    <row r="70" spans="2:28" s="21" customFormat="1" x14ac:dyDescent="0.3">
      <c r="B70" s="277"/>
      <c r="C70" s="277"/>
      <c r="D70" s="278" t="s">
        <v>3310</v>
      </c>
      <c r="E70" s="275">
        <f t="shared" ref="E70:K72" si="78">E24-E47</f>
        <v>0</v>
      </c>
      <c r="F70" s="275">
        <f t="shared" si="78"/>
        <v>0</v>
      </c>
      <c r="G70" s="275">
        <f t="shared" si="78"/>
        <v>0</v>
      </c>
      <c r="H70" s="275">
        <f t="shared" si="78"/>
        <v>0</v>
      </c>
      <c r="I70" s="275">
        <f t="shared" si="78"/>
        <v>0</v>
      </c>
      <c r="J70" s="275">
        <f t="shared" si="78"/>
        <v>0</v>
      </c>
      <c r="K70" s="275">
        <f t="shared" si="78"/>
        <v>0</v>
      </c>
      <c r="L70" s="276">
        <f t="shared" si="76"/>
        <v>0</v>
      </c>
      <c r="M70" s="275"/>
      <c r="O70" s="583"/>
      <c r="P70" s="584" t="s">
        <v>3435</v>
      </c>
      <c r="Q70" s="585"/>
      <c r="R70" s="502"/>
      <c r="S70" s="503"/>
      <c r="T70" s="503"/>
      <c r="U70" s="611">
        <v>100</v>
      </c>
      <c r="V70" s="611">
        <v>125</v>
      </c>
      <c r="W70" s="611">
        <v>150</v>
      </c>
      <c r="X70" s="612">
        <f>+W70*(1+Y70)</f>
        <v>183.71173070873834</v>
      </c>
      <c r="Y70" s="613">
        <f>RATE(2,0,-U70,W70)</f>
        <v>0.22474487139158905</v>
      </c>
      <c r="Z70" s="508"/>
      <c r="AA70" s="589"/>
    </row>
    <row r="71" spans="2:28" s="21" customFormat="1" x14ac:dyDescent="0.3">
      <c r="B71" s="277"/>
      <c r="C71" s="277"/>
      <c r="D71" s="283" t="s">
        <v>3314</v>
      </c>
      <c r="E71" s="281">
        <f t="shared" si="78"/>
        <v>0</v>
      </c>
      <c r="F71" s="281">
        <f t="shared" si="78"/>
        <v>0</v>
      </c>
      <c r="G71" s="281">
        <f t="shared" si="78"/>
        <v>0</v>
      </c>
      <c r="H71" s="281">
        <f t="shared" si="78"/>
        <v>20</v>
      </c>
      <c r="I71" s="281">
        <f t="shared" si="78"/>
        <v>22</v>
      </c>
      <c r="J71" s="281">
        <f t="shared" si="78"/>
        <v>50</v>
      </c>
      <c r="K71" s="281">
        <f t="shared" si="78"/>
        <v>79.056941504209448</v>
      </c>
      <c r="L71" s="282">
        <f t="shared" si="76"/>
        <v>0</v>
      </c>
      <c r="M71" s="281"/>
      <c r="O71" s="583"/>
      <c r="P71" s="590" t="s">
        <v>3436</v>
      </c>
      <c r="Q71"/>
      <c r="R71" s="522"/>
      <c r="U71" s="614">
        <v>6</v>
      </c>
      <c r="V71" s="614">
        <v>7</v>
      </c>
      <c r="W71" s="614">
        <v>7.8000000000000007</v>
      </c>
      <c r="X71" s="607">
        <f>+W71*(1+Y71)</f>
        <v>8.8933683157734915</v>
      </c>
      <c r="Y71" s="608">
        <f>RATE(2,0,-U71,W71)</f>
        <v>0.14017542509916567</v>
      </c>
      <c r="Z71" s="301"/>
      <c r="AA71" s="528"/>
    </row>
    <row r="72" spans="2:28" s="21" customFormat="1" x14ac:dyDescent="0.3">
      <c r="B72" s="277"/>
      <c r="C72" s="284"/>
      <c r="D72" s="285"/>
      <c r="E72" s="286">
        <f t="shared" si="78"/>
        <v>0</v>
      </c>
      <c r="F72" s="286">
        <f t="shared" si="78"/>
        <v>0</v>
      </c>
      <c r="G72" s="286">
        <f t="shared" si="78"/>
        <v>0</v>
      </c>
      <c r="H72" s="286">
        <f t="shared" si="78"/>
        <v>0</v>
      </c>
      <c r="I72" s="286">
        <f t="shared" si="78"/>
        <v>0</v>
      </c>
      <c r="J72" s="286">
        <f t="shared" si="78"/>
        <v>0</v>
      </c>
      <c r="K72" s="286">
        <f t="shared" si="78"/>
        <v>0</v>
      </c>
      <c r="L72" s="287">
        <f t="shared" si="76"/>
        <v>0</v>
      </c>
      <c r="M72" s="286"/>
      <c r="O72" s="583"/>
      <c r="P72" s="590" t="s">
        <v>3437</v>
      </c>
      <c r="Q72"/>
      <c r="R72" s="522"/>
      <c r="U72" s="522"/>
      <c r="V72" s="301"/>
      <c r="W72" s="522"/>
      <c r="X72" s="301"/>
      <c r="Z72" s="301"/>
      <c r="AA72" s="528"/>
    </row>
    <row r="73" spans="2:28" s="21" customFormat="1" x14ac:dyDescent="0.3">
      <c r="B73" s="262" t="s">
        <v>3325</v>
      </c>
      <c r="C73" s="263"/>
      <c r="D73" s="264"/>
      <c r="E73" s="265">
        <f>SUM(E74:E78)</f>
        <v>284.3101235954598</v>
      </c>
      <c r="F73" s="439">
        <f t="shared" ref="F73:K73" si="79">SUM(F74:F78)</f>
        <v>371.63102775849126</v>
      </c>
      <c r="G73" s="439">
        <f t="shared" si="79"/>
        <v>430.34654161917706</v>
      </c>
      <c r="H73" s="265">
        <f t="shared" si="79"/>
        <v>460.97184184261664</v>
      </c>
      <c r="I73" s="265">
        <f t="shared" si="79"/>
        <v>479.5177094611991</v>
      </c>
      <c r="J73" s="265">
        <f t="shared" si="79"/>
        <v>511.36565963227633</v>
      </c>
      <c r="K73" s="265">
        <f t="shared" si="79"/>
        <v>568.02183530087768</v>
      </c>
      <c r="L73" s="266">
        <f t="shared" si="76"/>
        <v>8.8555591280331303E-2</v>
      </c>
      <c r="M73" s="265"/>
      <c r="O73" s="583"/>
      <c r="P73" s="590"/>
      <c r="Q73" t="s">
        <v>3438</v>
      </c>
      <c r="R73" s="522"/>
      <c r="U73" s="615">
        <f>+$Y73</f>
        <v>2.5000000000000001E-2</v>
      </c>
      <c r="V73" s="616">
        <f t="shared" ref="V73:X74" si="80">+$Y73</f>
        <v>2.5000000000000001E-2</v>
      </c>
      <c r="W73" s="615">
        <f t="shared" si="80"/>
        <v>2.5000000000000001E-2</v>
      </c>
      <c r="X73" s="616">
        <f t="shared" si="80"/>
        <v>2.5000000000000001E-2</v>
      </c>
      <c r="Y73" s="617">
        <v>2.5000000000000001E-2</v>
      </c>
      <c r="Z73" s="616"/>
      <c r="AA73" s="618"/>
      <c r="AB73" s="358" t="s">
        <v>3439</v>
      </c>
    </row>
    <row r="74" spans="2:28" s="21" customFormat="1" x14ac:dyDescent="0.3">
      <c r="B74" s="301"/>
      <c r="C74" s="302" t="s">
        <v>3326</v>
      </c>
      <c r="D74" s="303"/>
      <c r="E74" s="304">
        <v>128.20450575736038</v>
      </c>
      <c r="F74" s="304">
        <v>142.83260263552086</v>
      </c>
      <c r="G74" s="304">
        <v>170.63076350321631</v>
      </c>
      <c r="H74" s="304">
        <f t="shared" ref="H74:K77" si="81">+U43+U87</f>
        <v>182.62236279246306</v>
      </c>
      <c r="I74" s="304">
        <f t="shared" si="81"/>
        <v>195.30563880237563</v>
      </c>
      <c r="J74" s="304">
        <f t="shared" si="81"/>
        <v>208.44492488593065</v>
      </c>
      <c r="K74" s="304">
        <f t="shared" si="81"/>
        <v>222.14101500655744</v>
      </c>
      <c r="L74" s="305">
        <f t="shared" si="76"/>
        <v>9.2346145186561701E-2</v>
      </c>
      <c r="M74" s="304"/>
      <c r="O74" s="583"/>
      <c r="P74" s="590"/>
      <c r="Q74" t="s">
        <v>3440</v>
      </c>
      <c r="R74" s="522"/>
      <c r="U74" s="619">
        <f t="shared" ref="U74" si="82">+$Y74</f>
        <v>0.05</v>
      </c>
      <c r="V74" s="620">
        <f t="shared" si="80"/>
        <v>0.05</v>
      </c>
      <c r="W74" s="619">
        <f t="shared" si="80"/>
        <v>0.05</v>
      </c>
      <c r="X74" s="620">
        <f t="shared" si="80"/>
        <v>0.05</v>
      </c>
      <c r="Y74" s="608">
        <v>0.05</v>
      </c>
      <c r="Z74" s="620"/>
      <c r="AA74" s="621"/>
      <c r="AB74" s="21" t="s">
        <v>3441</v>
      </c>
    </row>
    <row r="75" spans="2:28" s="21" customFormat="1" x14ac:dyDescent="0.3">
      <c r="B75" s="301"/>
      <c r="C75" s="306" t="s">
        <v>1988</v>
      </c>
      <c r="D75" s="307"/>
      <c r="E75" s="308">
        <v>19.498235992332184</v>
      </c>
      <c r="F75" s="308">
        <v>21.257449839472805</v>
      </c>
      <c r="G75" s="308">
        <v>26.690236173333336</v>
      </c>
      <c r="H75" s="308">
        <f t="shared" si="81"/>
        <v>28.891296801133326</v>
      </c>
      <c r="I75" s="308">
        <f t="shared" si="81"/>
        <v>29.946405157184323</v>
      </c>
      <c r="J75" s="308">
        <f t="shared" si="81"/>
        <v>31.297993389257613</v>
      </c>
      <c r="K75" s="308">
        <f t="shared" si="81"/>
        <v>32.660603091774199</v>
      </c>
      <c r="L75" s="309">
        <f t="shared" si="76"/>
        <v>8.9689101641696745E-2</v>
      </c>
      <c r="M75" s="308"/>
      <c r="O75" s="583"/>
      <c r="P75" s="590" t="s">
        <v>3442</v>
      </c>
      <c r="Q75"/>
      <c r="R75" s="522"/>
      <c r="U75" s="614">
        <v>2</v>
      </c>
      <c r="V75" s="622">
        <v>3</v>
      </c>
      <c r="W75" s="623">
        <v>5</v>
      </c>
      <c r="X75" s="607">
        <v>8</v>
      </c>
      <c r="Y75" s="608">
        <f>RATE(2,0,-U75,W75)</f>
        <v>0.58113883008418898</v>
      </c>
      <c r="Z75" s="301"/>
      <c r="AA75" s="528"/>
    </row>
    <row r="76" spans="2:28" s="21" customFormat="1" x14ac:dyDescent="0.3">
      <c r="B76" s="301"/>
      <c r="C76" s="306" t="s">
        <v>3327</v>
      </c>
      <c r="D76" s="307"/>
      <c r="E76" s="308">
        <v>44.008868469999996</v>
      </c>
      <c r="F76" s="308">
        <v>54.206860489999997</v>
      </c>
      <c r="G76" s="308">
        <v>61.088999999999999</v>
      </c>
      <c r="H76" s="308">
        <f t="shared" si="81"/>
        <v>67.616224999999986</v>
      </c>
      <c r="I76" s="308">
        <f t="shared" si="81"/>
        <v>69.181630624999983</v>
      </c>
      <c r="J76" s="308">
        <f t="shared" si="81"/>
        <v>70.786171390624972</v>
      </c>
      <c r="K76" s="308">
        <f t="shared" si="81"/>
        <v>72.680825675390594</v>
      </c>
      <c r="L76" s="309">
        <f t="shared" si="76"/>
        <v>6.0408302747976261E-2</v>
      </c>
      <c r="M76" s="308" t="s">
        <v>3443</v>
      </c>
      <c r="O76" s="595"/>
      <c r="P76" s="596" t="s">
        <v>3444</v>
      </c>
      <c r="Q76" s="537"/>
      <c r="R76" s="536"/>
      <c r="S76" s="597"/>
      <c r="T76" s="597"/>
      <c r="U76" s="624">
        <v>1</v>
      </c>
      <c r="V76" s="625">
        <v>3</v>
      </c>
      <c r="W76" s="624">
        <v>20</v>
      </c>
      <c r="X76" s="625">
        <f>+W76/W75*X75</f>
        <v>32</v>
      </c>
      <c r="Y76" s="626"/>
      <c r="Z76" s="310"/>
      <c r="AA76" s="543"/>
      <c r="AB76" s="358" t="s">
        <v>3445</v>
      </c>
    </row>
    <row r="77" spans="2:28" s="21" customFormat="1" ht="17.45" customHeight="1" x14ac:dyDescent="0.3">
      <c r="B77" s="301"/>
      <c r="C77" s="306" t="s">
        <v>1995</v>
      </c>
      <c r="D77" s="307"/>
      <c r="E77" s="308">
        <v>91.331257989999997</v>
      </c>
      <c r="F77" s="308">
        <v>152.53786518207255</v>
      </c>
      <c r="G77" s="308">
        <v>169.18345244262741</v>
      </c>
      <c r="H77" s="308">
        <f t="shared" si="81"/>
        <v>176.95121327402023</v>
      </c>
      <c r="I77" s="308">
        <f t="shared" si="81"/>
        <v>182.04875370288917</v>
      </c>
      <c r="J77" s="308">
        <f t="shared" si="81"/>
        <v>197.64952473402556</v>
      </c>
      <c r="K77" s="308">
        <f t="shared" si="81"/>
        <v>237.19299403309608</v>
      </c>
      <c r="L77" s="309">
        <f t="shared" si="76"/>
        <v>9.230730636033524E-2</v>
      </c>
      <c r="M77" s="308" t="s">
        <v>3446</v>
      </c>
      <c r="O77" s="583" t="s">
        <v>161</v>
      </c>
      <c r="P77" s="627"/>
      <c r="Q77" s="627"/>
      <c r="R77" s="628"/>
      <c r="S77" s="629"/>
      <c r="T77" s="629"/>
      <c r="U77" s="630">
        <f>+U78+U82</f>
        <v>48.45</v>
      </c>
      <c r="V77" s="630">
        <f t="shared" ref="V77:X77" si="83">+V78+V82</f>
        <v>120.625</v>
      </c>
      <c r="W77" s="630">
        <f t="shared" si="83"/>
        <v>248.77500000000003</v>
      </c>
      <c r="X77" s="630">
        <f t="shared" si="83"/>
        <v>496.25227820189832</v>
      </c>
      <c r="Y77" s="629"/>
      <c r="Z77" s="501"/>
      <c r="AA77" s="631"/>
      <c r="AB77" s="358" t="s">
        <v>3447</v>
      </c>
    </row>
    <row r="78" spans="2:28" s="21" customFormat="1" x14ac:dyDescent="0.3">
      <c r="B78" s="310"/>
      <c r="C78" s="311" t="s">
        <v>71</v>
      </c>
      <c r="D78" s="312"/>
      <c r="E78" s="313">
        <v>1.2672553857672568</v>
      </c>
      <c r="F78" s="313">
        <v>0.79624961142503992</v>
      </c>
      <c r="G78" s="313">
        <v>2.7530895000000002</v>
      </c>
      <c r="H78" s="313">
        <f>+U50+U94</f>
        <v>4.8907439750000004</v>
      </c>
      <c r="I78" s="313">
        <f>+V50+V94</f>
        <v>3.0352811737500005</v>
      </c>
      <c r="J78" s="313">
        <f>+W50+W94</f>
        <v>3.1870452324375007</v>
      </c>
      <c r="K78" s="313">
        <f>+X50+X94</f>
        <v>3.3463974940593757</v>
      </c>
      <c r="L78" s="314">
        <f t="shared" si="76"/>
        <v>0.3326179493552317</v>
      </c>
      <c r="M78" s="313"/>
      <c r="O78" s="583"/>
      <c r="P78" s="632" t="s">
        <v>3448</v>
      </c>
      <c r="Q78" s="633"/>
      <c r="R78" s="634"/>
      <c r="S78" s="635"/>
      <c r="T78" s="635"/>
      <c r="U78" s="636">
        <f>+SUM(U79,U80:U81)</f>
        <v>28.450000000000003</v>
      </c>
      <c r="V78" s="637">
        <f>+SUM(V79,V80:V81)</f>
        <v>98.625</v>
      </c>
      <c r="W78" s="636">
        <f>+SUM(W79,W80:W81)</f>
        <v>198.77500000000003</v>
      </c>
      <c r="X78" s="637">
        <f>+SUM(X79,X80:X81)</f>
        <v>417.19533669768884</v>
      </c>
      <c r="Y78" s="635"/>
      <c r="Z78" s="638"/>
      <c r="AA78" s="639"/>
    </row>
    <row r="79" spans="2:28" s="21" customFormat="1" x14ac:dyDescent="0.3">
      <c r="B79" s="331" t="s">
        <v>3449</v>
      </c>
      <c r="C79" s="331"/>
      <c r="D79" s="331"/>
      <c r="E79" s="265">
        <f>E50-E73</f>
        <v>37.706464937260989</v>
      </c>
      <c r="F79" s="640">
        <f t="shared" ref="F79:K79" si="84">F50-F73</f>
        <v>-103.7894369444445</v>
      </c>
      <c r="G79" s="640">
        <f t="shared" si="84"/>
        <v>-93.362052151412911</v>
      </c>
      <c r="H79" s="640">
        <f t="shared" si="84"/>
        <v>1.981171141161667</v>
      </c>
      <c r="I79" s="265">
        <f t="shared" si="84"/>
        <v>77.225732070210427</v>
      </c>
      <c r="J79" s="265">
        <f t="shared" si="84"/>
        <v>220.13131217469902</v>
      </c>
      <c r="K79" s="265">
        <f t="shared" si="84"/>
        <v>306.29805940953509</v>
      </c>
      <c r="L79" s="266">
        <f t="shared" si="76"/>
        <v>-2.2416472124854474</v>
      </c>
      <c r="M79" s="265"/>
      <c r="O79" s="583"/>
      <c r="P79" s="528"/>
      <c r="Q79" s="585" t="s">
        <v>3450</v>
      </c>
      <c r="R79" s="502"/>
      <c r="S79" s="503"/>
      <c r="T79" s="503"/>
      <c r="U79" s="641">
        <f>+U67*(1+U68)*(U62*U64*U66)/10^8</f>
        <v>16.2</v>
      </c>
      <c r="V79" s="642">
        <f>+V67*(1+V68)*(V62*V64*V66)/10^8</f>
        <v>69.3</v>
      </c>
      <c r="W79" s="641">
        <f>+W67*(1+W68)*(W62*W64*W66)/10^8</f>
        <v>126.5</v>
      </c>
      <c r="X79" s="612">
        <f>+X67*(1+X68)*(X62*X64*X66)/10^8</f>
        <v>240.60313797011864</v>
      </c>
      <c r="Y79" s="503"/>
      <c r="Z79" s="508"/>
      <c r="AA79" s="589"/>
    </row>
    <row r="80" spans="2:28" x14ac:dyDescent="0.3">
      <c r="F80" s="643"/>
      <c r="G80" s="643"/>
      <c r="H80" s="643"/>
      <c r="I80" s="643"/>
      <c r="J80" s="643"/>
      <c r="K80" s="643"/>
      <c r="O80" s="583"/>
      <c r="P80" s="528"/>
      <c r="Q80" t="s">
        <v>3346</v>
      </c>
      <c r="R80" s="522"/>
      <c r="S80" s="21"/>
      <c r="T80" s="21"/>
      <c r="U80" s="644">
        <f>+U67*(1+U68)*U63*U70*U71/10^8*U73</f>
        <v>12.15</v>
      </c>
      <c r="V80" s="645">
        <f>+V67*(1+V68)*V63*V70*V71*V73/10^8</f>
        <v>28.875</v>
      </c>
      <c r="W80" s="644">
        <f>+W67*(1+W68)*W63*W70*W71/10^8*W73</f>
        <v>67.27500000000002</v>
      </c>
      <c r="X80" s="607">
        <f>+X67*(1+X68)*X63*X70*X71/10^8*X73</f>
        <v>163.7921987275702</v>
      </c>
      <c r="Y80" s="21"/>
      <c r="Z80" s="301"/>
      <c r="AA80" s="528"/>
    </row>
    <row r="81" spans="6:27" x14ac:dyDescent="0.3">
      <c r="F81" s="646"/>
      <c r="G81" s="1"/>
      <c r="H81" s="647"/>
      <c r="I81" s="647"/>
      <c r="J81" s="647"/>
      <c r="O81" s="583"/>
      <c r="P81" s="543"/>
      <c r="Q81" s="537" t="s">
        <v>3451</v>
      </c>
      <c r="R81" s="536"/>
      <c r="S81" s="597"/>
      <c r="T81" s="597"/>
      <c r="U81" s="648">
        <f>+U75*U76*U74</f>
        <v>0.1</v>
      </c>
      <c r="V81" s="649">
        <f>+V75*V76*V74</f>
        <v>0.45</v>
      </c>
      <c r="W81" s="648">
        <f>+W75*W76*W74</f>
        <v>5</v>
      </c>
      <c r="X81" s="650">
        <f>+X75*X76*X74</f>
        <v>12.8</v>
      </c>
      <c r="Y81" s="597"/>
      <c r="Z81" s="310"/>
      <c r="AA81" s="543"/>
    </row>
    <row r="82" spans="6:27" ht="17.45" customHeight="1" x14ac:dyDescent="0.3">
      <c r="F82" s="260"/>
      <c r="G82" s="260"/>
      <c r="H82" s="260"/>
      <c r="I82" s="260"/>
      <c r="J82" s="260"/>
      <c r="K82" s="260"/>
      <c r="O82" s="595"/>
      <c r="P82" s="596" t="s">
        <v>3350</v>
      </c>
      <c r="Q82" s="537"/>
      <c r="R82" s="536"/>
      <c r="S82" s="597"/>
      <c r="T82" s="597"/>
      <c r="U82" s="651">
        <v>20</v>
      </c>
      <c r="V82" s="625">
        <v>22</v>
      </c>
      <c r="W82" s="624">
        <v>50</v>
      </c>
      <c r="X82" s="650">
        <f>+W82*(1+Y82)</f>
        <v>79.056941504209448</v>
      </c>
      <c r="Y82" s="610">
        <f>RATE(2,0,-U82,W82)</f>
        <v>0.58113883008418898</v>
      </c>
      <c r="Z82" s="310"/>
      <c r="AA82" s="543"/>
    </row>
    <row r="83" spans="6:27" x14ac:dyDescent="0.3">
      <c r="F83" s="260"/>
      <c r="G83" s="335"/>
      <c r="H83" s="260"/>
      <c r="I83" s="260"/>
      <c r="J83" s="260"/>
      <c r="K83" s="260"/>
      <c r="O83" s="575" t="s">
        <v>45</v>
      </c>
      <c r="P83" s="576"/>
      <c r="Q83" s="576"/>
      <c r="R83" s="577"/>
      <c r="S83" s="578"/>
      <c r="T83" s="652"/>
      <c r="U83" s="653"/>
      <c r="V83" s="654"/>
      <c r="W83" s="653"/>
      <c r="X83" s="654"/>
      <c r="Y83" s="655"/>
      <c r="Z83" s="656"/>
      <c r="AA83" s="657"/>
    </row>
    <row r="84" spans="6:27" ht="17.45" customHeight="1" x14ac:dyDescent="0.3">
      <c r="F84" s="260"/>
      <c r="G84" s="260"/>
      <c r="H84" s="260"/>
      <c r="I84" s="260"/>
      <c r="J84" s="260"/>
      <c r="K84" s="260"/>
      <c r="O84" s="583"/>
      <c r="P84" s="584" t="s">
        <v>3448</v>
      </c>
      <c r="Q84" s="585"/>
      <c r="R84" s="502"/>
      <c r="S84" s="503"/>
      <c r="T84" s="658"/>
      <c r="U84" s="659"/>
      <c r="V84" s="660"/>
      <c r="W84" s="659"/>
      <c r="X84" s="660"/>
      <c r="Y84" s="605">
        <v>0.3</v>
      </c>
      <c r="Z84" s="508"/>
      <c r="AA84" s="589"/>
    </row>
    <row r="85" spans="6:27" x14ac:dyDescent="0.3">
      <c r="F85" s="260"/>
      <c r="G85" s="260"/>
      <c r="H85" s="260"/>
      <c r="I85" s="260"/>
      <c r="J85" s="260"/>
      <c r="K85" s="260"/>
      <c r="O85" s="595"/>
      <c r="P85" s="596" t="s">
        <v>3350</v>
      </c>
      <c r="Q85" s="537"/>
      <c r="R85" s="536"/>
      <c r="S85" s="597"/>
      <c r="T85" s="661"/>
      <c r="U85" s="662"/>
      <c r="V85" s="663"/>
      <c r="W85" s="662"/>
      <c r="X85" s="663"/>
      <c r="Y85" s="664">
        <v>0.6</v>
      </c>
      <c r="Z85" s="310"/>
      <c r="AA85" s="543"/>
    </row>
    <row r="86" spans="6:27" x14ac:dyDescent="0.3">
      <c r="F86" s="260"/>
      <c r="G86" s="260"/>
      <c r="H86" s="260"/>
      <c r="I86" s="260"/>
      <c r="J86" s="260"/>
      <c r="K86" s="260"/>
      <c r="O86" s="1778" t="s">
        <v>127</v>
      </c>
      <c r="P86" s="1779"/>
      <c r="Q86" s="1783"/>
      <c r="R86" s="665"/>
      <c r="S86" s="665"/>
      <c r="T86" s="666"/>
      <c r="U86" s="666">
        <f t="shared" ref="U86:W86" si="85">+SUM(U87:U90,U94)</f>
        <v>10.6</v>
      </c>
      <c r="V86" s="666">
        <f t="shared" si="85"/>
        <v>10.199999999999999</v>
      </c>
      <c r="W86" s="665">
        <f t="shared" si="85"/>
        <v>13.14</v>
      </c>
      <c r="X86" s="545">
        <f>+SUM(X87:X90,X94)</f>
        <v>18.348690951540725</v>
      </c>
      <c r="Y86" s="666"/>
      <c r="Z86" s="666"/>
      <c r="AA86" s="363" t="s">
        <v>3452</v>
      </c>
    </row>
    <row r="87" spans="6:27" x14ac:dyDescent="0.3">
      <c r="O87" s="369"/>
      <c r="P87" s="667" t="s">
        <v>3453</v>
      </c>
      <c r="Q87" s="668"/>
      <c r="R87" s="669"/>
      <c r="S87" s="669"/>
      <c r="T87" s="670"/>
      <c r="U87" s="671">
        <v>1.6</v>
      </c>
      <c r="V87" s="672">
        <v>3.3</v>
      </c>
      <c r="W87" s="673">
        <v>4.8</v>
      </c>
      <c r="X87" s="414">
        <f>+W87*(1+Y87)</f>
        <v>8.3138438763302513</v>
      </c>
      <c r="Y87" s="674">
        <f>+IFERROR(RATE(2,0,-U87,W87),)</f>
        <v>0.73205080756880259</v>
      </c>
      <c r="Z87" s="675"/>
      <c r="AA87" s="676"/>
    </row>
    <row r="88" spans="6:27" x14ac:dyDescent="0.3">
      <c r="F88" s="260"/>
      <c r="G88" s="260"/>
      <c r="H88" s="260"/>
      <c r="I88" s="260"/>
      <c r="J88" s="260"/>
      <c r="K88" s="260"/>
      <c r="O88" s="369"/>
      <c r="P88" s="456" t="s">
        <v>3413</v>
      </c>
      <c r="Q88" s="457"/>
      <c r="R88" s="677"/>
      <c r="S88" s="677"/>
      <c r="T88" s="678"/>
      <c r="U88" s="679">
        <v>1</v>
      </c>
      <c r="V88" s="680">
        <v>0.8</v>
      </c>
      <c r="W88" s="681">
        <v>0.84000000000000008</v>
      </c>
      <c r="X88" s="682">
        <f>((5-W88)/60)*12</f>
        <v>0.83199999999999996</v>
      </c>
      <c r="Y88" s="683"/>
      <c r="Z88" s="675"/>
      <c r="AA88" s="684"/>
    </row>
    <row r="89" spans="6:27" x14ac:dyDescent="0.3">
      <c r="F89" s="260"/>
      <c r="G89" s="260"/>
      <c r="H89" s="260"/>
      <c r="I89" s="260"/>
      <c r="J89" s="260"/>
      <c r="K89" s="260"/>
      <c r="O89" s="369"/>
      <c r="P89" s="456" t="s">
        <v>3414</v>
      </c>
      <c r="Q89" s="457"/>
      <c r="R89" s="677"/>
      <c r="S89" s="677"/>
      <c r="T89" s="678"/>
      <c r="U89" s="679">
        <v>5</v>
      </c>
      <c r="V89" s="680">
        <v>5</v>
      </c>
      <c r="W89" s="681">
        <v>5</v>
      </c>
      <c r="X89" s="682">
        <f>+W89*(1+Y89)</f>
        <v>5.25</v>
      </c>
      <c r="Y89" s="685">
        <v>0.05</v>
      </c>
      <c r="Z89" s="675"/>
      <c r="AA89" s="684"/>
    </row>
    <row r="90" spans="6:27" x14ac:dyDescent="0.3">
      <c r="F90" s="260"/>
      <c r="G90" s="260"/>
      <c r="H90" s="260"/>
      <c r="I90" s="260"/>
      <c r="J90" s="260"/>
      <c r="K90" s="260"/>
      <c r="O90" s="369"/>
      <c r="P90" s="686" t="s">
        <v>3354</v>
      </c>
      <c r="Q90" s="687"/>
      <c r="R90" s="688"/>
      <c r="S90" s="688"/>
      <c r="T90" s="689"/>
      <c r="U90" s="689">
        <f t="shared" ref="U90:W90" si="86">+SUM(U91:U93)</f>
        <v>1</v>
      </c>
      <c r="V90" s="689">
        <f t="shared" si="86"/>
        <v>1.1000000000000001</v>
      </c>
      <c r="W90" s="688">
        <f t="shared" si="86"/>
        <v>2.5</v>
      </c>
      <c r="X90" s="690">
        <f>+SUM(X91:X93)</f>
        <v>3.9528470752104727</v>
      </c>
      <c r="Y90" s="689"/>
      <c r="Z90" s="689"/>
      <c r="AA90" s="691"/>
    </row>
    <row r="91" spans="6:27" x14ac:dyDescent="0.3">
      <c r="F91" s="260"/>
      <c r="G91" s="260"/>
      <c r="H91" s="260"/>
      <c r="I91" s="260"/>
      <c r="J91" s="260"/>
      <c r="K91" s="260"/>
      <c r="O91" s="369"/>
      <c r="P91" s="692"/>
      <c r="Q91" s="693" t="s">
        <v>3454</v>
      </c>
      <c r="R91" s="694"/>
      <c r="S91" s="694"/>
      <c r="T91" s="695"/>
      <c r="U91" s="696"/>
      <c r="V91" s="697"/>
      <c r="W91" s="697"/>
      <c r="X91" s="695">
        <f>+X78*$Y$91</f>
        <v>0</v>
      </c>
      <c r="Y91" s="698"/>
      <c r="Z91" s="695"/>
      <c r="AA91" s="699" t="s">
        <v>3455</v>
      </c>
    </row>
    <row r="92" spans="6:27" x14ac:dyDescent="0.3">
      <c r="F92" s="260"/>
      <c r="G92" s="260"/>
      <c r="H92" s="260"/>
      <c r="I92" s="260"/>
      <c r="J92" s="260"/>
      <c r="K92" s="260"/>
      <c r="O92" s="369"/>
      <c r="P92" s="374"/>
      <c r="Q92" s="484" t="s">
        <v>3456</v>
      </c>
      <c r="R92" s="700"/>
      <c r="S92" s="700"/>
      <c r="T92" s="701"/>
      <c r="U92" s="702"/>
      <c r="V92" s="702"/>
      <c r="W92" s="702"/>
      <c r="X92" s="701">
        <f>+W92*X63/W63</f>
        <v>0</v>
      </c>
      <c r="Y92" s="701"/>
      <c r="Z92" s="701"/>
      <c r="AA92" s="703" t="s">
        <v>3457</v>
      </c>
    </row>
    <row r="93" spans="6:27" x14ac:dyDescent="0.3">
      <c r="O93" s="369"/>
      <c r="P93" s="374"/>
      <c r="Q93" s="484" t="s">
        <v>3458</v>
      </c>
      <c r="R93" s="700"/>
      <c r="S93" s="700"/>
      <c r="T93" s="701"/>
      <c r="U93" s="702">
        <v>1</v>
      </c>
      <c r="V93" s="702">
        <v>1.1000000000000001</v>
      </c>
      <c r="W93" s="702">
        <v>2.5</v>
      </c>
      <c r="X93" s="701">
        <f t="shared" ref="X93" si="87">+X82*$Y$93</f>
        <v>3.9528470752104727</v>
      </c>
      <c r="Y93" s="704">
        <v>0.05</v>
      </c>
      <c r="Z93" s="701"/>
      <c r="AA93" s="703" t="s">
        <v>3459</v>
      </c>
    </row>
    <row r="94" spans="6:27" x14ac:dyDescent="0.3">
      <c r="O94" s="420"/>
      <c r="P94" s="705" t="s">
        <v>3460</v>
      </c>
      <c r="Q94" s="706"/>
      <c r="R94" s="707"/>
      <c r="S94" s="707"/>
      <c r="T94" s="708"/>
      <c r="U94" s="709">
        <v>2</v>
      </c>
      <c r="V94" s="710">
        <v>0</v>
      </c>
      <c r="W94" s="710">
        <v>0</v>
      </c>
      <c r="X94" s="708">
        <f>+W94*(1+Y$94)</f>
        <v>0</v>
      </c>
      <c r="Y94" s="711">
        <v>0.05</v>
      </c>
      <c r="Z94" s="708"/>
      <c r="AA94" s="712"/>
    </row>
    <row r="96" spans="6:27" x14ac:dyDescent="0.3">
      <c r="O96" t="s">
        <v>3461</v>
      </c>
      <c r="U96" s="322">
        <f>+U77-U86</f>
        <v>37.85</v>
      </c>
      <c r="V96" s="322">
        <f t="shared" ref="V96:X96" si="88">+V77-V86</f>
        <v>110.425</v>
      </c>
      <c r="W96" s="322">
        <f t="shared" si="88"/>
        <v>235.63500000000005</v>
      </c>
      <c r="X96" s="322">
        <f t="shared" si="88"/>
        <v>477.90358725035759</v>
      </c>
    </row>
    <row r="97" spans="21:24" x14ac:dyDescent="0.3">
      <c r="U97" s="713">
        <f>+U96/U77</f>
        <v>0.78121775025799789</v>
      </c>
      <c r="V97" s="713">
        <f t="shared" ref="V97:X97" si="89">+V96/V77</f>
        <v>0.91544041450777203</v>
      </c>
      <c r="W97" s="713">
        <f t="shared" si="89"/>
        <v>0.94718118782031968</v>
      </c>
      <c r="X97" s="713">
        <f t="shared" si="89"/>
        <v>0.96302547765014868</v>
      </c>
    </row>
  </sheetData>
  <mergeCells count="15">
    <mergeCell ref="P16:Q16"/>
    <mergeCell ref="B3:D3"/>
    <mergeCell ref="O3:Q3"/>
    <mergeCell ref="O4:Q4"/>
    <mergeCell ref="O6:Q6"/>
    <mergeCell ref="P7:Q7"/>
    <mergeCell ref="O52:Q52"/>
    <mergeCell ref="O54:Q54"/>
    <mergeCell ref="O86:Q86"/>
    <mergeCell ref="O17:Q17"/>
    <mergeCell ref="O20:Q20"/>
    <mergeCell ref="O29:Q29"/>
    <mergeCell ref="O33:Q33"/>
    <mergeCell ref="O34:Q34"/>
    <mergeCell ref="O42:Q42"/>
  </mergeCells>
  <phoneticPr fontId="2" type="noConversion"/>
  <pageMargins left="0.7" right="0.7" top="0.75" bottom="0.75" header="0.3" footer="0.3"/>
  <pageSetup paperSize="9" orientation="portrait" r:id="rId1"/>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769AC-13D2-492B-8E75-E365EA5E6D84}">
  <sheetPr>
    <tabColor theme="1" tint="0.34998626667073579"/>
  </sheetPr>
  <dimension ref="A1:AL97"/>
  <sheetViews>
    <sheetView workbookViewId="0">
      <selection activeCell="A2" sqref="A2"/>
    </sheetView>
  </sheetViews>
  <sheetFormatPr defaultRowHeight="16.5" x14ac:dyDescent="0.3"/>
  <cols>
    <col min="1" max="3" width="2.625" customWidth="1"/>
    <col min="4" max="4" width="11" customWidth="1"/>
    <col min="5" max="12" width="9.625" customWidth="1"/>
    <col min="13" max="13" width="62.5" customWidth="1"/>
    <col min="15" max="15" width="5.25" customWidth="1"/>
    <col min="16" max="16" width="6.875" customWidth="1"/>
    <col min="17" max="17" width="11.125" customWidth="1"/>
    <col min="20" max="20" width="8.75" customWidth="1"/>
    <col min="25" max="25" width="10.125" bestFit="1" customWidth="1"/>
    <col min="26" max="26" width="11.75" customWidth="1"/>
    <col min="30" max="30" width="9.125" customWidth="1"/>
  </cols>
  <sheetData>
    <row r="1" spans="1:36" ht="17.25" thickBot="1" x14ac:dyDescent="0.35">
      <c r="A1" s="258" t="s">
        <v>3462</v>
      </c>
      <c r="B1" s="259"/>
      <c r="C1" s="259"/>
      <c r="D1" s="259"/>
      <c r="E1" s="259"/>
      <c r="F1" s="259"/>
      <c r="G1" s="259">
        <f>G36/G12</f>
        <v>0.83388801038448201</v>
      </c>
      <c r="H1" s="259">
        <f t="shared" ref="H1:K1" si="0">H36/H12</f>
        <v>0.85564360600166955</v>
      </c>
      <c r="I1" s="259">
        <f t="shared" si="0"/>
        <v>0.85292154125299535</v>
      </c>
      <c r="J1" s="259">
        <f t="shared" si="0"/>
        <v>0.85271884949510701</v>
      </c>
      <c r="K1" s="259">
        <f t="shared" si="0"/>
        <v>0.85262754429056975</v>
      </c>
      <c r="L1" s="259"/>
      <c r="M1" s="259"/>
    </row>
    <row r="2" spans="1:36" x14ac:dyDescent="0.3">
      <c r="E2" s="325"/>
      <c r="G2">
        <f>G41/G17</f>
        <v>0.81616765128683133</v>
      </c>
      <c r="H2">
        <f t="shared" ref="H2:K2" si="1">H41/H17</f>
        <v>0.89304374889188409</v>
      </c>
      <c r="I2">
        <f t="shared" si="1"/>
        <v>0.90100213056708245</v>
      </c>
      <c r="J2">
        <f t="shared" si="1"/>
        <v>0.90862588342054662</v>
      </c>
      <c r="K2">
        <f t="shared" si="1"/>
        <v>0.91335296298473545</v>
      </c>
      <c r="P2">
        <v>15000</v>
      </c>
      <c r="Q2">
        <f>P2*300000</f>
        <v>4500000000</v>
      </c>
      <c r="R2" s="1"/>
    </row>
    <row r="3" spans="1:36" s="21" customFormat="1" ht="13.5" x14ac:dyDescent="0.3">
      <c r="B3" s="1775" t="s">
        <v>3292</v>
      </c>
      <c r="C3" s="1776"/>
      <c r="D3" s="1777"/>
      <c r="E3" s="261" t="s">
        <v>3293</v>
      </c>
      <c r="F3" s="261" t="s">
        <v>3294</v>
      </c>
      <c r="G3" s="261" t="s">
        <v>3295</v>
      </c>
      <c r="H3" s="261" t="s">
        <v>3296</v>
      </c>
      <c r="I3" s="261" t="s">
        <v>3297</v>
      </c>
      <c r="J3" s="261" t="s">
        <v>3298</v>
      </c>
      <c r="K3" s="261" t="s">
        <v>3299</v>
      </c>
      <c r="L3" s="261" t="s">
        <v>51</v>
      </c>
      <c r="M3" s="261" t="s">
        <v>3463</v>
      </c>
      <c r="O3" s="714"/>
      <c r="P3" s="714"/>
      <c r="Q3" s="714"/>
      <c r="R3" s="715">
        <v>2021</v>
      </c>
      <c r="S3" s="716">
        <v>2022</v>
      </c>
      <c r="T3" s="716">
        <v>2023</v>
      </c>
      <c r="U3" s="717">
        <v>2024</v>
      </c>
      <c r="V3" s="716">
        <v>2025</v>
      </c>
      <c r="W3" s="716">
        <v>2026</v>
      </c>
      <c r="X3" s="718">
        <v>2027</v>
      </c>
      <c r="Y3" s="716"/>
      <c r="Z3" s="719"/>
      <c r="AB3" s="341" t="s">
        <v>3464</v>
      </c>
    </row>
    <row r="4" spans="1:36" s="21" customFormat="1" ht="13.5" x14ac:dyDescent="0.3">
      <c r="B4" s="262" t="s">
        <v>161</v>
      </c>
      <c r="C4" s="263"/>
      <c r="D4" s="264"/>
      <c r="E4" s="265">
        <f>SUM(E5,E12,E20,E24)</f>
        <v>566.73654399648365</v>
      </c>
      <c r="F4" s="265">
        <f>SUM(F5,F12,F20,F24)</f>
        <v>894.72338700660453</v>
      </c>
      <c r="G4" s="265">
        <f>SUM(G5,G12,G20,G24)</f>
        <v>739.25907309689876</v>
      </c>
      <c r="H4" s="265">
        <f>SUM(H5,H12,H20,H24)</f>
        <v>924.95639613636854</v>
      </c>
      <c r="I4" s="265">
        <f t="shared" ref="I4:K4" si="2">SUM(I5,I12,I20,I24)</f>
        <v>1424.7752454046247</v>
      </c>
      <c r="J4" s="265">
        <f t="shared" si="2"/>
        <v>1847.3450838243705</v>
      </c>
      <c r="K4" s="265">
        <f t="shared" si="2"/>
        <v>2250.1800567550085</v>
      </c>
      <c r="L4" s="266">
        <f t="shared" ref="L4:L67" si="3">IFERROR((K4/F4)^(1/5)-1,0)</f>
        <v>0.2025570711684761</v>
      </c>
      <c r="M4" s="266"/>
      <c r="N4" s="267"/>
      <c r="O4" s="341" t="s">
        <v>3465</v>
      </c>
      <c r="R4" s="720"/>
      <c r="S4" s="592"/>
      <c r="T4" s="592"/>
      <c r="U4" s="721"/>
      <c r="V4" s="592"/>
      <c r="W4" s="592"/>
      <c r="X4" s="722"/>
      <c r="Y4" s="592"/>
      <c r="Z4" s="721"/>
      <c r="AB4" s="723"/>
      <c r="AC4" s="723"/>
      <c r="AD4" s="724" t="s">
        <v>3466</v>
      </c>
      <c r="AE4" s="724" t="s">
        <v>3467</v>
      </c>
      <c r="AF4" s="724" t="s">
        <v>3468</v>
      </c>
      <c r="AG4" s="724" t="s">
        <v>3469</v>
      </c>
      <c r="AH4" s="724" t="s">
        <v>3470</v>
      </c>
      <c r="AI4" s="725" t="s">
        <v>3471</v>
      </c>
    </row>
    <row r="5" spans="1:36" s="21" customFormat="1" ht="13.5" x14ac:dyDescent="0.3">
      <c r="B5" s="268"/>
      <c r="C5" s="269" t="s">
        <v>77</v>
      </c>
      <c r="D5" s="270"/>
      <c r="E5" s="271">
        <f>SUM(E6:E11)</f>
        <v>126.299816295</v>
      </c>
      <c r="F5" s="271">
        <f>SUM(F6:F11)</f>
        <v>123.09561636000002</v>
      </c>
      <c r="G5" s="271">
        <f>SUM(G6:G11)</f>
        <v>70.134635464149113</v>
      </c>
      <c r="H5" s="271">
        <f>SUM(H6:H11)</f>
        <v>90.675006366812156</v>
      </c>
      <c r="I5" s="271">
        <f t="shared" ref="I5:K5" si="4">SUM(I6:I11)</f>
        <v>143.31575354015882</v>
      </c>
      <c r="J5" s="271">
        <f t="shared" si="4"/>
        <v>183.70697276035452</v>
      </c>
      <c r="K5" s="271">
        <f t="shared" si="4"/>
        <v>226.37157842896056</v>
      </c>
      <c r="L5" s="272">
        <f t="shared" si="3"/>
        <v>0.12957705591790769</v>
      </c>
      <c r="M5" s="271"/>
      <c r="P5" s="502" t="s">
        <v>77</v>
      </c>
      <c r="Q5" s="503"/>
      <c r="R5" s="659"/>
      <c r="S5" s="588"/>
      <c r="T5" s="588"/>
      <c r="U5" s="726"/>
      <c r="V5" s="588"/>
      <c r="W5" s="588"/>
      <c r="X5" s="727"/>
      <c r="Y5" s="592"/>
      <c r="Z5" s="721"/>
      <c r="AB5" s="21" t="s">
        <v>3472</v>
      </c>
      <c r="AD5" s="728">
        <v>39.15</v>
      </c>
      <c r="AE5" s="728">
        <v>170</v>
      </c>
      <c r="AF5" s="728">
        <f>+AE5</f>
        <v>170</v>
      </c>
      <c r="AG5" s="728">
        <f t="shared" ref="AG5:AH5" si="5">+AF5</f>
        <v>170</v>
      </c>
      <c r="AH5" s="728">
        <f t="shared" si="5"/>
        <v>170</v>
      </c>
      <c r="AI5" s="729">
        <f>+AH5</f>
        <v>170</v>
      </c>
      <c r="AJ5" s="730"/>
    </row>
    <row r="6" spans="1:36" s="21" customFormat="1" ht="13.5" x14ac:dyDescent="0.3">
      <c r="B6" s="277"/>
      <c r="C6" s="277"/>
      <c r="D6" s="278" t="s">
        <v>3473</v>
      </c>
      <c r="E6" s="275">
        <v>94.578903499999996</v>
      </c>
      <c r="F6" s="275">
        <v>82.874796500000016</v>
      </c>
      <c r="G6" s="304">
        <v>16.964864578146901</v>
      </c>
      <c r="H6" s="304">
        <v>0</v>
      </c>
      <c r="I6" s="304">
        <v>0</v>
      </c>
      <c r="J6" s="304">
        <v>0</v>
      </c>
      <c r="K6" s="304">
        <v>0</v>
      </c>
      <c r="L6" s="276">
        <f t="shared" si="3"/>
        <v>-1</v>
      </c>
      <c r="M6" s="275" t="s">
        <v>3474</v>
      </c>
      <c r="P6" s="522"/>
      <c r="Q6" s="517" t="s">
        <v>3473</v>
      </c>
      <c r="R6" s="521"/>
      <c r="S6" s="731">
        <f t="shared" ref="S6:T6" si="6">+(F6-E6)/E6</f>
        <v>-0.12374965840030044</v>
      </c>
      <c r="T6" s="731">
        <f t="shared" si="6"/>
        <v>-0.79529524904297177</v>
      </c>
      <c r="U6" s="732"/>
      <c r="V6" s="731"/>
      <c r="W6" s="731"/>
      <c r="X6" s="733"/>
      <c r="Y6" s="731"/>
      <c r="Z6" s="732"/>
      <c r="AB6" s="635" t="s">
        <v>3475</v>
      </c>
      <c r="AC6" s="635"/>
      <c r="AD6" s="637">
        <f>+SUM(AD7:AD9)</f>
        <v>7.83</v>
      </c>
      <c r="AE6" s="637">
        <f t="shared" ref="AE6:AI6" si="7">+SUM(AE7:AE9)</f>
        <v>53.575000000000003</v>
      </c>
      <c r="AF6" s="637">
        <f t="shared" si="7"/>
        <v>130.745</v>
      </c>
      <c r="AG6" s="637">
        <f t="shared" si="7"/>
        <v>170</v>
      </c>
      <c r="AH6" s="637">
        <f t="shared" si="7"/>
        <v>170</v>
      </c>
      <c r="AI6" s="636">
        <f t="shared" si="7"/>
        <v>170</v>
      </c>
    </row>
    <row r="7" spans="1:36" s="21" customFormat="1" ht="13.5" x14ac:dyDescent="0.3">
      <c r="B7" s="277"/>
      <c r="C7" s="277"/>
      <c r="D7" s="294" t="s">
        <v>3476</v>
      </c>
      <c r="E7" s="295">
        <v>5.2128546099999999</v>
      </c>
      <c r="F7" s="295">
        <v>0</v>
      </c>
      <c r="G7" s="734">
        <v>0</v>
      </c>
      <c r="H7" s="734">
        <v>0</v>
      </c>
      <c r="I7" s="734">
        <v>0</v>
      </c>
      <c r="J7" s="734">
        <v>0</v>
      </c>
      <c r="K7" s="734">
        <v>0</v>
      </c>
      <c r="L7" s="296">
        <f t="shared" si="3"/>
        <v>0</v>
      </c>
      <c r="M7" s="295"/>
      <c r="P7" s="522"/>
      <c r="Q7" s="523" t="s">
        <v>3477</v>
      </c>
      <c r="R7" s="720"/>
      <c r="S7" s="592">
        <f>+(F8-E8)/E8</f>
        <v>0.43933866883240003</v>
      </c>
      <c r="T7" s="592">
        <f>+(G8-F8)/F8</f>
        <v>-5.2083196136820394E-2</v>
      </c>
      <c r="U7" s="735">
        <f>+IFERROR(RATE(2,0,-E8,G8),)</f>
        <v>0.16806391547730043</v>
      </c>
      <c r="V7" s="736">
        <f>+U7</f>
        <v>0.16806391547730043</v>
      </c>
      <c r="W7" s="736">
        <f t="shared" ref="W7:X7" si="8">+V7</f>
        <v>0.16806391547730043</v>
      </c>
      <c r="X7" s="737">
        <f t="shared" si="8"/>
        <v>0.16806391547730043</v>
      </c>
      <c r="Y7" s="592"/>
      <c r="Z7" s="721"/>
      <c r="AC7" s="21" t="s">
        <v>3478</v>
      </c>
      <c r="AD7" s="607">
        <f t="shared" ref="AD7:AI7" si="9">+AD5*$AJ$7</f>
        <v>7.83</v>
      </c>
      <c r="AE7" s="607">
        <f t="shared" si="9"/>
        <v>34</v>
      </c>
      <c r="AF7" s="607">
        <f t="shared" si="9"/>
        <v>34</v>
      </c>
      <c r="AG7" s="607">
        <f t="shared" si="9"/>
        <v>34</v>
      </c>
      <c r="AH7" s="607">
        <f t="shared" si="9"/>
        <v>34</v>
      </c>
      <c r="AI7" s="524">
        <f t="shared" si="9"/>
        <v>34</v>
      </c>
      <c r="AJ7" s="738">
        <v>0.2</v>
      </c>
    </row>
    <row r="8" spans="1:36" s="21" customFormat="1" ht="13.5" x14ac:dyDescent="0.3">
      <c r="B8" s="277"/>
      <c r="C8" s="277"/>
      <c r="D8" s="283" t="s">
        <v>3477</v>
      </c>
      <c r="E8" s="281">
        <v>17.725150384999999</v>
      </c>
      <c r="F8" s="281">
        <v>25.512494360000002</v>
      </c>
      <c r="G8" s="308">
        <v>24.183722112308597</v>
      </c>
      <c r="H8" s="308">
        <f t="shared" ref="H8:K10" si="10">+G8*(1+U7)</f>
        <v>28.248133141318153</v>
      </c>
      <c r="I8" s="308">
        <f t="shared" si="10"/>
        <v>32.995625001972179</v>
      </c>
      <c r="J8" s="308">
        <f t="shared" si="10"/>
        <v>38.540998933424333</v>
      </c>
      <c r="K8" s="308">
        <f t="shared" si="10"/>
        <v>45.018350120582092</v>
      </c>
      <c r="L8" s="282">
        <f t="shared" si="3"/>
        <v>0.1202819290630921</v>
      </c>
      <c r="M8" s="739" t="s">
        <v>3479</v>
      </c>
      <c r="P8" s="522"/>
      <c r="Q8" s="523" t="s">
        <v>3480</v>
      </c>
      <c r="R8" s="720"/>
      <c r="S8" s="592"/>
      <c r="T8" s="592"/>
      <c r="U8" s="721"/>
      <c r="V8" s="592">
        <f>+$Y$8</f>
        <v>0.3</v>
      </c>
      <c r="W8" s="592">
        <f>+$Y$8</f>
        <v>0.3</v>
      </c>
      <c r="X8" s="722">
        <f>+$Y$8</f>
        <v>0.3</v>
      </c>
      <c r="Y8" s="736">
        <v>0.3</v>
      </c>
      <c r="Z8" s="721"/>
      <c r="AC8" s="21" t="s">
        <v>3481</v>
      </c>
      <c r="AD8" s="301"/>
      <c r="AE8" s="607">
        <f>+AD5*$AJ$8</f>
        <v>19.574999999999999</v>
      </c>
      <c r="AF8" s="607">
        <f>+AE5*$AJ$8</f>
        <v>85</v>
      </c>
      <c r="AG8" s="607">
        <f>+AF5*$AJ$8</f>
        <v>85</v>
      </c>
      <c r="AH8" s="607">
        <f>+AG5*$AJ$8</f>
        <v>85</v>
      </c>
      <c r="AI8" s="524">
        <f>+AH5*$AJ$8</f>
        <v>85</v>
      </c>
      <c r="AJ8" s="738">
        <v>0.5</v>
      </c>
    </row>
    <row r="9" spans="1:36" s="21" customFormat="1" ht="13.5" x14ac:dyDescent="0.3">
      <c r="B9" s="277"/>
      <c r="C9" s="277"/>
      <c r="D9" s="283" t="s">
        <v>3480</v>
      </c>
      <c r="E9" s="281">
        <v>0</v>
      </c>
      <c r="F9" s="281"/>
      <c r="G9" s="308"/>
      <c r="H9" s="740">
        <f>28/12*5*10%</f>
        <v>1.1666666666666667</v>
      </c>
      <c r="I9" s="740">
        <f>(28+85)*10%*(1+V8)</f>
        <v>14.690000000000001</v>
      </c>
      <c r="J9" s="308">
        <f t="shared" si="10"/>
        <v>19.097000000000001</v>
      </c>
      <c r="K9" s="308">
        <f t="shared" si="10"/>
        <v>24.826100000000004</v>
      </c>
      <c r="L9" s="282">
        <f t="shared" si="3"/>
        <v>0</v>
      </c>
      <c r="M9" s="739" t="s">
        <v>3482</v>
      </c>
      <c r="P9" s="522"/>
      <c r="Q9" s="523" t="s">
        <v>3483</v>
      </c>
      <c r="R9" s="720"/>
      <c r="S9" s="592">
        <f>+(F10-E10)/E10</f>
        <v>0.6746532964857036</v>
      </c>
      <c r="T9" s="592">
        <f>+(G10-F10)/F10</f>
        <v>0.97072391236470934</v>
      </c>
      <c r="U9" s="735">
        <f>+(AF16-AE16)/AE16</f>
        <v>7.8456977799527886E-2</v>
      </c>
      <c r="V9" s="736">
        <f t="shared" ref="V9:X9" si="11">+(AG16-AF16)/AF16</f>
        <v>0.13979184594112393</v>
      </c>
      <c r="W9" s="736">
        <f t="shared" si="11"/>
        <v>1.2316691147303159E-2</v>
      </c>
      <c r="X9" s="737">
        <f t="shared" si="11"/>
        <v>1.2702176769614722E-2</v>
      </c>
      <c r="Y9" s="592"/>
      <c r="Z9" s="721"/>
      <c r="AB9" s="597"/>
      <c r="AC9" s="597" t="s">
        <v>3484</v>
      </c>
      <c r="AD9" s="310"/>
      <c r="AE9" s="310"/>
      <c r="AF9" s="650">
        <f>+AD5*$AJ$9</f>
        <v>11.744999999999999</v>
      </c>
      <c r="AG9" s="650">
        <f>+AE5*$AJ$9</f>
        <v>51</v>
      </c>
      <c r="AH9" s="650">
        <f>+AF5*$AJ$9</f>
        <v>51</v>
      </c>
      <c r="AI9" s="741">
        <f>+AG5*$AJ$9</f>
        <v>51</v>
      </c>
      <c r="AJ9" s="738">
        <v>0.3</v>
      </c>
    </row>
    <row r="10" spans="1:36" s="21" customFormat="1" ht="13.5" x14ac:dyDescent="0.3">
      <c r="B10" s="277"/>
      <c r="C10" s="277"/>
      <c r="D10" s="283" t="s">
        <v>3485</v>
      </c>
      <c r="E10" s="281">
        <v>8.7829078000000003</v>
      </c>
      <c r="F10" s="281">
        <v>14.708325499999999</v>
      </c>
      <c r="G10" s="308">
        <v>28.986048773693618</v>
      </c>
      <c r="H10" s="308">
        <f t="shared" si="10"/>
        <v>31.260206558827331</v>
      </c>
      <c r="I10" s="308">
        <f t="shared" si="10"/>
        <v>35.630128538186639</v>
      </c>
      <c r="J10" s="308">
        <f t="shared" si="10"/>
        <v>36.068973826930197</v>
      </c>
      <c r="K10" s="308">
        <f t="shared" si="10"/>
        <v>36.527128308378472</v>
      </c>
      <c r="L10" s="282">
        <f t="shared" si="3"/>
        <v>0.19952819226411722</v>
      </c>
      <c r="M10" s="281" t="s">
        <v>3486</v>
      </c>
      <c r="P10" s="502" t="s">
        <v>80</v>
      </c>
      <c r="Q10" s="503"/>
      <c r="R10" s="659"/>
      <c r="S10" s="588"/>
      <c r="T10" s="588"/>
      <c r="U10" s="726"/>
      <c r="V10" s="588"/>
      <c r="W10" s="588"/>
      <c r="X10" s="727"/>
      <c r="Y10" s="588"/>
      <c r="Z10" s="726"/>
      <c r="AB10" s="341" t="s">
        <v>3487</v>
      </c>
      <c r="AD10" s="742">
        <f t="shared" ref="AD10:AI10" si="12">+AD6/$AJ$10</f>
        <v>9.211764705882354</v>
      </c>
      <c r="AE10" s="743">
        <f t="shared" si="12"/>
        <v>63.029411764705884</v>
      </c>
      <c r="AF10" s="742">
        <f t="shared" si="12"/>
        <v>153.81764705882352</v>
      </c>
      <c r="AG10" s="742">
        <f t="shared" si="12"/>
        <v>200</v>
      </c>
      <c r="AH10" s="742">
        <f t="shared" si="12"/>
        <v>200</v>
      </c>
      <c r="AI10" s="742">
        <f t="shared" si="12"/>
        <v>200</v>
      </c>
      <c r="AJ10" s="738">
        <v>0.85</v>
      </c>
    </row>
    <row r="11" spans="1:36" s="21" customFormat="1" ht="13.5" x14ac:dyDescent="0.3">
      <c r="B11" s="277"/>
      <c r="C11" s="284"/>
      <c r="D11" s="285" t="s">
        <v>3312</v>
      </c>
      <c r="E11" s="286">
        <v>0</v>
      </c>
      <c r="F11" s="286"/>
      <c r="G11" s="313"/>
      <c r="H11" s="313">
        <f>+U46</f>
        <v>30</v>
      </c>
      <c r="I11" s="313">
        <f>+V46</f>
        <v>60</v>
      </c>
      <c r="J11" s="313">
        <f>+W46</f>
        <v>90</v>
      </c>
      <c r="K11" s="313">
        <f>+X46</f>
        <v>120</v>
      </c>
      <c r="L11" s="287">
        <f t="shared" si="3"/>
        <v>0</v>
      </c>
      <c r="M11" s="286" t="s">
        <v>3488</v>
      </c>
      <c r="P11" s="522"/>
      <c r="Q11" s="517" t="s">
        <v>3473</v>
      </c>
      <c r="R11" s="521"/>
      <c r="S11" s="731">
        <f>+(F13-E13)/E13</f>
        <v>-0.16223055922011279</v>
      </c>
      <c r="T11" s="731">
        <f>+(G13-F13)/F13</f>
        <v>-0.53483573590881417</v>
      </c>
      <c r="U11" s="732">
        <v>-1</v>
      </c>
      <c r="V11" s="731"/>
      <c r="W11" s="731"/>
      <c r="X11" s="733"/>
      <c r="Y11" s="731"/>
      <c r="Z11" s="732"/>
      <c r="AB11" s="21" t="s">
        <v>3489</v>
      </c>
      <c r="AE11" s="730">
        <v>168.90450454657622</v>
      </c>
      <c r="AF11" s="21">
        <v>100</v>
      </c>
      <c r="AG11" s="21">
        <v>100</v>
      </c>
      <c r="AH11" s="21">
        <v>100</v>
      </c>
      <c r="AI11" s="21">
        <v>100</v>
      </c>
    </row>
    <row r="12" spans="1:36" s="21" customFormat="1" ht="13.5" x14ac:dyDescent="0.3">
      <c r="B12" s="277"/>
      <c r="C12" s="269" t="s">
        <v>80</v>
      </c>
      <c r="D12" s="270"/>
      <c r="E12" s="271">
        <f>SUM(E13:E19)</f>
        <v>405.15438475000002</v>
      </c>
      <c r="F12" s="271">
        <f>SUM(F13:F19)</f>
        <v>538.3043290566045</v>
      </c>
      <c r="G12" s="744">
        <f>SUM(G13:G19)</f>
        <v>571.79443763274958</v>
      </c>
      <c r="H12" s="744">
        <f>SUM(H13:H19)</f>
        <v>753.48138976955647</v>
      </c>
      <c r="I12" s="744">
        <f t="shared" ref="I12:K12" si="13">SUM(I13:I19)</f>
        <v>1112.1794918644659</v>
      </c>
      <c r="J12" s="744">
        <f t="shared" si="13"/>
        <v>1427.6381110640159</v>
      </c>
      <c r="K12" s="744">
        <f t="shared" si="13"/>
        <v>1744.208478326048</v>
      </c>
      <c r="L12" s="272">
        <f t="shared" si="3"/>
        <v>0.26506868102376324</v>
      </c>
      <c r="M12" s="271"/>
      <c r="P12" s="522"/>
      <c r="Q12" s="523" t="s">
        <v>3477</v>
      </c>
      <c r="R12" s="720"/>
      <c r="S12" s="592">
        <f>+(F15-E15)/E15</f>
        <v>-3.914625685591612E-2</v>
      </c>
      <c r="T12" s="592">
        <f>+(G15-F15)/F15</f>
        <v>-6.0593374993614141E-2</v>
      </c>
      <c r="U12" s="735">
        <v>4.3999999999999997E-2</v>
      </c>
      <c r="V12" s="736">
        <f>+U12</f>
        <v>4.3999999999999997E-2</v>
      </c>
      <c r="W12" s="736">
        <f t="shared" ref="W12:X12" si="14">+V12</f>
        <v>4.3999999999999997E-2</v>
      </c>
      <c r="X12" s="737">
        <f t="shared" si="14"/>
        <v>4.3999999999999997E-2</v>
      </c>
      <c r="Y12" s="592"/>
      <c r="Z12" s="721"/>
      <c r="AB12" s="341" t="s">
        <v>3490</v>
      </c>
      <c r="AD12" s="730"/>
      <c r="AE12" s="742">
        <v>143</v>
      </c>
      <c r="AF12" s="742">
        <v>375</v>
      </c>
      <c r="AG12" s="742">
        <v>625</v>
      </c>
      <c r="AH12" s="742">
        <v>937.5</v>
      </c>
      <c r="AI12" s="742">
        <v>1250</v>
      </c>
      <c r="AJ12" s="738">
        <v>4.3999999999999997E-2</v>
      </c>
    </row>
    <row r="13" spans="1:36" s="21" customFormat="1" ht="13.5" x14ac:dyDescent="0.3">
      <c r="B13" s="277"/>
      <c r="C13" s="277"/>
      <c r="D13" s="278" t="s">
        <v>3473</v>
      </c>
      <c r="E13" s="275">
        <v>252.98723750606231</v>
      </c>
      <c r="F13" s="275">
        <v>211.94497648990233</v>
      </c>
      <c r="G13" s="304">
        <v>98.589229016749101</v>
      </c>
      <c r="H13" s="304">
        <v>0</v>
      </c>
      <c r="I13" s="304">
        <v>0</v>
      </c>
      <c r="J13" s="304">
        <v>0</v>
      </c>
      <c r="K13" s="304">
        <v>0</v>
      </c>
      <c r="L13" s="276">
        <f t="shared" si="3"/>
        <v>-1</v>
      </c>
      <c r="M13" s="275" t="s">
        <v>3491</v>
      </c>
      <c r="P13" s="522"/>
      <c r="Q13" s="523" t="s">
        <v>3480</v>
      </c>
      <c r="R13" s="720"/>
      <c r="S13" s="592"/>
      <c r="T13" s="592"/>
      <c r="U13" s="721"/>
      <c r="V13" s="592">
        <f>+$Y$13</f>
        <v>0.1</v>
      </c>
      <c r="W13" s="592">
        <f t="shared" ref="W13:X13" si="15">+$Y$13</f>
        <v>0.1</v>
      </c>
      <c r="X13" s="722">
        <f t="shared" si="15"/>
        <v>0.1</v>
      </c>
      <c r="Y13" s="736">
        <v>0.1</v>
      </c>
      <c r="Z13" s="721"/>
      <c r="AB13" s="341" t="s">
        <v>3492</v>
      </c>
      <c r="AE13" s="742">
        <v>107</v>
      </c>
      <c r="AF13" s="742">
        <f>+AE13*(1+$AJ$13)</f>
        <v>111.708</v>
      </c>
      <c r="AG13" s="742">
        <f>+AF13*(1+$AJ$13)</f>
        <v>116.623152</v>
      </c>
      <c r="AH13" s="742">
        <f>+AG13*(1+$AJ$13)</f>
        <v>121.75457068800002</v>
      </c>
      <c r="AI13" s="742">
        <f>+AH13*(1+$AJ$13)</f>
        <v>127.11177179827202</v>
      </c>
      <c r="AJ13" s="738">
        <v>4.3999999999999997E-2</v>
      </c>
    </row>
    <row r="14" spans="1:36" s="21" customFormat="1" ht="13.5" x14ac:dyDescent="0.3">
      <c r="B14" s="277"/>
      <c r="C14" s="277"/>
      <c r="D14" s="294" t="s">
        <v>3476</v>
      </c>
      <c r="E14" s="295">
        <v>36.780565850738967</v>
      </c>
      <c r="F14" s="295">
        <v>0</v>
      </c>
      <c r="G14" s="734"/>
      <c r="H14" s="734">
        <v>0</v>
      </c>
      <c r="I14" s="734">
        <v>0</v>
      </c>
      <c r="J14" s="734">
        <v>0</v>
      </c>
      <c r="K14" s="734">
        <v>0</v>
      </c>
      <c r="L14" s="296">
        <f t="shared" si="3"/>
        <v>0</v>
      </c>
      <c r="M14" s="295"/>
      <c r="P14" s="522"/>
      <c r="Q14" s="523" t="s">
        <v>3483</v>
      </c>
      <c r="R14" s="720"/>
      <c r="S14" s="592">
        <f>+(F17-E17)/E17</f>
        <v>2.255084659510866</v>
      </c>
      <c r="T14" s="592">
        <f>+(G17-F17)/F17</f>
        <v>0.47054968492639315</v>
      </c>
      <c r="U14" s="735">
        <v>-0.37750801542211981</v>
      </c>
      <c r="V14" s="736"/>
      <c r="W14" s="736"/>
      <c r="X14" s="737"/>
      <c r="Y14" s="592"/>
      <c r="Z14" s="721"/>
      <c r="AB14" s="341" t="s">
        <v>3493</v>
      </c>
      <c r="AE14" s="742">
        <f>+SUM(AE10:AE13)</f>
        <v>481.93391631128213</v>
      </c>
      <c r="AF14" s="742">
        <f>+SUM(AF10:AF13)</f>
        <v>740.52564705882344</v>
      </c>
      <c r="AG14" s="742">
        <f>+SUM(AG10:AG13)</f>
        <v>1041.6231520000001</v>
      </c>
      <c r="AH14" s="742">
        <f>+SUM(AH10:AH13)</f>
        <v>1359.2545706880001</v>
      </c>
      <c r="AI14" s="742">
        <f>+SUM(AI10:AI13)</f>
        <v>1677.111771798272</v>
      </c>
    </row>
    <row r="15" spans="1:36" s="21" customFormat="1" ht="13.5" x14ac:dyDescent="0.3">
      <c r="B15" s="277"/>
      <c r="C15" s="277"/>
      <c r="D15" s="283" t="s">
        <v>3477</v>
      </c>
      <c r="E15" s="281">
        <v>79.761726092085084</v>
      </c>
      <c r="F15" s="281">
        <v>76.639353075213094</v>
      </c>
      <c r="G15" s="308">
        <v>71.995516015058712</v>
      </c>
      <c r="H15" s="308">
        <f t="shared" ref="H15:K16" si="16">+G15*(1+U12)</f>
        <v>75.163318719721303</v>
      </c>
      <c r="I15" s="308">
        <f t="shared" si="16"/>
        <v>78.470504743389043</v>
      </c>
      <c r="J15" s="308">
        <f t="shared" si="16"/>
        <v>81.92320695209817</v>
      </c>
      <c r="K15" s="308">
        <f t="shared" si="16"/>
        <v>85.52782805799049</v>
      </c>
      <c r="L15" s="282">
        <f t="shared" si="3"/>
        <v>2.2188810660999314E-2</v>
      </c>
      <c r="M15" s="281" t="s">
        <v>3494</v>
      </c>
      <c r="P15" s="536"/>
      <c r="Q15" s="745" t="s">
        <v>3495</v>
      </c>
      <c r="R15" s="662"/>
      <c r="S15" s="746">
        <f t="shared" ref="S15:T17" si="17">+(F19-E19)/E19</f>
        <v>0.19902918537576161</v>
      </c>
      <c r="T15" s="746">
        <f t="shared" si="17"/>
        <v>3.4877456617192569E-2</v>
      </c>
      <c r="U15" s="747">
        <v>-0.29389224968541089</v>
      </c>
      <c r="V15" s="610"/>
      <c r="W15" s="610"/>
      <c r="X15" s="748"/>
      <c r="Y15" s="746"/>
      <c r="Z15" s="747"/>
    </row>
    <row r="16" spans="1:36" s="21" customFormat="1" ht="13.5" x14ac:dyDescent="0.3">
      <c r="B16" s="277"/>
      <c r="C16" s="277"/>
      <c r="D16" s="283" t="s">
        <v>3480</v>
      </c>
      <c r="E16" s="281">
        <v>0</v>
      </c>
      <c r="F16" s="281">
        <v>0</v>
      </c>
      <c r="G16" s="308"/>
      <c r="H16" s="740">
        <f>34/12*5</f>
        <v>14.166666666666668</v>
      </c>
      <c r="I16" s="740">
        <f>(34+47)*(1+V13)</f>
        <v>89.100000000000009</v>
      </c>
      <c r="J16" s="308">
        <f t="shared" si="16"/>
        <v>98.010000000000019</v>
      </c>
      <c r="K16" s="308">
        <f t="shared" si="16"/>
        <v>107.81100000000004</v>
      </c>
      <c r="L16" s="282">
        <f t="shared" si="3"/>
        <v>0</v>
      </c>
      <c r="M16" s="739" t="s">
        <v>3496</v>
      </c>
      <c r="P16" s="502" t="s">
        <v>83</v>
      </c>
      <c r="Q16" s="503"/>
      <c r="R16" s="659"/>
      <c r="S16" s="588">
        <f t="shared" si="17"/>
        <v>5.6130370625000765</v>
      </c>
      <c r="T16" s="588">
        <f t="shared" si="17"/>
        <v>-0.59571143234824075</v>
      </c>
      <c r="U16" s="726">
        <v>-0.61181393595310885</v>
      </c>
      <c r="V16" s="588"/>
      <c r="W16" s="588"/>
      <c r="X16" s="727"/>
      <c r="Y16" s="588"/>
      <c r="Z16" s="726"/>
      <c r="AB16" s="21" t="s">
        <v>3497</v>
      </c>
      <c r="AE16" s="730">
        <f>+AE14-AE12</f>
        <v>338.93391631128213</v>
      </c>
      <c r="AF16" s="730">
        <f t="shared" ref="AF16:AI16" si="18">+AF14-AF12</f>
        <v>365.52564705882344</v>
      </c>
      <c r="AG16" s="730">
        <f t="shared" si="18"/>
        <v>416.62315200000012</v>
      </c>
      <c r="AH16" s="730">
        <f t="shared" si="18"/>
        <v>421.75457068800006</v>
      </c>
      <c r="AI16" s="730">
        <f t="shared" si="18"/>
        <v>427.111771798272</v>
      </c>
    </row>
    <row r="17" spans="2:35" s="21" customFormat="1" ht="13.5" x14ac:dyDescent="0.3">
      <c r="B17" s="277"/>
      <c r="C17" s="277"/>
      <c r="D17" s="283" t="s">
        <v>3483</v>
      </c>
      <c r="E17" s="281">
        <v>100.68053166111366</v>
      </c>
      <c r="F17" s="281">
        <v>327.72365412148912</v>
      </c>
      <c r="G17" s="308">
        <v>481.93391631128208</v>
      </c>
      <c r="H17" s="308">
        <f>+AF14</f>
        <v>740.52564705882344</v>
      </c>
      <c r="I17" s="308">
        <f>+AG14</f>
        <v>1041.6231520000001</v>
      </c>
      <c r="J17" s="308">
        <f>+AH14</f>
        <v>1359.2545706880001</v>
      </c>
      <c r="K17" s="308">
        <f>+AI14</f>
        <v>1677.111771798272</v>
      </c>
      <c r="L17" s="282">
        <f t="shared" si="3"/>
        <v>0.38615196112857975</v>
      </c>
      <c r="M17" s="281" t="s">
        <v>3498</v>
      </c>
      <c r="P17" s="522"/>
      <c r="Q17" s="517" t="s">
        <v>3499</v>
      </c>
      <c r="R17" s="521"/>
      <c r="S17" s="731">
        <f t="shared" si="17"/>
        <v>3.5495704174387845</v>
      </c>
      <c r="T17" s="731">
        <f t="shared" si="17"/>
        <v>-0.77012139249153388</v>
      </c>
      <c r="U17" s="732">
        <v>-1</v>
      </c>
      <c r="V17" s="749"/>
      <c r="W17" s="749"/>
      <c r="X17" s="750"/>
      <c r="Y17" s="731"/>
      <c r="Z17" s="732"/>
    </row>
    <row r="18" spans="2:35" s="21" customFormat="1" ht="13.5" x14ac:dyDescent="0.3">
      <c r="B18" s="277"/>
      <c r="C18" s="277"/>
      <c r="D18" s="283" t="s">
        <v>3312</v>
      </c>
      <c r="E18" s="281">
        <v>0</v>
      </c>
      <c r="F18" s="281"/>
      <c r="G18" s="308"/>
      <c r="H18" s="308">
        <f>+U47</f>
        <v>30</v>
      </c>
      <c r="I18" s="308">
        <f>+V47</f>
        <v>60</v>
      </c>
      <c r="J18" s="308">
        <f>+W47</f>
        <v>90</v>
      </c>
      <c r="K18" s="308">
        <f>+X47</f>
        <v>120</v>
      </c>
      <c r="L18" s="282">
        <f t="shared" si="3"/>
        <v>0</v>
      </c>
      <c r="M18" s="281" t="s">
        <v>3488</v>
      </c>
      <c r="P18" s="522"/>
      <c r="Q18" s="523" t="s">
        <v>3500</v>
      </c>
      <c r="R18" s="720"/>
      <c r="S18" s="592"/>
      <c r="T18" s="592">
        <f>+(G22-F22)/F22</f>
        <v>-0.21116904244639936</v>
      </c>
      <c r="U18" s="721">
        <v>-0.36239610967189195</v>
      </c>
      <c r="V18" s="736"/>
      <c r="W18" s="736"/>
      <c r="X18" s="737"/>
      <c r="Y18" s="592"/>
      <c r="Z18" s="721"/>
      <c r="AB18" s="341" t="s">
        <v>3501</v>
      </c>
    </row>
    <row r="19" spans="2:35" s="21" customFormat="1" x14ac:dyDescent="0.3">
      <c r="B19" s="277"/>
      <c r="C19" s="284"/>
      <c r="D19" s="285" t="s">
        <v>3495</v>
      </c>
      <c r="E19" s="286">
        <v>-65.055676360000007</v>
      </c>
      <c r="F19" s="286">
        <v>-78.00365463</v>
      </c>
      <c r="G19" s="313">
        <v>-80.724223710340297</v>
      </c>
      <c r="H19" s="313">
        <f>+AF19*AF20</f>
        <v>-106.374242675655</v>
      </c>
      <c r="I19" s="313">
        <f t="shared" ref="I19:J19" si="19">+AG19*AG20</f>
        <v>-157.01416487892322</v>
      </c>
      <c r="J19" s="313">
        <f t="shared" si="19"/>
        <v>-201.54966657608247</v>
      </c>
      <c r="K19" s="313">
        <f>+AI19*AI20</f>
        <v>-246.2421215302144</v>
      </c>
      <c r="L19" s="287">
        <f t="shared" si="3"/>
        <v>0.25848915881562462</v>
      </c>
      <c r="M19" s="286"/>
      <c r="O19" s="635" t="s">
        <v>45</v>
      </c>
      <c r="P19" s="503"/>
      <c r="Q19" s="503"/>
      <c r="R19" s="659"/>
      <c r="S19" s="588"/>
      <c r="T19" s="588"/>
      <c r="U19" s="726"/>
      <c r="V19" s="588"/>
      <c r="W19" s="588"/>
      <c r="X19" s="727"/>
      <c r="Y19" s="588"/>
      <c r="Z19" s="726"/>
      <c r="AC19" s="21" t="s">
        <v>3502</v>
      </c>
      <c r="AD19" s="325">
        <f>+F19/SUM(F13:F18)</f>
        <v>-0.12656602980120604</v>
      </c>
      <c r="AE19" s="325">
        <f>+G19/SUM(G13:G18)</f>
        <v>-0.12371174725361003</v>
      </c>
      <c r="AF19" s="751">
        <f>+AE19</f>
        <v>-0.12371174725361003</v>
      </c>
      <c r="AG19" s="751">
        <f t="shared" ref="AG19:AI19" si="20">+AF19</f>
        <v>-0.12371174725361003</v>
      </c>
      <c r="AH19" s="751">
        <f t="shared" si="20"/>
        <v>-0.12371174725361003</v>
      </c>
      <c r="AI19" s="751">
        <f t="shared" si="20"/>
        <v>-0.12371174725361003</v>
      </c>
    </row>
    <row r="20" spans="2:35" s="21" customFormat="1" ht="13.5" x14ac:dyDescent="0.3">
      <c r="B20" s="277"/>
      <c r="C20" s="269" t="s">
        <v>83</v>
      </c>
      <c r="D20" s="270"/>
      <c r="E20" s="271">
        <f>SUM(E21:E23)</f>
        <v>35.282342951483692</v>
      </c>
      <c r="F20" s="271">
        <f>SUM(F21:F23)</f>
        <v>233.32344158999999</v>
      </c>
      <c r="G20" s="744">
        <f t="shared" ref="G20:K20" si="21">SUM(G21:G23)</f>
        <v>94.33</v>
      </c>
      <c r="H20" s="744">
        <f t="shared" si="21"/>
        <v>40.799999999999997</v>
      </c>
      <c r="I20" s="744">
        <f t="shared" si="21"/>
        <v>99.28</v>
      </c>
      <c r="J20" s="744">
        <f t="shared" si="21"/>
        <v>136</v>
      </c>
      <c r="K20" s="744">
        <f t="shared" si="21"/>
        <v>149.6</v>
      </c>
      <c r="L20" s="272">
        <f t="shared" si="3"/>
        <v>-8.5055725136854887E-2</v>
      </c>
      <c r="M20" s="271"/>
      <c r="P20" s="502" t="s">
        <v>77</v>
      </c>
      <c r="Q20" s="503"/>
      <c r="R20" s="659"/>
      <c r="S20" s="588"/>
      <c r="T20" s="588"/>
      <c r="U20" s="726"/>
      <c r="V20" s="588"/>
      <c r="W20" s="588"/>
      <c r="X20" s="727"/>
      <c r="Y20" s="588"/>
      <c r="Z20" s="726"/>
      <c r="AC20" s="21" t="s">
        <v>3503</v>
      </c>
      <c r="AD20" s="752">
        <f>+SUM(F13:F18)</f>
        <v>616.30798368660453</v>
      </c>
      <c r="AE20" s="752">
        <f t="shared" ref="AE20:AI20" si="22">+SUM(G13:G18)</f>
        <v>652.51866134308989</v>
      </c>
      <c r="AF20" s="752">
        <f t="shared" si="22"/>
        <v>859.85563244521143</v>
      </c>
      <c r="AG20" s="752">
        <f t="shared" si="22"/>
        <v>1269.1936567433891</v>
      </c>
      <c r="AH20" s="752">
        <f t="shared" si="22"/>
        <v>1629.1877776400984</v>
      </c>
      <c r="AI20" s="752">
        <f t="shared" si="22"/>
        <v>1990.4505998562624</v>
      </c>
    </row>
    <row r="21" spans="2:35" s="21" customFormat="1" ht="13.5" x14ac:dyDescent="0.3">
      <c r="B21" s="277"/>
      <c r="C21" s="277"/>
      <c r="D21" s="278" t="s">
        <v>3499</v>
      </c>
      <c r="E21" s="275">
        <v>35.282342951483692</v>
      </c>
      <c r="F21" s="275">
        <v>160.51950375000001</v>
      </c>
      <c r="G21" s="304">
        <v>36.9</v>
      </c>
      <c r="H21" s="753">
        <f>AF41</f>
        <v>13.8</v>
      </c>
      <c r="I21" s="304">
        <f t="shared" ref="I21:K22" si="23">AG41</f>
        <v>33.58</v>
      </c>
      <c r="J21" s="304">
        <f t="shared" si="23"/>
        <v>46</v>
      </c>
      <c r="K21" s="304">
        <f t="shared" si="23"/>
        <v>50.6</v>
      </c>
      <c r="L21" s="276">
        <f t="shared" si="3"/>
        <v>-0.20617542109793496</v>
      </c>
      <c r="M21" s="275" t="s">
        <v>3504</v>
      </c>
      <c r="P21" s="522"/>
      <c r="Q21" s="517" t="s">
        <v>3473</v>
      </c>
      <c r="R21" s="521">
        <f>+E30/E6</f>
        <v>0.25773507762225223</v>
      </c>
      <c r="S21" s="731">
        <f>+F30/F6</f>
        <v>0.26001228494117623</v>
      </c>
      <c r="T21" s="731">
        <f>+G30/G6</f>
        <v>0.58820659253844421</v>
      </c>
      <c r="U21" s="732"/>
      <c r="V21" s="731"/>
      <c r="W21" s="731"/>
      <c r="X21" s="733"/>
      <c r="Y21" s="731"/>
      <c r="Z21" s="732"/>
    </row>
    <row r="22" spans="2:35" s="21" customFormat="1" ht="13.5" x14ac:dyDescent="0.3">
      <c r="B22" s="277"/>
      <c r="C22" s="277"/>
      <c r="D22" s="283" t="s">
        <v>3500</v>
      </c>
      <c r="E22" s="281"/>
      <c r="F22" s="281">
        <v>72.803937839999975</v>
      </c>
      <c r="G22" s="308">
        <v>57.43</v>
      </c>
      <c r="H22" s="740">
        <f>AF42</f>
        <v>27</v>
      </c>
      <c r="I22" s="308">
        <f t="shared" si="23"/>
        <v>65.7</v>
      </c>
      <c r="J22" s="308">
        <f t="shared" si="23"/>
        <v>90</v>
      </c>
      <c r="K22" s="308">
        <f t="shared" si="23"/>
        <v>99</v>
      </c>
      <c r="L22" s="282">
        <f t="shared" si="3"/>
        <v>6.3398552659464258E-2</v>
      </c>
      <c r="M22" s="281" t="s">
        <v>3505</v>
      </c>
      <c r="P22" s="522"/>
      <c r="Q22" s="523" t="s">
        <v>3477</v>
      </c>
      <c r="R22" s="720">
        <f>+E32/E8</f>
        <v>0.4656797263049004</v>
      </c>
      <c r="S22" s="592">
        <f>+F32/F8</f>
        <v>0.57147869429259524</v>
      </c>
      <c r="T22" s="592">
        <f>+G32/G8</f>
        <v>0.5776966826385419</v>
      </c>
      <c r="U22" s="754">
        <f>+T22+$Y$22</f>
        <v>0.5776966826385419</v>
      </c>
      <c r="V22" s="592">
        <f t="shared" ref="V22:X22" si="24">+U22+$Y$22</f>
        <v>0.5776966826385419</v>
      </c>
      <c r="W22" s="592">
        <f t="shared" si="24"/>
        <v>0.5776966826385419</v>
      </c>
      <c r="X22" s="722">
        <f t="shared" si="24"/>
        <v>0.5776966826385419</v>
      </c>
      <c r="Y22" s="736">
        <v>0</v>
      </c>
      <c r="Z22" s="755"/>
      <c r="AB22" s="341" t="s">
        <v>3506</v>
      </c>
    </row>
    <row r="23" spans="2:35" s="21" customFormat="1" ht="13.5" x14ac:dyDescent="0.3">
      <c r="B23" s="277"/>
      <c r="C23" s="284"/>
      <c r="D23" s="285" t="s">
        <v>3312</v>
      </c>
      <c r="E23" s="286"/>
      <c r="F23" s="286"/>
      <c r="G23" s="313"/>
      <c r="H23" s="313"/>
      <c r="I23" s="313"/>
      <c r="J23" s="313"/>
      <c r="K23" s="313"/>
      <c r="L23" s="287">
        <f t="shared" si="3"/>
        <v>0</v>
      </c>
      <c r="M23" s="286"/>
      <c r="P23" s="522"/>
      <c r="Q23" s="523" t="s">
        <v>3480</v>
      </c>
      <c r="R23" s="720"/>
      <c r="S23" s="592"/>
      <c r="T23" s="592"/>
      <c r="U23" s="735">
        <v>0.1875</v>
      </c>
      <c r="V23" s="592">
        <f t="shared" ref="V23:X23" si="25">+U23*(1+$Y23)</f>
        <v>0.1875</v>
      </c>
      <c r="W23" s="592">
        <f t="shared" si="25"/>
        <v>0.1875</v>
      </c>
      <c r="X23" s="722">
        <f t="shared" si="25"/>
        <v>0.1875</v>
      </c>
      <c r="Y23" s="592"/>
      <c r="Z23" s="721"/>
    </row>
    <row r="24" spans="2:35" s="21" customFormat="1" ht="13.5" x14ac:dyDescent="0.3">
      <c r="B24" s="277"/>
      <c r="C24" s="269" t="s">
        <v>3312</v>
      </c>
      <c r="D24" s="270"/>
      <c r="E24" s="271">
        <f>SUM(E25:E27)</f>
        <v>0</v>
      </c>
      <c r="F24" s="271">
        <f>SUM(F25:F27)</f>
        <v>0</v>
      </c>
      <c r="G24" s="744">
        <f t="shared" ref="G24:K24" si="26">SUM(G25:G27)</f>
        <v>3</v>
      </c>
      <c r="H24" s="744">
        <f t="shared" si="26"/>
        <v>40</v>
      </c>
      <c r="I24" s="744">
        <f t="shared" si="26"/>
        <v>70</v>
      </c>
      <c r="J24" s="744">
        <f t="shared" si="26"/>
        <v>100</v>
      </c>
      <c r="K24" s="744">
        <f t="shared" si="26"/>
        <v>130</v>
      </c>
      <c r="L24" s="272">
        <f t="shared" si="3"/>
        <v>0</v>
      </c>
      <c r="M24" s="271"/>
      <c r="P24" s="522"/>
      <c r="Q24" s="523" t="s">
        <v>3483</v>
      </c>
      <c r="R24" s="720">
        <f>+E34/E10</f>
        <v>6.4265947890287695E-2</v>
      </c>
      <c r="S24" s="592">
        <f>+F34/F10</f>
        <v>7.8140765446073401E-2</v>
      </c>
      <c r="T24" s="592">
        <f>+G34/G10</f>
        <v>8.9530249723461006E-2</v>
      </c>
      <c r="U24" s="754">
        <f>+T24+$Y$24</f>
        <v>8.9530249723461006E-2</v>
      </c>
      <c r="V24" s="592">
        <f t="shared" ref="V24:X24" si="27">+U24+$Y$24</f>
        <v>8.9530249723461006E-2</v>
      </c>
      <c r="W24" s="592">
        <f t="shared" si="27"/>
        <v>8.9530249723461006E-2</v>
      </c>
      <c r="X24" s="722">
        <f t="shared" si="27"/>
        <v>8.9530249723461006E-2</v>
      </c>
      <c r="Y24" s="736">
        <v>0</v>
      </c>
      <c r="Z24" s="755"/>
      <c r="AC24" s="21" t="s">
        <v>3507</v>
      </c>
      <c r="AF24" s="730">
        <f>+SUM(AF10:AF11)*85%</f>
        <v>215.745</v>
      </c>
      <c r="AG24" s="730">
        <f t="shared" ref="AG24:AI24" si="28">+SUM(AG10:AG11)*85%</f>
        <v>255</v>
      </c>
      <c r="AH24" s="730">
        <f t="shared" si="28"/>
        <v>255</v>
      </c>
      <c r="AI24" s="730">
        <f t="shared" si="28"/>
        <v>255</v>
      </c>
    </row>
    <row r="25" spans="2:35" s="21" customFormat="1" ht="13.5" x14ac:dyDescent="0.3">
      <c r="B25" s="277"/>
      <c r="C25" s="277"/>
      <c r="D25" s="278" t="s">
        <v>3317</v>
      </c>
      <c r="E25" s="275">
        <v>0</v>
      </c>
      <c r="F25" s="275"/>
      <c r="G25" s="304">
        <v>3</v>
      </c>
      <c r="H25" s="304">
        <f>+U61</f>
        <v>20</v>
      </c>
      <c r="I25" s="304">
        <f>+V61</f>
        <v>30</v>
      </c>
      <c r="J25" s="304">
        <f>+W61</f>
        <v>40</v>
      </c>
      <c r="K25" s="304">
        <f>+X61</f>
        <v>50</v>
      </c>
      <c r="L25" s="276">
        <f t="shared" si="3"/>
        <v>0</v>
      </c>
      <c r="M25" s="275"/>
      <c r="P25" s="502" t="s">
        <v>80</v>
      </c>
      <c r="Q25" s="503"/>
      <c r="R25" s="659"/>
      <c r="S25" s="588"/>
      <c r="T25" s="588"/>
      <c r="U25" s="726"/>
      <c r="V25" s="588"/>
      <c r="W25" s="588"/>
      <c r="X25" s="727"/>
      <c r="Y25" s="588"/>
      <c r="Z25" s="726"/>
      <c r="AC25" s="21" t="s">
        <v>3490</v>
      </c>
      <c r="AF25" s="730">
        <f>+AF12*93.5%</f>
        <v>350.625</v>
      </c>
      <c r="AG25" s="730">
        <f t="shared" ref="AG25:AI25" si="29">+AG12*93.5%</f>
        <v>584.375</v>
      </c>
      <c r="AH25" s="730">
        <f t="shared" si="29"/>
        <v>876.5625</v>
      </c>
      <c r="AI25" s="730">
        <f t="shared" si="29"/>
        <v>1168.75</v>
      </c>
    </row>
    <row r="26" spans="2:35" s="21" customFormat="1" ht="13.5" x14ac:dyDescent="0.3">
      <c r="B26" s="277"/>
      <c r="C26" s="277"/>
      <c r="D26" s="283" t="s">
        <v>3315</v>
      </c>
      <c r="E26" s="281">
        <v>0</v>
      </c>
      <c r="F26" s="281"/>
      <c r="G26" s="308"/>
      <c r="H26" s="308">
        <f>+U48</f>
        <v>20</v>
      </c>
      <c r="I26" s="308">
        <f>+V48</f>
        <v>40</v>
      </c>
      <c r="J26" s="308">
        <f>+W48</f>
        <v>60</v>
      </c>
      <c r="K26" s="308">
        <f>+X48</f>
        <v>80</v>
      </c>
      <c r="L26" s="282">
        <f t="shared" si="3"/>
        <v>0</v>
      </c>
      <c r="M26" s="281"/>
      <c r="P26" s="522"/>
      <c r="Q26" s="517" t="s">
        <v>3473</v>
      </c>
      <c r="R26" s="521">
        <f>+E37/E13</f>
        <v>0.93117317902904173</v>
      </c>
      <c r="S26" s="731">
        <f>+F37/F13</f>
        <v>0.93117360440828367</v>
      </c>
      <c r="T26" s="731">
        <f>+G37/G13</f>
        <v>0.97099999999999964</v>
      </c>
      <c r="U26" s="732"/>
      <c r="V26" s="731"/>
      <c r="W26" s="731"/>
      <c r="X26" s="733"/>
      <c r="Y26" s="731"/>
      <c r="Z26" s="732"/>
      <c r="AC26" s="21" t="s">
        <v>3508</v>
      </c>
      <c r="AF26" s="730">
        <f>+AF13*85%</f>
        <v>94.951799999999992</v>
      </c>
      <c r="AG26" s="730">
        <f t="shared" ref="AG26:AI26" si="30">+AG13*85%</f>
        <v>99.129679199999998</v>
      </c>
      <c r="AH26" s="730">
        <f t="shared" si="30"/>
        <v>103.49138508480002</v>
      </c>
      <c r="AI26" s="730">
        <f t="shared" si="30"/>
        <v>108.0450060285312</v>
      </c>
    </row>
    <row r="27" spans="2:35" s="21" customFormat="1" ht="13.5" x14ac:dyDescent="0.3">
      <c r="B27" s="284"/>
      <c r="C27" s="284"/>
      <c r="D27" s="285" t="s">
        <v>3509</v>
      </c>
      <c r="E27" s="286">
        <v>0</v>
      </c>
      <c r="F27" s="286"/>
      <c r="G27" s="313"/>
      <c r="H27" s="313"/>
      <c r="I27" s="313"/>
      <c r="J27" s="313"/>
      <c r="K27" s="313"/>
      <c r="L27" s="287">
        <f t="shared" si="3"/>
        <v>0</v>
      </c>
      <c r="M27" s="286"/>
      <c r="O27" s="267"/>
      <c r="P27" s="522"/>
      <c r="Q27" s="523" t="s">
        <v>3477</v>
      </c>
      <c r="R27" s="720">
        <f>+E39/E15</f>
        <v>0.94932918745837769</v>
      </c>
      <c r="S27" s="592">
        <f>+F39/F15</f>
        <v>0.95139451655166052</v>
      </c>
      <c r="T27" s="592">
        <f>+G39/G15</f>
        <v>0.95100000000000007</v>
      </c>
      <c r="U27" s="754">
        <f>+T27+$Y$27</f>
        <v>0.95300000000000007</v>
      </c>
      <c r="V27" s="592">
        <f t="shared" ref="V27:X27" si="31">+U27+$Y$27</f>
        <v>0.95500000000000007</v>
      </c>
      <c r="W27" s="592">
        <f t="shared" si="31"/>
        <v>0.95700000000000007</v>
      </c>
      <c r="X27" s="722">
        <f t="shared" si="31"/>
        <v>0.95900000000000007</v>
      </c>
      <c r="Y27" s="756">
        <v>2E-3</v>
      </c>
      <c r="Z27" s="721"/>
      <c r="AC27" s="21" t="s">
        <v>3510</v>
      </c>
      <c r="AF27" s="730">
        <f>+SUM(AF24:AF26)</f>
        <v>661.32179999999994</v>
      </c>
      <c r="AG27" s="730">
        <f t="shared" ref="AG27:AI27" si="32">+SUM(AG24:AG26)</f>
        <v>938.50467920000006</v>
      </c>
      <c r="AH27" s="730">
        <f t="shared" si="32"/>
        <v>1235.0538850848</v>
      </c>
      <c r="AI27" s="730">
        <f t="shared" si="32"/>
        <v>1531.7950060285311</v>
      </c>
    </row>
    <row r="28" spans="2:35" s="21" customFormat="1" ht="13.5" x14ac:dyDescent="0.3">
      <c r="B28" s="262" t="s">
        <v>44</v>
      </c>
      <c r="C28" s="263"/>
      <c r="D28" s="264"/>
      <c r="E28" s="265">
        <f>SUM(E29,E36,E44,E48)</f>
        <v>431.47219526500004</v>
      </c>
      <c r="F28" s="265">
        <f>SUM(F29,F36,F44,F48)</f>
        <v>712.1167672790001</v>
      </c>
      <c r="G28" s="265">
        <f t="shared" ref="G28:K28" si="33">SUM(G29,G36,G44,G48)</f>
        <v>579.30735535621352</v>
      </c>
      <c r="H28" s="265">
        <f t="shared" si="33"/>
        <v>743.20340964882951</v>
      </c>
      <c r="I28" s="265">
        <f t="shared" si="33"/>
        <v>1137.5694711685132</v>
      </c>
      <c r="J28" s="265">
        <f t="shared" si="33"/>
        <v>1477.8006843425064</v>
      </c>
      <c r="K28" s="265">
        <f t="shared" si="33"/>
        <v>1801.3292973965247</v>
      </c>
      <c r="L28" s="266">
        <f t="shared" si="3"/>
        <v>0.20394980351621994</v>
      </c>
      <c r="M28" s="266"/>
      <c r="O28" s="752"/>
      <c r="P28" s="522"/>
      <c r="Q28" s="523" t="s">
        <v>3480</v>
      </c>
      <c r="R28" s="720"/>
      <c r="S28" s="592"/>
      <c r="T28" s="592"/>
      <c r="U28" s="735">
        <v>0.92</v>
      </c>
      <c r="V28" s="592">
        <f t="shared" ref="V28:X28" si="34">+U28*(1+$Y28)</f>
        <v>0.92</v>
      </c>
      <c r="W28" s="592">
        <f t="shared" si="34"/>
        <v>0.92</v>
      </c>
      <c r="X28" s="722">
        <f t="shared" si="34"/>
        <v>0.92</v>
      </c>
      <c r="Y28" s="736"/>
      <c r="Z28" s="721"/>
      <c r="AC28" s="21" t="s">
        <v>3511</v>
      </c>
      <c r="AF28" s="565">
        <f>+AF27/AF14</f>
        <v>0.89304374889188409</v>
      </c>
      <c r="AG28" s="565">
        <f t="shared" ref="AG28:AI28" si="35">+AG27/AG14</f>
        <v>0.90100213056708245</v>
      </c>
      <c r="AH28" s="565">
        <f t="shared" si="35"/>
        <v>0.90862588342054662</v>
      </c>
      <c r="AI28" s="565">
        <f t="shared" si="35"/>
        <v>0.91335296298473545</v>
      </c>
    </row>
    <row r="29" spans="2:35" s="21" customFormat="1" ht="13.5" x14ac:dyDescent="0.3">
      <c r="B29" s="268"/>
      <c r="C29" s="269" t="s">
        <v>77</v>
      </c>
      <c r="D29" s="270"/>
      <c r="E29" s="271">
        <f>SUM(E30:E35)</f>
        <v>35.859365765000007</v>
      </c>
      <c r="F29" s="757">
        <f>SUM(F30:F35)</f>
        <v>37.277631980000002</v>
      </c>
      <c r="G29" s="271">
        <f t="shared" ref="G29:K29" si="36">SUM(G30:G35)</f>
        <v>26.544829409726177</v>
      </c>
      <c r="H29" s="271">
        <f t="shared" si="36"/>
        <v>32.836336906090139</v>
      </c>
      <c r="I29" s="271">
        <f t="shared" si="36"/>
        <v>52.005812410927525</v>
      </c>
      <c r="J29" s="271">
        <f t="shared" si="36"/>
        <v>69.574958963408861</v>
      </c>
      <c r="K29" s="271">
        <f t="shared" si="36"/>
        <v>87.932128191650705</v>
      </c>
      <c r="L29" s="272">
        <f t="shared" si="3"/>
        <v>0.18724364494344448</v>
      </c>
      <c r="M29" s="271"/>
      <c r="O29" s="267"/>
      <c r="P29" s="522"/>
      <c r="Q29" s="523" t="s">
        <v>3483</v>
      </c>
      <c r="R29" s="758">
        <f>+E41/E17</f>
        <v>0.84144282781580504</v>
      </c>
      <c r="S29" s="759">
        <f>+F41/F17</f>
        <v>0.87642865900783551</v>
      </c>
      <c r="T29" s="759">
        <f>+G41/G17</f>
        <v>0.81616765128683133</v>
      </c>
      <c r="U29" s="754">
        <f>+AF28</f>
        <v>0.89304374889188409</v>
      </c>
      <c r="V29" s="760">
        <f t="shared" ref="V29:X29" si="37">+AG28</f>
        <v>0.90100213056708245</v>
      </c>
      <c r="W29" s="760">
        <f t="shared" si="37"/>
        <v>0.90862588342054662</v>
      </c>
      <c r="X29" s="761">
        <f t="shared" si="37"/>
        <v>0.91335296298473545</v>
      </c>
      <c r="Y29" s="760"/>
      <c r="Z29" s="721"/>
    </row>
    <row r="30" spans="2:35" s="21" customFormat="1" ht="13.5" x14ac:dyDescent="0.3">
      <c r="B30" s="277"/>
      <c r="C30" s="277"/>
      <c r="D30" s="278" t="s">
        <v>3473</v>
      </c>
      <c r="E30" s="275">
        <v>24.376301035000001</v>
      </c>
      <c r="F30" s="275">
        <v>21.548465201999999</v>
      </c>
      <c r="G30" s="275">
        <v>9.9788451863879395</v>
      </c>
      <c r="H30" s="275">
        <f>+H6*U21</f>
        <v>0</v>
      </c>
      <c r="I30" s="275">
        <f>+I6*V21</f>
        <v>0</v>
      </c>
      <c r="J30" s="275">
        <f>+J6*W21</f>
        <v>0</v>
      </c>
      <c r="K30" s="275">
        <f>+K6*X21</f>
        <v>0</v>
      </c>
      <c r="L30" s="276">
        <f t="shared" si="3"/>
        <v>-1</v>
      </c>
      <c r="M30" s="275" t="s">
        <v>3512</v>
      </c>
      <c r="O30" s="762"/>
      <c r="P30" s="536"/>
      <c r="Q30" s="745" t="s">
        <v>3495</v>
      </c>
      <c r="R30" s="662">
        <f t="shared" ref="R30:T32" si="38">+E43/E19</f>
        <v>1</v>
      </c>
      <c r="S30" s="746">
        <f t="shared" si="38"/>
        <v>1</v>
      </c>
      <c r="T30" s="746">
        <f t="shared" si="38"/>
        <v>1</v>
      </c>
      <c r="U30" s="747">
        <v>1</v>
      </c>
      <c r="V30" s="746">
        <v>1</v>
      </c>
      <c r="W30" s="746">
        <v>1</v>
      </c>
      <c r="X30" s="763">
        <v>1</v>
      </c>
      <c r="Y30" s="746"/>
      <c r="Z30" s="747"/>
    </row>
    <row r="31" spans="2:35" s="21" customFormat="1" ht="13.5" x14ac:dyDescent="0.3">
      <c r="B31" s="277"/>
      <c r="C31" s="277"/>
      <c r="D31" s="294" t="s">
        <v>3476</v>
      </c>
      <c r="E31" s="295">
        <v>2.6643796549999998</v>
      </c>
      <c r="F31" s="295">
        <v>0</v>
      </c>
      <c r="G31" s="295">
        <v>0</v>
      </c>
      <c r="H31" s="295">
        <v>0</v>
      </c>
      <c r="I31" s="295">
        <v>0</v>
      </c>
      <c r="J31" s="295">
        <v>0</v>
      </c>
      <c r="K31" s="295">
        <v>0</v>
      </c>
      <c r="L31" s="296">
        <f t="shared" si="3"/>
        <v>0</v>
      </c>
      <c r="M31" s="295"/>
      <c r="O31" s="267"/>
      <c r="P31" s="502" t="s">
        <v>83</v>
      </c>
      <c r="Q31" s="503"/>
      <c r="R31" s="659">
        <f t="shared" si="38"/>
        <v>0.83073865106703293</v>
      </c>
      <c r="S31" s="588">
        <f t="shared" si="38"/>
        <v>0.8372264609539869</v>
      </c>
      <c r="T31" s="588">
        <f t="shared" si="38"/>
        <v>0.80515212551680271</v>
      </c>
      <c r="U31" s="726">
        <v>0.78</v>
      </c>
      <c r="V31" s="588"/>
      <c r="W31" s="588"/>
      <c r="X31" s="727"/>
      <c r="Y31" s="588"/>
      <c r="Z31" s="726"/>
      <c r="AB31" s="341" t="s">
        <v>3513</v>
      </c>
    </row>
    <row r="32" spans="2:35" s="21" customFormat="1" ht="13.5" x14ac:dyDescent="0.3">
      <c r="B32" s="277"/>
      <c r="C32" s="277"/>
      <c r="D32" s="283" t="s">
        <v>3477</v>
      </c>
      <c r="E32" s="281">
        <v>8.2542431799999996</v>
      </c>
      <c r="F32" s="281">
        <v>14.579846965000002</v>
      </c>
      <c r="G32" s="281">
        <v>13.970856038133027</v>
      </c>
      <c r="H32" s="281">
        <f t="shared" ref="H32:K34" si="39">+H8*U22</f>
        <v>16.318852806471352</v>
      </c>
      <c r="I32" s="281">
        <f>+I8*V22</f>
        <v>19.061463105224661</v>
      </c>
      <c r="J32" s="281">
        <f t="shared" si="39"/>
        <v>22.26500722941482</v>
      </c>
      <c r="K32" s="281">
        <f t="shared" si="39"/>
        <v>26.006951522520676</v>
      </c>
      <c r="L32" s="282">
        <f t="shared" si="3"/>
        <v>0.12270923892169217</v>
      </c>
      <c r="M32" s="281"/>
      <c r="P32" s="522"/>
      <c r="Q32" s="517" t="s">
        <v>3499</v>
      </c>
      <c r="R32" s="521">
        <f t="shared" si="38"/>
        <v>0.83073865106703293</v>
      </c>
      <c r="S32" s="731">
        <f t="shared" si="38"/>
        <v>0.87009977316666098</v>
      </c>
      <c r="T32" s="731">
        <f t="shared" si="38"/>
        <v>2.0582655826558267</v>
      </c>
      <c r="U32" s="732">
        <f>S32</f>
        <v>0.87009977316666098</v>
      </c>
      <c r="V32" s="731">
        <f>+U32*(1+$Y$32)</f>
        <v>0.87009977316666098</v>
      </c>
      <c r="W32" s="731">
        <f t="shared" ref="W32:X32" si="40">+V32*(1+$Y$32)</f>
        <v>0.87009977316666098</v>
      </c>
      <c r="X32" s="733">
        <f t="shared" si="40"/>
        <v>0.87009977316666098</v>
      </c>
      <c r="Y32" s="731"/>
      <c r="Z32" s="732"/>
      <c r="AB32" s="723"/>
      <c r="AC32" s="723"/>
      <c r="AD32" s="724" t="s">
        <v>3466</v>
      </c>
      <c r="AE32" s="724" t="s">
        <v>3467</v>
      </c>
      <c r="AF32" s="724" t="s">
        <v>3468</v>
      </c>
      <c r="AG32" s="724" t="s">
        <v>3469</v>
      </c>
      <c r="AH32" s="724" t="s">
        <v>3470</v>
      </c>
      <c r="AI32" s="725" t="s">
        <v>3471</v>
      </c>
    </row>
    <row r="33" spans="2:36" s="21" customFormat="1" ht="13.5" x14ac:dyDescent="0.3">
      <c r="B33" s="277"/>
      <c r="C33" s="277"/>
      <c r="D33" s="283" t="s">
        <v>3480</v>
      </c>
      <c r="E33" s="281">
        <v>0</v>
      </c>
      <c r="F33" s="281">
        <v>0</v>
      </c>
      <c r="G33" s="281"/>
      <c r="H33" s="281">
        <f t="shared" si="39"/>
        <v>0.21875</v>
      </c>
      <c r="I33" s="281">
        <f t="shared" si="39"/>
        <v>2.7543750000000005</v>
      </c>
      <c r="J33" s="281">
        <f t="shared" si="39"/>
        <v>3.5806875000000002</v>
      </c>
      <c r="K33" s="281">
        <f t="shared" si="39"/>
        <v>4.6548937500000012</v>
      </c>
      <c r="L33" s="282">
        <f t="shared" si="3"/>
        <v>0</v>
      </c>
      <c r="M33" s="281"/>
      <c r="P33" s="522"/>
      <c r="Q33" s="523" t="s">
        <v>3500</v>
      </c>
      <c r="R33" s="720"/>
      <c r="S33" s="592">
        <f>+F46/F22</f>
        <v>0.76474675835061934</v>
      </c>
      <c r="T33" s="592">
        <f>+G46/G22</f>
        <v>0</v>
      </c>
      <c r="U33" s="735">
        <f t="shared" ref="U33" si="41">S33</f>
        <v>0.76474675835061934</v>
      </c>
      <c r="V33" s="592">
        <f>+U33*(1+$Y$33)</f>
        <v>0.76474675835061934</v>
      </c>
      <c r="W33" s="592">
        <f>+V33*(1+$Y$33)</f>
        <v>0.76474675835061934</v>
      </c>
      <c r="X33" s="722">
        <f>+W33*(1+$Y$33)</f>
        <v>0.76474675835061934</v>
      </c>
      <c r="Y33" s="736"/>
      <c r="Z33" s="721"/>
      <c r="AB33" s="503" t="s">
        <v>3514</v>
      </c>
      <c r="AC33" s="764"/>
      <c r="AD33" s="637">
        <f t="shared" ref="AD33:AI33" si="42">SUM(AD34:AD36)</f>
        <v>0</v>
      </c>
      <c r="AE33" s="637">
        <f t="shared" si="42"/>
        <v>0</v>
      </c>
      <c r="AF33" s="637">
        <f t="shared" si="42"/>
        <v>120000</v>
      </c>
      <c r="AG33" s="637">
        <f t="shared" si="42"/>
        <v>220000</v>
      </c>
      <c r="AH33" s="637">
        <f t="shared" si="42"/>
        <v>220000</v>
      </c>
      <c r="AI33" s="636">
        <f t="shared" si="42"/>
        <v>220000</v>
      </c>
      <c r="AJ33" s="730"/>
    </row>
    <row r="34" spans="2:36" s="21" customFormat="1" ht="13.5" x14ac:dyDescent="0.3">
      <c r="B34" s="277"/>
      <c r="C34" s="277"/>
      <c r="D34" s="283" t="s">
        <v>3485</v>
      </c>
      <c r="E34" s="281">
        <v>0.5644418950000013</v>
      </c>
      <c r="F34" s="281">
        <v>1.1493198130000002</v>
      </c>
      <c r="G34" s="308">
        <v>2.5951281852052102</v>
      </c>
      <c r="H34" s="308">
        <f t="shared" si="39"/>
        <v>2.7987340996187844</v>
      </c>
      <c r="I34" s="308">
        <f t="shared" si="39"/>
        <v>3.1899743057028647</v>
      </c>
      <c r="J34" s="308">
        <f t="shared" si="39"/>
        <v>3.2292642339940394</v>
      </c>
      <c r="K34" s="308">
        <f t="shared" si="39"/>
        <v>3.2702829191300262</v>
      </c>
      <c r="L34" s="282">
        <f t="shared" si="3"/>
        <v>0.23261908144036991</v>
      </c>
      <c r="M34" s="281" t="s">
        <v>3515</v>
      </c>
      <c r="O34" s="635" t="s">
        <v>3516</v>
      </c>
      <c r="P34" s="503"/>
      <c r="Q34" s="503"/>
      <c r="R34" s="502"/>
      <c r="S34" s="503"/>
      <c r="T34" s="503"/>
      <c r="U34" s="765"/>
      <c r="V34" s="503"/>
      <c r="W34" s="503"/>
      <c r="X34" s="658"/>
      <c r="Y34" s="503"/>
      <c r="Z34" s="765"/>
      <c r="AC34" s="730" t="s">
        <v>3517</v>
      </c>
      <c r="AD34" s="607"/>
      <c r="AE34" s="607"/>
      <c r="AF34" s="607"/>
      <c r="AG34" s="607">
        <v>100000</v>
      </c>
      <c r="AH34" s="607">
        <f t="shared" ref="AH34:AI36" si="43">AG34</f>
        <v>100000</v>
      </c>
      <c r="AI34" s="524">
        <f t="shared" si="43"/>
        <v>100000</v>
      </c>
      <c r="AJ34" s="730"/>
    </row>
    <row r="35" spans="2:36" s="21" customFormat="1" ht="13.5" x14ac:dyDescent="0.3">
      <c r="B35" s="277"/>
      <c r="C35" s="284"/>
      <c r="D35" s="285" t="s">
        <v>3312</v>
      </c>
      <c r="E35" s="286">
        <v>0</v>
      </c>
      <c r="F35" s="286"/>
      <c r="G35" s="313"/>
      <c r="H35" s="313">
        <f>+H11*U50</f>
        <v>13.5</v>
      </c>
      <c r="I35" s="313">
        <f>+I11*V50</f>
        <v>27</v>
      </c>
      <c r="J35" s="313">
        <f>+J11*W50</f>
        <v>40.5</v>
      </c>
      <c r="K35" s="313">
        <f>+K11*X50</f>
        <v>54</v>
      </c>
      <c r="L35" s="287">
        <f t="shared" si="3"/>
        <v>0</v>
      </c>
      <c r="M35" s="313" t="s">
        <v>3518</v>
      </c>
      <c r="P35" s="517" t="s">
        <v>3326</v>
      </c>
      <c r="Q35" s="766"/>
      <c r="R35" s="518">
        <f t="shared" ref="R35:T37" si="44">+E77</f>
        <v>12.25637846845</v>
      </c>
      <c r="S35" s="767">
        <f t="shared" si="44"/>
        <v>17.908343009938278</v>
      </c>
      <c r="T35" s="767">
        <f t="shared" si="44"/>
        <v>20.77171495</v>
      </c>
      <c r="U35" s="768">
        <f t="shared" ref="U35:X36" si="45">+T35*(1+$Y35)</f>
        <v>21.810300697500001</v>
      </c>
      <c r="V35" s="769">
        <f t="shared" si="45"/>
        <v>22.900815732375001</v>
      </c>
      <c r="W35" s="769">
        <f t="shared" si="45"/>
        <v>24.045856518993752</v>
      </c>
      <c r="X35" s="770">
        <f t="shared" si="45"/>
        <v>25.248149344943439</v>
      </c>
      <c r="Y35" s="749">
        <v>0.05</v>
      </c>
      <c r="Z35" s="517" t="s">
        <v>3519</v>
      </c>
      <c r="AC35" s="730" t="s">
        <v>3520</v>
      </c>
      <c r="AD35" s="607"/>
      <c r="AE35" s="607"/>
      <c r="AF35" s="607">
        <v>60000</v>
      </c>
      <c r="AG35" s="607">
        <f>AF35</f>
        <v>60000</v>
      </c>
      <c r="AH35" s="607">
        <f t="shared" si="43"/>
        <v>60000</v>
      </c>
      <c r="AI35" s="524">
        <f t="shared" si="43"/>
        <v>60000</v>
      </c>
      <c r="AJ35" s="730"/>
    </row>
    <row r="36" spans="2:36" s="21" customFormat="1" ht="13.5" x14ac:dyDescent="0.3">
      <c r="B36" s="277"/>
      <c r="C36" s="269" t="s">
        <v>80</v>
      </c>
      <c r="D36" s="270"/>
      <c r="E36" s="271">
        <f>SUM(E37:E43)</f>
        <v>366.30242351000004</v>
      </c>
      <c r="F36" s="271">
        <f>SUM(F37:F43)</f>
        <v>479.49457603900009</v>
      </c>
      <c r="G36" s="744">
        <f t="shared" ref="G36:K36" si="46">SUM(G37:G43)</f>
        <v>476.81252594648731</v>
      </c>
      <c r="H36" s="744">
        <f t="shared" si="46"/>
        <v>644.71153339757279</v>
      </c>
      <c r="I36" s="744">
        <f t="shared" si="46"/>
        <v>948.60184635101348</v>
      </c>
      <c r="J36" s="744">
        <f t="shared" si="46"/>
        <v>1217.3739275618755</v>
      </c>
      <c r="K36" s="744">
        <f t="shared" si="46"/>
        <v>1487.1601916059296</v>
      </c>
      <c r="L36" s="272">
        <f t="shared" si="3"/>
        <v>0.25404987886542107</v>
      </c>
      <c r="M36" s="271"/>
      <c r="N36" s="752"/>
      <c r="P36" s="523" t="s">
        <v>1988</v>
      </c>
      <c r="R36" s="524">
        <f t="shared" si="44"/>
        <v>22.604187511481239</v>
      </c>
      <c r="S36" s="771">
        <f t="shared" si="44"/>
        <v>21.542249746202124</v>
      </c>
      <c r="T36" s="771">
        <f t="shared" si="44"/>
        <v>8.8630627100000012</v>
      </c>
      <c r="U36" s="772">
        <f t="shared" si="45"/>
        <v>9.1289545913000012</v>
      </c>
      <c r="V36" s="730">
        <f t="shared" si="45"/>
        <v>9.4028232290390008</v>
      </c>
      <c r="W36" s="730">
        <f t="shared" si="45"/>
        <v>9.6849079259101707</v>
      </c>
      <c r="X36" s="773">
        <f t="shared" si="45"/>
        <v>9.9754551636874762</v>
      </c>
      <c r="Y36" s="736">
        <v>0.03</v>
      </c>
      <c r="Z36" s="523" t="s">
        <v>3521</v>
      </c>
      <c r="AB36" s="597"/>
      <c r="AC36" s="774" t="s">
        <v>3522</v>
      </c>
      <c r="AD36" s="650"/>
      <c r="AE36" s="650"/>
      <c r="AF36" s="650">
        <v>60000</v>
      </c>
      <c r="AG36" s="650">
        <f>AF36</f>
        <v>60000</v>
      </c>
      <c r="AH36" s="650">
        <f t="shared" si="43"/>
        <v>60000</v>
      </c>
      <c r="AI36" s="741">
        <f t="shared" si="43"/>
        <v>60000</v>
      </c>
      <c r="AJ36" s="730"/>
    </row>
    <row r="37" spans="2:36" s="21" customFormat="1" ht="13.5" x14ac:dyDescent="0.3">
      <c r="B37" s="277"/>
      <c r="C37" s="277"/>
      <c r="D37" s="278" t="s">
        <v>3473</v>
      </c>
      <c r="E37" s="275">
        <v>235.57493020229526</v>
      </c>
      <c r="F37" s="275">
        <v>197.35756769433129</v>
      </c>
      <c r="G37" s="304">
        <v>95.730141375263344</v>
      </c>
      <c r="H37" s="304">
        <f>+H13*U26</f>
        <v>0</v>
      </c>
      <c r="I37" s="304">
        <f>+I13*V26</f>
        <v>0</v>
      </c>
      <c r="J37" s="304">
        <f>+J13*W26</f>
        <v>0</v>
      </c>
      <c r="K37" s="304">
        <f>+K13*X26</f>
        <v>0</v>
      </c>
      <c r="L37" s="276">
        <f t="shared" si="3"/>
        <v>-1</v>
      </c>
      <c r="M37" s="275" t="s">
        <v>3512</v>
      </c>
      <c r="N37" s="752"/>
      <c r="P37" s="523" t="s">
        <v>3327</v>
      </c>
      <c r="R37" s="524">
        <f t="shared" si="44"/>
        <v>1.8522054600000002</v>
      </c>
      <c r="S37" s="771">
        <f t="shared" si="44"/>
        <v>2.3776966499999999</v>
      </c>
      <c r="T37" s="771">
        <f t="shared" si="44"/>
        <v>5</v>
      </c>
      <c r="U37" s="772">
        <f>+(G5+G12-T46-T47)*$Y$37</f>
        <v>6.4192907309689877</v>
      </c>
      <c r="V37" s="730">
        <f t="shared" ref="V37:X37" si="47">+(H5+H12-U46-U47)*$Y$37</f>
        <v>7.8415639613636863</v>
      </c>
      <c r="W37" s="730">
        <f t="shared" si="47"/>
        <v>11.354952454046247</v>
      </c>
      <c r="X37" s="773">
        <f t="shared" si="47"/>
        <v>14.313450838243705</v>
      </c>
      <c r="Y37" s="736">
        <v>0.01</v>
      </c>
      <c r="Z37" s="523" t="s">
        <v>3523</v>
      </c>
      <c r="AB37" s="503" t="s">
        <v>3524</v>
      </c>
      <c r="AC37" s="635"/>
      <c r="AD37" s="637">
        <f>+SUM(AD38:AD40)</f>
        <v>0</v>
      </c>
      <c r="AE37" s="637">
        <f t="shared" ref="AE37:AI37" si="48">+SUM(AE38:AE40)</f>
        <v>0</v>
      </c>
      <c r="AF37" s="637">
        <f t="shared" si="48"/>
        <v>60000</v>
      </c>
      <c r="AG37" s="637">
        <f t="shared" si="48"/>
        <v>146000</v>
      </c>
      <c r="AH37" s="637">
        <f t="shared" si="48"/>
        <v>200000</v>
      </c>
      <c r="AI37" s="636">
        <f t="shared" si="48"/>
        <v>220000</v>
      </c>
    </row>
    <row r="38" spans="2:36" s="21" customFormat="1" ht="13.5" x14ac:dyDescent="0.3">
      <c r="B38" s="277"/>
      <c r="C38" s="277"/>
      <c r="D38" s="294" t="s">
        <v>3476</v>
      </c>
      <c r="E38" s="295">
        <v>35.346123779501802</v>
      </c>
      <c r="F38" s="295">
        <v>0</v>
      </c>
      <c r="G38" s="295">
        <v>0</v>
      </c>
      <c r="H38" s="295">
        <v>0</v>
      </c>
      <c r="I38" s="295">
        <v>0</v>
      </c>
      <c r="J38" s="295">
        <v>0</v>
      </c>
      <c r="K38" s="295">
        <v>0</v>
      </c>
      <c r="L38" s="296">
        <f t="shared" si="3"/>
        <v>0</v>
      </c>
      <c r="M38" s="295"/>
      <c r="N38" s="267"/>
      <c r="P38" s="517" t="s">
        <v>1995</v>
      </c>
      <c r="Q38" s="766"/>
      <c r="R38" s="518">
        <f>+SUM(R39:R41)</f>
        <v>7.0058720899999996</v>
      </c>
      <c r="S38" s="767">
        <f t="shared" ref="S38:T38" si="49">+SUM(S39:S41)</f>
        <v>20.027335239999999</v>
      </c>
      <c r="T38" s="767">
        <f t="shared" si="49"/>
        <v>23.499748296338254</v>
      </c>
      <c r="U38" s="768">
        <f>+SUM(U39:U41)</f>
        <v>17.359920262519374</v>
      </c>
      <c r="V38" s="769">
        <f>+SUM(V39:V41)</f>
        <v>22.393543936942081</v>
      </c>
      <c r="W38" s="769">
        <f>+SUM(W39:W41)</f>
        <v>26.030571317032603</v>
      </c>
      <c r="X38" s="770">
        <f>+SUM(X39:X41)</f>
        <v>28.192741226014412</v>
      </c>
      <c r="Y38" s="731"/>
      <c r="Z38" s="517"/>
      <c r="AC38" s="21" t="s">
        <v>3478</v>
      </c>
      <c r="AD38" s="607"/>
      <c r="AE38" s="607"/>
      <c r="AF38" s="607">
        <f>AF33*$AJ$38</f>
        <v>60000</v>
      </c>
      <c r="AG38" s="607">
        <f>AG33*$AJ$38</f>
        <v>110000</v>
      </c>
      <c r="AH38" s="607">
        <f>AH33*$AJ$38</f>
        <v>110000</v>
      </c>
      <c r="AI38" s="524">
        <f>AI33*$AJ$38</f>
        <v>110000</v>
      </c>
      <c r="AJ38" s="738">
        <v>0.5</v>
      </c>
    </row>
    <row r="39" spans="2:36" s="21" customFormat="1" ht="13.5" x14ac:dyDescent="0.3">
      <c r="B39" s="277"/>
      <c r="C39" s="277"/>
      <c r="D39" s="283" t="s">
        <v>3477</v>
      </c>
      <c r="E39" s="281">
        <v>75.720134621276813</v>
      </c>
      <c r="F39" s="281">
        <v>72.914260267824375</v>
      </c>
      <c r="G39" s="308">
        <v>68.46773573032084</v>
      </c>
      <c r="H39" s="308">
        <f t="shared" ref="H39:K41" si="50">+H15*U27</f>
        <v>71.630642739894412</v>
      </c>
      <c r="I39" s="308">
        <f t="shared" si="50"/>
        <v>74.939332029936537</v>
      </c>
      <c r="J39" s="308">
        <f t="shared" si="50"/>
        <v>78.400509053157961</v>
      </c>
      <c r="K39" s="308">
        <f t="shared" si="50"/>
        <v>82.021187107612889</v>
      </c>
      <c r="L39" s="282">
        <f t="shared" si="3"/>
        <v>2.3817892916621952E-2</v>
      </c>
      <c r="M39" s="281" t="s">
        <v>3525</v>
      </c>
      <c r="N39" s="267"/>
      <c r="P39" s="523"/>
      <c r="Q39" s="21" t="s">
        <v>3526</v>
      </c>
      <c r="R39" s="524">
        <v>1.12638719</v>
      </c>
      <c r="S39" s="771">
        <v>11.792861230000002</v>
      </c>
      <c r="T39" s="771">
        <v>6.5229999999999997</v>
      </c>
      <c r="U39" s="772">
        <f>+H20*$Y$39</f>
        <v>2.8213548181914554</v>
      </c>
      <c r="V39" s="730">
        <f>+I20*$Y$39</f>
        <v>6.8652967242658747</v>
      </c>
      <c r="W39" s="730">
        <f>+J20*$Y$39</f>
        <v>9.4045160606381852</v>
      </c>
      <c r="X39" s="773">
        <f>+K20*$Y$39</f>
        <v>10.344967666702003</v>
      </c>
      <c r="Y39" s="736">
        <v>6.9150853387045477E-2</v>
      </c>
      <c r="Z39" s="523" t="s">
        <v>3527</v>
      </c>
      <c r="AC39" s="21" t="s">
        <v>3481</v>
      </c>
      <c r="AD39" s="301"/>
      <c r="AE39" s="607"/>
      <c r="AF39" s="607"/>
      <c r="AG39" s="607">
        <f>AF33*$AJ$39</f>
        <v>36000</v>
      </c>
      <c r="AH39" s="607">
        <f>AG33*$AJ$39</f>
        <v>66000</v>
      </c>
      <c r="AI39" s="524">
        <f>AH33*$AJ$39</f>
        <v>66000</v>
      </c>
      <c r="AJ39" s="738">
        <v>0.3</v>
      </c>
    </row>
    <row r="40" spans="2:36" s="21" customFormat="1" ht="13.5" x14ac:dyDescent="0.3">
      <c r="B40" s="277"/>
      <c r="C40" s="277"/>
      <c r="D40" s="283" t="s">
        <v>3480</v>
      </c>
      <c r="E40" s="281">
        <v>0</v>
      </c>
      <c r="F40" s="281">
        <v>0</v>
      </c>
      <c r="G40" s="308"/>
      <c r="H40" s="308">
        <f t="shared" si="50"/>
        <v>13.033333333333335</v>
      </c>
      <c r="I40" s="308">
        <f t="shared" si="50"/>
        <v>81.972000000000008</v>
      </c>
      <c r="J40" s="308">
        <f t="shared" si="50"/>
        <v>90.169200000000018</v>
      </c>
      <c r="K40" s="308">
        <f t="shared" si="50"/>
        <v>99.186120000000031</v>
      </c>
      <c r="L40" s="282">
        <f t="shared" si="3"/>
        <v>0</v>
      </c>
      <c r="M40" s="281" t="s">
        <v>3528</v>
      </c>
      <c r="P40" s="523"/>
      <c r="Q40" s="21" t="s">
        <v>3529</v>
      </c>
      <c r="R40" s="524">
        <v>5.0810627600000009</v>
      </c>
      <c r="S40" s="771">
        <v>7.7600732600000004</v>
      </c>
      <c r="T40" s="771">
        <v>14.083333330666667</v>
      </c>
      <c r="U40" s="775">
        <f>(H8+H15)*$Y$40</f>
        <v>11.558348029686183</v>
      </c>
      <c r="V40" s="776">
        <f t="shared" ref="V40:X40" si="51">(I8+I15)*$Y$40</f>
        <v>12.458623275595215</v>
      </c>
      <c r="W40" s="776">
        <f t="shared" si="51"/>
        <v>13.464342601200997</v>
      </c>
      <c r="X40" s="777">
        <f t="shared" si="51"/>
        <v>14.59120952446319</v>
      </c>
      <c r="Y40" s="736">
        <f>10.75/(G8+G15)</f>
        <v>0.11177048403901987</v>
      </c>
      <c r="Z40" s="523" t="s">
        <v>3530</v>
      </c>
      <c r="AB40" s="597"/>
      <c r="AC40" s="597" t="s">
        <v>3484</v>
      </c>
      <c r="AD40" s="310"/>
      <c r="AE40" s="310"/>
      <c r="AF40" s="650"/>
      <c r="AG40" s="650"/>
      <c r="AH40" s="650">
        <f>AF33*$AJ$40</f>
        <v>24000</v>
      </c>
      <c r="AI40" s="741">
        <f>AG33*$AJ$40</f>
        <v>44000</v>
      </c>
      <c r="AJ40" s="738">
        <v>0.2</v>
      </c>
    </row>
    <row r="41" spans="2:36" s="21" customFormat="1" ht="13.5" x14ac:dyDescent="0.3">
      <c r="B41" s="277"/>
      <c r="C41" s="277"/>
      <c r="D41" s="283" t="s">
        <v>3483</v>
      </c>
      <c r="E41" s="281">
        <v>84.716911266926175</v>
      </c>
      <c r="F41" s="281">
        <v>287.2264027068444</v>
      </c>
      <c r="G41" s="308">
        <v>393.33887255124341</v>
      </c>
      <c r="H41" s="308">
        <f t="shared" si="50"/>
        <v>661.32179999999994</v>
      </c>
      <c r="I41" s="308">
        <f t="shared" si="50"/>
        <v>938.50467920000006</v>
      </c>
      <c r="J41" s="308">
        <f t="shared" si="50"/>
        <v>1235.0538850848</v>
      </c>
      <c r="K41" s="308">
        <f t="shared" si="50"/>
        <v>1531.7950060285311</v>
      </c>
      <c r="L41" s="282">
        <f t="shared" si="3"/>
        <v>0.39763979574633268</v>
      </c>
      <c r="M41" s="281" t="s">
        <v>3515</v>
      </c>
      <c r="P41" s="530"/>
      <c r="Q41" s="778" t="s">
        <v>3416</v>
      </c>
      <c r="R41" s="531">
        <f>+E80-SUM(R39:R40)</f>
        <v>0.79842213999999867</v>
      </c>
      <c r="S41" s="779">
        <f>+F80-SUM(S39:S40)</f>
        <v>0.47440074999999737</v>
      </c>
      <c r="T41" s="779">
        <f>+G80-SUM(T39:T40)</f>
        <v>2.8934149656715888</v>
      </c>
      <c r="U41" s="780">
        <f>+T41*(1+$Y$41)</f>
        <v>2.9802174146417366</v>
      </c>
      <c r="V41" s="781">
        <f>+U41*(1+$Y$41)</f>
        <v>3.0696239370809888</v>
      </c>
      <c r="W41" s="781">
        <f>+V41*(1+$Y$41)</f>
        <v>3.1617126551934187</v>
      </c>
      <c r="X41" s="782">
        <f>+W41*(1+$Y$41)</f>
        <v>3.2565640348492213</v>
      </c>
      <c r="Y41" s="783">
        <v>0.03</v>
      </c>
      <c r="Z41" s="530" t="s">
        <v>3521</v>
      </c>
      <c r="AB41" s="341" t="s">
        <v>3531</v>
      </c>
      <c r="AF41" s="742">
        <f>AF37*$AJ$41/10^8</f>
        <v>13.8</v>
      </c>
      <c r="AG41" s="742">
        <f t="shared" ref="AG41:AI41" si="52">AG37*$AJ$41/10^8</f>
        <v>33.58</v>
      </c>
      <c r="AH41" s="742">
        <f t="shared" si="52"/>
        <v>46</v>
      </c>
      <c r="AI41" s="742">
        <f t="shared" si="52"/>
        <v>50.6</v>
      </c>
      <c r="AJ41" s="730">
        <v>23000</v>
      </c>
    </row>
    <row r="42" spans="2:36" s="21" customFormat="1" ht="13.5" x14ac:dyDescent="0.3">
      <c r="B42" s="277"/>
      <c r="C42" s="277"/>
      <c r="D42" s="283" t="s">
        <v>3312</v>
      </c>
      <c r="E42" s="281">
        <v>0</v>
      </c>
      <c r="F42" s="281">
        <v>0</v>
      </c>
      <c r="G42" s="308"/>
      <c r="H42" s="308">
        <f>+H18*U51</f>
        <v>5.1000000000000005</v>
      </c>
      <c r="I42" s="308">
        <f>+I18*V51</f>
        <v>10.200000000000001</v>
      </c>
      <c r="J42" s="308">
        <f>+J18*W51</f>
        <v>15.3</v>
      </c>
      <c r="K42" s="308">
        <f>+K18*X51</f>
        <v>20.400000000000002</v>
      </c>
      <c r="L42" s="282">
        <f t="shared" si="3"/>
        <v>0</v>
      </c>
      <c r="M42" s="281" t="s">
        <v>3532</v>
      </c>
      <c r="O42" s="597"/>
      <c r="P42" s="745" t="s">
        <v>71</v>
      </c>
      <c r="Q42" s="597"/>
      <c r="R42" s="741">
        <f>+E81</f>
        <v>0.23652692747285631</v>
      </c>
      <c r="S42" s="784">
        <f>+F81</f>
        <v>1.1422336700000013</v>
      </c>
      <c r="T42" s="784">
        <f>+G81</f>
        <v>1.8976599999999999</v>
      </c>
      <c r="U42" s="785">
        <f>+T42*(1+$Y42)</f>
        <v>1.9545897999999999</v>
      </c>
      <c r="V42" s="774">
        <f>+U42*(1+$Y42)</f>
        <v>2.0132274940000001</v>
      </c>
      <c r="W42" s="774">
        <f>+V42*(1+$Y42)</f>
        <v>2.0736243188200003</v>
      </c>
      <c r="X42" s="786">
        <f>+W42*(1+$Y42)</f>
        <v>2.1358330483846002</v>
      </c>
      <c r="Y42" s="610">
        <v>0.03</v>
      </c>
      <c r="Z42" s="745" t="s">
        <v>3521</v>
      </c>
      <c r="AB42" s="341" t="s">
        <v>3533</v>
      </c>
      <c r="AF42" s="742">
        <f>AF37*$AJ$42/10^8</f>
        <v>27</v>
      </c>
      <c r="AG42" s="742">
        <f t="shared" ref="AG42:AI42" si="53">AG37*$AJ$42/10^8</f>
        <v>65.7</v>
      </c>
      <c r="AH42" s="742">
        <f t="shared" si="53"/>
        <v>90</v>
      </c>
      <c r="AI42" s="742">
        <f t="shared" si="53"/>
        <v>99</v>
      </c>
      <c r="AJ42" s="730">
        <v>45000</v>
      </c>
    </row>
    <row r="43" spans="2:36" s="21" customFormat="1" ht="13.5" x14ac:dyDescent="0.3">
      <c r="B43" s="277"/>
      <c r="C43" s="284"/>
      <c r="D43" s="285" t="s">
        <v>3495</v>
      </c>
      <c r="E43" s="286">
        <v>-65.055676360000007</v>
      </c>
      <c r="F43" s="286">
        <v>-78.00365463</v>
      </c>
      <c r="G43" s="313">
        <v>-80.724223710340297</v>
      </c>
      <c r="H43" s="313">
        <f>+H19*U30</f>
        <v>-106.374242675655</v>
      </c>
      <c r="I43" s="313">
        <f>+I19*V30</f>
        <v>-157.01416487892322</v>
      </c>
      <c r="J43" s="313">
        <f>+J19*W30</f>
        <v>-201.54966657608247</v>
      </c>
      <c r="K43" s="313">
        <f>+K19*X30</f>
        <v>-246.2421215302144</v>
      </c>
      <c r="L43" s="287">
        <f t="shared" si="3"/>
        <v>0.25848915881562462</v>
      </c>
      <c r="M43" s="286"/>
    </row>
    <row r="44" spans="2:36" s="21" customFormat="1" ht="13.5" x14ac:dyDescent="0.3">
      <c r="B44" s="277"/>
      <c r="C44" s="269" t="s">
        <v>83</v>
      </c>
      <c r="D44" s="270"/>
      <c r="E44" s="271">
        <f>SUM(E45:E47)</f>
        <v>29.31040599</v>
      </c>
      <c r="F44" s="271">
        <f>SUM(F45:F47)</f>
        <v>195.34455925999995</v>
      </c>
      <c r="G44" s="744">
        <f t="shared" ref="G44:K44" si="54">SUM(G45:G47)</f>
        <v>75.95</v>
      </c>
      <c r="H44" s="744">
        <f t="shared" si="54"/>
        <v>32.655539345166645</v>
      </c>
      <c r="I44" s="744">
        <f t="shared" si="54"/>
        <v>79.461812406572164</v>
      </c>
      <c r="J44" s="744">
        <f t="shared" si="54"/>
        <v>108.85179781722215</v>
      </c>
      <c r="K44" s="744">
        <f t="shared" si="54"/>
        <v>119.73697759894436</v>
      </c>
      <c r="L44" s="272">
        <f t="shared" si="3"/>
        <v>-9.325453046761556E-2</v>
      </c>
      <c r="M44" s="271"/>
      <c r="O44" s="341" t="s">
        <v>3534</v>
      </c>
    </row>
    <row r="45" spans="2:36" s="21" customFormat="1" ht="13.5" x14ac:dyDescent="0.3">
      <c r="B45" s="277"/>
      <c r="C45" s="277"/>
      <c r="D45" s="278" t="s">
        <v>3499</v>
      </c>
      <c r="E45" s="275">
        <v>29.31040599</v>
      </c>
      <c r="F45" s="275">
        <v>139.66798380169999</v>
      </c>
      <c r="G45" s="304">
        <v>75.95</v>
      </c>
      <c r="H45" s="304">
        <f t="shared" ref="H45:K46" si="55">+H21*U32</f>
        <v>12.007376869699922</v>
      </c>
      <c r="I45" s="304">
        <f t="shared" si="55"/>
        <v>29.217950382936476</v>
      </c>
      <c r="J45" s="304">
        <f t="shared" si="55"/>
        <v>40.024589565666403</v>
      </c>
      <c r="K45" s="304">
        <f t="shared" si="55"/>
        <v>44.027048522233045</v>
      </c>
      <c r="L45" s="276">
        <f t="shared" si="3"/>
        <v>-0.20617542109793496</v>
      </c>
      <c r="M45" s="275"/>
      <c r="O45" s="635" t="s">
        <v>161</v>
      </c>
      <c r="P45" s="635"/>
      <c r="Q45" s="635"/>
      <c r="R45" s="787"/>
      <c r="S45" s="788"/>
      <c r="T45" s="788"/>
      <c r="U45" s="789">
        <f>+SUM(U46:U48)</f>
        <v>80</v>
      </c>
      <c r="V45" s="635">
        <f t="shared" ref="V45:X45" si="56">+SUM(V46:V48)</f>
        <v>160</v>
      </c>
      <c r="W45" s="635">
        <f t="shared" si="56"/>
        <v>240</v>
      </c>
      <c r="X45" s="790">
        <f t="shared" si="56"/>
        <v>320</v>
      </c>
      <c r="Y45" s="635"/>
      <c r="Z45" s="789"/>
    </row>
    <row r="46" spans="2:36" s="21" customFormat="1" ht="13.5" x14ac:dyDescent="0.3">
      <c r="B46" s="277"/>
      <c r="C46" s="277"/>
      <c r="D46" s="283" t="s">
        <v>3500</v>
      </c>
      <c r="E46" s="281">
        <v>0</v>
      </c>
      <c r="F46" s="281">
        <v>55.676575458299972</v>
      </c>
      <c r="G46" s="308"/>
      <c r="H46" s="308">
        <f t="shared" si="55"/>
        <v>20.648162475466723</v>
      </c>
      <c r="I46" s="308">
        <f t="shared" si="55"/>
        <v>50.243862023635693</v>
      </c>
      <c r="J46" s="308">
        <f t="shared" si="55"/>
        <v>68.827208251555746</v>
      </c>
      <c r="K46" s="308">
        <f t="shared" si="55"/>
        <v>75.709929076711319</v>
      </c>
      <c r="L46" s="282">
        <f t="shared" si="3"/>
        <v>6.3398552659464258E-2</v>
      </c>
      <c r="M46" s="281"/>
      <c r="P46" s="21" t="s">
        <v>3535</v>
      </c>
      <c r="R46" s="791"/>
      <c r="S46" s="792"/>
      <c r="T46" s="792"/>
      <c r="U46" s="793">
        <v>30</v>
      </c>
      <c r="V46" s="794">
        <f>U46+30</f>
        <v>60</v>
      </c>
      <c r="W46" s="21">
        <f t="shared" ref="W46:X46" si="57">V46+30</f>
        <v>90</v>
      </c>
      <c r="X46" s="795">
        <f t="shared" si="57"/>
        <v>120</v>
      </c>
      <c r="Y46" s="794"/>
      <c r="Z46" s="523"/>
    </row>
    <row r="47" spans="2:36" s="21" customFormat="1" ht="13.5" x14ac:dyDescent="0.3">
      <c r="B47" s="277"/>
      <c r="C47" s="284"/>
      <c r="D47" s="285" t="s">
        <v>3312</v>
      </c>
      <c r="E47" s="286">
        <v>0</v>
      </c>
      <c r="F47" s="286">
        <v>0</v>
      </c>
      <c r="G47" s="313"/>
      <c r="H47" s="313"/>
      <c r="I47" s="313"/>
      <c r="J47" s="313"/>
      <c r="K47" s="313"/>
      <c r="L47" s="287">
        <f t="shared" si="3"/>
        <v>0</v>
      </c>
      <c r="M47" s="286"/>
      <c r="P47" s="21" t="s">
        <v>3503</v>
      </c>
      <c r="R47" s="791"/>
      <c r="S47" s="792"/>
      <c r="T47" s="792"/>
      <c r="U47" s="793">
        <v>30</v>
      </c>
      <c r="V47" s="794">
        <f t="shared" ref="V47:X47" si="58">U47+30</f>
        <v>60</v>
      </c>
      <c r="W47" s="21">
        <f t="shared" si="58"/>
        <v>90</v>
      </c>
      <c r="X47" s="795">
        <f t="shared" si="58"/>
        <v>120</v>
      </c>
      <c r="Y47" s="794"/>
      <c r="Z47" s="523"/>
    </row>
    <row r="48" spans="2:36" s="21" customFormat="1" ht="13.5" x14ac:dyDescent="0.3">
      <c r="B48" s="277"/>
      <c r="C48" s="269" t="s">
        <v>3312</v>
      </c>
      <c r="D48" s="270"/>
      <c r="E48" s="271">
        <f>SUM(E49:E51)</f>
        <v>0</v>
      </c>
      <c r="F48" s="271">
        <f>SUM(F49:F51)</f>
        <v>0</v>
      </c>
      <c r="G48" s="744">
        <f t="shared" ref="G48:K48" si="59">SUM(G49:G51)</f>
        <v>0</v>
      </c>
      <c r="H48" s="744">
        <f t="shared" si="59"/>
        <v>33</v>
      </c>
      <c r="I48" s="744">
        <f t="shared" si="59"/>
        <v>57.5</v>
      </c>
      <c r="J48" s="744">
        <f t="shared" si="59"/>
        <v>82</v>
      </c>
      <c r="K48" s="744">
        <f t="shared" si="59"/>
        <v>106.5</v>
      </c>
      <c r="L48" s="272">
        <f t="shared" si="3"/>
        <v>0</v>
      </c>
      <c r="M48" s="271"/>
      <c r="P48" s="21" t="s">
        <v>3318</v>
      </c>
      <c r="R48" s="791"/>
      <c r="S48" s="792"/>
      <c r="T48" s="792"/>
      <c r="U48" s="793">
        <v>20</v>
      </c>
      <c r="V48" s="794">
        <f>U48+20</f>
        <v>40</v>
      </c>
      <c r="W48" s="21">
        <f t="shared" ref="W48:X48" si="60">V48+20</f>
        <v>60</v>
      </c>
      <c r="X48" s="795">
        <f t="shared" si="60"/>
        <v>80</v>
      </c>
      <c r="Y48" s="794"/>
      <c r="Z48" s="523"/>
    </row>
    <row r="49" spans="2:26" s="21" customFormat="1" ht="13.5" x14ac:dyDescent="0.3">
      <c r="B49" s="277"/>
      <c r="C49" s="277"/>
      <c r="D49" s="278" t="s">
        <v>3311</v>
      </c>
      <c r="E49" s="275">
        <v>0</v>
      </c>
      <c r="F49" s="275"/>
      <c r="G49" s="304">
        <v>0</v>
      </c>
      <c r="H49" s="304">
        <f>+H25*U62</f>
        <v>17</v>
      </c>
      <c r="I49" s="304">
        <f>+I25*V62</f>
        <v>25.5</v>
      </c>
      <c r="J49" s="304">
        <f>+J25*W62</f>
        <v>34</v>
      </c>
      <c r="K49" s="304">
        <f>+K25*X62</f>
        <v>42.5</v>
      </c>
      <c r="L49" s="276">
        <f t="shared" si="3"/>
        <v>0</v>
      </c>
      <c r="M49" s="275" t="s">
        <v>3536</v>
      </c>
      <c r="O49" s="635" t="s">
        <v>45</v>
      </c>
      <c r="P49" s="503"/>
      <c r="Q49" s="503"/>
      <c r="R49" s="796"/>
      <c r="S49" s="797"/>
      <c r="T49" s="797"/>
      <c r="U49" s="765"/>
      <c r="V49" s="503"/>
      <c r="W49" s="503"/>
      <c r="X49" s="658"/>
      <c r="Y49" s="503"/>
      <c r="Z49" s="765"/>
    </row>
    <row r="50" spans="2:26" s="21" customFormat="1" ht="13.5" x14ac:dyDescent="0.3">
      <c r="B50" s="277"/>
      <c r="C50" s="277"/>
      <c r="D50" s="283" t="s">
        <v>3318</v>
      </c>
      <c r="E50" s="281">
        <v>0</v>
      </c>
      <c r="F50" s="281"/>
      <c r="G50" s="308"/>
      <c r="H50" s="308">
        <f>+H26*U52</f>
        <v>16</v>
      </c>
      <c r="I50" s="308">
        <f>+I26*V52</f>
        <v>32</v>
      </c>
      <c r="J50" s="308">
        <f>+J26*W52</f>
        <v>48</v>
      </c>
      <c r="K50" s="308">
        <f>+K26*X52</f>
        <v>64</v>
      </c>
      <c r="L50" s="282">
        <f t="shared" si="3"/>
        <v>0</v>
      </c>
      <c r="M50" s="281"/>
      <c r="P50" s="21" t="s">
        <v>3535</v>
      </c>
      <c r="R50" s="791"/>
      <c r="S50" s="792"/>
      <c r="T50" s="798"/>
      <c r="U50" s="735">
        <v>0.45</v>
      </c>
      <c r="V50" s="592">
        <f>+U50*(1+$Y50)</f>
        <v>0.45</v>
      </c>
      <c r="W50" s="592">
        <f t="shared" ref="W50:X50" si="61">+V50*(1+$Y50)</f>
        <v>0.45</v>
      </c>
      <c r="X50" s="722">
        <f t="shared" si="61"/>
        <v>0.45</v>
      </c>
      <c r="Y50" s="608"/>
      <c r="Z50" s="523"/>
    </row>
    <row r="51" spans="2:26" s="21" customFormat="1" ht="13.5" x14ac:dyDescent="0.3">
      <c r="B51" s="284"/>
      <c r="C51" s="284"/>
      <c r="D51" s="285" t="s">
        <v>3509</v>
      </c>
      <c r="E51" s="286">
        <v>0</v>
      </c>
      <c r="F51" s="286"/>
      <c r="G51" s="313"/>
      <c r="H51" s="313"/>
      <c r="I51" s="313"/>
      <c r="J51" s="313"/>
      <c r="K51" s="313"/>
      <c r="L51" s="287">
        <f t="shared" si="3"/>
        <v>0</v>
      </c>
      <c r="M51" s="286"/>
      <c r="P51" s="21" t="s">
        <v>3503</v>
      </c>
      <c r="R51" s="791"/>
      <c r="S51" s="792"/>
      <c r="T51" s="798"/>
      <c r="U51" s="735">
        <v>0.17</v>
      </c>
      <c r="V51" s="592">
        <f t="shared" ref="V51:X52" si="62">+U51*(1+$Y51)</f>
        <v>0.17</v>
      </c>
      <c r="W51" s="592">
        <f t="shared" si="62"/>
        <v>0.17</v>
      </c>
      <c r="X51" s="722">
        <f t="shared" si="62"/>
        <v>0.17</v>
      </c>
      <c r="Y51" s="608"/>
      <c r="Z51" s="523"/>
    </row>
    <row r="52" spans="2:26" s="21" customFormat="1" ht="13.5" x14ac:dyDescent="0.3">
      <c r="B52" s="262" t="s">
        <v>3320</v>
      </c>
      <c r="C52" s="263"/>
      <c r="D52" s="264"/>
      <c r="E52" s="265">
        <f>SUM(E53,E60,E68,E72)</f>
        <v>135.26434873148366</v>
      </c>
      <c r="F52" s="265">
        <f>SUM(F53,F60,F68,F72)</f>
        <v>182.60661972760454</v>
      </c>
      <c r="G52" s="265">
        <f t="shared" ref="G52:K52" si="63">SUM(G53,G60,G68,G72)</f>
        <v>159.95171774068524</v>
      </c>
      <c r="H52" s="265">
        <f t="shared" si="63"/>
        <v>181.75298648753912</v>
      </c>
      <c r="I52" s="265">
        <f t="shared" si="63"/>
        <v>287.20577423611172</v>
      </c>
      <c r="J52" s="265">
        <f t="shared" si="63"/>
        <v>369.54439948186382</v>
      </c>
      <c r="K52" s="265">
        <f t="shared" si="63"/>
        <v>448.85075935848391</v>
      </c>
      <c r="L52" s="266">
        <f t="shared" si="3"/>
        <v>0.1970632260102394</v>
      </c>
      <c r="M52" s="266"/>
      <c r="O52" s="597"/>
      <c r="P52" s="597" t="s">
        <v>3318</v>
      </c>
      <c r="Q52" s="597"/>
      <c r="R52" s="799"/>
      <c r="S52" s="800"/>
      <c r="T52" s="801"/>
      <c r="U52" s="802">
        <v>0.8</v>
      </c>
      <c r="V52" s="746">
        <f t="shared" si="62"/>
        <v>0.8</v>
      </c>
      <c r="W52" s="746">
        <f t="shared" si="62"/>
        <v>0.8</v>
      </c>
      <c r="X52" s="763">
        <f t="shared" si="62"/>
        <v>0.8</v>
      </c>
      <c r="Y52" s="803"/>
      <c r="Z52" s="745"/>
    </row>
    <row r="53" spans="2:26" s="21" customFormat="1" ht="13.5" x14ac:dyDescent="0.3">
      <c r="B53" s="268"/>
      <c r="C53" s="269" t="s">
        <v>77</v>
      </c>
      <c r="D53" s="270"/>
      <c r="E53" s="271">
        <f>SUM(E54:E59)</f>
        <v>90.440450530000007</v>
      </c>
      <c r="F53" s="271">
        <f t="shared" ref="F53:K53" si="64">SUM(F54:F59)</f>
        <v>85.817984380000013</v>
      </c>
      <c r="G53" s="271">
        <f t="shared" si="64"/>
        <v>43.589806054422937</v>
      </c>
      <c r="H53" s="271">
        <f t="shared" si="64"/>
        <v>57.838669460722016</v>
      </c>
      <c r="I53" s="271">
        <f t="shared" si="64"/>
        <v>91.309941129231305</v>
      </c>
      <c r="J53" s="271">
        <f t="shared" si="64"/>
        <v>114.13201379694567</v>
      </c>
      <c r="K53" s="271">
        <f t="shared" si="64"/>
        <v>138.43945023730987</v>
      </c>
      <c r="L53" s="272">
        <f t="shared" si="3"/>
        <v>0.10036384246332397</v>
      </c>
      <c r="M53" s="271"/>
      <c r="O53" s="635" t="s">
        <v>3537</v>
      </c>
      <c r="P53" s="503"/>
      <c r="Q53" s="503"/>
      <c r="R53" s="796"/>
      <c r="S53" s="797"/>
      <c r="T53" s="797"/>
      <c r="U53" s="804">
        <f>+SUM(U54:U58)</f>
        <v>23.653565239081402</v>
      </c>
      <c r="V53" s="764">
        <f t="shared" ref="V53:X53" si="65">+SUM(V54:V58)</f>
        <v>47.307130478162804</v>
      </c>
      <c r="W53" s="764">
        <f t="shared" si="65"/>
        <v>56.820067706217991</v>
      </c>
      <c r="X53" s="805">
        <f t="shared" si="65"/>
        <v>66.686520634548856</v>
      </c>
      <c r="Y53" s="503"/>
      <c r="Z53" s="765"/>
    </row>
    <row r="54" spans="2:26" s="21" customFormat="1" ht="13.5" x14ac:dyDescent="0.3">
      <c r="B54" s="277"/>
      <c r="C54" s="277"/>
      <c r="D54" s="278" t="s">
        <v>3473</v>
      </c>
      <c r="E54" s="275">
        <f>E6-E30</f>
        <v>70.202602464999998</v>
      </c>
      <c r="F54" s="275">
        <f t="shared" ref="F54:G59" si="66">F6-F30</f>
        <v>61.326331298000014</v>
      </c>
      <c r="G54" s="275">
        <f t="shared" si="66"/>
        <v>6.9860193917589619</v>
      </c>
      <c r="H54" s="275">
        <f>H6-H30</f>
        <v>0</v>
      </c>
      <c r="I54" s="275">
        <f t="shared" ref="I54:K59" si="67">I6-I30</f>
        <v>0</v>
      </c>
      <c r="J54" s="275">
        <f t="shared" si="67"/>
        <v>0</v>
      </c>
      <c r="K54" s="275">
        <f t="shared" si="67"/>
        <v>0</v>
      </c>
      <c r="L54" s="276">
        <f t="shared" si="3"/>
        <v>-1</v>
      </c>
      <c r="M54" s="275"/>
      <c r="P54" s="517" t="s">
        <v>3326</v>
      </c>
      <c r="Q54" s="766"/>
      <c r="R54" s="806"/>
      <c r="S54" s="807"/>
      <c r="T54" s="807"/>
      <c r="U54" s="808">
        <f>+(T35/28)*20*(1+$Y$54)</f>
        <v>16.320633175000001</v>
      </c>
      <c r="V54" s="809">
        <f>+U54*2</f>
        <v>32.641266350000002</v>
      </c>
      <c r="W54" s="769">
        <f t="shared" ref="W54:X54" si="68">+V54*(1+$Y54)</f>
        <v>35.905392985000006</v>
      </c>
      <c r="X54" s="770">
        <f t="shared" si="68"/>
        <v>39.495932283500011</v>
      </c>
      <c r="Y54" s="749">
        <v>0.1</v>
      </c>
      <c r="Z54" s="810" t="s">
        <v>3538</v>
      </c>
    </row>
    <row r="55" spans="2:26" s="21" customFormat="1" ht="13.5" x14ac:dyDescent="0.3">
      <c r="B55" s="277"/>
      <c r="C55" s="277"/>
      <c r="D55" s="294" t="s">
        <v>3476</v>
      </c>
      <c r="E55" s="295">
        <f t="shared" ref="E55:H59" si="69">E7-E31</f>
        <v>2.5484749550000001</v>
      </c>
      <c r="F55" s="295">
        <f t="shared" si="66"/>
        <v>0</v>
      </c>
      <c r="G55" s="295">
        <f t="shared" si="66"/>
        <v>0</v>
      </c>
      <c r="H55" s="295">
        <f t="shared" si="69"/>
        <v>0</v>
      </c>
      <c r="I55" s="295">
        <f t="shared" si="67"/>
        <v>0</v>
      </c>
      <c r="J55" s="295">
        <f t="shared" si="67"/>
        <v>0</v>
      </c>
      <c r="K55" s="295">
        <f t="shared" si="67"/>
        <v>0</v>
      </c>
      <c r="L55" s="296">
        <f t="shared" si="3"/>
        <v>0</v>
      </c>
      <c r="M55" s="295"/>
      <c r="P55" s="523" t="s">
        <v>1988</v>
      </c>
      <c r="R55" s="791"/>
      <c r="S55" s="798"/>
      <c r="T55" s="798"/>
      <c r="U55" s="775">
        <f>+U54*$Y$55</f>
        <v>1.3551518387827548</v>
      </c>
      <c r="V55" s="776">
        <f>+V54*$Y$55</f>
        <v>2.7103036775655096</v>
      </c>
      <c r="W55" s="776">
        <f>+W54*$Y$55</f>
        <v>2.9813340453220611</v>
      </c>
      <c r="X55" s="777">
        <f>+X54*$Y$55</f>
        <v>3.2794674498542675</v>
      </c>
      <c r="Y55" s="736">
        <v>8.3033043157821895E-2</v>
      </c>
      <c r="Z55" s="811" t="s">
        <v>3539</v>
      </c>
    </row>
    <row r="56" spans="2:26" s="21" customFormat="1" ht="13.5" x14ac:dyDescent="0.3">
      <c r="B56" s="277"/>
      <c r="C56" s="277"/>
      <c r="D56" s="283" t="s">
        <v>3477</v>
      </c>
      <c r="E56" s="281">
        <f t="shared" si="69"/>
        <v>9.4709072049999996</v>
      </c>
      <c r="F56" s="281">
        <f t="shared" si="66"/>
        <v>10.932647395</v>
      </c>
      <c r="G56" s="281">
        <f t="shared" si="66"/>
        <v>10.212866074175571</v>
      </c>
      <c r="H56" s="281">
        <f t="shared" si="69"/>
        <v>11.929280334846801</v>
      </c>
      <c r="I56" s="281">
        <f t="shared" si="67"/>
        <v>13.934161896747518</v>
      </c>
      <c r="J56" s="281">
        <f t="shared" si="67"/>
        <v>16.275991704009513</v>
      </c>
      <c r="K56" s="281">
        <f t="shared" si="67"/>
        <v>19.011398598061415</v>
      </c>
      <c r="L56" s="282">
        <f t="shared" si="3"/>
        <v>0.11701175951830978</v>
      </c>
      <c r="M56" s="281"/>
      <c r="P56" s="523" t="s">
        <v>3327</v>
      </c>
      <c r="R56" s="791"/>
      <c r="S56" s="798"/>
      <c r="T56" s="798"/>
      <c r="U56" s="812">
        <f>+U45*$Y$56</f>
        <v>0.8</v>
      </c>
      <c r="V56" s="730">
        <f>+V45*$Y$56</f>
        <v>1.6</v>
      </c>
      <c r="W56" s="730">
        <f>+W45*$Y$56</f>
        <v>2.4</v>
      </c>
      <c r="X56" s="773">
        <f>+X45*$Y$56</f>
        <v>3.2</v>
      </c>
      <c r="Y56" s="736">
        <v>0.01</v>
      </c>
      <c r="Z56" s="523" t="s">
        <v>3540</v>
      </c>
    </row>
    <row r="57" spans="2:26" s="21" customFormat="1" ht="13.5" x14ac:dyDescent="0.3">
      <c r="B57" s="277"/>
      <c r="C57" s="277"/>
      <c r="D57" s="283" t="s">
        <v>3480</v>
      </c>
      <c r="E57" s="281">
        <f t="shared" si="69"/>
        <v>0</v>
      </c>
      <c r="F57" s="281">
        <f t="shared" si="66"/>
        <v>0</v>
      </c>
      <c r="G57" s="281">
        <f t="shared" si="66"/>
        <v>0</v>
      </c>
      <c r="H57" s="281">
        <f t="shared" si="69"/>
        <v>0.94791666666666674</v>
      </c>
      <c r="I57" s="281">
        <f t="shared" si="67"/>
        <v>11.935625000000002</v>
      </c>
      <c r="J57" s="281">
        <f t="shared" si="67"/>
        <v>15.516312500000002</v>
      </c>
      <c r="K57" s="281">
        <f t="shared" si="67"/>
        <v>20.171206250000004</v>
      </c>
      <c r="L57" s="282">
        <f t="shared" si="3"/>
        <v>0</v>
      </c>
      <c r="M57" s="281"/>
      <c r="P57" s="523" t="s">
        <v>1995</v>
      </c>
      <c r="R57" s="813"/>
      <c r="S57" s="814"/>
      <c r="T57" s="814"/>
      <c r="U57" s="775">
        <f>+U45*$Y$57</f>
        <v>4.9724221775928141</v>
      </c>
      <c r="V57" s="730">
        <f t="shared" ref="V57:X57" si="70">+V45*$Y$57</f>
        <v>9.9448443551856283</v>
      </c>
      <c r="W57" s="730">
        <f t="shared" si="70"/>
        <v>14.917266532778442</v>
      </c>
      <c r="X57" s="773">
        <f t="shared" si="70"/>
        <v>19.889688710371257</v>
      </c>
      <c r="Y57" s="736">
        <f>(G76-T40)/G4</f>
        <v>6.2155277219910175E-2</v>
      </c>
      <c r="Z57" s="523"/>
    </row>
    <row r="58" spans="2:26" s="21" customFormat="1" ht="13.5" x14ac:dyDescent="0.3">
      <c r="B58" s="277"/>
      <c r="C58" s="277"/>
      <c r="D58" s="283" t="s">
        <v>3485</v>
      </c>
      <c r="E58" s="281">
        <f t="shared" si="69"/>
        <v>8.2184659049999986</v>
      </c>
      <c r="F58" s="281">
        <f t="shared" si="66"/>
        <v>13.559005686999999</v>
      </c>
      <c r="G58" s="281">
        <f t="shared" si="66"/>
        <v>26.390920588488406</v>
      </c>
      <c r="H58" s="281">
        <f t="shared" si="69"/>
        <v>28.461472459208547</v>
      </c>
      <c r="I58" s="281">
        <f t="shared" si="67"/>
        <v>32.440154232483778</v>
      </c>
      <c r="J58" s="281">
        <f t="shared" si="67"/>
        <v>32.83970959293616</v>
      </c>
      <c r="K58" s="281">
        <f t="shared" si="67"/>
        <v>33.256845389248447</v>
      </c>
      <c r="L58" s="282">
        <f t="shared" si="3"/>
        <v>0.19654942306172085</v>
      </c>
      <c r="M58" s="281"/>
      <c r="O58" s="597"/>
      <c r="P58" s="745" t="s">
        <v>71</v>
      </c>
      <c r="Q58" s="597"/>
      <c r="R58" s="799"/>
      <c r="S58" s="801"/>
      <c r="T58" s="801"/>
      <c r="U58" s="815">
        <f>+U45*$Y$58</f>
        <v>0.20535804770582919</v>
      </c>
      <c r="V58" s="774">
        <f t="shared" ref="V58:X58" si="71">+V45*$Y$58</f>
        <v>0.41071609541165838</v>
      </c>
      <c r="W58" s="774">
        <f t="shared" si="71"/>
        <v>0.61607414311748754</v>
      </c>
      <c r="X58" s="786">
        <f t="shared" si="71"/>
        <v>0.82143219082331675</v>
      </c>
      <c r="Y58" s="610">
        <f>G81/G4</f>
        <v>2.5669755963228648E-3</v>
      </c>
      <c r="Z58" s="745"/>
    </row>
    <row r="59" spans="2:26" s="21" customFormat="1" ht="13.5" x14ac:dyDescent="0.3">
      <c r="B59" s="277"/>
      <c r="C59" s="284"/>
      <c r="D59" s="285" t="s">
        <v>3312</v>
      </c>
      <c r="E59" s="286">
        <f t="shared" si="69"/>
        <v>0</v>
      </c>
      <c r="F59" s="286">
        <f t="shared" si="66"/>
        <v>0</v>
      </c>
      <c r="G59" s="286">
        <f t="shared" si="66"/>
        <v>0</v>
      </c>
      <c r="H59" s="286">
        <f t="shared" si="69"/>
        <v>16.5</v>
      </c>
      <c r="I59" s="286">
        <f t="shared" si="67"/>
        <v>33</v>
      </c>
      <c r="J59" s="286">
        <f t="shared" si="67"/>
        <v>49.5</v>
      </c>
      <c r="K59" s="286">
        <f t="shared" si="67"/>
        <v>66</v>
      </c>
      <c r="L59" s="287">
        <f t="shared" si="3"/>
        <v>0</v>
      </c>
      <c r="M59" s="286"/>
      <c r="U59" s="320">
        <f>U45-(U46*U50)-(U47*U51)-(U48*U52)-U53</f>
        <v>21.746434760918596</v>
      </c>
      <c r="V59" s="320">
        <f t="shared" ref="V59:X59" si="72">V45-(V46*V50)-(V47*V51)-(V48*V52)-V53</f>
        <v>43.492869521837193</v>
      </c>
      <c r="W59" s="320">
        <f t="shared" si="72"/>
        <v>79.379932293781991</v>
      </c>
      <c r="X59" s="320">
        <f t="shared" si="72"/>
        <v>114.91347936545114</v>
      </c>
    </row>
    <row r="60" spans="2:26" s="21" customFormat="1" ht="13.5" x14ac:dyDescent="0.3">
      <c r="B60" s="277"/>
      <c r="C60" s="269" t="s">
        <v>80</v>
      </c>
      <c r="D60" s="270"/>
      <c r="E60" s="271">
        <f>SUM(E61:E67)</f>
        <v>38.851961239999973</v>
      </c>
      <c r="F60" s="271">
        <f t="shared" ref="F60:K60" si="73">SUM(F61:F67)</f>
        <v>58.809753017604478</v>
      </c>
      <c r="G60" s="271">
        <f t="shared" si="73"/>
        <v>94.981911686262293</v>
      </c>
      <c r="H60" s="271">
        <f t="shared" si="73"/>
        <v>108.76985637198374</v>
      </c>
      <c r="I60" s="271">
        <f t="shared" si="73"/>
        <v>163.57764551345258</v>
      </c>
      <c r="J60" s="271">
        <f t="shared" si="73"/>
        <v>210.26418350214033</v>
      </c>
      <c r="K60" s="271">
        <f t="shared" si="73"/>
        <v>257.04828672011843</v>
      </c>
      <c r="L60" s="272">
        <f t="shared" si="3"/>
        <v>0.34311460491025447</v>
      </c>
      <c r="M60" s="271"/>
      <c r="O60" s="341" t="s">
        <v>3541</v>
      </c>
    </row>
    <row r="61" spans="2:26" s="21" customFormat="1" ht="13.5" x14ac:dyDescent="0.3">
      <c r="B61" s="277"/>
      <c r="C61" s="277"/>
      <c r="D61" s="278" t="s">
        <v>3473</v>
      </c>
      <c r="E61" s="275">
        <f t="shared" ref="E61:K67" si="74">E13-E37</f>
        <v>17.412307303767051</v>
      </c>
      <c r="F61" s="275">
        <f t="shared" si="74"/>
        <v>14.587408795571037</v>
      </c>
      <c r="G61" s="275">
        <f t="shared" si="74"/>
        <v>2.8590876414857576</v>
      </c>
      <c r="H61" s="275">
        <f t="shared" si="74"/>
        <v>0</v>
      </c>
      <c r="I61" s="275">
        <f t="shared" si="74"/>
        <v>0</v>
      </c>
      <c r="J61" s="275">
        <f t="shared" si="74"/>
        <v>0</v>
      </c>
      <c r="K61" s="275">
        <f t="shared" si="74"/>
        <v>0</v>
      </c>
      <c r="L61" s="276">
        <f t="shared" si="3"/>
        <v>-1</v>
      </c>
      <c r="M61" s="275"/>
      <c r="O61" s="723" t="s">
        <v>161</v>
      </c>
      <c r="P61" s="723"/>
      <c r="Q61" s="723"/>
      <c r="R61" s="816"/>
      <c r="S61" s="817"/>
      <c r="T61" s="817"/>
      <c r="U61" s="818">
        <v>20</v>
      </c>
      <c r="V61" s="819">
        <f>U61+10</f>
        <v>30</v>
      </c>
      <c r="W61" s="723">
        <f t="shared" ref="W61:X61" si="75">V61+10</f>
        <v>40</v>
      </c>
      <c r="X61" s="820">
        <f t="shared" si="75"/>
        <v>50</v>
      </c>
      <c r="Y61" s="819"/>
      <c r="Z61" s="821"/>
    </row>
    <row r="62" spans="2:26" s="21" customFormat="1" ht="13.5" x14ac:dyDescent="0.3">
      <c r="B62" s="277"/>
      <c r="C62" s="277"/>
      <c r="D62" s="294" t="s">
        <v>3476</v>
      </c>
      <c r="E62" s="295">
        <f t="shared" si="74"/>
        <v>1.4344420712371644</v>
      </c>
      <c r="F62" s="295">
        <f t="shared" si="74"/>
        <v>0</v>
      </c>
      <c r="G62" s="295">
        <f t="shared" si="74"/>
        <v>0</v>
      </c>
      <c r="H62" s="295">
        <f t="shared" si="74"/>
        <v>0</v>
      </c>
      <c r="I62" s="295">
        <f t="shared" si="74"/>
        <v>0</v>
      </c>
      <c r="J62" s="295">
        <f t="shared" si="74"/>
        <v>0</v>
      </c>
      <c r="K62" s="295">
        <f t="shared" si="74"/>
        <v>0</v>
      </c>
      <c r="L62" s="296">
        <f t="shared" si="3"/>
        <v>0</v>
      </c>
      <c r="M62" s="295"/>
      <c r="O62" s="723" t="s">
        <v>45</v>
      </c>
      <c r="P62" s="723"/>
      <c r="Q62" s="723"/>
      <c r="R62" s="816"/>
      <c r="S62" s="817"/>
      <c r="T62" s="822"/>
      <c r="U62" s="823">
        <v>0.85</v>
      </c>
      <c r="V62" s="824">
        <f>+U62*(1+$Y62)</f>
        <v>0.85</v>
      </c>
      <c r="W62" s="824">
        <f>+V62*(1+$Y62)</f>
        <v>0.85</v>
      </c>
      <c r="X62" s="825">
        <f>+W62*(1+$Y62)</f>
        <v>0.85</v>
      </c>
      <c r="Y62" s="826"/>
      <c r="Z62" s="821"/>
    </row>
    <row r="63" spans="2:26" s="21" customFormat="1" ht="13.5" x14ac:dyDescent="0.3">
      <c r="B63" s="277"/>
      <c r="C63" s="277"/>
      <c r="D63" s="283" t="s">
        <v>3477</v>
      </c>
      <c r="E63" s="281">
        <f t="shared" si="74"/>
        <v>4.041591470808271</v>
      </c>
      <c r="F63" s="281">
        <f t="shared" si="74"/>
        <v>3.7250928073887195</v>
      </c>
      <c r="G63" s="281">
        <f t="shared" si="74"/>
        <v>3.5277802847378723</v>
      </c>
      <c r="H63" s="281">
        <f t="shared" si="74"/>
        <v>3.532675979826891</v>
      </c>
      <c r="I63" s="281">
        <f t="shared" si="74"/>
        <v>3.5311727134525057</v>
      </c>
      <c r="J63" s="281">
        <f t="shared" si="74"/>
        <v>3.5226978989402085</v>
      </c>
      <c r="K63" s="281">
        <f t="shared" si="74"/>
        <v>3.5066409503776015</v>
      </c>
      <c r="L63" s="282">
        <f t="shared" si="3"/>
        <v>-1.2013886244979455E-2</v>
      </c>
      <c r="M63" s="281"/>
    </row>
    <row r="64" spans="2:26" s="21" customFormat="1" ht="13.5" x14ac:dyDescent="0.3">
      <c r="B64" s="277"/>
      <c r="C64" s="277"/>
      <c r="D64" s="283" t="s">
        <v>3480</v>
      </c>
      <c r="E64" s="281">
        <f t="shared" si="74"/>
        <v>0</v>
      </c>
      <c r="F64" s="281">
        <f t="shared" si="74"/>
        <v>0</v>
      </c>
      <c r="G64" s="281">
        <f t="shared" si="74"/>
        <v>0</v>
      </c>
      <c r="H64" s="281">
        <f t="shared" si="74"/>
        <v>1.1333333333333329</v>
      </c>
      <c r="I64" s="281">
        <f t="shared" si="74"/>
        <v>7.1280000000000001</v>
      </c>
      <c r="J64" s="281">
        <f t="shared" si="74"/>
        <v>7.8408000000000015</v>
      </c>
      <c r="K64" s="281">
        <f t="shared" si="74"/>
        <v>8.6248800000000045</v>
      </c>
      <c r="L64" s="282">
        <f t="shared" si="3"/>
        <v>0</v>
      </c>
      <c r="M64" s="281"/>
    </row>
    <row r="65" spans="2:38" s="21" customFormat="1" ht="13.5" x14ac:dyDescent="0.3">
      <c r="B65" s="277"/>
      <c r="C65" s="277"/>
      <c r="D65" s="283" t="s">
        <v>3483</v>
      </c>
      <c r="E65" s="281">
        <f t="shared" si="74"/>
        <v>15.963620394187487</v>
      </c>
      <c r="F65" s="281">
        <f t="shared" si="74"/>
        <v>40.497251414644722</v>
      </c>
      <c r="G65" s="281">
        <f t="shared" si="74"/>
        <v>88.595043760038664</v>
      </c>
      <c r="H65" s="281">
        <f t="shared" si="74"/>
        <v>79.203847058823499</v>
      </c>
      <c r="I65" s="281">
        <f t="shared" si="74"/>
        <v>103.11847280000006</v>
      </c>
      <c r="J65" s="281">
        <f t="shared" si="74"/>
        <v>124.2006856032001</v>
      </c>
      <c r="K65" s="281">
        <f t="shared" si="74"/>
        <v>145.31676576974087</v>
      </c>
      <c r="L65" s="282">
        <f t="shared" si="3"/>
        <v>0.2911539703186603</v>
      </c>
      <c r="M65" s="281"/>
    </row>
    <row r="66" spans="2:38" s="21" customFormat="1" ht="13.5" x14ac:dyDescent="0.3">
      <c r="B66" s="277"/>
      <c r="C66" s="277"/>
      <c r="D66" s="283" t="s">
        <v>3312</v>
      </c>
      <c r="E66" s="281">
        <f t="shared" si="74"/>
        <v>0</v>
      </c>
      <c r="F66" s="281">
        <f t="shared" si="74"/>
        <v>0</v>
      </c>
      <c r="G66" s="281">
        <f t="shared" si="74"/>
        <v>0</v>
      </c>
      <c r="H66" s="281">
        <f t="shared" si="74"/>
        <v>24.9</v>
      </c>
      <c r="I66" s="281">
        <f t="shared" si="74"/>
        <v>49.8</v>
      </c>
      <c r="J66" s="281">
        <f t="shared" si="74"/>
        <v>74.7</v>
      </c>
      <c r="K66" s="281">
        <f t="shared" si="74"/>
        <v>99.6</v>
      </c>
      <c r="L66" s="282">
        <f t="shared" si="3"/>
        <v>0</v>
      </c>
      <c r="M66" s="281"/>
    </row>
    <row r="67" spans="2:38" s="21" customFormat="1" ht="13.5" x14ac:dyDescent="0.3">
      <c r="B67" s="277"/>
      <c r="C67" s="284"/>
      <c r="D67" s="285" t="s">
        <v>3495</v>
      </c>
      <c r="E67" s="286">
        <f t="shared" si="74"/>
        <v>0</v>
      </c>
      <c r="F67" s="286">
        <f t="shared" si="74"/>
        <v>0</v>
      </c>
      <c r="G67" s="286">
        <f t="shared" si="74"/>
        <v>0</v>
      </c>
      <c r="H67" s="286">
        <f t="shared" si="74"/>
        <v>0</v>
      </c>
      <c r="I67" s="286">
        <f t="shared" si="74"/>
        <v>0</v>
      </c>
      <c r="J67" s="286">
        <f t="shared" si="74"/>
        <v>0</v>
      </c>
      <c r="K67" s="286">
        <f t="shared" si="74"/>
        <v>0</v>
      </c>
      <c r="L67" s="287">
        <f t="shared" si="3"/>
        <v>0</v>
      </c>
      <c r="M67" s="286"/>
    </row>
    <row r="68" spans="2:38" s="21" customFormat="1" ht="13.5" x14ac:dyDescent="0.3">
      <c r="B68" s="277"/>
      <c r="C68" s="269" t="s">
        <v>83</v>
      </c>
      <c r="D68" s="270"/>
      <c r="E68" s="271">
        <f>SUM(E69:E71)</f>
        <v>5.9719369614836921</v>
      </c>
      <c r="F68" s="271">
        <f t="shared" ref="F68:K68" si="76">SUM(F69:F71)</f>
        <v>37.978882330000026</v>
      </c>
      <c r="G68" s="271">
        <f t="shared" si="76"/>
        <v>18.379999999999995</v>
      </c>
      <c r="H68" s="271">
        <f t="shared" si="76"/>
        <v>8.144460654833356</v>
      </c>
      <c r="I68" s="271">
        <f t="shared" si="76"/>
        <v>19.818187593427833</v>
      </c>
      <c r="J68" s="271">
        <f t="shared" si="76"/>
        <v>27.148202182777851</v>
      </c>
      <c r="K68" s="271">
        <f t="shared" si="76"/>
        <v>29.863022401055638</v>
      </c>
      <c r="L68" s="272">
        <f t="shared" ref="L68:L82" si="77">IFERROR((K68/F68)^(1/5)-1,0)</f>
        <v>-4.6944227742347411E-2</v>
      </c>
      <c r="M68" s="271"/>
    </row>
    <row r="69" spans="2:38" s="21" customFormat="1" ht="13.5" x14ac:dyDescent="0.3">
      <c r="B69" s="277"/>
      <c r="C69" s="277"/>
      <c r="D69" s="278" t="s">
        <v>3499</v>
      </c>
      <c r="E69" s="275">
        <f t="shared" ref="E69:K71" si="78">E21-E45</f>
        <v>5.9719369614836921</v>
      </c>
      <c r="F69" s="275">
        <f t="shared" si="78"/>
        <v>20.851519948300023</v>
      </c>
      <c r="G69" s="275">
        <f t="shared" si="78"/>
        <v>-39.050000000000004</v>
      </c>
      <c r="H69" s="275">
        <f t="shared" si="78"/>
        <v>1.792623130300079</v>
      </c>
      <c r="I69" s="275">
        <f t="shared" si="78"/>
        <v>4.3620496170635228</v>
      </c>
      <c r="J69" s="275">
        <f t="shared" si="78"/>
        <v>5.9754104343335968</v>
      </c>
      <c r="K69" s="275">
        <f t="shared" si="78"/>
        <v>6.5729514777669564</v>
      </c>
      <c r="L69" s="276">
        <f t="shared" si="77"/>
        <v>-0.20617542109793496</v>
      </c>
      <c r="M69" s="275"/>
    </row>
    <row r="70" spans="2:38" s="21" customFormat="1" ht="13.5" x14ac:dyDescent="0.3">
      <c r="B70" s="277"/>
      <c r="C70" s="277"/>
      <c r="D70" s="283" t="s">
        <v>3500</v>
      </c>
      <c r="E70" s="281">
        <f t="shared" si="78"/>
        <v>0</v>
      </c>
      <c r="F70" s="281">
        <f t="shared" si="78"/>
        <v>17.127362381700003</v>
      </c>
      <c r="G70" s="281">
        <f t="shared" si="78"/>
        <v>57.43</v>
      </c>
      <c r="H70" s="281">
        <f t="shared" si="78"/>
        <v>6.351837524533277</v>
      </c>
      <c r="I70" s="281">
        <f t="shared" si="78"/>
        <v>15.45613797636431</v>
      </c>
      <c r="J70" s="281">
        <f t="shared" si="78"/>
        <v>21.172791748444254</v>
      </c>
      <c r="K70" s="281">
        <f t="shared" si="78"/>
        <v>23.290070923288681</v>
      </c>
      <c r="L70" s="282">
        <f t="shared" si="77"/>
        <v>6.3398552659464258E-2</v>
      </c>
      <c r="M70" s="281"/>
    </row>
    <row r="71" spans="2:38" s="21" customFormat="1" ht="13.5" x14ac:dyDescent="0.3">
      <c r="B71" s="277"/>
      <c r="C71" s="284"/>
      <c r="D71" s="285" t="s">
        <v>3312</v>
      </c>
      <c r="E71" s="286">
        <f t="shared" si="78"/>
        <v>0</v>
      </c>
      <c r="F71" s="286">
        <f t="shared" si="78"/>
        <v>0</v>
      </c>
      <c r="G71" s="286">
        <f t="shared" si="78"/>
        <v>0</v>
      </c>
      <c r="H71" s="286">
        <f t="shared" si="78"/>
        <v>0</v>
      </c>
      <c r="I71" s="286">
        <f t="shared" si="78"/>
        <v>0</v>
      </c>
      <c r="J71" s="286">
        <f t="shared" si="78"/>
        <v>0</v>
      </c>
      <c r="K71" s="286">
        <f t="shared" si="78"/>
        <v>0</v>
      </c>
      <c r="L71" s="287">
        <f t="shared" si="77"/>
        <v>0</v>
      </c>
      <c r="M71" s="286"/>
    </row>
    <row r="72" spans="2:38" s="21" customFormat="1" ht="13.5" x14ac:dyDescent="0.3">
      <c r="B72" s="277"/>
      <c r="C72" s="269" t="s">
        <v>3312</v>
      </c>
      <c r="D72" s="270"/>
      <c r="E72" s="271">
        <f>SUM(E73:E75)</f>
        <v>0</v>
      </c>
      <c r="F72" s="271">
        <f t="shared" ref="F72:K72" si="79">SUM(F73:F75)</f>
        <v>0</v>
      </c>
      <c r="G72" s="271">
        <f t="shared" si="79"/>
        <v>3</v>
      </c>
      <c r="H72" s="271">
        <f t="shared" si="79"/>
        <v>7</v>
      </c>
      <c r="I72" s="271">
        <f t="shared" si="79"/>
        <v>12.5</v>
      </c>
      <c r="J72" s="271">
        <f t="shared" si="79"/>
        <v>18</v>
      </c>
      <c r="K72" s="271">
        <f t="shared" si="79"/>
        <v>23.5</v>
      </c>
      <c r="L72" s="272">
        <f t="shared" si="77"/>
        <v>0</v>
      </c>
      <c r="M72" s="271"/>
    </row>
    <row r="73" spans="2:38" s="21" customFormat="1" ht="13.5" x14ac:dyDescent="0.3">
      <c r="B73" s="277"/>
      <c r="C73" s="277"/>
      <c r="D73" s="278" t="s">
        <v>3317</v>
      </c>
      <c r="E73" s="275">
        <f t="shared" ref="E73:K75" si="80">E25-E49</f>
        <v>0</v>
      </c>
      <c r="F73" s="275">
        <f t="shared" si="80"/>
        <v>0</v>
      </c>
      <c r="G73" s="275">
        <f t="shared" si="80"/>
        <v>3</v>
      </c>
      <c r="H73" s="275">
        <f t="shared" si="80"/>
        <v>3</v>
      </c>
      <c r="I73" s="275">
        <f t="shared" si="80"/>
        <v>4.5</v>
      </c>
      <c r="J73" s="275">
        <f t="shared" si="80"/>
        <v>6</v>
      </c>
      <c r="K73" s="275">
        <f t="shared" si="80"/>
        <v>7.5</v>
      </c>
      <c r="L73" s="276">
        <f t="shared" si="77"/>
        <v>0</v>
      </c>
      <c r="M73" s="275"/>
    </row>
    <row r="74" spans="2:38" s="21" customFormat="1" ht="13.5" x14ac:dyDescent="0.3">
      <c r="B74" s="277"/>
      <c r="C74" s="277"/>
      <c r="D74" s="283" t="s">
        <v>3318</v>
      </c>
      <c r="E74" s="281">
        <f t="shared" si="80"/>
        <v>0</v>
      </c>
      <c r="F74" s="281">
        <f t="shared" si="80"/>
        <v>0</v>
      </c>
      <c r="G74" s="281">
        <f t="shared" si="80"/>
        <v>0</v>
      </c>
      <c r="H74" s="281">
        <f t="shared" si="80"/>
        <v>4</v>
      </c>
      <c r="I74" s="281">
        <f t="shared" si="80"/>
        <v>8</v>
      </c>
      <c r="J74" s="281">
        <f t="shared" si="80"/>
        <v>12</v>
      </c>
      <c r="K74" s="281">
        <f t="shared" si="80"/>
        <v>16</v>
      </c>
      <c r="L74" s="282">
        <f t="shared" si="77"/>
        <v>0</v>
      </c>
      <c r="M74" s="281"/>
    </row>
    <row r="75" spans="2:38" s="21" customFormat="1" ht="13.5" x14ac:dyDescent="0.3">
      <c r="B75" s="284"/>
      <c r="C75" s="284"/>
      <c r="D75" s="285" t="s">
        <v>3509</v>
      </c>
      <c r="E75" s="286">
        <f t="shared" si="80"/>
        <v>0</v>
      </c>
      <c r="F75" s="286">
        <f t="shared" si="80"/>
        <v>0</v>
      </c>
      <c r="G75" s="286">
        <f t="shared" si="80"/>
        <v>0</v>
      </c>
      <c r="H75" s="286">
        <f t="shared" si="80"/>
        <v>0</v>
      </c>
      <c r="I75" s="286">
        <f t="shared" si="80"/>
        <v>0</v>
      </c>
      <c r="J75" s="286">
        <f t="shared" si="80"/>
        <v>0</v>
      </c>
      <c r="K75" s="286">
        <f t="shared" si="80"/>
        <v>0</v>
      </c>
      <c r="L75" s="287">
        <f t="shared" si="77"/>
        <v>0</v>
      </c>
      <c r="M75" s="286"/>
      <c r="P75" s="827"/>
    </row>
    <row r="76" spans="2:38" s="21" customFormat="1" x14ac:dyDescent="0.3">
      <c r="B76" s="262" t="s">
        <v>3325</v>
      </c>
      <c r="C76" s="263"/>
      <c r="D76" s="264"/>
      <c r="E76" s="265">
        <f>SUM(E77:E81)</f>
        <v>43.955170457404094</v>
      </c>
      <c r="F76" s="265">
        <f>SUM(F77:F81)</f>
        <v>62.997858316140402</v>
      </c>
      <c r="G76" s="265">
        <f t="shared" ref="G76:K76" si="81">SUM(G77:G81)</f>
        <v>60.032185956338253</v>
      </c>
      <c r="H76" s="265">
        <f t="shared" si="81"/>
        <v>80.326621321369757</v>
      </c>
      <c r="I76" s="265">
        <f t="shared" si="81"/>
        <v>111.85910483188258</v>
      </c>
      <c r="J76" s="265">
        <f t="shared" si="81"/>
        <v>130.00998024102077</v>
      </c>
      <c r="K76" s="265">
        <f t="shared" si="81"/>
        <v>146.55215025582248</v>
      </c>
      <c r="L76" s="266">
        <f t="shared" si="77"/>
        <v>0.18394978204003776</v>
      </c>
      <c r="M76" s="265"/>
      <c r="P76" s="828"/>
      <c r="Q76"/>
      <c r="R76"/>
      <c r="S76"/>
      <c r="T76"/>
      <c r="U76"/>
      <c r="V76"/>
      <c r="W76"/>
      <c r="X76"/>
      <c r="Y76"/>
      <c r="Z76"/>
    </row>
    <row r="77" spans="2:38" s="21" customFormat="1" x14ac:dyDescent="0.3">
      <c r="B77" s="301"/>
      <c r="C77" s="302" t="s">
        <v>3326</v>
      </c>
      <c r="D77" s="303"/>
      <c r="E77" s="304">
        <v>12.25637846845</v>
      </c>
      <c r="F77" s="304">
        <v>17.908343009938278</v>
      </c>
      <c r="G77" s="304">
        <v>20.77171495</v>
      </c>
      <c r="H77" s="304">
        <f t="shared" ref="H77:K80" si="82">+U35+U54</f>
        <v>38.130933872500002</v>
      </c>
      <c r="I77" s="304">
        <f t="shared" si="82"/>
        <v>55.542082082375003</v>
      </c>
      <c r="J77" s="304">
        <f t="shared" si="82"/>
        <v>59.951249503993758</v>
      </c>
      <c r="K77" s="304">
        <f t="shared" si="82"/>
        <v>64.744081628443453</v>
      </c>
      <c r="L77" s="305">
        <f t="shared" si="77"/>
        <v>0.29309053898591331</v>
      </c>
      <c r="M77" s="304" t="s">
        <v>3542</v>
      </c>
      <c r="Q77"/>
      <c r="R77"/>
      <c r="S77"/>
      <c r="T77"/>
      <c r="U77"/>
      <c r="V77"/>
      <c r="W77"/>
      <c r="X77"/>
      <c r="Y77"/>
      <c r="Z77"/>
    </row>
    <row r="78" spans="2:38" s="21" customFormat="1" x14ac:dyDescent="0.3">
      <c r="B78" s="301"/>
      <c r="C78" s="306" t="s">
        <v>1988</v>
      </c>
      <c r="D78" s="307"/>
      <c r="E78" s="308">
        <v>22.604187511481239</v>
      </c>
      <c r="F78" s="308">
        <v>21.542249746202124</v>
      </c>
      <c r="G78" s="308">
        <v>8.8630627100000012</v>
      </c>
      <c r="H78" s="308">
        <f t="shared" si="82"/>
        <v>10.484106430082756</v>
      </c>
      <c r="I78" s="308">
        <f t="shared" si="82"/>
        <v>12.11312690660451</v>
      </c>
      <c r="J78" s="308">
        <f t="shared" si="82"/>
        <v>12.666241971232232</v>
      </c>
      <c r="K78" s="308">
        <f t="shared" si="82"/>
        <v>13.254922613541744</v>
      </c>
      <c r="L78" s="309">
        <f t="shared" si="77"/>
        <v>-9.256144395725463E-2</v>
      </c>
      <c r="M78" s="308"/>
      <c r="Q78"/>
      <c r="R78"/>
      <c r="S78"/>
      <c r="T78"/>
      <c r="U78"/>
      <c r="V78"/>
      <c r="W78"/>
      <c r="X78"/>
      <c r="Y78"/>
      <c r="Z78"/>
    </row>
    <row r="79" spans="2:38" s="21" customFormat="1" x14ac:dyDescent="0.3">
      <c r="B79" s="301"/>
      <c r="C79" s="306" t="s">
        <v>3327</v>
      </c>
      <c r="D79" s="307"/>
      <c r="E79" s="308">
        <v>1.8522054600000002</v>
      </c>
      <c r="F79" s="308">
        <v>2.3776966499999999</v>
      </c>
      <c r="G79" s="308">
        <v>5</v>
      </c>
      <c r="H79" s="308">
        <f t="shared" si="82"/>
        <v>7.2192907309689875</v>
      </c>
      <c r="I79" s="308">
        <f t="shared" si="82"/>
        <v>9.4415639613636859</v>
      </c>
      <c r="J79" s="308">
        <f t="shared" si="82"/>
        <v>13.754952454046247</v>
      </c>
      <c r="K79" s="308">
        <f t="shared" si="82"/>
        <v>17.513450838243706</v>
      </c>
      <c r="L79" s="309">
        <f t="shared" si="77"/>
        <v>0.49088126183336178</v>
      </c>
      <c r="M79" s="308" t="s">
        <v>3543</v>
      </c>
      <c r="P79" s="322"/>
      <c r="Q79"/>
      <c r="R79"/>
      <c r="S79"/>
      <c r="T79"/>
      <c r="U79"/>
      <c r="V79"/>
      <c r="W79"/>
      <c r="X79"/>
      <c r="Y79"/>
      <c r="Z79"/>
    </row>
    <row r="80" spans="2:38" s="21" customFormat="1" x14ac:dyDescent="0.3">
      <c r="B80" s="301"/>
      <c r="C80" s="306" t="s">
        <v>1995</v>
      </c>
      <c r="D80" s="307"/>
      <c r="E80" s="308">
        <v>7.0058720899999996</v>
      </c>
      <c r="F80" s="308">
        <v>20.027335239999999</v>
      </c>
      <c r="G80" s="308">
        <v>23.499748296338254</v>
      </c>
      <c r="H80" s="308">
        <f t="shared" si="82"/>
        <v>22.332342440112189</v>
      </c>
      <c r="I80" s="308">
        <f t="shared" si="82"/>
        <v>32.338388292127711</v>
      </c>
      <c r="J80" s="308">
        <f t="shared" si="82"/>
        <v>40.947837849811044</v>
      </c>
      <c r="K80" s="308">
        <f t="shared" si="82"/>
        <v>48.082429936385665</v>
      </c>
      <c r="L80" s="309">
        <f t="shared" si="77"/>
        <v>0.19144129343506888</v>
      </c>
      <c r="M80" s="308"/>
      <c r="P80"/>
      <c r="Q80"/>
      <c r="R80"/>
      <c r="S80"/>
      <c r="T80"/>
      <c r="U80"/>
      <c r="V80"/>
      <c r="W80"/>
      <c r="X80"/>
      <c r="Y80"/>
      <c r="Z80"/>
      <c r="AD80" s="358"/>
      <c r="AK80"/>
      <c r="AL80"/>
    </row>
    <row r="81" spans="2:36" x14ac:dyDescent="0.3">
      <c r="B81" s="310"/>
      <c r="C81" s="311" t="s">
        <v>71</v>
      </c>
      <c r="D81" s="312"/>
      <c r="E81" s="313">
        <v>0.23652692747285631</v>
      </c>
      <c r="F81" s="313">
        <v>1.1422336700000013</v>
      </c>
      <c r="G81" s="313">
        <v>1.8976599999999999</v>
      </c>
      <c r="H81" s="313">
        <f>+U42+U58</f>
        <v>2.1599478477058289</v>
      </c>
      <c r="I81" s="313">
        <f>+V42+V58</f>
        <v>2.4239435894116586</v>
      </c>
      <c r="J81" s="313">
        <f>+W42+W58</f>
        <v>2.6896984619374877</v>
      </c>
      <c r="K81" s="313">
        <f>+X42+X58</f>
        <v>2.9572652392079171</v>
      </c>
      <c r="L81" s="314">
        <f t="shared" si="77"/>
        <v>0.20955901905172447</v>
      </c>
      <c r="M81" s="313"/>
      <c r="N81" s="21"/>
      <c r="O81" s="21"/>
      <c r="AB81" s="21"/>
      <c r="AC81" s="21"/>
      <c r="AD81" s="358"/>
      <c r="AE81" s="21"/>
      <c r="AF81" s="21"/>
      <c r="AG81" s="21"/>
      <c r="AH81" s="21"/>
      <c r="AI81" s="21"/>
      <c r="AJ81" s="21"/>
    </row>
    <row r="82" spans="2:36" x14ac:dyDescent="0.3">
      <c r="B82" s="331" t="s">
        <v>3449</v>
      </c>
      <c r="C82" s="331"/>
      <c r="D82" s="331"/>
      <c r="E82" s="265">
        <f>E52-E76</f>
        <v>91.309178274079571</v>
      </c>
      <c r="F82" s="265">
        <f>F52-F76</f>
        <v>119.60876141146414</v>
      </c>
      <c r="G82" s="265">
        <f t="shared" ref="G82:K82" si="83">G52-G76</f>
        <v>99.919531784346987</v>
      </c>
      <c r="H82" s="265">
        <f t="shared" si="83"/>
        <v>101.42636516616936</v>
      </c>
      <c r="I82" s="265">
        <f t="shared" si="83"/>
        <v>175.34666940422915</v>
      </c>
      <c r="J82" s="265">
        <f t="shared" si="83"/>
        <v>239.53441924084305</v>
      </c>
      <c r="K82" s="265">
        <f t="shared" si="83"/>
        <v>302.29860910266143</v>
      </c>
      <c r="L82" s="266">
        <f t="shared" si="77"/>
        <v>0.20374537406792492</v>
      </c>
      <c r="M82" s="265"/>
      <c r="N82" s="21"/>
      <c r="O82" s="21"/>
      <c r="AB82" s="21"/>
      <c r="AC82" s="21"/>
      <c r="AD82" s="358"/>
      <c r="AE82" s="21"/>
      <c r="AF82" s="21"/>
      <c r="AG82" s="21"/>
      <c r="AH82" s="21"/>
      <c r="AI82" s="21"/>
      <c r="AJ82" s="21"/>
    </row>
    <row r="83" spans="2:36" x14ac:dyDescent="0.3">
      <c r="F83" s="829"/>
      <c r="AD83" s="21"/>
    </row>
    <row r="85" spans="2:36" x14ac:dyDescent="0.3">
      <c r="F85" s="323"/>
      <c r="G85" s="323">
        <f>G12-G18</f>
        <v>571.79443763274958</v>
      </c>
      <c r="H85" s="323">
        <f t="shared" ref="H85:K85" si="84">H12-H18</f>
        <v>723.48138976955647</v>
      </c>
      <c r="I85" s="323">
        <f t="shared" si="84"/>
        <v>1052.1794918644659</v>
      </c>
      <c r="J85" s="323">
        <f t="shared" si="84"/>
        <v>1337.6381110640159</v>
      </c>
      <c r="K85" s="323">
        <f t="shared" si="84"/>
        <v>1624.208478326048</v>
      </c>
    </row>
    <row r="86" spans="2:36" x14ac:dyDescent="0.3">
      <c r="F86" s="323"/>
      <c r="G86" s="323">
        <f>G36-G42</f>
        <v>476.81252594648731</v>
      </c>
      <c r="H86" s="323">
        <f t="shared" ref="H86:K86" si="85">H36-H42</f>
        <v>639.61153339757277</v>
      </c>
      <c r="I86" s="323">
        <f t="shared" si="85"/>
        <v>938.40184635101343</v>
      </c>
      <c r="J86" s="323">
        <f t="shared" si="85"/>
        <v>1202.0739275618755</v>
      </c>
      <c r="K86" s="323">
        <f t="shared" si="85"/>
        <v>1466.7601916059295</v>
      </c>
    </row>
    <row r="87" spans="2:36" x14ac:dyDescent="0.3">
      <c r="F87" s="323"/>
      <c r="G87" s="323"/>
      <c r="H87" s="323"/>
      <c r="I87" s="323"/>
      <c r="J87" s="323"/>
    </row>
    <row r="88" spans="2:36" x14ac:dyDescent="0.3">
      <c r="F88" s="323"/>
      <c r="G88" s="325">
        <f>G86/G85</f>
        <v>0.83388801038448201</v>
      </c>
      <c r="H88" s="325">
        <f t="shared" ref="H88:K88" si="86">H86/H85</f>
        <v>0.88407461814781729</v>
      </c>
      <c r="I88" s="325">
        <f t="shared" si="86"/>
        <v>0.89186479455911261</v>
      </c>
      <c r="J88" s="325">
        <f t="shared" si="86"/>
        <v>0.89865406616270327</v>
      </c>
      <c r="K88" s="325">
        <f t="shared" si="86"/>
        <v>0.90306152884856949</v>
      </c>
    </row>
    <row r="89" spans="2:36" x14ac:dyDescent="0.3">
      <c r="F89" s="323"/>
      <c r="G89" s="323"/>
      <c r="H89" s="323"/>
      <c r="I89" s="323"/>
      <c r="J89" s="323"/>
    </row>
    <row r="90" spans="2:36" x14ac:dyDescent="0.3">
      <c r="F90" s="323"/>
      <c r="G90" s="323"/>
      <c r="H90" s="323"/>
      <c r="I90" s="323"/>
      <c r="J90" s="323"/>
    </row>
    <row r="91" spans="2:36" x14ac:dyDescent="0.3">
      <c r="F91" s="323"/>
      <c r="G91" s="1408">
        <f>IFERROR(G37/G13,0)</f>
        <v>0.97099999999999964</v>
      </c>
      <c r="H91" s="1408">
        <f t="shared" ref="H91:K91" si="87">IFERROR(H37/H13,0)</f>
        <v>0</v>
      </c>
      <c r="I91" s="1408">
        <f t="shared" si="87"/>
        <v>0</v>
      </c>
      <c r="J91" s="1408">
        <f t="shared" si="87"/>
        <v>0</v>
      </c>
      <c r="K91" s="1408">
        <f t="shared" si="87"/>
        <v>0</v>
      </c>
    </row>
    <row r="92" spans="2:36" x14ac:dyDescent="0.3">
      <c r="F92" s="323"/>
      <c r="G92" s="1408">
        <f t="shared" ref="G92:K97" si="88">IFERROR(G38/G14,0)</f>
        <v>0</v>
      </c>
      <c r="H92" s="1408">
        <f t="shared" si="88"/>
        <v>0</v>
      </c>
      <c r="I92" s="1408">
        <f t="shared" si="88"/>
        <v>0</v>
      </c>
      <c r="J92" s="1408">
        <f t="shared" si="88"/>
        <v>0</v>
      </c>
      <c r="K92" s="1408">
        <f t="shared" si="88"/>
        <v>0</v>
      </c>
    </row>
    <row r="93" spans="2:36" x14ac:dyDescent="0.3">
      <c r="F93" s="323"/>
      <c r="G93" s="1408">
        <f t="shared" si="88"/>
        <v>0.95100000000000007</v>
      </c>
      <c r="H93" s="1408">
        <f t="shared" si="88"/>
        <v>0.95300000000000018</v>
      </c>
      <c r="I93" s="1408">
        <f t="shared" si="88"/>
        <v>0.95499999999999996</v>
      </c>
      <c r="J93" s="1408">
        <f t="shared" si="88"/>
        <v>0.95700000000000018</v>
      </c>
      <c r="K93" s="1408">
        <f t="shared" si="88"/>
        <v>0.95900000000000007</v>
      </c>
    </row>
    <row r="94" spans="2:36" x14ac:dyDescent="0.3">
      <c r="F94" s="323"/>
      <c r="G94" s="1408">
        <f t="shared" si="88"/>
        <v>0</v>
      </c>
      <c r="H94" s="1408">
        <f t="shared" si="88"/>
        <v>0.92</v>
      </c>
      <c r="I94" s="1408">
        <f t="shared" si="88"/>
        <v>0.92</v>
      </c>
      <c r="J94" s="1408">
        <f t="shared" si="88"/>
        <v>0.92</v>
      </c>
      <c r="K94" s="1408">
        <f t="shared" si="88"/>
        <v>0.91999999999999993</v>
      </c>
    </row>
    <row r="95" spans="2:36" x14ac:dyDescent="0.3">
      <c r="G95" s="1409">
        <f t="shared" si="88"/>
        <v>0.81616765128683133</v>
      </c>
      <c r="H95" s="1409">
        <f t="shared" si="88"/>
        <v>0.89304374889188409</v>
      </c>
      <c r="I95" s="1409">
        <f t="shared" si="88"/>
        <v>0.90100213056708245</v>
      </c>
      <c r="J95" s="1409">
        <f t="shared" si="88"/>
        <v>0.90862588342054662</v>
      </c>
      <c r="K95" s="1409">
        <f t="shared" si="88"/>
        <v>0.91335296298473545</v>
      </c>
    </row>
    <row r="96" spans="2:36" x14ac:dyDescent="0.3">
      <c r="G96" s="1408">
        <f t="shared" si="88"/>
        <v>0</v>
      </c>
      <c r="H96" s="1408">
        <f t="shared" si="88"/>
        <v>0.17</v>
      </c>
      <c r="I96" s="1408">
        <f t="shared" si="88"/>
        <v>0.17</v>
      </c>
      <c r="J96" s="1408">
        <f t="shared" si="88"/>
        <v>0.17</v>
      </c>
      <c r="K96" s="1408">
        <f t="shared" si="88"/>
        <v>0.17</v>
      </c>
    </row>
    <row r="97" spans="7:11" x14ac:dyDescent="0.3">
      <c r="G97" s="1408">
        <f t="shared" si="88"/>
        <v>1</v>
      </c>
      <c r="H97" s="1408">
        <f t="shared" si="88"/>
        <v>1</v>
      </c>
      <c r="I97" s="1408">
        <f t="shared" si="88"/>
        <v>1</v>
      </c>
      <c r="J97" s="1408">
        <f t="shared" si="88"/>
        <v>1</v>
      </c>
      <c r="K97" s="1408">
        <f t="shared" si="88"/>
        <v>1</v>
      </c>
    </row>
  </sheetData>
  <mergeCells count="1">
    <mergeCell ref="B3:D3"/>
  </mergeCells>
  <phoneticPr fontId="2" type="noConversion"/>
  <pageMargins left="0.7" right="0.7" top="0.75" bottom="0.75" header="0.3" footer="0.3"/>
  <pageSetup paperSize="9" orientation="portrait"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C046F-ECBE-435F-9CD4-8A5126E31B13}">
  <sheetPr>
    <tabColor theme="1" tint="0.34998626667073579"/>
  </sheetPr>
  <dimension ref="A1:AD122"/>
  <sheetViews>
    <sheetView workbookViewId="0"/>
  </sheetViews>
  <sheetFormatPr defaultRowHeight="16.5" x14ac:dyDescent="0.3"/>
  <cols>
    <col min="1" max="3" width="2.625" customWidth="1"/>
    <col min="4" max="4" width="11" customWidth="1"/>
    <col min="5" max="12" width="9.625" customWidth="1"/>
    <col min="13" max="13" width="43.875" customWidth="1"/>
    <col min="15" max="15" width="4.5" customWidth="1"/>
    <col min="16" max="16" width="13.375" bestFit="1" customWidth="1"/>
    <col min="17" max="17" width="6.375" customWidth="1"/>
    <col min="18" max="18" width="17.125" customWidth="1"/>
    <col min="19" max="19" width="6.875" customWidth="1"/>
    <col min="20" max="20" width="5.25" customWidth="1"/>
    <col min="21" max="21" width="13.375" bestFit="1" customWidth="1"/>
    <col min="22" max="22" width="6.375" customWidth="1"/>
    <col min="23" max="23" width="15.75" customWidth="1"/>
    <col min="24" max="24" width="2.25" customWidth="1"/>
    <col min="25" max="25" width="4.5" customWidth="1"/>
    <col min="26" max="26" width="13.375" bestFit="1" customWidth="1"/>
    <col min="27" max="27" width="6.375" customWidth="1"/>
    <col min="28" max="28" width="18.75" bestFit="1" customWidth="1"/>
  </cols>
  <sheetData>
    <row r="1" spans="1:30" ht="17.25" thickBot="1" x14ac:dyDescent="0.35">
      <c r="A1" s="258" t="s">
        <v>3544</v>
      </c>
      <c r="B1" s="259"/>
      <c r="C1" s="259"/>
      <c r="D1" s="259"/>
      <c r="E1" s="259"/>
      <c r="F1" s="259"/>
      <c r="G1" s="259"/>
      <c r="H1" s="259"/>
      <c r="I1" s="259"/>
      <c r="J1" s="259"/>
      <c r="K1" s="259"/>
      <c r="L1" s="259"/>
      <c r="M1" s="259"/>
    </row>
    <row r="2" spans="1:30" x14ac:dyDescent="0.3">
      <c r="F2" s="260"/>
      <c r="G2" s="260"/>
      <c r="H2" s="260"/>
      <c r="I2" s="260"/>
      <c r="J2" s="260"/>
      <c r="K2" s="260"/>
    </row>
    <row r="3" spans="1:30" s="21" customFormat="1" ht="13.5" x14ac:dyDescent="0.3">
      <c r="B3" s="1775" t="s">
        <v>3292</v>
      </c>
      <c r="C3" s="1776"/>
      <c r="D3" s="1777"/>
      <c r="E3" s="261" t="s">
        <v>3293</v>
      </c>
      <c r="F3" s="261" t="s">
        <v>3294</v>
      </c>
      <c r="G3" s="261" t="s">
        <v>3295</v>
      </c>
      <c r="H3" s="261" t="s">
        <v>3296</v>
      </c>
      <c r="I3" s="261" t="s">
        <v>3297</v>
      </c>
      <c r="J3" s="261" t="s">
        <v>3298</v>
      </c>
      <c r="K3" s="261" t="s">
        <v>3299</v>
      </c>
      <c r="L3" s="261" t="s">
        <v>51</v>
      </c>
      <c r="M3" s="261" t="s">
        <v>3463</v>
      </c>
      <c r="O3" s="341" t="s">
        <v>3545</v>
      </c>
      <c r="AD3" s="341" t="s">
        <v>3365</v>
      </c>
    </row>
    <row r="4" spans="1:30" s="21" customFormat="1" ht="13.5" x14ac:dyDescent="0.3">
      <c r="B4" s="262" t="s">
        <v>161</v>
      </c>
      <c r="C4" s="263"/>
      <c r="D4" s="264"/>
      <c r="E4" s="265">
        <f>SUM(E5,E6,E7,E12,E17,E22,E27,E32)</f>
        <v>88.043208840000005</v>
      </c>
      <c r="F4" s="265">
        <f t="shared" ref="F4:K4" si="0">SUM(F5,F6,F7,F12,F17,F22,F27,F32)</f>
        <v>72.555814650000002</v>
      </c>
      <c r="G4" s="265">
        <f t="shared" si="0"/>
        <v>144.66550000000001</v>
      </c>
      <c r="H4" s="265">
        <f t="shared" si="0"/>
        <v>274.14752972400004</v>
      </c>
      <c r="I4" s="265">
        <f t="shared" si="0"/>
        <v>298.3322826964</v>
      </c>
      <c r="J4" s="265">
        <f t="shared" si="0"/>
        <v>367.98551096604001</v>
      </c>
      <c r="K4" s="265">
        <f t="shared" si="0"/>
        <v>446.70406206264403</v>
      </c>
      <c r="L4" s="266">
        <f t="shared" ref="L4:L67" si="1">IFERROR((K4/F4)^(1/5)-1,0)</f>
        <v>0.4383664210067193</v>
      </c>
      <c r="M4" s="266"/>
      <c r="N4" s="267"/>
      <c r="O4" s="723"/>
      <c r="P4" s="723"/>
      <c r="Q4" s="830">
        <v>2022</v>
      </c>
      <c r="R4" s="831">
        <v>2023</v>
      </c>
      <c r="S4" s="832">
        <v>2024</v>
      </c>
      <c r="T4" s="832">
        <v>2025</v>
      </c>
      <c r="U4" s="832">
        <v>2026</v>
      </c>
      <c r="V4" s="832">
        <v>2027</v>
      </c>
      <c r="W4" s="833"/>
    </row>
    <row r="5" spans="1:30" s="21" customFormat="1" ht="13.5" x14ac:dyDescent="0.3">
      <c r="B5" s="268"/>
      <c r="C5" s="834" t="s">
        <v>3546</v>
      </c>
      <c r="D5" s="835"/>
      <c r="E5" s="419">
        <v>88.043208840000005</v>
      </c>
      <c r="F5" s="836">
        <v>68.649013920000002</v>
      </c>
      <c r="G5" s="836">
        <v>70.515500000000003</v>
      </c>
      <c r="H5" s="837">
        <f>+S6+S14</f>
        <v>116.84752972400001</v>
      </c>
      <c r="I5" s="836">
        <f t="shared" ref="I5:K5" si="2">+T6+T14</f>
        <v>146.53228269640002</v>
      </c>
      <c r="J5" s="836">
        <f t="shared" si="2"/>
        <v>177.18551096604003</v>
      </c>
      <c r="K5" s="836">
        <f t="shared" si="2"/>
        <v>208.90406206264404</v>
      </c>
      <c r="L5" s="838">
        <f t="shared" si="1"/>
        <v>0.24928785008423193</v>
      </c>
      <c r="M5" s="419"/>
      <c r="O5" s="21" t="s">
        <v>161</v>
      </c>
      <c r="Q5" s="522"/>
      <c r="R5" s="795"/>
      <c r="W5" s="522"/>
      <c r="AD5" s="358" t="s">
        <v>3547</v>
      </c>
    </row>
    <row r="6" spans="1:30" s="21" customFormat="1" ht="13.5" x14ac:dyDescent="0.3">
      <c r="B6" s="277"/>
      <c r="C6" s="834" t="s">
        <v>3548</v>
      </c>
      <c r="D6" s="835"/>
      <c r="E6" s="419">
        <v>0</v>
      </c>
      <c r="F6" s="836">
        <v>3.1139999999999999</v>
      </c>
      <c r="G6" s="836">
        <v>16.8</v>
      </c>
      <c r="H6" s="837">
        <f>+S7+S17</f>
        <v>26.8</v>
      </c>
      <c r="I6" s="836">
        <f t="shared" ref="I6:K6" si="3">+T7+T17</f>
        <v>36.799999999999997</v>
      </c>
      <c r="J6" s="836">
        <f t="shared" si="3"/>
        <v>46.8</v>
      </c>
      <c r="K6" s="836">
        <f t="shared" si="3"/>
        <v>56.8</v>
      </c>
      <c r="L6" s="838">
        <f t="shared" si="1"/>
        <v>0.78733494071402599</v>
      </c>
      <c r="M6" s="419"/>
      <c r="P6" s="21" t="s">
        <v>3546</v>
      </c>
      <c r="Q6" s="839">
        <f>+E5</f>
        <v>88.043208840000005</v>
      </c>
      <c r="R6" s="840">
        <v>88.043208840000005</v>
      </c>
      <c r="S6" s="841">
        <f>+R6*(1+$W$6)</f>
        <v>96.847529724000012</v>
      </c>
      <c r="T6" s="771">
        <f t="shared" ref="T6:V6" si="4">+S6*(1+$W$6)</f>
        <v>106.53228269640002</v>
      </c>
      <c r="U6" s="771">
        <f t="shared" si="4"/>
        <v>117.18551096604003</v>
      </c>
      <c r="V6" s="771">
        <f t="shared" si="4"/>
        <v>128.90406206264404</v>
      </c>
      <c r="W6" s="527">
        <v>0.1</v>
      </c>
    </row>
    <row r="7" spans="1:30" s="21" customFormat="1" ht="13.5" x14ac:dyDescent="0.3">
      <c r="B7" s="277"/>
      <c r="C7" s="834" t="s">
        <v>3549</v>
      </c>
      <c r="D7" s="835"/>
      <c r="E7" s="419">
        <f>SUM(E8:E11)</f>
        <v>0</v>
      </c>
      <c r="F7" s="836">
        <f>SUM(F8:F11)</f>
        <v>0.79280073000000006</v>
      </c>
      <c r="G7" s="836">
        <f t="shared" ref="G7:K7" si="5">SUM(G8:G11)</f>
        <v>31.099999999999998</v>
      </c>
      <c r="H7" s="836">
        <f t="shared" si="5"/>
        <v>25.5</v>
      </c>
      <c r="I7" s="836">
        <f t="shared" si="5"/>
        <v>0</v>
      </c>
      <c r="J7" s="836">
        <f t="shared" si="5"/>
        <v>0</v>
      </c>
      <c r="K7" s="836">
        <f t="shared" si="5"/>
        <v>0</v>
      </c>
      <c r="L7" s="838">
        <f t="shared" si="1"/>
        <v>-1</v>
      </c>
      <c r="M7" s="419" t="s">
        <v>3550</v>
      </c>
      <c r="P7" s="21" t="s">
        <v>3548</v>
      </c>
      <c r="Q7" s="842">
        <f>+F6</f>
        <v>3.1139999999999999</v>
      </c>
      <c r="R7" s="840">
        <v>16.8</v>
      </c>
      <c r="S7" s="771">
        <f>+R7*(1+$W$7)</f>
        <v>16.8</v>
      </c>
      <c r="T7" s="771">
        <f t="shared" ref="T7:V7" si="6">+S7*(1+$W$7)</f>
        <v>16.8</v>
      </c>
      <c r="U7" s="771">
        <f t="shared" si="6"/>
        <v>16.8</v>
      </c>
      <c r="V7" s="771">
        <f t="shared" si="6"/>
        <v>16.8</v>
      </c>
      <c r="W7" s="843">
        <v>0</v>
      </c>
    </row>
    <row r="8" spans="1:30" s="21" customFormat="1" ht="13.5" x14ac:dyDescent="0.3">
      <c r="B8" s="277"/>
      <c r="C8" s="277"/>
      <c r="D8" s="278" t="s">
        <v>3551</v>
      </c>
      <c r="E8" s="275">
        <v>0</v>
      </c>
      <c r="F8" s="304">
        <v>0.79280073000000006</v>
      </c>
      <c r="G8" s="304">
        <v>24.2</v>
      </c>
      <c r="H8" s="753">
        <v>20</v>
      </c>
      <c r="I8" s="304"/>
      <c r="J8" s="304"/>
      <c r="K8" s="304"/>
      <c r="L8" s="276">
        <f t="shared" si="1"/>
        <v>-1</v>
      </c>
      <c r="M8" s="275"/>
      <c r="O8" s="503" t="s">
        <v>3343</v>
      </c>
      <c r="P8" s="503"/>
      <c r="Q8" s="502"/>
      <c r="R8" s="658"/>
      <c r="S8" s="503"/>
      <c r="T8" s="503"/>
      <c r="U8" s="503"/>
      <c r="V8" s="503"/>
      <c r="W8" s="502"/>
    </row>
    <row r="9" spans="1:30" s="21" customFormat="1" ht="13.5" x14ac:dyDescent="0.3">
      <c r="B9" s="277"/>
      <c r="C9" s="277"/>
      <c r="D9" s="283" t="s">
        <v>3315</v>
      </c>
      <c r="E9" s="281">
        <v>0</v>
      </c>
      <c r="F9" s="308"/>
      <c r="G9" s="308">
        <v>3.9</v>
      </c>
      <c r="H9" s="740">
        <v>4</v>
      </c>
      <c r="I9" s="308"/>
      <c r="J9" s="308"/>
      <c r="K9" s="308"/>
      <c r="L9" s="282">
        <f t="shared" si="1"/>
        <v>0</v>
      </c>
      <c r="M9" s="281"/>
      <c r="P9" s="21" t="s">
        <v>3546</v>
      </c>
      <c r="Q9" s="720">
        <f>+F38/F5</f>
        <v>0.91552549747097667</v>
      </c>
      <c r="R9" s="722">
        <f>+G38/G5</f>
        <v>0.83983237727875437</v>
      </c>
      <c r="S9" s="736">
        <v>0.88</v>
      </c>
      <c r="T9" s="592">
        <f>+S9+$W$9</f>
        <v>0.88</v>
      </c>
      <c r="U9" s="592">
        <f>+T9+$W$9</f>
        <v>0.88</v>
      </c>
      <c r="V9" s="592">
        <f>+U9+$W$9</f>
        <v>0.88</v>
      </c>
      <c r="W9" s="527">
        <v>0</v>
      </c>
    </row>
    <row r="10" spans="1:30" s="21" customFormat="1" ht="13.5" x14ac:dyDescent="0.3">
      <c r="B10" s="277"/>
      <c r="C10" s="277"/>
      <c r="D10" s="328" t="s">
        <v>3552</v>
      </c>
      <c r="E10" s="329"/>
      <c r="F10" s="844"/>
      <c r="G10" s="844">
        <v>0.5</v>
      </c>
      <c r="H10" s="845">
        <f>+G10</f>
        <v>0.5</v>
      </c>
      <c r="I10" s="844"/>
      <c r="J10" s="844"/>
      <c r="K10" s="844"/>
      <c r="L10" s="282">
        <f t="shared" si="1"/>
        <v>0</v>
      </c>
      <c r="M10" s="329"/>
      <c r="O10" s="597"/>
      <c r="P10" s="846" t="s">
        <v>3548</v>
      </c>
      <c r="Q10" s="662">
        <f>+F39/F6</f>
        <v>3.4301215767501603</v>
      </c>
      <c r="R10" s="763">
        <f>+G39/G6</f>
        <v>0.7142857142857143</v>
      </c>
      <c r="S10" s="610">
        <v>0.7142857142857143</v>
      </c>
      <c r="T10" s="610">
        <v>0.7142857142857143</v>
      </c>
      <c r="U10" s="610">
        <v>0.7142857142857143</v>
      </c>
      <c r="V10" s="610">
        <v>0.7142857142857143</v>
      </c>
      <c r="W10" s="609">
        <v>0</v>
      </c>
    </row>
    <row r="11" spans="1:30" s="21" customFormat="1" ht="13.5" x14ac:dyDescent="0.3">
      <c r="B11" s="277"/>
      <c r="C11" s="284"/>
      <c r="D11" s="285" t="s">
        <v>3553</v>
      </c>
      <c r="E11" s="286">
        <v>0</v>
      </c>
      <c r="F11" s="313"/>
      <c r="G11" s="313">
        <v>2.5</v>
      </c>
      <c r="H11" s="847">
        <v>1</v>
      </c>
      <c r="I11" s="313"/>
      <c r="J11" s="313"/>
      <c r="K11" s="313"/>
      <c r="L11" s="287">
        <f t="shared" si="1"/>
        <v>0</v>
      </c>
      <c r="M11" s="286"/>
    </row>
    <row r="12" spans="1:30" s="21" customFormat="1" ht="13.5" x14ac:dyDescent="0.3">
      <c r="B12" s="277"/>
      <c r="C12" s="834" t="s">
        <v>3554</v>
      </c>
      <c r="D12" s="835"/>
      <c r="E12" s="419">
        <f>SUM(E13:E16)</f>
        <v>0</v>
      </c>
      <c r="F12" s="836">
        <f>SUM(F13:F16)</f>
        <v>0</v>
      </c>
      <c r="G12" s="836">
        <f t="shared" ref="G12:K12" si="7">SUM(G13:G16)</f>
        <v>26.25</v>
      </c>
      <c r="H12" s="836">
        <f t="shared" si="7"/>
        <v>55</v>
      </c>
      <c r="I12" s="836">
        <f t="shared" si="7"/>
        <v>0</v>
      </c>
      <c r="J12" s="836">
        <f t="shared" si="7"/>
        <v>0</v>
      </c>
      <c r="K12" s="836">
        <f t="shared" si="7"/>
        <v>0</v>
      </c>
      <c r="L12" s="838">
        <f t="shared" si="1"/>
        <v>0</v>
      </c>
      <c r="M12" s="419" t="s">
        <v>3555</v>
      </c>
      <c r="O12" s="341" t="s">
        <v>3556</v>
      </c>
    </row>
    <row r="13" spans="1:30" s="21" customFormat="1" ht="13.5" x14ac:dyDescent="0.3">
      <c r="B13" s="277"/>
      <c r="C13" s="277"/>
      <c r="D13" s="278" t="s">
        <v>89</v>
      </c>
      <c r="E13" s="275">
        <v>0</v>
      </c>
      <c r="F13" s="304"/>
      <c r="G13" s="304">
        <v>26.25</v>
      </c>
      <c r="H13" s="753">
        <v>30</v>
      </c>
      <c r="I13" s="304"/>
      <c r="J13" s="304"/>
      <c r="K13" s="304"/>
      <c r="L13" s="276">
        <f t="shared" si="1"/>
        <v>0</v>
      </c>
      <c r="M13" s="275"/>
      <c r="Q13" s="341">
        <v>2022</v>
      </c>
      <c r="R13" s="341">
        <v>2023</v>
      </c>
      <c r="S13" s="341">
        <v>2024</v>
      </c>
      <c r="T13" s="341">
        <v>2025</v>
      </c>
      <c r="U13" s="341">
        <v>2026</v>
      </c>
      <c r="V13" s="341">
        <v>2027</v>
      </c>
    </row>
    <row r="14" spans="1:30" s="21" customFormat="1" ht="13.5" x14ac:dyDescent="0.3">
      <c r="B14" s="277"/>
      <c r="C14" s="277"/>
      <c r="D14" s="283" t="s">
        <v>3318</v>
      </c>
      <c r="E14" s="281">
        <v>0</v>
      </c>
      <c r="F14" s="308"/>
      <c r="G14" s="308"/>
      <c r="H14" s="740">
        <v>10</v>
      </c>
      <c r="I14" s="308"/>
      <c r="J14" s="308"/>
      <c r="K14" s="308"/>
      <c r="L14" s="282">
        <f t="shared" si="1"/>
        <v>0</v>
      </c>
      <c r="M14" s="281"/>
      <c r="O14" s="341" t="s">
        <v>161</v>
      </c>
      <c r="P14" s="341"/>
      <c r="Q14" s="341"/>
      <c r="R14" s="341"/>
      <c r="S14" s="341">
        <f>+SUM(S15:S16)</f>
        <v>20</v>
      </c>
      <c r="T14" s="341">
        <f t="shared" ref="T14:V14" si="8">+SUM(T15:T16)</f>
        <v>40</v>
      </c>
      <c r="U14" s="341">
        <f t="shared" si="8"/>
        <v>60</v>
      </c>
      <c r="V14" s="341">
        <f t="shared" si="8"/>
        <v>80</v>
      </c>
    </row>
    <row r="15" spans="1:30" s="21" customFormat="1" ht="13.5" x14ac:dyDescent="0.3">
      <c r="B15" s="277"/>
      <c r="C15" s="277"/>
      <c r="D15" s="328" t="s">
        <v>3552</v>
      </c>
      <c r="E15" s="329"/>
      <c r="F15" s="844"/>
      <c r="G15" s="844"/>
      <c r="H15" s="845">
        <v>10</v>
      </c>
      <c r="I15" s="844"/>
      <c r="J15" s="844"/>
      <c r="K15" s="844"/>
      <c r="L15" s="330">
        <f t="shared" si="1"/>
        <v>0</v>
      </c>
      <c r="M15" s="329"/>
      <c r="P15" s="21" t="s">
        <v>3557</v>
      </c>
      <c r="S15" s="21">
        <v>10</v>
      </c>
      <c r="T15" s="21">
        <f>+S15+10</f>
        <v>20</v>
      </c>
      <c r="U15" s="21">
        <f t="shared" ref="U15:V17" si="9">+T15+10</f>
        <v>30</v>
      </c>
      <c r="V15" s="21">
        <f t="shared" si="9"/>
        <v>40</v>
      </c>
    </row>
    <row r="16" spans="1:30" s="21" customFormat="1" ht="13.5" x14ac:dyDescent="0.3">
      <c r="B16" s="277"/>
      <c r="C16" s="284"/>
      <c r="D16" s="285" t="s">
        <v>3553</v>
      </c>
      <c r="E16" s="286">
        <v>0</v>
      </c>
      <c r="F16" s="313"/>
      <c r="G16" s="313"/>
      <c r="H16" s="847">
        <v>5</v>
      </c>
      <c r="I16" s="313"/>
      <c r="J16" s="313"/>
      <c r="K16" s="313"/>
      <c r="L16" s="287">
        <f t="shared" si="1"/>
        <v>0</v>
      </c>
      <c r="M16" s="286" t="s">
        <v>3558</v>
      </c>
      <c r="P16" s="21" t="s">
        <v>3559</v>
      </c>
      <c r="S16" s="21">
        <v>10</v>
      </c>
      <c r="T16" s="21">
        <f>+S16+10</f>
        <v>20</v>
      </c>
      <c r="U16" s="21">
        <f t="shared" si="9"/>
        <v>30</v>
      </c>
      <c r="V16" s="21">
        <f t="shared" si="9"/>
        <v>40</v>
      </c>
    </row>
    <row r="17" spans="2:30" s="21" customFormat="1" ht="13.5" x14ac:dyDescent="0.3">
      <c r="B17" s="277"/>
      <c r="C17" s="834" t="s">
        <v>3560</v>
      </c>
      <c r="D17" s="835"/>
      <c r="E17" s="419">
        <f>SUM(E18:E21)</f>
        <v>0</v>
      </c>
      <c r="F17" s="836">
        <f>SUM(F18:F21)</f>
        <v>0</v>
      </c>
      <c r="G17" s="836">
        <f t="shared" ref="G17:K17" si="10">SUM(G18:G21)</f>
        <v>0</v>
      </c>
      <c r="H17" s="836">
        <f t="shared" si="10"/>
        <v>50</v>
      </c>
      <c r="I17" s="836">
        <f t="shared" si="10"/>
        <v>40</v>
      </c>
      <c r="J17" s="836">
        <f t="shared" si="10"/>
        <v>0</v>
      </c>
      <c r="K17" s="836">
        <f t="shared" si="10"/>
        <v>0</v>
      </c>
      <c r="L17" s="838">
        <f t="shared" si="1"/>
        <v>0</v>
      </c>
      <c r="M17" s="419" t="s">
        <v>3561</v>
      </c>
      <c r="P17" s="21" t="s">
        <v>3562</v>
      </c>
      <c r="S17" s="21">
        <v>10</v>
      </c>
      <c r="T17" s="21">
        <f>+S17+10</f>
        <v>20</v>
      </c>
      <c r="U17" s="21">
        <f t="shared" si="9"/>
        <v>30</v>
      </c>
      <c r="V17" s="21">
        <f t="shared" si="9"/>
        <v>40</v>
      </c>
    </row>
    <row r="18" spans="2:30" s="21" customFormat="1" ht="13.5" x14ac:dyDescent="0.3">
      <c r="B18" s="277"/>
      <c r="C18" s="277"/>
      <c r="D18" s="278" t="s">
        <v>3551</v>
      </c>
      <c r="E18" s="275">
        <v>0</v>
      </c>
      <c r="F18" s="304"/>
      <c r="G18" s="304"/>
      <c r="H18" s="753">
        <v>25</v>
      </c>
      <c r="I18" s="753">
        <v>15</v>
      </c>
      <c r="J18" s="304"/>
      <c r="K18" s="304"/>
      <c r="L18" s="276">
        <f t="shared" si="1"/>
        <v>0</v>
      </c>
      <c r="M18" s="848"/>
      <c r="O18" s="341" t="s">
        <v>3343</v>
      </c>
      <c r="P18" s="341"/>
      <c r="Q18" s="341"/>
      <c r="R18" s="341"/>
      <c r="AD18" s="358" t="s">
        <v>3563</v>
      </c>
    </row>
    <row r="19" spans="2:30" s="21" customFormat="1" ht="13.5" x14ac:dyDescent="0.3">
      <c r="B19" s="277"/>
      <c r="C19" s="277"/>
      <c r="D19" s="283" t="s">
        <v>3315</v>
      </c>
      <c r="E19" s="281">
        <v>0</v>
      </c>
      <c r="F19" s="308"/>
      <c r="G19" s="308"/>
      <c r="H19" s="740">
        <v>10</v>
      </c>
      <c r="I19" s="740">
        <v>10</v>
      </c>
      <c r="J19" s="308"/>
      <c r="K19" s="308"/>
      <c r="L19" s="282">
        <f t="shared" si="1"/>
        <v>0</v>
      </c>
      <c r="M19" s="281"/>
      <c r="P19" s="21" t="s">
        <v>3546</v>
      </c>
      <c r="S19" s="849">
        <v>0.83</v>
      </c>
      <c r="T19" s="849">
        <f>+S19+$W$19</f>
        <v>0.82</v>
      </c>
      <c r="U19" s="849">
        <f>+T19+$W$19</f>
        <v>0.80999999999999994</v>
      </c>
      <c r="V19" s="849">
        <f>+U19+$W$19</f>
        <v>0.79999999999999993</v>
      </c>
      <c r="W19" s="738">
        <v>-0.01</v>
      </c>
      <c r="AD19" s="358" t="s">
        <v>3564</v>
      </c>
    </row>
    <row r="20" spans="2:30" s="21" customFormat="1" ht="13.5" x14ac:dyDescent="0.3">
      <c r="B20" s="277"/>
      <c r="C20" s="277"/>
      <c r="D20" s="328" t="s">
        <v>3552</v>
      </c>
      <c r="E20" s="329"/>
      <c r="F20" s="844"/>
      <c r="G20" s="844"/>
      <c r="H20" s="845">
        <v>10</v>
      </c>
      <c r="I20" s="845">
        <v>10</v>
      </c>
      <c r="J20" s="844"/>
      <c r="K20" s="844"/>
      <c r="L20" s="330">
        <f t="shared" si="1"/>
        <v>0</v>
      </c>
      <c r="M20" s="329"/>
      <c r="P20" s="21" t="s">
        <v>3565</v>
      </c>
      <c r="S20" s="850">
        <f>12/13</f>
        <v>0.92307692307692313</v>
      </c>
      <c r="T20" s="850">
        <f t="shared" ref="T20:V20" si="11">12/13</f>
        <v>0.92307692307692313</v>
      </c>
      <c r="U20" s="850">
        <f t="shared" si="11"/>
        <v>0.92307692307692313</v>
      </c>
      <c r="V20" s="850">
        <f t="shared" si="11"/>
        <v>0.92307692307692313</v>
      </c>
    </row>
    <row r="21" spans="2:30" s="21" customFormat="1" ht="13.5" x14ac:dyDescent="0.3">
      <c r="B21" s="277"/>
      <c r="C21" s="284"/>
      <c r="D21" s="285" t="s">
        <v>3553</v>
      </c>
      <c r="E21" s="286">
        <v>0</v>
      </c>
      <c r="F21" s="313"/>
      <c r="G21" s="313"/>
      <c r="H21" s="847">
        <v>5</v>
      </c>
      <c r="I21" s="847">
        <v>5</v>
      </c>
      <c r="J21" s="313"/>
      <c r="K21" s="313"/>
      <c r="L21" s="287">
        <f t="shared" si="1"/>
        <v>0</v>
      </c>
      <c r="M21" s="286"/>
    </row>
    <row r="22" spans="2:30" s="21" customFormat="1" ht="13.5" x14ac:dyDescent="0.3">
      <c r="B22" s="277"/>
      <c r="C22" s="834" t="s">
        <v>3566</v>
      </c>
      <c r="D22" s="835"/>
      <c r="E22" s="419">
        <f>SUM(E23:E26)</f>
        <v>0</v>
      </c>
      <c r="F22" s="836">
        <f>SUM(F23:F26)</f>
        <v>0</v>
      </c>
      <c r="G22" s="836">
        <f t="shared" ref="G22:K22" si="12">SUM(G23:G26)</f>
        <v>0</v>
      </c>
      <c r="H22" s="836">
        <f t="shared" si="12"/>
        <v>0</v>
      </c>
      <c r="I22" s="836">
        <f t="shared" si="12"/>
        <v>75</v>
      </c>
      <c r="J22" s="836">
        <f t="shared" si="12"/>
        <v>60</v>
      </c>
      <c r="K22" s="836">
        <f t="shared" si="12"/>
        <v>0</v>
      </c>
      <c r="L22" s="838">
        <f t="shared" si="1"/>
        <v>0</v>
      </c>
      <c r="M22" s="419" t="s">
        <v>3567</v>
      </c>
      <c r="O22" s="341" t="s">
        <v>3568</v>
      </c>
      <c r="P22" s="752"/>
      <c r="R22" s="752"/>
    </row>
    <row r="23" spans="2:30" s="21" customFormat="1" ht="13.5" x14ac:dyDescent="0.3">
      <c r="B23" s="277"/>
      <c r="C23" s="277"/>
      <c r="D23" s="278" t="s">
        <v>89</v>
      </c>
      <c r="E23" s="275">
        <v>0</v>
      </c>
      <c r="F23" s="304"/>
      <c r="G23" s="304"/>
      <c r="H23" s="304"/>
      <c r="I23" s="753">
        <v>45</v>
      </c>
      <c r="J23" s="753">
        <v>30</v>
      </c>
      <c r="K23" s="304"/>
      <c r="L23" s="276">
        <f t="shared" si="1"/>
        <v>0</v>
      </c>
      <c r="M23" s="275"/>
      <c r="N23" s="267"/>
      <c r="O23" s="503" t="s">
        <v>3569</v>
      </c>
      <c r="P23" s="503"/>
      <c r="Q23" s="851" t="s">
        <v>3570</v>
      </c>
      <c r="R23" s="852" t="s">
        <v>3571</v>
      </c>
      <c r="AC23" s="358" t="s">
        <v>3572</v>
      </c>
    </row>
    <row r="24" spans="2:30" s="21" customFormat="1" ht="13.5" x14ac:dyDescent="0.3">
      <c r="B24" s="277"/>
      <c r="C24" s="277"/>
      <c r="D24" s="283" t="s">
        <v>3318</v>
      </c>
      <c r="E24" s="281">
        <v>0</v>
      </c>
      <c r="F24" s="308"/>
      <c r="G24" s="308"/>
      <c r="H24" s="308"/>
      <c r="I24" s="740">
        <v>10</v>
      </c>
      <c r="J24" s="740">
        <v>10</v>
      </c>
      <c r="K24" s="308"/>
      <c r="L24" s="282">
        <f t="shared" si="1"/>
        <v>0</v>
      </c>
      <c r="M24" s="281"/>
      <c r="N24" s="267"/>
      <c r="O24" s="597"/>
      <c r="P24" s="597"/>
      <c r="Q24" s="625">
        <v>160</v>
      </c>
      <c r="R24" s="803">
        <v>200</v>
      </c>
      <c r="S24" s="267"/>
      <c r="T24" s="267"/>
      <c r="U24" s="267"/>
      <c r="AC24" s="358" t="s">
        <v>3573</v>
      </c>
    </row>
    <row r="25" spans="2:30" s="21" customFormat="1" ht="13.5" x14ac:dyDescent="0.3">
      <c r="B25" s="277"/>
      <c r="C25" s="277"/>
      <c r="D25" s="328" t="s">
        <v>3552</v>
      </c>
      <c r="E25" s="329"/>
      <c r="F25" s="844"/>
      <c r="G25" s="844"/>
      <c r="H25" s="844"/>
      <c r="I25" s="845">
        <v>10</v>
      </c>
      <c r="J25" s="845">
        <v>10</v>
      </c>
      <c r="K25" s="844"/>
      <c r="L25" s="330">
        <f t="shared" si="1"/>
        <v>0</v>
      </c>
      <c r="M25" s="329"/>
      <c r="N25" s="267"/>
      <c r="O25" s="503" t="s">
        <v>3574</v>
      </c>
      <c r="P25" s="503"/>
      <c r="Q25" s="851" t="s">
        <v>3478</v>
      </c>
      <c r="R25" s="853" t="s">
        <v>3481</v>
      </c>
      <c r="S25" s="522"/>
      <c r="T25" s="267"/>
      <c r="U25" s="267"/>
      <c r="V25" s="267"/>
    </row>
    <row r="26" spans="2:30" s="21" customFormat="1" ht="13.5" x14ac:dyDescent="0.3">
      <c r="B26" s="277"/>
      <c r="C26" s="284"/>
      <c r="D26" s="285" t="s">
        <v>3553</v>
      </c>
      <c r="E26" s="286">
        <v>0</v>
      </c>
      <c r="F26" s="313"/>
      <c r="G26" s="313"/>
      <c r="H26" s="313"/>
      <c r="I26" s="847">
        <v>10</v>
      </c>
      <c r="J26" s="847">
        <v>10</v>
      </c>
      <c r="K26" s="313"/>
      <c r="L26" s="287">
        <f t="shared" si="1"/>
        <v>0</v>
      </c>
      <c r="M26" s="286"/>
      <c r="N26" s="267"/>
      <c r="P26" s="21" t="s">
        <v>3551</v>
      </c>
      <c r="Q26" s="854">
        <v>0.35</v>
      </c>
      <c r="R26" s="608">
        <v>0.3</v>
      </c>
      <c r="S26" s="522"/>
      <c r="T26" s="738">
        <f>+Q26+R26</f>
        <v>0.64999999999999991</v>
      </c>
      <c r="U26" s="267"/>
      <c r="V26" s="267"/>
    </row>
    <row r="27" spans="2:30" s="21" customFormat="1" ht="13.5" x14ac:dyDescent="0.3">
      <c r="B27" s="277"/>
      <c r="C27" s="834" t="s">
        <v>3575</v>
      </c>
      <c r="D27" s="835"/>
      <c r="E27" s="419">
        <f>SUM(E28:E31)</f>
        <v>0</v>
      </c>
      <c r="F27" s="836">
        <f>SUM(F28:F31)</f>
        <v>0</v>
      </c>
      <c r="G27" s="836">
        <f t="shared" ref="G27:K27" si="13">SUM(G28:G31)</f>
        <v>0</v>
      </c>
      <c r="H27" s="836">
        <f t="shared" si="13"/>
        <v>0</v>
      </c>
      <c r="I27" s="836">
        <f t="shared" si="13"/>
        <v>0</v>
      </c>
      <c r="J27" s="836">
        <f t="shared" si="13"/>
        <v>84</v>
      </c>
      <c r="K27" s="836">
        <f t="shared" si="13"/>
        <v>76</v>
      </c>
      <c r="L27" s="838">
        <f t="shared" si="1"/>
        <v>0</v>
      </c>
      <c r="M27" s="419"/>
      <c r="P27" s="21" t="s">
        <v>3315</v>
      </c>
      <c r="Q27" s="854">
        <v>7.4999999999999997E-2</v>
      </c>
      <c r="R27" s="608">
        <v>7.4999999999999997E-2</v>
      </c>
      <c r="S27" s="522"/>
      <c r="T27" s="738">
        <f>+Q27+R27</f>
        <v>0.15</v>
      </c>
      <c r="U27" s="267"/>
      <c r="V27" s="267"/>
    </row>
    <row r="28" spans="2:30" s="21" customFormat="1" ht="13.5" x14ac:dyDescent="0.3">
      <c r="B28" s="277"/>
      <c r="C28" s="277"/>
      <c r="D28" s="278" t="s">
        <v>89</v>
      </c>
      <c r="E28" s="275">
        <v>0</v>
      </c>
      <c r="F28" s="304"/>
      <c r="G28" s="304"/>
      <c r="H28" s="304"/>
      <c r="I28" s="304"/>
      <c r="J28" s="304">
        <f>+$Q$24*Q26</f>
        <v>56</v>
      </c>
      <c r="K28" s="304">
        <f t="shared" ref="K28:K31" si="14">+$Q$24*R26</f>
        <v>48</v>
      </c>
      <c r="L28" s="276">
        <f t="shared" si="1"/>
        <v>0</v>
      </c>
      <c r="M28" s="275"/>
      <c r="P28" s="21" t="s">
        <v>3576</v>
      </c>
      <c r="Q28" s="854">
        <v>0.05</v>
      </c>
      <c r="R28" s="608">
        <v>0.05</v>
      </c>
      <c r="S28" s="522"/>
      <c r="T28" s="738">
        <f>+Q28+R28</f>
        <v>0.1</v>
      </c>
      <c r="AD28" s="358" t="s">
        <v>3577</v>
      </c>
    </row>
    <row r="29" spans="2:30" s="21" customFormat="1" ht="13.5" x14ac:dyDescent="0.3">
      <c r="B29" s="277"/>
      <c r="C29" s="277"/>
      <c r="D29" s="283" t="s">
        <v>3318</v>
      </c>
      <c r="E29" s="281">
        <v>0</v>
      </c>
      <c r="F29" s="308"/>
      <c r="G29" s="308"/>
      <c r="H29" s="308"/>
      <c r="I29" s="308"/>
      <c r="J29" s="308">
        <f t="shared" ref="J29:J31" si="15">+$Q$24*Q27</f>
        <v>12</v>
      </c>
      <c r="K29" s="308">
        <f t="shared" si="14"/>
        <v>12</v>
      </c>
      <c r="L29" s="282">
        <f t="shared" si="1"/>
        <v>0</v>
      </c>
      <c r="M29" s="281"/>
      <c r="O29" s="597"/>
      <c r="P29" s="597" t="s">
        <v>3578</v>
      </c>
      <c r="Q29" s="855">
        <v>0.05</v>
      </c>
      <c r="R29" s="664">
        <v>0.05</v>
      </c>
      <c r="S29" s="522"/>
      <c r="T29" s="738">
        <v>0.1</v>
      </c>
    </row>
    <row r="30" spans="2:30" s="21" customFormat="1" ht="13.5" x14ac:dyDescent="0.3">
      <c r="B30" s="277"/>
      <c r="C30" s="277"/>
      <c r="D30" s="328" t="s">
        <v>3552</v>
      </c>
      <c r="E30" s="329"/>
      <c r="F30" s="844"/>
      <c r="G30" s="844"/>
      <c r="H30" s="844"/>
      <c r="I30" s="844"/>
      <c r="J30" s="844">
        <f t="shared" si="15"/>
        <v>8</v>
      </c>
      <c r="K30" s="844">
        <f t="shared" si="14"/>
        <v>8</v>
      </c>
      <c r="L30" s="330">
        <f t="shared" si="1"/>
        <v>0</v>
      </c>
      <c r="M30" s="329"/>
      <c r="O30" s="21" t="s">
        <v>3579</v>
      </c>
      <c r="R30" s="738"/>
    </row>
    <row r="31" spans="2:30" s="21" customFormat="1" ht="13.5" x14ac:dyDescent="0.3">
      <c r="B31" s="277"/>
      <c r="C31" s="284"/>
      <c r="D31" s="285" t="s">
        <v>3553</v>
      </c>
      <c r="E31" s="286">
        <v>0</v>
      </c>
      <c r="F31" s="313"/>
      <c r="G31" s="313"/>
      <c r="H31" s="313"/>
      <c r="I31" s="313"/>
      <c r="J31" s="313">
        <f t="shared" si="15"/>
        <v>8</v>
      </c>
      <c r="K31" s="313">
        <f t="shared" si="14"/>
        <v>8</v>
      </c>
      <c r="L31" s="287">
        <f t="shared" si="1"/>
        <v>0</v>
      </c>
      <c r="M31" s="286"/>
      <c r="R31" s="738"/>
    </row>
    <row r="32" spans="2:30" s="21" customFormat="1" ht="13.5" x14ac:dyDescent="0.3">
      <c r="B32" s="277"/>
      <c r="C32" s="834" t="s">
        <v>3580</v>
      </c>
      <c r="D32" s="835"/>
      <c r="E32" s="419">
        <f>SUM(E33:E36)</f>
        <v>0</v>
      </c>
      <c r="F32" s="836">
        <f>SUM(F33:F36)</f>
        <v>0</v>
      </c>
      <c r="G32" s="836">
        <f t="shared" ref="G32:K32" si="16">SUM(G33:G36)</f>
        <v>0</v>
      </c>
      <c r="H32" s="836">
        <f t="shared" si="16"/>
        <v>0</v>
      </c>
      <c r="I32" s="836">
        <f t="shared" si="16"/>
        <v>0</v>
      </c>
      <c r="J32" s="836">
        <f t="shared" si="16"/>
        <v>0</v>
      </c>
      <c r="K32" s="836">
        <f t="shared" si="16"/>
        <v>105</v>
      </c>
      <c r="L32" s="838">
        <f t="shared" si="1"/>
        <v>0</v>
      </c>
      <c r="M32" s="419"/>
      <c r="R32" s="738"/>
    </row>
    <row r="33" spans="2:30" s="21" customFormat="1" ht="13.5" x14ac:dyDescent="0.3">
      <c r="B33" s="277"/>
      <c r="C33" s="277"/>
      <c r="D33" s="278" t="s">
        <v>89</v>
      </c>
      <c r="E33" s="275">
        <v>0</v>
      </c>
      <c r="F33" s="304"/>
      <c r="G33" s="304"/>
      <c r="H33" s="304"/>
      <c r="I33" s="304"/>
      <c r="J33" s="304"/>
      <c r="K33" s="304">
        <f>+$R$24*Q26</f>
        <v>70</v>
      </c>
      <c r="L33" s="276">
        <f t="shared" si="1"/>
        <v>0</v>
      </c>
      <c r="M33" s="275"/>
    </row>
    <row r="34" spans="2:30" s="21" customFormat="1" ht="13.5" x14ac:dyDescent="0.3">
      <c r="B34" s="277"/>
      <c r="C34" s="277"/>
      <c r="D34" s="283" t="s">
        <v>3318</v>
      </c>
      <c r="E34" s="281">
        <v>0</v>
      </c>
      <c r="F34" s="308"/>
      <c r="G34" s="308"/>
      <c r="H34" s="308"/>
      <c r="I34" s="308"/>
      <c r="J34" s="308"/>
      <c r="K34" s="308">
        <f t="shared" ref="K34:K36" si="17">+$R$24*Q27</f>
        <v>15</v>
      </c>
      <c r="L34" s="282">
        <f t="shared" si="1"/>
        <v>0</v>
      </c>
      <c r="M34" s="281"/>
    </row>
    <row r="35" spans="2:30" s="21" customFormat="1" ht="13.5" x14ac:dyDescent="0.3">
      <c r="B35" s="277"/>
      <c r="C35" s="277"/>
      <c r="D35" s="328" t="s">
        <v>3552</v>
      </c>
      <c r="E35" s="329"/>
      <c r="F35" s="844"/>
      <c r="G35" s="844"/>
      <c r="H35" s="844"/>
      <c r="I35" s="844"/>
      <c r="J35" s="844"/>
      <c r="K35" s="844">
        <f t="shared" si="17"/>
        <v>10</v>
      </c>
      <c r="L35" s="330">
        <f t="shared" si="1"/>
        <v>0</v>
      </c>
      <c r="M35" s="329"/>
    </row>
    <row r="36" spans="2:30" s="21" customFormat="1" ht="13.5" x14ac:dyDescent="0.3">
      <c r="B36" s="277"/>
      <c r="C36" s="284"/>
      <c r="D36" s="285" t="s">
        <v>3553</v>
      </c>
      <c r="E36" s="286">
        <v>0</v>
      </c>
      <c r="F36" s="313"/>
      <c r="G36" s="313"/>
      <c r="H36" s="313"/>
      <c r="I36" s="313"/>
      <c r="J36" s="313"/>
      <c r="K36" s="313">
        <f t="shared" si="17"/>
        <v>10</v>
      </c>
      <c r="L36" s="287">
        <f t="shared" si="1"/>
        <v>0</v>
      </c>
      <c r="M36" s="286"/>
    </row>
    <row r="37" spans="2:30" s="21" customFormat="1" ht="13.5" x14ac:dyDescent="0.3">
      <c r="B37" s="262" t="s">
        <v>44</v>
      </c>
      <c r="C37" s="263"/>
      <c r="D37" s="264"/>
      <c r="E37" s="265">
        <f t="shared" ref="E37:H37" si="18">SUM(E38,E39,E40,E45,E50,E55,E60,E65)</f>
        <v>77.021458969999998</v>
      </c>
      <c r="F37" s="265">
        <f t="shared" si="18"/>
        <v>76.768402170000002</v>
      </c>
      <c r="G37" s="265">
        <f t="shared" si="18"/>
        <v>143.21051940500001</v>
      </c>
      <c r="H37" s="265">
        <f t="shared" si="18"/>
        <v>247.24522038788922</v>
      </c>
      <c r="I37" s="265">
        <f>SUM(I38,I39,I40,I45,I50,I55,I60,I65)</f>
        <v>265.9374472343705</v>
      </c>
      <c r="J37" s="265">
        <f t="shared" ref="J37:K37" si="19">SUM(J38,J39,J40,J45,J50,J55,J60,J65)</f>
        <v>324.43355734242289</v>
      </c>
      <c r="K37" s="265">
        <f t="shared" si="19"/>
        <v>384.60415153820367</v>
      </c>
      <c r="L37" s="266">
        <f t="shared" si="1"/>
        <v>0.38027713355315296</v>
      </c>
      <c r="M37" s="266"/>
    </row>
    <row r="38" spans="2:30" s="21" customFormat="1" ht="13.5" x14ac:dyDescent="0.3">
      <c r="B38" s="268"/>
      <c r="C38" s="834" t="s">
        <v>3546</v>
      </c>
      <c r="D38" s="835"/>
      <c r="E38" s="419">
        <v>77.021458969999998</v>
      </c>
      <c r="F38" s="836">
        <v>62.849922620000001</v>
      </c>
      <c r="G38" s="419">
        <v>59.221200000000003</v>
      </c>
      <c r="H38" s="419">
        <f>+S6*S9+S14*S19</f>
        <v>101.82582615712001</v>
      </c>
      <c r="I38" s="836">
        <f>+T6*T9+T14*T19</f>
        <v>126.54840877283202</v>
      </c>
      <c r="J38" s="836">
        <f>+U6*U9+U14*U19</f>
        <v>151.72324965011524</v>
      </c>
      <c r="K38" s="836">
        <f>+V6*V9+V14*V19</f>
        <v>177.43557461512674</v>
      </c>
      <c r="L38" s="838">
        <f t="shared" si="1"/>
        <v>0.23068580107360637</v>
      </c>
      <c r="M38" s="419" t="s">
        <v>3581</v>
      </c>
      <c r="O38" s="856" t="s">
        <v>3582</v>
      </c>
      <c r="T38" s="856" t="s">
        <v>3583</v>
      </c>
      <c r="Y38" s="856" t="s">
        <v>3584</v>
      </c>
    </row>
    <row r="39" spans="2:30" s="21" customFormat="1" ht="13.5" x14ac:dyDescent="0.3">
      <c r="B39" s="277"/>
      <c r="C39" s="834" t="s">
        <v>3548</v>
      </c>
      <c r="D39" s="835"/>
      <c r="E39" s="419">
        <v>0</v>
      </c>
      <c r="F39" s="419">
        <v>10.681398589999999</v>
      </c>
      <c r="G39" s="419">
        <v>12</v>
      </c>
      <c r="H39" s="419">
        <f>+S7*S10+S17*S20</f>
        <v>21.230769230769234</v>
      </c>
      <c r="I39" s="419">
        <f>+T7*T10+T17*T20</f>
        <v>30.461538461538463</v>
      </c>
      <c r="J39" s="419">
        <f>+U7*U10+U17*U20</f>
        <v>39.692307692307693</v>
      </c>
      <c r="K39" s="419">
        <f>+V7*V10+V17*V20</f>
        <v>48.923076923076927</v>
      </c>
      <c r="L39" s="838">
        <f t="shared" si="1"/>
        <v>0.355742243262682</v>
      </c>
      <c r="M39" s="419"/>
      <c r="O39" s="857" t="s">
        <v>3585</v>
      </c>
      <c r="T39" s="857" t="s">
        <v>3585</v>
      </c>
      <c r="Y39" s="857" t="s">
        <v>3585</v>
      </c>
    </row>
    <row r="40" spans="2:30" s="21" customFormat="1" ht="13.5" x14ac:dyDescent="0.3">
      <c r="B40" s="277"/>
      <c r="C40" s="834" t="s">
        <v>3586</v>
      </c>
      <c r="D40" s="835"/>
      <c r="E40" s="419">
        <f>SUM(E41:E44)</f>
        <v>0</v>
      </c>
      <c r="F40" s="419">
        <f>SUM(F41:F44)</f>
        <v>3.2370809600000001</v>
      </c>
      <c r="G40" s="419">
        <f t="shared" ref="G40:K40" si="20">SUM(G41:G44)</f>
        <v>34.609319405000001</v>
      </c>
      <c r="H40" s="419">
        <f t="shared" si="20"/>
        <v>22.898625000000003</v>
      </c>
      <c r="I40" s="419">
        <f t="shared" si="20"/>
        <v>0</v>
      </c>
      <c r="J40" s="419">
        <f t="shared" si="20"/>
        <v>0</v>
      </c>
      <c r="K40" s="419">
        <f t="shared" si="20"/>
        <v>0</v>
      </c>
      <c r="L40" s="838">
        <f t="shared" si="1"/>
        <v>-1</v>
      </c>
      <c r="M40" s="419" t="s">
        <v>3550</v>
      </c>
      <c r="O40" s="858"/>
      <c r="P40" s="858" t="s">
        <v>3587</v>
      </c>
      <c r="Q40" s="858" t="s">
        <v>3511</v>
      </c>
      <c r="R40" s="858" t="s">
        <v>3333</v>
      </c>
      <c r="T40" s="858"/>
      <c r="U40" s="858" t="s">
        <v>3587</v>
      </c>
      <c r="V40" s="858" t="s">
        <v>3511</v>
      </c>
      <c r="W40" s="858" t="s">
        <v>3333</v>
      </c>
      <c r="Y40" s="858"/>
      <c r="Z40" s="858" t="s">
        <v>3587</v>
      </c>
      <c r="AA40" s="858" t="s">
        <v>3511</v>
      </c>
      <c r="AB40" s="858" t="s">
        <v>3333</v>
      </c>
    </row>
    <row r="41" spans="2:30" s="21" customFormat="1" ht="13.5" x14ac:dyDescent="0.3">
      <c r="B41" s="277"/>
      <c r="C41" s="277"/>
      <c r="D41" s="278" t="s">
        <v>89</v>
      </c>
      <c r="E41" s="275">
        <v>0</v>
      </c>
      <c r="F41" s="275">
        <v>3.2370809600000001</v>
      </c>
      <c r="G41" s="281">
        <v>30.159319404999998</v>
      </c>
      <c r="H41" s="281">
        <f>H8*Q44</f>
        <v>18.25</v>
      </c>
      <c r="I41" s="275"/>
      <c r="J41" s="275"/>
      <c r="K41" s="275"/>
      <c r="L41" s="276">
        <f t="shared" si="1"/>
        <v>-1</v>
      </c>
      <c r="M41" s="275"/>
      <c r="O41" s="859">
        <v>1</v>
      </c>
      <c r="P41" s="860" t="s">
        <v>3588</v>
      </c>
      <c r="Q41" s="861">
        <v>0.75</v>
      </c>
      <c r="R41" s="860" t="s">
        <v>3589</v>
      </c>
      <c r="T41" s="859">
        <v>1</v>
      </c>
      <c r="U41" s="860" t="s">
        <v>3588</v>
      </c>
      <c r="V41" s="861">
        <v>0.75</v>
      </c>
      <c r="W41" s="860" t="s">
        <v>3589</v>
      </c>
      <c r="Y41" s="859">
        <v>1</v>
      </c>
      <c r="Z41" s="860" t="s">
        <v>3588</v>
      </c>
      <c r="AA41" s="861">
        <v>0.75</v>
      </c>
      <c r="AB41" s="860" t="s">
        <v>3589</v>
      </c>
    </row>
    <row r="42" spans="2:30" s="21" customFormat="1" ht="13.5" x14ac:dyDescent="0.3">
      <c r="B42" s="277"/>
      <c r="C42" s="277"/>
      <c r="D42" s="283" t="s">
        <v>3318</v>
      </c>
      <c r="E42" s="281">
        <v>0</v>
      </c>
      <c r="F42" s="281"/>
      <c r="G42" s="281">
        <v>2.7</v>
      </c>
      <c r="H42" s="281">
        <f>H9*Q51</f>
        <v>3.37</v>
      </c>
      <c r="I42" s="281"/>
      <c r="J42" s="281"/>
      <c r="K42" s="281"/>
      <c r="L42" s="282">
        <f t="shared" si="1"/>
        <v>0</v>
      </c>
      <c r="M42" s="281"/>
      <c r="O42" s="858">
        <v>2</v>
      </c>
      <c r="P42" s="862" t="s">
        <v>3590</v>
      </c>
      <c r="Q42" s="863">
        <f>1-Q41</f>
        <v>0.25</v>
      </c>
      <c r="R42" s="862"/>
      <c r="T42" s="858">
        <v>2</v>
      </c>
      <c r="U42" s="862" t="s">
        <v>3590</v>
      </c>
      <c r="V42" s="863">
        <f>1-V41</f>
        <v>0.25</v>
      </c>
      <c r="W42" s="862"/>
      <c r="Y42" s="858">
        <v>2</v>
      </c>
      <c r="Z42" s="862" t="s">
        <v>3590</v>
      </c>
      <c r="AA42" s="863">
        <f>1-AA41</f>
        <v>0.25</v>
      </c>
      <c r="AB42" s="862"/>
    </row>
    <row r="43" spans="2:30" s="21" customFormat="1" ht="13.5" x14ac:dyDescent="0.3">
      <c r="B43" s="277"/>
      <c r="C43" s="277"/>
      <c r="D43" s="328" t="s">
        <v>3552</v>
      </c>
      <c r="E43" s="329"/>
      <c r="F43" s="329"/>
      <c r="G43" s="281"/>
      <c r="H43" s="281">
        <f>H10*Q58</f>
        <v>0.42737499999999995</v>
      </c>
      <c r="I43" s="329"/>
      <c r="J43" s="329"/>
      <c r="K43" s="329"/>
      <c r="L43" s="330">
        <f t="shared" si="1"/>
        <v>0</v>
      </c>
      <c r="M43" s="329"/>
      <c r="O43" s="859">
        <v>3</v>
      </c>
      <c r="P43" s="860" t="s">
        <v>3591</v>
      </c>
      <c r="Q43" s="864">
        <f>Q42*0.65</f>
        <v>0.16250000000000001</v>
      </c>
      <c r="R43" s="860" t="s">
        <v>3592</v>
      </c>
      <c r="T43" s="859">
        <v>3</v>
      </c>
      <c r="U43" s="860" t="s">
        <v>3591</v>
      </c>
      <c r="V43" s="864">
        <f>V42*0.3</f>
        <v>7.4999999999999997E-2</v>
      </c>
      <c r="W43" s="860" t="s">
        <v>3593</v>
      </c>
      <c r="X43" s="738"/>
      <c r="Y43" s="859">
        <v>3</v>
      </c>
      <c r="Z43" s="860" t="s">
        <v>3591</v>
      </c>
      <c r="AA43" s="864">
        <f>AA42*0.15</f>
        <v>3.7499999999999999E-2</v>
      </c>
      <c r="AB43" s="860" t="s">
        <v>3594</v>
      </c>
    </row>
    <row r="44" spans="2:30" s="21" customFormat="1" ht="13.5" x14ac:dyDescent="0.3">
      <c r="B44" s="277"/>
      <c r="C44" s="284"/>
      <c r="D44" s="285" t="s">
        <v>3553</v>
      </c>
      <c r="E44" s="286">
        <v>0</v>
      </c>
      <c r="F44" s="286"/>
      <c r="G44" s="281">
        <v>1.75</v>
      </c>
      <c r="H44" s="281">
        <f>H11*Q65</f>
        <v>0.85124999999999995</v>
      </c>
      <c r="I44" s="286"/>
      <c r="J44" s="286"/>
      <c r="K44" s="286"/>
      <c r="L44" s="287">
        <f t="shared" si="1"/>
        <v>0</v>
      </c>
      <c r="M44" s="286"/>
      <c r="O44" s="865">
        <v>4</v>
      </c>
      <c r="P44" s="866" t="s">
        <v>3595</v>
      </c>
      <c r="Q44" s="866">
        <f>Q41+Q43</f>
        <v>0.91249999999999998</v>
      </c>
      <c r="R44" s="867" t="s">
        <v>3596</v>
      </c>
      <c r="S44" s="738"/>
      <c r="T44" s="865">
        <v>4</v>
      </c>
      <c r="U44" s="866" t="s">
        <v>3595</v>
      </c>
      <c r="V44" s="866">
        <f>V41+V43</f>
        <v>0.82499999999999996</v>
      </c>
      <c r="W44" s="867" t="s">
        <v>3596</v>
      </c>
      <c r="Y44" s="865">
        <v>4</v>
      </c>
      <c r="Z44" s="866" t="s">
        <v>3595</v>
      </c>
      <c r="AA44" s="866">
        <f>AA41+AA43</f>
        <v>0.78749999999999998</v>
      </c>
      <c r="AB44" s="867" t="s">
        <v>3596</v>
      </c>
      <c r="AD44" s="21" t="s">
        <v>3597</v>
      </c>
    </row>
    <row r="45" spans="2:30" s="21" customFormat="1" ht="13.5" x14ac:dyDescent="0.3">
      <c r="B45" s="277"/>
      <c r="C45" s="834" t="s">
        <v>3598</v>
      </c>
      <c r="D45" s="835"/>
      <c r="E45" s="419">
        <f>SUM(E46:E49)</f>
        <v>0</v>
      </c>
      <c r="F45" s="419">
        <f>SUM(F46:F49)</f>
        <v>0</v>
      </c>
      <c r="G45" s="419">
        <f t="shared" ref="G45:K45" si="21">SUM(G46:G49)</f>
        <v>37.379999999999995</v>
      </c>
      <c r="H45" s="419">
        <f t="shared" si="21"/>
        <v>42.207499999999996</v>
      </c>
      <c r="I45" s="419">
        <f t="shared" si="21"/>
        <v>0</v>
      </c>
      <c r="J45" s="419">
        <f t="shared" si="21"/>
        <v>0</v>
      </c>
      <c r="K45" s="419">
        <f t="shared" si="21"/>
        <v>0</v>
      </c>
      <c r="L45" s="838">
        <f t="shared" si="1"/>
        <v>0</v>
      </c>
      <c r="M45" s="419" t="s">
        <v>3555</v>
      </c>
      <c r="O45" s="857" t="s">
        <v>3599</v>
      </c>
      <c r="T45" s="857" t="s">
        <v>3599</v>
      </c>
      <c r="Y45" s="857" t="s">
        <v>3599</v>
      </c>
    </row>
    <row r="46" spans="2:30" s="21" customFormat="1" ht="13.5" x14ac:dyDescent="0.3">
      <c r="B46" s="277"/>
      <c r="C46" s="277"/>
      <c r="D46" s="278" t="s">
        <v>89</v>
      </c>
      <c r="E46" s="275">
        <v>0</v>
      </c>
      <c r="F46" s="275"/>
      <c r="G46" s="281">
        <v>37.379999999999995</v>
      </c>
      <c r="H46" s="281">
        <f>H13*V44</f>
        <v>24.75</v>
      </c>
      <c r="I46" s="275"/>
      <c r="J46" s="275"/>
      <c r="K46" s="275"/>
      <c r="L46" s="276">
        <f t="shared" si="1"/>
        <v>0</v>
      </c>
      <c r="M46" s="275"/>
      <c r="O46" s="858"/>
      <c r="P46" s="858" t="s">
        <v>3587</v>
      </c>
      <c r="Q46" s="858" t="s">
        <v>3511</v>
      </c>
      <c r="R46" s="858" t="s">
        <v>3333</v>
      </c>
      <c r="T46" s="858"/>
      <c r="U46" s="858" t="s">
        <v>3587</v>
      </c>
      <c r="V46" s="858" t="s">
        <v>3511</v>
      </c>
      <c r="W46" s="858" t="s">
        <v>3333</v>
      </c>
      <c r="Y46" s="858"/>
      <c r="Z46" s="858" t="s">
        <v>3587</v>
      </c>
      <c r="AA46" s="858" t="s">
        <v>3511</v>
      </c>
      <c r="AB46" s="858" t="s">
        <v>3333</v>
      </c>
    </row>
    <row r="47" spans="2:30" s="21" customFormat="1" ht="13.5" x14ac:dyDescent="0.3">
      <c r="B47" s="277"/>
      <c r="C47" s="277"/>
      <c r="D47" s="283" t="s">
        <v>3318</v>
      </c>
      <c r="E47" s="281">
        <v>0</v>
      </c>
      <c r="F47" s="281"/>
      <c r="G47" s="281"/>
      <c r="H47" s="281">
        <f>H14*V51</f>
        <v>6.8500000000000005</v>
      </c>
      <c r="I47" s="281"/>
      <c r="J47" s="281"/>
      <c r="K47" s="281"/>
      <c r="L47" s="282">
        <f t="shared" si="1"/>
        <v>0</v>
      </c>
      <c r="M47" s="281"/>
      <c r="O47" s="859">
        <v>1</v>
      </c>
      <c r="P47" s="860" t="s">
        <v>3600</v>
      </c>
      <c r="Q47" s="861">
        <v>0.1</v>
      </c>
      <c r="R47" s="860" t="s">
        <v>3589</v>
      </c>
      <c r="T47" s="859">
        <v>1</v>
      </c>
      <c r="U47" s="860" t="s">
        <v>3600</v>
      </c>
      <c r="V47" s="861">
        <v>0.1</v>
      </c>
      <c r="W47" s="860" t="s">
        <v>3589</v>
      </c>
      <c r="Y47" s="859">
        <v>1</v>
      </c>
      <c r="Z47" s="860" t="s">
        <v>3600</v>
      </c>
      <c r="AA47" s="861">
        <v>0.1</v>
      </c>
      <c r="AB47" s="860" t="s">
        <v>3589</v>
      </c>
    </row>
    <row r="48" spans="2:30" s="21" customFormat="1" ht="13.5" x14ac:dyDescent="0.3">
      <c r="B48" s="277"/>
      <c r="C48" s="277"/>
      <c r="D48" s="328" t="s">
        <v>3552</v>
      </c>
      <c r="E48" s="329"/>
      <c r="F48" s="329"/>
      <c r="G48" s="281"/>
      <c r="H48" s="281">
        <f>H15*V58</f>
        <v>7.0949999999999989</v>
      </c>
      <c r="I48" s="329"/>
      <c r="J48" s="329"/>
      <c r="K48" s="329"/>
      <c r="L48" s="330">
        <f t="shared" si="1"/>
        <v>0</v>
      </c>
      <c r="M48" s="329"/>
      <c r="O48" s="858">
        <v>2</v>
      </c>
      <c r="P48" s="862" t="s">
        <v>3601</v>
      </c>
      <c r="Q48" s="863">
        <f>1-Q47</f>
        <v>0.9</v>
      </c>
      <c r="R48" s="862"/>
      <c r="T48" s="858">
        <v>2</v>
      </c>
      <c r="U48" s="862" t="s">
        <v>3601</v>
      </c>
      <c r="V48" s="863">
        <f>1-V47</f>
        <v>0.9</v>
      </c>
      <c r="W48" s="862"/>
      <c r="Y48" s="858">
        <v>2</v>
      </c>
      <c r="Z48" s="862" t="s">
        <v>3601</v>
      </c>
      <c r="AA48" s="863">
        <f>1-AA47</f>
        <v>0.9</v>
      </c>
      <c r="AB48" s="862"/>
    </row>
    <row r="49" spans="2:30" s="21" customFormat="1" ht="13.5" x14ac:dyDescent="0.3">
      <c r="B49" s="277"/>
      <c r="C49" s="284"/>
      <c r="D49" s="285" t="s">
        <v>3553</v>
      </c>
      <c r="E49" s="286">
        <v>0</v>
      </c>
      <c r="F49" s="286"/>
      <c r="G49" s="281"/>
      <c r="H49" s="281">
        <f>H16*V65</f>
        <v>3.5124999999999993</v>
      </c>
      <c r="I49" s="286"/>
      <c r="J49" s="286"/>
      <c r="K49" s="286"/>
      <c r="L49" s="287">
        <f t="shared" si="1"/>
        <v>0</v>
      </c>
      <c r="M49" s="286"/>
      <c r="O49" s="859">
        <v>3</v>
      </c>
      <c r="P49" s="860" t="s">
        <v>3602</v>
      </c>
      <c r="Q49" s="861">
        <f>Q48*0.5</f>
        <v>0.45</v>
      </c>
      <c r="R49" s="860" t="s">
        <v>3603</v>
      </c>
      <c r="T49" s="859">
        <v>3</v>
      </c>
      <c r="U49" s="860" t="s">
        <v>3602</v>
      </c>
      <c r="V49" s="861">
        <f>V48*0.5</f>
        <v>0.45</v>
      </c>
      <c r="W49" s="860" t="s">
        <v>3603</v>
      </c>
      <c r="Y49" s="859">
        <v>3</v>
      </c>
      <c r="Z49" s="860" t="s">
        <v>3602</v>
      </c>
      <c r="AA49" s="861">
        <f>AA48*0.5</f>
        <v>0.45</v>
      </c>
      <c r="AB49" s="860" t="s">
        <v>3603</v>
      </c>
      <c r="AD49" s="21" t="s">
        <v>3597</v>
      </c>
    </row>
    <row r="50" spans="2:30" s="21" customFormat="1" ht="13.5" x14ac:dyDescent="0.3">
      <c r="B50" s="277"/>
      <c r="C50" s="834" t="s">
        <v>3560</v>
      </c>
      <c r="D50" s="835"/>
      <c r="E50" s="419">
        <f>SUM(E51:E54)</f>
        <v>0</v>
      </c>
      <c r="F50" s="419">
        <f>SUM(F51:F54)</f>
        <v>0</v>
      </c>
      <c r="G50" s="419">
        <f t="shared" ref="G50:K50" si="22">SUM(G51:G54)</f>
        <v>0</v>
      </c>
      <c r="H50" s="419">
        <f t="shared" si="22"/>
        <v>59.082499999999996</v>
      </c>
      <c r="I50" s="419">
        <f t="shared" si="22"/>
        <v>29.8325</v>
      </c>
      <c r="J50" s="419">
        <f t="shared" si="22"/>
        <v>0</v>
      </c>
      <c r="K50" s="419">
        <f t="shared" si="22"/>
        <v>0</v>
      </c>
      <c r="L50" s="838">
        <f t="shared" si="1"/>
        <v>0</v>
      </c>
      <c r="M50" s="419" t="s">
        <v>3561</v>
      </c>
      <c r="O50" s="859">
        <v>4</v>
      </c>
      <c r="P50" s="860" t="s">
        <v>3591</v>
      </c>
      <c r="Q50" s="864">
        <f>Q49*0.65</f>
        <v>0.29250000000000004</v>
      </c>
      <c r="R50" s="860" t="s">
        <v>3592</v>
      </c>
      <c r="T50" s="859">
        <v>4</v>
      </c>
      <c r="U50" s="860" t="s">
        <v>3591</v>
      </c>
      <c r="V50" s="864">
        <f>V49*0.3</f>
        <v>0.13500000000000001</v>
      </c>
      <c r="W50" s="860" t="s">
        <v>3593</v>
      </c>
      <c r="Y50" s="859">
        <v>4</v>
      </c>
      <c r="Z50" s="860" t="s">
        <v>3591</v>
      </c>
      <c r="AA50" s="864">
        <f>AA49*0.15</f>
        <v>6.7500000000000004E-2</v>
      </c>
      <c r="AB50" s="860" t="s">
        <v>3604</v>
      </c>
    </row>
    <row r="51" spans="2:30" s="21" customFormat="1" ht="13.5" x14ac:dyDescent="0.3">
      <c r="B51" s="277"/>
      <c r="C51" s="277"/>
      <c r="D51" s="278" t="s">
        <v>3551</v>
      </c>
      <c r="E51" s="275">
        <v>0</v>
      </c>
      <c r="F51" s="275"/>
      <c r="G51" s="275"/>
      <c r="H51" s="275">
        <f>H18*$V$44+Q70</f>
        <v>41.625</v>
      </c>
      <c r="I51" s="275">
        <f>I18*$V$44</f>
        <v>12.375</v>
      </c>
      <c r="J51" s="275"/>
      <c r="K51" s="275"/>
      <c r="L51" s="276">
        <f t="shared" si="1"/>
        <v>0</v>
      </c>
      <c r="M51" s="275"/>
      <c r="O51" s="865">
        <v>5</v>
      </c>
      <c r="P51" s="866" t="s">
        <v>3605</v>
      </c>
      <c r="Q51" s="866">
        <f>Q47+Q49+Q50</f>
        <v>0.84250000000000003</v>
      </c>
      <c r="R51" s="867" t="s">
        <v>3606</v>
      </c>
      <c r="T51" s="865">
        <v>5</v>
      </c>
      <c r="U51" s="866" t="s">
        <v>3605</v>
      </c>
      <c r="V51" s="866">
        <f>V47+V49+V50</f>
        <v>0.68500000000000005</v>
      </c>
      <c r="W51" s="867" t="s">
        <v>3606</v>
      </c>
      <c r="Y51" s="865">
        <v>5</v>
      </c>
      <c r="Z51" s="866" t="s">
        <v>3605</v>
      </c>
      <c r="AA51" s="866">
        <f>AA47+AA49+AA50</f>
        <v>0.61750000000000005</v>
      </c>
      <c r="AB51" s="867" t="s">
        <v>3606</v>
      </c>
    </row>
    <row r="52" spans="2:30" s="21" customFormat="1" ht="13.5" x14ac:dyDescent="0.3">
      <c r="B52" s="277"/>
      <c r="C52" s="277"/>
      <c r="D52" s="283" t="s">
        <v>3315</v>
      </c>
      <c r="E52" s="281">
        <v>0</v>
      </c>
      <c r="F52" s="281"/>
      <c r="G52" s="281"/>
      <c r="H52" s="281">
        <f>H19*$V$51</f>
        <v>6.8500000000000005</v>
      </c>
      <c r="I52" s="281">
        <f>I19*$V$51</f>
        <v>6.8500000000000005</v>
      </c>
      <c r="J52" s="281"/>
      <c r="K52" s="281"/>
      <c r="L52" s="282">
        <f t="shared" si="1"/>
        <v>0</v>
      </c>
      <c r="M52" s="281"/>
      <c r="O52" s="857" t="s">
        <v>3607</v>
      </c>
      <c r="T52" s="857" t="s">
        <v>3607</v>
      </c>
      <c r="Y52" s="857" t="s">
        <v>3607</v>
      </c>
    </row>
    <row r="53" spans="2:30" s="21" customFormat="1" ht="13.5" x14ac:dyDescent="0.3">
      <c r="B53" s="277"/>
      <c r="C53" s="277"/>
      <c r="D53" s="328" t="s">
        <v>3552</v>
      </c>
      <c r="E53" s="329"/>
      <c r="F53" s="329"/>
      <c r="G53" s="329"/>
      <c r="H53" s="329">
        <f>H20*$V$58</f>
        <v>7.0949999999999989</v>
      </c>
      <c r="I53" s="329">
        <f>I20*$V$58</f>
        <v>7.0949999999999989</v>
      </c>
      <c r="J53" s="329"/>
      <c r="K53" s="329"/>
      <c r="L53" s="330">
        <f t="shared" si="1"/>
        <v>0</v>
      </c>
      <c r="M53" s="329"/>
      <c r="O53" s="858"/>
      <c r="P53" s="858" t="s">
        <v>3587</v>
      </c>
      <c r="Q53" s="858" t="s">
        <v>3511</v>
      </c>
      <c r="R53" s="858" t="s">
        <v>3333</v>
      </c>
      <c r="T53" s="858"/>
      <c r="U53" s="858" t="s">
        <v>3587</v>
      </c>
      <c r="V53" s="858" t="s">
        <v>3511</v>
      </c>
      <c r="W53" s="858" t="s">
        <v>3333</v>
      </c>
      <c r="Y53" s="858"/>
      <c r="Z53" s="858" t="s">
        <v>3587</v>
      </c>
      <c r="AA53" s="858" t="s">
        <v>3511</v>
      </c>
      <c r="AB53" s="858" t="s">
        <v>3333</v>
      </c>
    </row>
    <row r="54" spans="2:30" s="21" customFormat="1" ht="13.5" x14ac:dyDescent="0.3">
      <c r="B54" s="277"/>
      <c r="C54" s="284"/>
      <c r="D54" s="285" t="s">
        <v>3553</v>
      </c>
      <c r="E54" s="286">
        <v>0</v>
      </c>
      <c r="F54" s="286"/>
      <c r="G54" s="286"/>
      <c r="H54" s="286">
        <f>H21*$V$65</f>
        <v>3.5124999999999993</v>
      </c>
      <c r="I54" s="286">
        <f>I21*$V$65</f>
        <v>3.5124999999999993</v>
      </c>
      <c r="J54" s="286"/>
      <c r="K54" s="286"/>
      <c r="L54" s="287">
        <f t="shared" si="1"/>
        <v>0</v>
      </c>
      <c r="M54" s="286"/>
      <c r="O54" s="859">
        <v>1</v>
      </c>
      <c r="P54" s="868" t="s">
        <v>3608</v>
      </c>
      <c r="Q54" s="861">
        <v>0.17</v>
      </c>
      <c r="R54" s="860" t="s">
        <v>3589</v>
      </c>
      <c r="T54" s="859">
        <v>1</v>
      </c>
      <c r="U54" s="868" t="s">
        <v>3608</v>
      </c>
      <c r="V54" s="861">
        <v>0.17</v>
      </c>
      <c r="W54" s="860" t="s">
        <v>3589</v>
      </c>
      <c r="Y54" s="859">
        <v>1</v>
      </c>
      <c r="Z54" s="868" t="s">
        <v>3608</v>
      </c>
      <c r="AA54" s="861">
        <v>0.17</v>
      </c>
      <c r="AB54" s="860" t="s">
        <v>3589</v>
      </c>
    </row>
    <row r="55" spans="2:30" s="21" customFormat="1" ht="13.5" x14ac:dyDescent="0.3">
      <c r="B55" s="277"/>
      <c r="C55" s="834" t="s">
        <v>3566</v>
      </c>
      <c r="D55" s="835"/>
      <c r="E55" s="419">
        <f>SUM(E56:E59)</f>
        <v>0</v>
      </c>
      <c r="F55" s="419">
        <f>SUM(F56:F59)</f>
        <v>0</v>
      </c>
      <c r="G55" s="419">
        <f t="shared" ref="G55:K55" si="23">SUM(G56:G59)</f>
        <v>0</v>
      </c>
      <c r="H55" s="419">
        <f t="shared" si="23"/>
        <v>0</v>
      </c>
      <c r="I55" s="419">
        <f t="shared" si="23"/>
        <v>79.094999999999999</v>
      </c>
      <c r="J55" s="419">
        <f t="shared" si="23"/>
        <v>45.72</v>
      </c>
      <c r="K55" s="419">
        <f t="shared" si="23"/>
        <v>0</v>
      </c>
      <c r="L55" s="838">
        <f t="shared" si="1"/>
        <v>0</v>
      </c>
      <c r="M55" s="419" t="s">
        <v>3609</v>
      </c>
      <c r="O55" s="858">
        <v>2</v>
      </c>
      <c r="P55" s="869" t="s">
        <v>3610</v>
      </c>
      <c r="Q55" s="863">
        <f>1-Q54</f>
        <v>0.83</v>
      </c>
      <c r="R55" s="862"/>
      <c r="T55" s="858">
        <v>2</v>
      </c>
      <c r="U55" s="869" t="s">
        <v>3610</v>
      </c>
      <c r="V55" s="863">
        <f>1-V54</f>
        <v>0.83</v>
      </c>
      <c r="W55" s="862"/>
      <c r="Y55" s="858">
        <v>2</v>
      </c>
      <c r="Z55" s="869" t="s">
        <v>3610</v>
      </c>
      <c r="AA55" s="863">
        <f>1-AA54</f>
        <v>0.83</v>
      </c>
      <c r="AB55" s="862"/>
    </row>
    <row r="56" spans="2:30" s="21" customFormat="1" ht="13.5" x14ac:dyDescent="0.3">
      <c r="B56" s="277"/>
      <c r="C56" s="277"/>
      <c r="D56" s="278" t="s">
        <v>89</v>
      </c>
      <c r="E56" s="275">
        <v>0</v>
      </c>
      <c r="F56" s="275"/>
      <c r="G56" s="275"/>
      <c r="H56" s="275"/>
      <c r="I56" s="275">
        <f>I23*$V$44+Q70</f>
        <v>58.125</v>
      </c>
      <c r="J56" s="275">
        <f>J23*$V$44</f>
        <v>24.75</v>
      </c>
      <c r="K56" s="275"/>
      <c r="L56" s="276">
        <f t="shared" si="1"/>
        <v>0</v>
      </c>
      <c r="M56" s="275"/>
      <c r="O56" s="859">
        <v>3</v>
      </c>
      <c r="P56" s="868" t="s">
        <v>3602</v>
      </c>
      <c r="Q56" s="861">
        <f>Q55*0.5</f>
        <v>0.41499999999999998</v>
      </c>
      <c r="R56" s="860" t="s">
        <v>3611</v>
      </c>
      <c r="T56" s="859">
        <v>3</v>
      </c>
      <c r="U56" s="868" t="s">
        <v>3602</v>
      </c>
      <c r="V56" s="861">
        <f>V55*0.5</f>
        <v>0.41499999999999998</v>
      </c>
      <c r="W56" s="860" t="s">
        <v>3611</v>
      </c>
      <c r="Y56" s="859">
        <v>3</v>
      </c>
      <c r="Z56" s="868" t="s">
        <v>3602</v>
      </c>
      <c r="AA56" s="861">
        <f>AA55*0.5</f>
        <v>0.41499999999999998</v>
      </c>
      <c r="AB56" s="860" t="s">
        <v>3611</v>
      </c>
    </row>
    <row r="57" spans="2:30" s="21" customFormat="1" ht="13.5" x14ac:dyDescent="0.3">
      <c r="B57" s="277"/>
      <c r="C57" s="277"/>
      <c r="D57" s="283" t="s">
        <v>3318</v>
      </c>
      <c r="E57" s="281">
        <v>0</v>
      </c>
      <c r="F57" s="281"/>
      <c r="G57" s="281"/>
      <c r="H57" s="281"/>
      <c r="I57" s="281">
        <f>I24*$V$51</f>
        <v>6.8500000000000005</v>
      </c>
      <c r="J57" s="281">
        <f>J24*$V$51</f>
        <v>6.8500000000000005</v>
      </c>
      <c r="K57" s="281"/>
      <c r="L57" s="282">
        <f t="shared" si="1"/>
        <v>0</v>
      </c>
      <c r="M57" s="281"/>
      <c r="O57" s="859">
        <v>4</v>
      </c>
      <c r="P57" s="868" t="s">
        <v>3591</v>
      </c>
      <c r="Q57" s="864">
        <f>Q56*0.65</f>
        <v>0.26974999999999999</v>
      </c>
      <c r="R57" s="860" t="s">
        <v>3592</v>
      </c>
      <c r="T57" s="859">
        <v>4</v>
      </c>
      <c r="U57" s="868" t="s">
        <v>3591</v>
      </c>
      <c r="V57" s="864">
        <f>V56*0.3</f>
        <v>0.12449999999999999</v>
      </c>
      <c r="W57" s="860" t="s">
        <v>3593</v>
      </c>
      <c r="Y57" s="859">
        <v>4</v>
      </c>
      <c r="Z57" s="868" t="s">
        <v>3591</v>
      </c>
      <c r="AA57" s="864">
        <f>AA56*0.15</f>
        <v>6.2249999999999993E-2</v>
      </c>
      <c r="AB57" s="860" t="s">
        <v>3604</v>
      </c>
    </row>
    <row r="58" spans="2:30" s="21" customFormat="1" ht="13.5" x14ac:dyDescent="0.3">
      <c r="B58" s="277"/>
      <c r="C58" s="277"/>
      <c r="D58" s="328" t="s">
        <v>3552</v>
      </c>
      <c r="E58" s="329"/>
      <c r="F58" s="329"/>
      <c r="G58" s="329"/>
      <c r="H58" s="329"/>
      <c r="I58" s="329">
        <f>I25*$V$58</f>
        <v>7.0949999999999989</v>
      </c>
      <c r="J58" s="329">
        <f>J25*$V$58</f>
        <v>7.0949999999999989</v>
      </c>
      <c r="K58" s="329"/>
      <c r="L58" s="330">
        <f t="shared" si="1"/>
        <v>0</v>
      </c>
      <c r="M58" s="329"/>
      <c r="O58" s="865">
        <v>5</v>
      </c>
      <c r="P58" s="870" t="s">
        <v>3605</v>
      </c>
      <c r="Q58" s="866">
        <f>Q54+Q56+Q57</f>
        <v>0.8547499999999999</v>
      </c>
      <c r="R58" s="867" t="s">
        <v>3606</v>
      </c>
      <c r="T58" s="865">
        <v>5</v>
      </c>
      <c r="U58" s="870" t="s">
        <v>3605</v>
      </c>
      <c r="V58" s="866">
        <f>V54+V56+V57</f>
        <v>0.70949999999999991</v>
      </c>
      <c r="W58" s="867" t="s">
        <v>3606</v>
      </c>
      <c r="Y58" s="865">
        <v>5</v>
      </c>
      <c r="Z58" s="870" t="s">
        <v>3605</v>
      </c>
      <c r="AA58" s="866">
        <f>AA54+AA56+AA57</f>
        <v>0.64724999999999999</v>
      </c>
      <c r="AB58" s="867" t="s">
        <v>3606</v>
      </c>
    </row>
    <row r="59" spans="2:30" s="21" customFormat="1" ht="13.5" x14ac:dyDescent="0.3">
      <c r="B59" s="277"/>
      <c r="C59" s="284"/>
      <c r="D59" s="285" t="s">
        <v>3553</v>
      </c>
      <c r="E59" s="286">
        <v>0</v>
      </c>
      <c r="F59" s="286"/>
      <c r="G59" s="286"/>
      <c r="H59" s="286"/>
      <c r="I59" s="286">
        <f>I26*$V$65</f>
        <v>7.0249999999999986</v>
      </c>
      <c r="J59" s="286">
        <f>J26*$V$65</f>
        <v>7.0249999999999986</v>
      </c>
      <c r="K59" s="286"/>
      <c r="L59" s="287">
        <f t="shared" si="1"/>
        <v>0</v>
      </c>
      <c r="M59" s="286"/>
      <c r="O59" s="857" t="s">
        <v>3612</v>
      </c>
      <c r="T59" s="857" t="s">
        <v>3612</v>
      </c>
      <c r="Y59" s="857" t="s">
        <v>3612</v>
      </c>
    </row>
    <row r="60" spans="2:30" s="21" customFormat="1" ht="13.5" x14ac:dyDescent="0.3">
      <c r="B60" s="277"/>
      <c r="C60" s="834" t="s">
        <v>3575</v>
      </c>
      <c r="D60" s="835"/>
      <c r="E60" s="419">
        <f>SUM(E61:E64)</f>
        <v>0</v>
      </c>
      <c r="F60" s="419">
        <f>SUM(F61:F64)</f>
        <v>0</v>
      </c>
      <c r="G60" s="419">
        <f t="shared" ref="G60:K60" si="24">SUM(G61:G64)</f>
        <v>0</v>
      </c>
      <c r="H60" s="419">
        <f t="shared" si="24"/>
        <v>0</v>
      </c>
      <c r="I60" s="419">
        <f t="shared" si="24"/>
        <v>0</v>
      </c>
      <c r="J60" s="419">
        <f t="shared" si="24"/>
        <v>87.297999999999988</v>
      </c>
      <c r="K60" s="419">
        <f t="shared" si="24"/>
        <v>55.49799999999999</v>
      </c>
      <c r="L60" s="838">
        <f t="shared" si="1"/>
        <v>0</v>
      </c>
      <c r="M60" s="419"/>
      <c r="O60" s="858"/>
      <c r="P60" s="858" t="s">
        <v>3587</v>
      </c>
      <c r="Q60" s="858" t="s">
        <v>3511</v>
      </c>
      <c r="R60" s="858" t="s">
        <v>3333</v>
      </c>
      <c r="T60" s="858"/>
      <c r="U60" s="858" t="s">
        <v>3587</v>
      </c>
      <c r="V60" s="858" t="s">
        <v>3511</v>
      </c>
      <c r="W60" s="858" t="s">
        <v>3333</v>
      </c>
      <c r="Y60" s="858"/>
      <c r="Z60" s="858" t="s">
        <v>3587</v>
      </c>
      <c r="AA60" s="858" t="s">
        <v>3511</v>
      </c>
      <c r="AB60" s="858" t="s">
        <v>3333</v>
      </c>
    </row>
    <row r="61" spans="2:30" s="21" customFormat="1" ht="13.5" x14ac:dyDescent="0.3">
      <c r="B61" s="277"/>
      <c r="C61" s="277"/>
      <c r="D61" s="278" t="s">
        <v>89</v>
      </c>
      <c r="E61" s="275">
        <v>0</v>
      </c>
      <c r="F61" s="275"/>
      <c r="G61" s="275"/>
      <c r="H61" s="275"/>
      <c r="I61" s="275">
        <f>I28*$AA$44</f>
        <v>0</v>
      </c>
      <c r="J61" s="275">
        <f>J28*$AA$44+Q71</f>
        <v>69.599999999999994</v>
      </c>
      <c r="K61" s="275">
        <f>K28*$AA$44</f>
        <v>37.799999999999997</v>
      </c>
      <c r="L61" s="276">
        <f t="shared" si="1"/>
        <v>0</v>
      </c>
      <c r="M61" s="275"/>
      <c r="O61" s="859">
        <v>1</v>
      </c>
      <c r="P61" s="868" t="s">
        <v>3613</v>
      </c>
      <c r="Q61" s="861">
        <v>0.15</v>
      </c>
      <c r="R61" s="860" t="s">
        <v>3589</v>
      </c>
      <c r="T61" s="859">
        <v>1</v>
      </c>
      <c r="U61" s="868" t="s">
        <v>3613</v>
      </c>
      <c r="V61" s="861">
        <v>0.15</v>
      </c>
      <c r="W61" s="860" t="s">
        <v>3589</v>
      </c>
      <c r="Y61" s="859">
        <v>1</v>
      </c>
      <c r="Z61" s="868" t="s">
        <v>3613</v>
      </c>
      <c r="AA61" s="861">
        <v>0.15</v>
      </c>
      <c r="AB61" s="860" t="s">
        <v>3589</v>
      </c>
    </row>
    <row r="62" spans="2:30" s="21" customFormat="1" ht="13.5" x14ac:dyDescent="0.3">
      <c r="B62" s="277"/>
      <c r="C62" s="277"/>
      <c r="D62" s="283" t="s">
        <v>3318</v>
      </c>
      <c r="E62" s="281">
        <v>0</v>
      </c>
      <c r="F62" s="281"/>
      <c r="G62" s="281"/>
      <c r="H62" s="281"/>
      <c r="I62" s="281">
        <f>I29*$AA$51</f>
        <v>0</v>
      </c>
      <c r="J62" s="281">
        <f>J29*$AA$51</f>
        <v>7.41</v>
      </c>
      <c r="K62" s="281">
        <f>K29*$AA$51</f>
        <v>7.41</v>
      </c>
      <c r="L62" s="282">
        <f t="shared" si="1"/>
        <v>0</v>
      </c>
      <c r="M62" s="281"/>
      <c r="O62" s="858">
        <v>2</v>
      </c>
      <c r="P62" s="869" t="s">
        <v>3614</v>
      </c>
      <c r="Q62" s="863">
        <f>1-Q61</f>
        <v>0.85</v>
      </c>
      <c r="R62" s="862"/>
      <c r="T62" s="858">
        <v>2</v>
      </c>
      <c r="U62" s="869" t="s">
        <v>3614</v>
      </c>
      <c r="V62" s="863">
        <f>1-V61</f>
        <v>0.85</v>
      </c>
      <c r="W62" s="862"/>
      <c r="Y62" s="858">
        <v>2</v>
      </c>
      <c r="Z62" s="869" t="s">
        <v>3614</v>
      </c>
      <c r="AA62" s="863">
        <f>1-AA61</f>
        <v>0.85</v>
      </c>
      <c r="AB62" s="862"/>
    </row>
    <row r="63" spans="2:30" s="21" customFormat="1" ht="13.5" x14ac:dyDescent="0.3">
      <c r="B63" s="277"/>
      <c r="C63" s="277"/>
      <c r="D63" s="328" t="s">
        <v>3552</v>
      </c>
      <c r="E63" s="329"/>
      <c r="F63" s="329"/>
      <c r="G63" s="329"/>
      <c r="H63" s="329"/>
      <c r="I63" s="329">
        <f>I30*$AA$58</f>
        <v>0</v>
      </c>
      <c r="J63" s="329">
        <f>J30*$AA$58</f>
        <v>5.1779999999999999</v>
      </c>
      <c r="K63" s="329">
        <f>K30*$AA$58</f>
        <v>5.1779999999999999</v>
      </c>
      <c r="L63" s="330">
        <f t="shared" si="1"/>
        <v>0</v>
      </c>
      <c r="M63" s="329"/>
      <c r="O63" s="859">
        <v>3</v>
      </c>
      <c r="P63" s="868" t="s">
        <v>3602</v>
      </c>
      <c r="Q63" s="861">
        <f>Q62*0.5</f>
        <v>0.42499999999999999</v>
      </c>
      <c r="R63" s="860" t="s">
        <v>3615</v>
      </c>
      <c r="T63" s="859">
        <v>3</v>
      </c>
      <c r="U63" s="868" t="s">
        <v>3602</v>
      </c>
      <c r="V63" s="861">
        <f>V62*0.5</f>
        <v>0.42499999999999999</v>
      </c>
      <c r="W63" s="860" t="s">
        <v>3615</v>
      </c>
      <c r="Y63" s="859">
        <v>3</v>
      </c>
      <c r="Z63" s="868" t="s">
        <v>3602</v>
      </c>
      <c r="AA63" s="861">
        <f>AA62*0.5</f>
        <v>0.42499999999999999</v>
      </c>
      <c r="AB63" s="860" t="s">
        <v>3615</v>
      </c>
    </row>
    <row r="64" spans="2:30" s="21" customFormat="1" ht="13.5" x14ac:dyDescent="0.3">
      <c r="B64" s="277"/>
      <c r="C64" s="284"/>
      <c r="D64" s="285" t="s">
        <v>3553</v>
      </c>
      <c r="E64" s="286">
        <v>0</v>
      </c>
      <c r="F64" s="286"/>
      <c r="G64" s="286"/>
      <c r="H64" s="286"/>
      <c r="I64" s="286">
        <f>I31*$AA$65</f>
        <v>0</v>
      </c>
      <c r="J64" s="286">
        <f>J31*$AA$65</f>
        <v>5.1099999999999994</v>
      </c>
      <c r="K64" s="286">
        <f>K31*$AA$65</f>
        <v>5.1099999999999994</v>
      </c>
      <c r="L64" s="287">
        <f t="shared" si="1"/>
        <v>0</v>
      </c>
      <c r="M64" s="286"/>
      <c r="O64" s="859">
        <v>4</v>
      </c>
      <c r="P64" s="868" t="s">
        <v>3591</v>
      </c>
      <c r="Q64" s="864">
        <f>Q63*0.65</f>
        <v>0.27625</v>
      </c>
      <c r="R64" s="860" t="s">
        <v>3592</v>
      </c>
      <c r="T64" s="859">
        <v>4</v>
      </c>
      <c r="U64" s="868" t="s">
        <v>3591</v>
      </c>
      <c r="V64" s="871">
        <f>V63*0.3</f>
        <v>0.1275</v>
      </c>
      <c r="W64" s="860" t="s">
        <v>3593</v>
      </c>
      <c r="Y64" s="859">
        <v>4</v>
      </c>
      <c r="Z64" s="868" t="s">
        <v>3591</v>
      </c>
      <c r="AA64" s="864">
        <f>AA63*0.15</f>
        <v>6.3750000000000001E-2</v>
      </c>
      <c r="AB64" s="860" t="s">
        <v>3604</v>
      </c>
    </row>
    <row r="65" spans="2:28" s="21" customFormat="1" ht="13.5" x14ac:dyDescent="0.3">
      <c r="B65" s="277"/>
      <c r="C65" s="834" t="s">
        <v>3580</v>
      </c>
      <c r="D65" s="835"/>
      <c r="E65" s="419">
        <f>SUM(E66:E69)</f>
        <v>0</v>
      </c>
      <c r="F65" s="419">
        <f>SUM(F66:F69)</f>
        <v>0</v>
      </c>
      <c r="G65" s="419">
        <f t="shared" ref="G65:K65" si="25">SUM(G66:G69)</f>
        <v>0</v>
      </c>
      <c r="H65" s="419">
        <f t="shared" si="25"/>
        <v>0</v>
      </c>
      <c r="I65" s="419">
        <f t="shared" si="25"/>
        <v>0</v>
      </c>
      <c r="J65" s="419">
        <f t="shared" si="25"/>
        <v>0</v>
      </c>
      <c r="K65" s="419">
        <f t="shared" si="25"/>
        <v>102.7475</v>
      </c>
      <c r="L65" s="838">
        <f t="shared" si="1"/>
        <v>0</v>
      </c>
      <c r="M65" s="419"/>
      <c r="O65" s="858">
        <v>5</v>
      </c>
      <c r="P65" s="872" t="s">
        <v>3605</v>
      </c>
      <c r="Q65" s="866">
        <f>Q61+Q63+Q64</f>
        <v>0.85124999999999995</v>
      </c>
      <c r="R65" s="862" t="s">
        <v>3606</v>
      </c>
      <c r="T65" s="858">
        <v>5</v>
      </c>
      <c r="U65" s="872" t="s">
        <v>3605</v>
      </c>
      <c r="V65" s="866">
        <f>V61+V63+V64</f>
        <v>0.7024999999999999</v>
      </c>
      <c r="W65" s="862" t="s">
        <v>3606</v>
      </c>
      <c r="Y65" s="858">
        <v>5</v>
      </c>
      <c r="Z65" s="872" t="s">
        <v>3605</v>
      </c>
      <c r="AA65" s="866">
        <f>AA61+AA63+AA64</f>
        <v>0.63874999999999993</v>
      </c>
      <c r="AB65" s="862" t="s">
        <v>3606</v>
      </c>
    </row>
    <row r="66" spans="2:28" s="21" customFormat="1" ht="13.5" x14ac:dyDescent="0.3">
      <c r="B66" s="277"/>
      <c r="C66" s="277"/>
      <c r="D66" s="278" t="s">
        <v>89</v>
      </c>
      <c r="E66" s="275">
        <v>0</v>
      </c>
      <c r="F66" s="275"/>
      <c r="G66" s="275"/>
      <c r="H66" s="275"/>
      <c r="I66" s="275">
        <f>I33*$AA$44</f>
        <v>0</v>
      </c>
      <c r="J66" s="275">
        <f>J33*$AA$44</f>
        <v>0</v>
      </c>
      <c r="K66" s="275">
        <f>K33*$AA$44+Q71</f>
        <v>80.625</v>
      </c>
      <c r="L66" s="276">
        <f t="shared" si="1"/>
        <v>0</v>
      </c>
      <c r="M66" s="275"/>
    </row>
    <row r="67" spans="2:28" s="21" customFormat="1" ht="13.5" x14ac:dyDescent="0.3">
      <c r="B67" s="277"/>
      <c r="C67" s="277"/>
      <c r="D67" s="283" t="s">
        <v>3318</v>
      </c>
      <c r="E67" s="281">
        <v>0</v>
      </c>
      <c r="F67" s="281"/>
      <c r="G67" s="281"/>
      <c r="H67" s="281"/>
      <c r="I67" s="281">
        <f>I34*$AA$51</f>
        <v>0</v>
      </c>
      <c r="J67" s="281">
        <f>J34*$AA$51</f>
        <v>0</v>
      </c>
      <c r="K67" s="281">
        <f>K34*$AA$51</f>
        <v>9.2625000000000011</v>
      </c>
      <c r="L67" s="282">
        <f t="shared" si="1"/>
        <v>0</v>
      </c>
      <c r="M67" s="281"/>
      <c r="O67" s="21" t="s">
        <v>3616</v>
      </c>
    </row>
    <row r="68" spans="2:28" s="21" customFormat="1" ht="13.5" x14ac:dyDescent="0.3">
      <c r="B68" s="277"/>
      <c r="C68" s="277"/>
      <c r="D68" s="328" t="s">
        <v>3552</v>
      </c>
      <c r="E68" s="329"/>
      <c r="F68" s="329"/>
      <c r="G68" s="329"/>
      <c r="H68" s="329"/>
      <c r="I68" s="329">
        <f>I35*$AA$58</f>
        <v>0</v>
      </c>
      <c r="J68" s="329">
        <f>J35*$AA$58</f>
        <v>0</v>
      </c>
      <c r="K68" s="329">
        <f>K35*$AA$58</f>
        <v>6.4725000000000001</v>
      </c>
      <c r="L68" s="330">
        <f t="shared" ref="L68:L109" si="26">IFERROR((K68/F68)^(1/5)-1,0)</f>
        <v>0</v>
      </c>
      <c r="M68" s="329"/>
      <c r="O68" s="21" t="s">
        <v>3617</v>
      </c>
      <c r="Q68" s="21">
        <v>30</v>
      </c>
      <c r="R68" s="21" t="s">
        <v>3618</v>
      </c>
    </row>
    <row r="69" spans="2:28" s="21" customFormat="1" ht="13.5" x14ac:dyDescent="0.3">
      <c r="B69" s="284"/>
      <c r="C69" s="284"/>
      <c r="D69" s="285" t="s">
        <v>3553</v>
      </c>
      <c r="E69" s="286">
        <v>0</v>
      </c>
      <c r="F69" s="286"/>
      <c r="G69" s="286"/>
      <c r="H69" s="286"/>
      <c r="I69" s="286">
        <f>I36*$AA$65</f>
        <v>0</v>
      </c>
      <c r="J69" s="286">
        <f>J36*$AA$65</f>
        <v>0</v>
      </c>
      <c r="K69" s="286">
        <f>K36*$AA$65</f>
        <v>6.3874999999999993</v>
      </c>
      <c r="L69" s="287">
        <f t="shared" si="26"/>
        <v>0</v>
      </c>
      <c r="M69" s="286"/>
      <c r="P69" s="738">
        <v>0.35</v>
      </c>
      <c r="Q69" s="21">
        <f>+$Q$68*P69</f>
        <v>10.5</v>
      </c>
    </row>
    <row r="70" spans="2:28" s="21" customFormat="1" ht="13.5" x14ac:dyDescent="0.3">
      <c r="B70" s="262" t="s">
        <v>3320</v>
      </c>
      <c r="C70" s="263"/>
      <c r="D70" s="264"/>
      <c r="E70" s="265">
        <f>SUM(E71,E72,E73,E78,E83,E88,E93,E98)</f>
        <v>11.021749870000008</v>
      </c>
      <c r="F70" s="265">
        <f t="shared" ref="F70:K70" si="27">SUM(F71,F72,F73,F78,F83,F88,F93,F98)</f>
        <v>-4.2125875199999978</v>
      </c>
      <c r="G70" s="265">
        <f t="shared" si="27"/>
        <v>1.4549805950000056</v>
      </c>
      <c r="H70" s="265">
        <f t="shared" si="27"/>
        <v>26.902309336110772</v>
      </c>
      <c r="I70" s="265">
        <f t="shared" si="27"/>
        <v>32.394835462029533</v>
      </c>
      <c r="J70" s="265">
        <f t="shared" si="27"/>
        <v>43.551953623617102</v>
      </c>
      <c r="K70" s="265">
        <f t="shared" si="27"/>
        <v>62.099910524440375</v>
      </c>
      <c r="L70" s="266">
        <f t="shared" si="26"/>
        <v>-2.7128069145593523</v>
      </c>
      <c r="M70" s="266"/>
      <c r="P70" s="873">
        <v>0.7</v>
      </c>
      <c r="Q70" s="21">
        <f t="shared" ref="Q70:Q71" si="28">+$Q$68*P70</f>
        <v>21</v>
      </c>
    </row>
    <row r="71" spans="2:28" s="21" customFormat="1" x14ac:dyDescent="0.3">
      <c r="B71" s="268"/>
      <c r="C71" s="834" t="s">
        <v>3546</v>
      </c>
      <c r="D71" s="835"/>
      <c r="E71" s="419">
        <f t="shared" ref="E71:K72" si="29">E5-E38</f>
        <v>11.021749870000008</v>
      </c>
      <c r="F71" s="419">
        <f t="shared" si="29"/>
        <v>5.7990913000000006</v>
      </c>
      <c r="G71" s="419">
        <f t="shared" si="29"/>
        <v>11.2943</v>
      </c>
      <c r="H71" s="419">
        <f t="shared" si="29"/>
        <v>15.021703566880007</v>
      </c>
      <c r="I71" s="419">
        <f t="shared" si="29"/>
        <v>19.983873923567998</v>
      </c>
      <c r="J71" s="419">
        <f t="shared" si="29"/>
        <v>25.462261315924792</v>
      </c>
      <c r="K71" s="419">
        <f t="shared" si="29"/>
        <v>31.468487447517305</v>
      </c>
      <c r="L71" s="838">
        <f t="shared" si="26"/>
        <v>0.40250101587873899</v>
      </c>
      <c r="M71" s="419"/>
      <c r="O71"/>
      <c r="P71" s="873">
        <v>0.85</v>
      </c>
      <c r="Q71" s="21">
        <f t="shared" si="28"/>
        <v>25.5</v>
      </c>
      <c r="W71"/>
    </row>
    <row r="72" spans="2:28" s="21" customFormat="1" x14ac:dyDescent="0.3">
      <c r="B72" s="277"/>
      <c r="C72" s="834" t="s">
        <v>3548</v>
      </c>
      <c r="D72" s="835"/>
      <c r="E72" s="419">
        <f t="shared" si="29"/>
        <v>0</v>
      </c>
      <c r="F72" s="419">
        <f t="shared" si="29"/>
        <v>-7.5673985899999989</v>
      </c>
      <c r="G72" s="419">
        <f t="shared" si="29"/>
        <v>4.8000000000000007</v>
      </c>
      <c r="H72" s="419">
        <f t="shared" si="29"/>
        <v>5.5692307692307672</v>
      </c>
      <c r="I72" s="419">
        <f t="shared" si="29"/>
        <v>6.3384615384615337</v>
      </c>
      <c r="J72" s="419">
        <f t="shared" si="29"/>
        <v>7.1076923076923038</v>
      </c>
      <c r="K72" s="419">
        <f t="shared" si="29"/>
        <v>7.8769230769230703</v>
      </c>
      <c r="L72" s="838">
        <f t="shared" si="26"/>
        <v>-2.0080498258248616</v>
      </c>
      <c r="M72" s="419"/>
      <c r="O72" s="2" t="s">
        <v>3619</v>
      </c>
      <c r="P72" s="874"/>
      <c r="Q72"/>
      <c r="R72"/>
      <c r="S72"/>
      <c r="T72"/>
      <c r="U72"/>
      <c r="V72"/>
      <c r="W72"/>
    </row>
    <row r="73" spans="2:28" s="21" customFormat="1" x14ac:dyDescent="0.3">
      <c r="B73" s="277"/>
      <c r="C73" s="834" t="s">
        <v>3586</v>
      </c>
      <c r="D73" s="835"/>
      <c r="E73" s="419">
        <f>SUM(E74:E77)</f>
        <v>0</v>
      </c>
      <c r="F73" s="419">
        <f>SUM(F74:F77)</f>
        <v>-2.4442802299999999</v>
      </c>
      <c r="G73" s="419">
        <f t="shared" ref="G73:K73" si="30">SUM(G74:G77)</f>
        <v>-3.5093194049999994</v>
      </c>
      <c r="H73" s="419">
        <f t="shared" si="30"/>
        <v>2.601375</v>
      </c>
      <c r="I73" s="419">
        <f t="shared" si="30"/>
        <v>0</v>
      </c>
      <c r="J73" s="419">
        <f t="shared" si="30"/>
        <v>0</v>
      </c>
      <c r="K73" s="419">
        <f t="shared" si="30"/>
        <v>0</v>
      </c>
      <c r="L73" s="838">
        <f t="shared" si="26"/>
        <v>-1</v>
      </c>
      <c r="M73" s="419"/>
      <c r="O73" s="723"/>
      <c r="P73" s="723"/>
      <c r="Q73" s="875">
        <v>2022</v>
      </c>
      <c r="R73" s="876">
        <v>2023</v>
      </c>
      <c r="S73" s="877">
        <v>2024</v>
      </c>
      <c r="T73" s="878">
        <v>2025</v>
      </c>
      <c r="U73" s="878">
        <v>2026</v>
      </c>
      <c r="V73" s="879">
        <v>2027</v>
      </c>
      <c r="W73" s="880"/>
    </row>
    <row r="74" spans="2:28" s="21" customFormat="1" x14ac:dyDescent="0.3">
      <c r="B74" s="277"/>
      <c r="C74" s="277"/>
      <c r="D74" s="278" t="s">
        <v>89</v>
      </c>
      <c r="E74" s="275">
        <f t="shared" ref="E74:K77" si="31">E8-E41</f>
        <v>0</v>
      </c>
      <c r="F74" s="275">
        <f t="shared" si="31"/>
        <v>-2.4442802299999999</v>
      </c>
      <c r="G74" s="275">
        <f t="shared" si="31"/>
        <v>-5.9593194049999987</v>
      </c>
      <c r="H74" s="275">
        <f t="shared" si="31"/>
        <v>1.75</v>
      </c>
      <c r="I74" s="275">
        <f t="shared" si="31"/>
        <v>0</v>
      </c>
      <c r="J74" s="275">
        <f t="shared" si="31"/>
        <v>0</v>
      </c>
      <c r="K74" s="275">
        <f t="shared" si="31"/>
        <v>0</v>
      </c>
      <c r="L74" s="276">
        <f t="shared" si="26"/>
        <v>-1</v>
      </c>
      <c r="M74" s="275"/>
      <c r="O74" s="503" t="s">
        <v>3620</v>
      </c>
      <c r="P74" s="503"/>
      <c r="Q74" s="502"/>
      <c r="R74" s="585"/>
      <c r="S74" s="584"/>
      <c r="T74" s="585"/>
      <c r="U74" s="585"/>
      <c r="V74" s="881"/>
      <c r="W74" s="585"/>
    </row>
    <row r="75" spans="2:28" s="21" customFormat="1" x14ac:dyDescent="0.3">
      <c r="B75" s="277"/>
      <c r="C75" s="277"/>
      <c r="D75" s="283" t="s">
        <v>3318</v>
      </c>
      <c r="E75" s="281">
        <f t="shared" si="31"/>
        <v>0</v>
      </c>
      <c r="F75" s="281">
        <f t="shared" si="31"/>
        <v>0</v>
      </c>
      <c r="G75" s="281">
        <f t="shared" si="31"/>
        <v>1.1999999999999997</v>
      </c>
      <c r="H75" s="281">
        <f t="shared" si="31"/>
        <v>0.62999999999999989</v>
      </c>
      <c r="I75" s="281">
        <f t="shared" si="31"/>
        <v>0</v>
      </c>
      <c r="J75" s="281">
        <f t="shared" si="31"/>
        <v>0</v>
      </c>
      <c r="K75" s="281">
        <f t="shared" si="31"/>
        <v>0</v>
      </c>
      <c r="L75" s="282">
        <f t="shared" si="26"/>
        <v>0</v>
      </c>
      <c r="M75" s="281"/>
      <c r="P75" s="21" t="s">
        <v>3326</v>
      </c>
      <c r="Q75" s="882">
        <f t="shared" ref="Q75:R79" si="32">+F104</f>
        <v>5.6559802547308795</v>
      </c>
      <c r="R75" s="260">
        <f>+G104</f>
        <v>6.3503153691445196</v>
      </c>
      <c r="S75" s="883">
        <f t="shared" ref="S75:V76" si="33">+R75*(1+$W75)</f>
        <v>6.6678311376017456</v>
      </c>
      <c r="T75" s="1">
        <f t="shared" si="33"/>
        <v>7.0012226944818332</v>
      </c>
      <c r="U75" s="1">
        <f t="shared" si="33"/>
        <v>7.3512838292059248</v>
      </c>
      <c r="V75" s="884">
        <f t="shared" si="33"/>
        <v>7.7188480206662211</v>
      </c>
      <c r="W75" s="738">
        <v>0.05</v>
      </c>
    </row>
    <row r="76" spans="2:28" s="21" customFormat="1" x14ac:dyDescent="0.3">
      <c r="B76" s="277"/>
      <c r="C76" s="277"/>
      <c r="D76" s="328" t="s">
        <v>3552</v>
      </c>
      <c r="E76" s="329">
        <f t="shared" si="31"/>
        <v>0</v>
      </c>
      <c r="F76" s="329">
        <f t="shared" si="31"/>
        <v>0</v>
      </c>
      <c r="G76" s="329">
        <f t="shared" si="31"/>
        <v>0.5</v>
      </c>
      <c r="H76" s="329">
        <f t="shared" si="31"/>
        <v>7.2625000000000051E-2</v>
      </c>
      <c r="I76" s="329">
        <f t="shared" si="31"/>
        <v>0</v>
      </c>
      <c r="J76" s="329">
        <f t="shared" si="31"/>
        <v>0</v>
      </c>
      <c r="K76" s="329">
        <f t="shared" si="31"/>
        <v>0</v>
      </c>
      <c r="L76" s="330">
        <f t="shared" si="26"/>
        <v>0</v>
      </c>
      <c r="M76" s="329"/>
      <c r="P76" s="21" t="s">
        <v>1988</v>
      </c>
      <c r="Q76" s="882">
        <f t="shared" si="32"/>
        <v>0.66889090844277854</v>
      </c>
      <c r="R76" s="260">
        <f t="shared" si="32"/>
        <v>0.81596126000000002</v>
      </c>
      <c r="S76" s="883">
        <f t="shared" si="33"/>
        <v>0.84044009780000006</v>
      </c>
      <c r="T76" s="1">
        <f t="shared" si="33"/>
        <v>0.86565330073400004</v>
      </c>
      <c r="U76" s="1">
        <f t="shared" si="33"/>
        <v>0.89162289975602005</v>
      </c>
      <c r="V76" s="884">
        <f t="shared" si="33"/>
        <v>0.91837158674870067</v>
      </c>
      <c r="W76" s="738">
        <v>0.03</v>
      </c>
    </row>
    <row r="77" spans="2:28" s="21" customFormat="1" x14ac:dyDescent="0.3">
      <c r="B77" s="277"/>
      <c r="C77" s="284"/>
      <c r="D77" s="285" t="s">
        <v>3553</v>
      </c>
      <c r="E77" s="286">
        <f t="shared" si="31"/>
        <v>0</v>
      </c>
      <c r="F77" s="286">
        <f t="shared" si="31"/>
        <v>0</v>
      </c>
      <c r="G77" s="286">
        <f t="shared" si="31"/>
        <v>0.75</v>
      </c>
      <c r="H77" s="286">
        <f t="shared" si="31"/>
        <v>0.14875000000000005</v>
      </c>
      <c r="I77" s="286">
        <f t="shared" si="31"/>
        <v>0</v>
      </c>
      <c r="J77" s="286">
        <f t="shared" si="31"/>
        <v>0</v>
      </c>
      <c r="K77" s="286">
        <f t="shared" si="31"/>
        <v>0</v>
      </c>
      <c r="L77" s="287">
        <f t="shared" si="26"/>
        <v>0</v>
      </c>
      <c r="M77" s="286"/>
      <c r="P77" s="21" t="s">
        <v>3327</v>
      </c>
      <c r="Q77" s="882">
        <f t="shared" si="32"/>
        <v>0</v>
      </c>
      <c r="R77" s="260">
        <f t="shared" si="32"/>
        <v>0</v>
      </c>
      <c r="S77" s="882"/>
      <c r="T77" s="1"/>
      <c r="U77" s="1"/>
      <c r="V77" s="884"/>
      <c r="W77" s="738"/>
    </row>
    <row r="78" spans="2:28" s="21" customFormat="1" x14ac:dyDescent="0.3">
      <c r="B78" s="277"/>
      <c r="C78" s="834" t="s">
        <v>3598</v>
      </c>
      <c r="D78" s="835"/>
      <c r="E78" s="419">
        <f>SUM(E79:E82)</f>
        <v>0</v>
      </c>
      <c r="F78" s="419">
        <f>SUM(F79:F82)</f>
        <v>0</v>
      </c>
      <c r="G78" s="419">
        <f t="shared" ref="G78:K78" si="34">SUM(G79:G82)</f>
        <v>-11.129999999999995</v>
      </c>
      <c r="H78" s="419">
        <f t="shared" si="34"/>
        <v>12.7925</v>
      </c>
      <c r="I78" s="419">
        <f t="shared" si="34"/>
        <v>0</v>
      </c>
      <c r="J78" s="419">
        <f t="shared" si="34"/>
        <v>0</v>
      </c>
      <c r="K78" s="419">
        <f t="shared" si="34"/>
        <v>0</v>
      </c>
      <c r="L78" s="838">
        <f t="shared" si="26"/>
        <v>0</v>
      </c>
      <c r="M78" s="419"/>
      <c r="P78" s="21" t="s">
        <v>1995</v>
      </c>
      <c r="Q78" s="882">
        <f t="shared" si="32"/>
        <v>8.1065540000000005E-2</v>
      </c>
      <c r="R78" s="260">
        <f t="shared" si="32"/>
        <v>7.0000000000000007E-2</v>
      </c>
      <c r="S78" s="882">
        <f t="shared" ref="S78:V79" si="35">+R78*(1+$W78)</f>
        <v>7.2100000000000011E-2</v>
      </c>
      <c r="T78" s="260">
        <f t="shared" si="35"/>
        <v>7.426300000000001E-2</v>
      </c>
      <c r="U78" s="260">
        <f t="shared" si="35"/>
        <v>7.6490890000000006E-2</v>
      </c>
      <c r="V78" s="885">
        <f t="shared" si="35"/>
        <v>7.8785616700000005E-2</v>
      </c>
      <c r="W78" s="738">
        <v>0.03</v>
      </c>
      <c r="X78" s="21" t="s">
        <v>3621</v>
      </c>
    </row>
    <row r="79" spans="2:28" s="21" customFormat="1" x14ac:dyDescent="0.3">
      <c r="B79" s="277"/>
      <c r="C79" s="277"/>
      <c r="D79" s="278" t="s">
        <v>89</v>
      </c>
      <c r="E79" s="275">
        <f t="shared" ref="E79:K82" si="36">E13-E46</f>
        <v>0</v>
      </c>
      <c r="F79" s="275">
        <f t="shared" si="36"/>
        <v>0</v>
      </c>
      <c r="G79" s="275">
        <f t="shared" si="36"/>
        <v>-11.129999999999995</v>
      </c>
      <c r="H79" s="275">
        <f t="shared" si="36"/>
        <v>5.25</v>
      </c>
      <c r="I79" s="275">
        <f t="shared" si="36"/>
        <v>0</v>
      </c>
      <c r="J79" s="275">
        <f t="shared" si="36"/>
        <v>0</v>
      </c>
      <c r="K79" s="275">
        <f t="shared" si="36"/>
        <v>0</v>
      </c>
      <c r="L79" s="276">
        <f t="shared" si="26"/>
        <v>0</v>
      </c>
      <c r="M79" s="275"/>
      <c r="O79" s="597"/>
      <c r="P79" s="597" t="s">
        <v>71</v>
      </c>
      <c r="Q79" s="886">
        <f t="shared" si="32"/>
        <v>0.10336765999999981</v>
      </c>
      <c r="R79" s="887">
        <f t="shared" si="32"/>
        <v>0.2274688</v>
      </c>
      <c r="S79" s="886">
        <f t="shared" si="35"/>
        <v>0.23429286400000002</v>
      </c>
      <c r="T79" s="887">
        <f t="shared" si="35"/>
        <v>0.24132164992000002</v>
      </c>
      <c r="U79" s="887">
        <f t="shared" si="35"/>
        <v>0.24856129941760002</v>
      </c>
      <c r="V79" s="888">
        <f t="shared" si="35"/>
        <v>0.25601813840012805</v>
      </c>
      <c r="W79" s="600">
        <v>0.03</v>
      </c>
    </row>
    <row r="80" spans="2:28" s="21" customFormat="1" x14ac:dyDescent="0.3">
      <c r="B80" s="277"/>
      <c r="C80" s="277"/>
      <c r="D80" s="283" t="s">
        <v>3318</v>
      </c>
      <c r="E80" s="281">
        <f t="shared" si="36"/>
        <v>0</v>
      </c>
      <c r="F80" s="281">
        <f t="shared" si="36"/>
        <v>0</v>
      </c>
      <c r="G80" s="281">
        <f t="shared" si="36"/>
        <v>0</v>
      </c>
      <c r="H80" s="281">
        <f t="shared" si="36"/>
        <v>3.1499999999999995</v>
      </c>
      <c r="I80" s="281">
        <f t="shared" si="36"/>
        <v>0</v>
      </c>
      <c r="J80" s="281">
        <f t="shared" si="36"/>
        <v>0</v>
      </c>
      <c r="K80" s="281">
        <f t="shared" si="36"/>
        <v>0</v>
      </c>
      <c r="L80" s="282">
        <f t="shared" si="26"/>
        <v>0</v>
      </c>
      <c r="M80" s="281"/>
      <c r="O80" t="s">
        <v>3622</v>
      </c>
      <c r="P80"/>
      <c r="Q80" s="590"/>
      <c r="R80"/>
      <c r="S80" s="590"/>
      <c r="T80"/>
      <c r="U80"/>
      <c r="V80" s="889"/>
      <c r="W80"/>
    </row>
    <row r="81" spans="2:30" s="21" customFormat="1" x14ac:dyDescent="0.3">
      <c r="B81" s="277"/>
      <c r="C81" s="277"/>
      <c r="D81" s="328" t="s">
        <v>3552</v>
      </c>
      <c r="E81" s="329">
        <f t="shared" si="36"/>
        <v>0</v>
      </c>
      <c r="F81" s="329">
        <f t="shared" si="36"/>
        <v>0</v>
      </c>
      <c r="G81" s="329">
        <f t="shared" si="36"/>
        <v>0</v>
      </c>
      <c r="H81" s="329">
        <f t="shared" si="36"/>
        <v>2.9050000000000011</v>
      </c>
      <c r="I81" s="329">
        <f t="shared" si="36"/>
        <v>0</v>
      </c>
      <c r="J81" s="329">
        <f t="shared" si="36"/>
        <v>0</v>
      </c>
      <c r="K81" s="329">
        <f t="shared" si="36"/>
        <v>0</v>
      </c>
      <c r="L81" s="330">
        <f t="shared" si="26"/>
        <v>0</v>
      </c>
      <c r="M81" s="329"/>
      <c r="O81"/>
      <c r="P81" s="21" t="s">
        <v>3453</v>
      </c>
      <c r="Q81" s="590"/>
      <c r="R81"/>
      <c r="S81" s="890">
        <f>+R75/9*3</f>
        <v>2.1167717897148397</v>
      </c>
      <c r="T81" s="891">
        <f>+S81*(1+$W$81)+S81/3*5</f>
        <v>5.7082279262643514</v>
      </c>
      <c r="U81" s="1">
        <f>+T81*(1+$W$81)</f>
        <v>5.879474764052282</v>
      </c>
      <c r="V81" s="884">
        <f>+U81*(1+$W$81)</f>
        <v>6.0558590069738507</v>
      </c>
      <c r="W81" s="874">
        <v>0.03</v>
      </c>
    </row>
    <row r="82" spans="2:30" s="21" customFormat="1" x14ac:dyDescent="0.3">
      <c r="B82" s="277"/>
      <c r="C82" s="284"/>
      <c r="D82" s="285" t="s">
        <v>3553</v>
      </c>
      <c r="E82" s="286">
        <f t="shared" si="36"/>
        <v>0</v>
      </c>
      <c r="F82" s="286">
        <f t="shared" si="36"/>
        <v>0</v>
      </c>
      <c r="G82" s="286">
        <f t="shared" si="36"/>
        <v>0</v>
      </c>
      <c r="H82" s="286">
        <f t="shared" si="36"/>
        <v>1.4875000000000007</v>
      </c>
      <c r="I82" s="286">
        <f t="shared" si="36"/>
        <v>0</v>
      </c>
      <c r="J82" s="286">
        <f t="shared" si="36"/>
        <v>0</v>
      </c>
      <c r="K82" s="286">
        <f t="shared" si="36"/>
        <v>0</v>
      </c>
      <c r="L82" s="287">
        <f t="shared" si="26"/>
        <v>0</v>
      </c>
      <c r="M82" s="286"/>
      <c r="O82"/>
      <c r="P82" s="21" t="s">
        <v>3413</v>
      </c>
      <c r="Q82" s="882">
        <f>+E110</f>
        <v>0</v>
      </c>
      <c r="R82" s="260">
        <f>+F110</f>
        <v>0</v>
      </c>
      <c r="S82" s="890">
        <f>2+(S76/S75)*S81</f>
        <v>2.2668063802539682</v>
      </c>
      <c r="T82" s="891">
        <f t="shared" ref="T82:V82" si="37">2+(T76/T75)*T81</f>
        <v>2.7057833411880132</v>
      </c>
      <c r="U82" s="891">
        <f t="shared" si="37"/>
        <v>2.7131100444441554</v>
      </c>
      <c r="V82" s="892">
        <f t="shared" si="37"/>
        <v>2.7205128058579091</v>
      </c>
      <c r="W82"/>
    </row>
    <row r="83" spans="2:30" s="21" customFormat="1" x14ac:dyDescent="0.3">
      <c r="B83" s="277"/>
      <c r="C83" s="834" t="s">
        <v>3560</v>
      </c>
      <c r="D83" s="835"/>
      <c r="E83" s="419">
        <f>SUM(E84:E87)</f>
        <v>0</v>
      </c>
      <c r="F83" s="419">
        <f>SUM(F84:F87)</f>
        <v>0</v>
      </c>
      <c r="G83" s="419">
        <f t="shared" ref="G83:K83" si="38">SUM(G84:G87)</f>
        <v>0</v>
      </c>
      <c r="H83" s="419">
        <f t="shared" si="38"/>
        <v>-9.0824999999999996</v>
      </c>
      <c r="I83" s="419">
        <f t="shared" si="38"/>
        <v>10.1675</v>
      </c>
      <c r="J83" s="419">
        <f t="shared" si="38"/>
        <v>0</v>
      </c>
      <c r="K83" s="419">
        <f t="shared" si="38"/>
        <v>0</v>
      </c>
      <c r="L83" s="838">
        <f t="shared" si="26"/>
        <v>0</v>
      </c>
      <c r="M83" s="419"/>
      <c r="O83" s="537"/>
      <c r="P83" s="597" t="s">
        <v>3354</v>
      </c>
      <c r="Q83" s="886">
        <f>+E111</f>
        <v>0</v>
      </c>
      <c r="R83" s="887">
        <f>+F111</f>
        <v>0</v>
      </c>
      <c r="S83" s="893">
        <v>5</v>
      </c>
      <c r="T83" s="894">
        <f>+S83*(1+$W83)</f>
        <v>5.15</v>
      </c>
      <c r="U83" s="894">
        <f>+T83*(1+$W83)</f>
        <v>5.3045000000000009</v>
      </c>
      <c r="V83" s="895">
        <f>+U83*(1+$W83)</f>
        <v>5.4636350000000009</v>
      </c>
      <c r="W83" s="896">
        <v>0.03</v>
      </c>
    </row>
    <row r="84" spans="2:30" s="21" customFormat="1" ht="13.5" x14ac:dyDescent="0.3">
      <c r="B84" s="277"/>
      <c r="C84" s="277"/>
      <c r="D84" s="278" t="s">
        <v>3551</v>
      </c>
      <c r="E84" s="275">
        <f t="shared" ref="E84:K87" si="39">E18-E51</f>
        <v>0</v>
      </c>
      <c r="F84" s="275">
        <f t="shared" si="39"/>
        <v>0</v>
      </c>
      <c r="G84" s="275">
        <f t="shared" si="39"/>
        <v>0</v>
      </c>
      <c r="H84" s="275">
        <f t="shared" si="39"/>
        <v>-16.625</v>
      </c>
      <c r="I84" s="275">
        <f t="shared" si="39"/>
        <v>2.625</v>
      </c>
      <c r="J84" s="275">
        <f t="shared" si="39"/>
        <v>0</v>
      </c>
      <c r="K84" s="275">
        <f t="shared" si="39"/>
        <v>0</v>
      </c>
      <c r="L84" s="276">
        <f t="shared" si="26"/>
        <v>0</v>
      </c>
      <c r="M84" s="275"/>
      <c r="AD84" s="21" t="s">
        <v>3623</v>
      </c>
    </row>
    <row r="85" spans="2:30" s="21" customFormat="1" ht="13.5" x14ac:dyDescent="0.3">
      <c r="B85" s="277"/>
      <c r="C85" s="277"/>
      <c r="D85" s="283" t="s">
        <v>3315</v>
      </c>
      <c r="E85" s="281">
        <f t="shared" si="39"/>
        <v>0</v>
      </c>
      <c r="F85" s="281">
        <f t="shared" si="39"/>
        <v>0</v>
      </c>
      <c r="G85" s="281">
        <f t="shared" si="39"/>
        <v>0</v>
      </c>
      <c r="H85" s="281">
        <f t="shared" si="39"/>
        <v>3.1499999999999995</v>
      </c>
      <c r="I85" s="281">
        <f t="shared" si="39"/>
        <v>3.1499999999999995</v>
      </c>
      <c r="J85" s="281">
        <f t="shared" si="39"/>
        <v>0</v>
      </c>
      <c r="K85" s="281">
        <f t="shared" si="39"/>
        <v>0</v>
      </c>
      <c r="L85" s="282">
        <f t="shared" si="26"/>
        <v>0</v>
      </c>
      <c r="M85" s="281"/>
      <c r="AD85" s="21" t="s">
        <v>3624</v>
      </c>
    </row>
    <row r="86" spans="2:30" s="21" customFormat="1" ht="13.5" x14ac:dyDescent="0.3">
      <c r="B86" s="277"/>
      <c r="C86" s="277"/>
      <c r="D86" s="328" t="s">
        <v>3552</v>
      </c>
      <c r="E86" s="329">
        <f t="shared" si="39"/>
        <v>0</v>
      </c>
      <c r="F86" s="329">
        <f t="shared" si="39"/>
        <v>0</v>
      </c>
      <c r="G86" s="329">
        <f t="shared" si="39"/>
        <v>0</v>
      </c>
      <c r="H86" s="329">
        <f t="shared" si="39"/>
        <v>2.9050000000000011</v>
      </c>
      <c r="I86" s="329">
        <f t="shared" si="39"/>
        <v>2.9050000000000011</v>
      </c>
      <c r="J86" s="329">
        <f t="shared" si="39"/>
        <v>0</v>
      </c>
      <c r="K86" s="329">
        <f t="shared" si="39"/>
        <v>0</v>
      </c>
      <c r="L86" s="330">
        <f t="shared" si="26"/>
        <v>0</v>
      </c>
      <c r="M86" s="329"/>
      <c r="AD86" s="21" t="s">
        <v>3625</v>
      </c>
    </row>
    <row r="87" spans="2:30" s="21" customFormat="1" ht="13.5" x14ac:dyDescent="0.3">
      <c r="B87" s="277"/>
      <c r="C87" s="284"/>
      <c r="D87" s="285" t="s">
        <v>3553</v>
      </c>
      <c r="E87" s="286">
        <f t="shared" si="39"/>
        <v>0</v>
      </c>
      <c r="F87" s="286">
        <f t="shared" si="39"/>
        <v>0</v>
      </c>
      <c r="G87" s="286">
        <f t="shared" si="39"/>
        <v>0</v>
      </c>
      <c r="H87" s="286">
        <f t="shared" si="39"/>
        <v>1.4875000000000007</v>
      </c>
      <c r="I87" s="286">
        <f t="shared" si="39"/>
        <v>1.4875000000000007</v>
      </c>
      <c r="J87" s="286">
        <f t="shared" si="39"/>
        <v>0</v>
      </c>
      <c r="K87" s="286">
        <f t="shared" si="39"/>
        <v>0</v>
      </c>
      <c r="L87" s="287">
        <f t="shared" si="26"/>
        <v>0</v>
      </c>
      <c r="M87" s="286"/>
      <c r="AD87" s="21" t="s">
        <v>3626</v>
      </c>
    </row>
    <row r="88" spans="2:30" s="21" customFormat="1" ht="13.5" x14ac:dyDescent="0.3">
      <c r="B88" s="277"/>
      <c r="C88" s="834" t="s">
        <v>3566</v>
      </c>
      <c r="D88" s="835"/>
      <c r="E88" s="419">
        <f>SUM(E89:E92)</f>
        <v>0</v>
      </c>
      <c r="F88" s="419">
        <f>SUM(F89:F92)</f>
        <v>0</v>
      </c>
      <c r="G88" s="419">
        <f t="shared" ref="G88:K88" si="40">SUM(G89:G92)</f>
        <v>0</v>
      </c>
      <c r="H88" s="419">
        <f t="shared" si="40"/>
        <v>0</v>
      </c>
      <c r="I88" s="419">
        <f t="shared" si="40"/>
        <v>-4.0949999999999989</v>
      </c>
      <c r="J88" s="419">
        <f t="shared" si="40"/>
        <v>14.280000000000001</v>
      </c>
      <c r="K88" s="419">
        <f t="shared" si="40"/>
        <v>0</v>
      </c>
      <c r="L88" s="838">
        <f t="shared" si="26"/>
        <v>0</v>
      </c>
      <c r="M88" s="419"/>
    </row>
    <row r="89" spans="2:30" s="21" customFormat="1" ht="13.5" x14ac:dyDescent="0.3">
      <c r="B89" s="277"/>
      <c r="C89" s="277"/>
      <c r="D89" s="278" t="s">
        <v>89</v>
      </c>
      <c r="E89" s="275">
        <f t="shared" ref="E89:K92" si="41">E23-E56</f>
        <v>0</v>
      </c>
      <c r="F89" s="275">
        <f t="shared" si="41"/>
        <v>0</v>
      </c>
      <c r="G89" s="275">
        <f t="shared" si="41"/>
        <v>0</v>
      </c>
      <c r="H89" s="275">
        <f t="shared" si="41"/>
        <v>0</v>
      </c>
      <c r="I89" s="275">
        <f t="shared" si="41"/>
        <v>-13.125</v>
      </c>
      <c r="J89" s="275">
        <f t="shared" si="41"/>
        <v>5.25</v>
      </c>
      <c r="K89" s="275">
        <f t="shared" si="41"/>
        <v>0</v>
      </c>
      <c r="L89" s="276">
        <f t="shared" si="26"/>
        <v>0</v>
      </c>
      <c r="M89" s="275"/>
    </row>
    <row r="90" spans="2:30" x14ac:dyDescent="0.3">
      <c r="B90" s="277"/>
      <c r="C90" s="277"/>
      <c r="D90" s="283" t="s">
        <v>3318</v>
      </c>
      <c r="E90" s="281">
        <f t="shared" si="41"/>
        <v>0</v>
      </c>
      <c r="F90" s="281">
        <f t="shared" si="41"/>
        <v>0</v>
      </c>
      <c r="G90" s="281">
        <f t="shared" si="41"/>
        <v>0</v>
      </c>
      <c r="H90" s="281">
        <f t="shared" si="41"/>
        <v>0</v>
      </c>
      <c r="I90" s="281">
        <f t="shared" si="41"/>
        <v>3.1499999999999995</v>
      </c>
      <c r="J90" s="281">
        <f t="shared" si="41"/>
        <v>3.1499999999999995</v>
      </c>
      <c r="K90" s="281">
        <f t="shared" si="41"/>
        <v>0</v>
      </c>
      <c r="L90" s="282">
        <f t="shared" si="26"/>
        <v>0</v>
      </c>
      <c r="M90" s="281"/>
      <c r="O90" s="21"/>
      <c r="P90" s="21"/>
      <c r="Q90" s="21"/>
      <c r="R90" s="21"/>
      <c r="S90" s="21"/>
      <c r="T90" s="21"/>
      <c r="U90" s="21"/>
      <c r="V90" s="21"/>
      <c r="W90" s="21"/>
      <c r="X90" s="21"/>
      <c r="Y90" s="21"/>
      <c r="Z90" s="21"/>
      <c r="AA90" s="21"/>
      <c r="AB90" s="21"/>
    </row>
    <row r="91" spans="2:30" x14ac:dyDescent="0.3">
      <c r="B91" s="277"/>
      <c r="C91" s="277"/>
      <c r="D91" s="328" t="s">
        <v>3552</v>
      </c>
      <c r="E91" s="329">
        <f t="shared" si="41"/>
        <v>0</v>
      </c>
      <c r="F91" s="329">
        <f t="shared" si="41"/>
        <v>0</v>
      </c>
      <c r="G91" s="329">
        <f t="shared" si="41"/>
        <v>0</v>
      </c>
      <c r="H91" s="329">
        <f t="shared" si="41"/>
        <v>0</v>
      </c>
      <c r="I91" s="329">
        <f t="shared" si="41"/>
        <v>2.9050000000000011</v>
      </c>
      <c r="J91" s="329">
        <f t="shared" si="41"/>
        <v>2.9050000000000011</v>
      </c>
      <c r="K91" s="329">
        <f t="shared" si="41"/>
        <v>0</v>
      </c>
      <c r="L91" s="330">
        <f t="shared" si="26"/>
        <v>0</v>
      </c>
      <c r="M91" s="329"/>
      <c r="O91" s="21"/>
      <c r="P91" s="21"/>
      <c r="Q91" s="21"/>
      <c r="R91" s="21"/>
      <c r="S91" s="21"/>
      <c r="T91" s="21"/>
      <c r="U91" s="21"/>
      <c r="V91" s="21"/>
      <c r="W91" s="21"/>
      <c r="X91" s="21"/>
    </row>
    <row r="92" spans="2:30" x14ac:dyDescent="0.3">
      <c r="B92" s="277"/>
      <c r="C92" s="284"/>
      <c r="D92" s="285" t="s">
        <v>3553</v>
      </c>
      <c r="E92" s="286">
        <f t="shared" si="41"/>
        <v>0</v>
      </c>
      <c r="F92" s="286">
        <f t="shared" si="41"/>
        <v>0</v>
      </c>
      <c r="G92" s="286">
        <f t="shared" si="41"/>
        <v>0</v>
      </c>
      <c r="H92" s="286">
        <f t="shared" si="41"/>
        <v>0</v>
      </c>
      <c r="I92" s="286">
        <f t="shared" si="41"/>
        <v>2.9750000000000014</v>
      </c>
      <c r="J92" s="286">
        <f t="shared" si="41"/>
        <v>2.9750000000000014</v>
      </c>
      <c r="K92" s="286">
        <f t="shared" si="41"/>
        <v>0</v>
      </c>
      <c r="L92" s="287">
        <f t="shared" si="26"/>
        <v>0</v>
      </c>
      <c r="M92" s="286"/>
      <c r="O92" s="21"/>
      <c r="P92" s="21"/>
      <c r="Q92" s="21"/>
      <c r="R92" s="21"/>
      <c r="S92" s="21"/>
      <c r="T92" s="21"/>
      <c r="U92" s="21"/>
      <c r="V92" s="21"/>
      <c r="W92" s="21"/>
      <c r="X92" s="21"/>
    </row>
    <row r="93" spans="2:30" s="21" customFormat="1" x14ac:dyDescent="0.3">
      <c r="B93" s="277"/>
      <c r="C93" s="834" t="s">
        <v>3575</v>
      </c>
      <c r="D93" s="835"/>
      <c r="E93" s="419">
        <f>SUM(E94:E97)</f>
        <v>0</v>
      </c>
      <c r="F93" s="419">
        <f>SUM(F94:F97)</f>
        <v>0</v>
      </c>
      <c r="G93" s="419">
        <f t="shared" ref="G93:K93" si="42">SUM(G94:G97)</f>
        <v>0</v>
      </c>
      <c r="H93" s="419">
        <f t="shared" si="42"/>
        <v>0</v>
      </c>
      <c r="I93" s="419">
        <f t="shared" si="42"/>
        <v>0</v>
      </c>
      <c r="J93" s="419">
        <f t="shared" si="42"/>
        <v>-3.2979999999999938</v>
      </c>
      <c r="K93" s="419">
        <f t="shared" si="42"/>
        <v>20.502000000000002</v>
      </c>
      <c r="L93" s="838">
        <f t="shared" si="26"/>
        <v>0</v>
      </c>
      <c r="M93" s="419"/>
      <c r="Y93"/>
      <c r="Z93"/>
      <c r="AA93"/>
      <c r="AB93"/>
    </row>
    <row r="94" spans="2:30" s="21" customFormat="1" ht="13.5" x14ac:dyDescent="0.3">
      <c r="B94" s="277"/>
      <c r="C94" s="277"/>
      <c r="D94" s="278" t="s">
        <v>89</v>
      </c>
      <c r="E94" s="275">
        <f t="shared" ref="E94:K97" si="43">E28-E61</f>
        <v>0</v>
      </c>
      <c r="F94" s="275">
        <f t="shared" si="43"/>
        <v>0</v>
      </c>
      <c r="G94" s="275">
        <f t="shared" si="43"/>
        <v>0</v>
      </c>
      <c r="H94" s="275">
        <f t="shared" si="43"/>
        <v>0</v>
      </c>
      <c r="I94" s="275">
        <f t="shared" si="43"/>
        <v>0</v>
      </c>
      <c r="J94" s="275">
        <f t="shared" si="43"/>
        <v>-13.599999999999994</v>
      </c>
      <c r="K94" s="275">
        <f t="shared" si="43"/>
        <v>10.200000000000003</v>
      </c>
      <c r="L94" s="276">
        <f t="shared" si="26"/>
        <v>0</v>
      </c>
      <c r="M94" s="275"/>
    </row>
    <row r="95" spans="2:30" x14ac:dyDescent="0.3">
      <c r="B95" s="277"/>
      <c r="C95" s="277"/>
      <c r="D95" s="283" t="s">
        <v>3318</v>
      </c>
      <c r="E95" s="281">
        <f t="shared" si="43"/>
        <v>0</v>
      </c>
      <c r="F95" s="281">
        <f t="shared" si="43"/>
        <v>0</v>
      </c>
      <c r="G95" s="281">
        <f t="shared" si="43"/>
        <v>0</v>
      </c>
      <c r="H95" s="281">
        <f t="shared" si="43"/>
        <v>0</v>
      </c>
      <c r="I95" s="281">
        <f t="shared" si="43"/>
        <v>0</v>
      </c>
      <c r="J95" s="281">
        <f t="shared" si="43"/>
        <v>4.59</v>
      </c>
      <c r="K95" s="281">
        <f t="shared" si="43"/>
        <v>4.59</v>
      </c>
      <c r="L95" s="282">
        <f t="shared" si="26"/>
        <v>0</v>
      </c>
      <c r="M95" s="281"/>
      <c r="O95" s="21"/>
      <c r="P95" s="21"/>
      <c r="Q95" s="21"/>
      <c r="R95" s="21"/>
      <c r="S95" s="21"/>
      <c r="T95" s="21"/>
      <c r="U95" s="21"/>
      <c r="V95" s="21"/>
      <c r="W95" s="21"/>
      <c r="X95" s="21"/>
      <c r="Y95" s="21"/>
      <c r="Z95" s="21"/>
      <c r="AA95" s="21"/>
      <c r="AB95" s="21"/>
    </row>
    <row r="96" spans="2:30" x14ac:dyDescent="0.3">
      <c r="B96" s="277"/>
      <c r="C96" s="277"/>
      <c r="D96" s="328" t="s">
        <v>3552</v>
      </c>
      <c r="E96" s="329">
        <f t="shared" si="43"/>
        <v>0</v>
      </c>
      <c r="F96" s="329">
        <f t="shared" si="43"/>
        <v>0</v>
      </c>
      <c r="G96" s="329">
        <f t="shared" si="43"/>
        <v>0</v>
      </c>
      <c r="H96" s="329">
        <f t="shared" si="43"/>
        <v>0</v>
      </c>
      <c r="I96" s="329">
        <f t="shared" si="43"/>
        <v>0</v>
      </c>
      <c r="J96" s="329">
        <f t="shared" si="43"/>
        <v>2.8220000000000001</v>
      </c>
      <c r="K96" s="329">
        <f t="shared" si="43"/>
        <v>2.8220000000000001</v>
      </c>
      <c r="L96" s="330">
        <f t="shared" si="26"/>
        <v>0</v>
      </c>
      <c r="M96" s="329"/>
      <c r="O96" s="21"/>
      <c r="P96" s="21"/>
      <c r="Q96" s="21"/>
      <c r="R96" s="21"/>
      <c r="S96" s="21"/>
      <c r="T96" s="21"/>
      <c r="U96" s="21"/>
      <c r="V96" s="21"/>
      <c r="W96" s="21"/>
      <c r="X96" s="21"/>
    </row>
    <row r="97" spans="2:28" x14ac:dyDescent="0.3">
      <c r="B97" s="277"/>
      <c r="C97" s="284"/>
      <c r="D97" s="285" t="s">
        <v>3553</v>
      </c>
      <c r="E97" s="286">
        <f t="shared" si="43"/>
        <v>0</v>
      </c>
      <c r="F97" s="286">
        <f t="shared" si="43"/>
        <v>0</v>
      </c>
      <c r="G97" s="286">
        <f t="shared" si="43"/>
        <v>0</v>
      </c>
      <c r="H97" s="286">
        <f t="shared" si="43"/>
        <v>0</v>
      </c>
      <c r="I97" s="286">
        <f t="shared" si="43"/>
        <v>0</v>
      </c>
      <c r="J97" s="286">
        <f t="shared" si="43"/>
        <v>2.8900000000000006</v>
      </c>
      <c r="K97" s="286">
        <f t="shared" si="43"/>
        <v>2.8900000000000006</v>
      </c>
      <c r="L97" s="287">
        <f t="shared" si="26"/>
        <v>0</v>
      </c>
      <c r="M97" s="286"/>
      <c r="O97" s="21"/>
      <c r="P97" s="21"/>
      <c r="Q97" s="21"/>
      <c r="R97" s="21"/>
      <c r="S97" s="21"/>
      <c r="T97" s="21"/>
      <c r="U97" s="21"/>
      <c r="V97" s="21"/>
      <c r="W97" s="21"/>
      <c r="X97" s="21"/>
    </row>
    <row r="98" spans="2:28" s="21" customFormat="1" x14ac:dyDescent="0.3">
      <c r="B98" s="277"/>
      <c r="C98" s="834" t="s">
        <v>3580</v>
      </c>
      <c r="D98" s="835"/>
      <c r="E98" s="419">
        <f>SUM(E99:E102)</f>
        <v>0</v>
      </c>
      <c r="F98" s="419">
        <f>SUM(F99:F102)</f>
        <v>0</v>
      </c>
      <c r="G98" s="419">
        <f t="shared" ref="G98:K98" si="44">SUM(G99:G102)</f>
        <v>0</v>
      </c>
      <c r="H98" s="419">
        <f t="shared" si="44"/>
        <v>0</v>
      </c>
      <c r="I98" s="419">
        <f t="shared" si="44"/>
        <v>0</v>
      </c>
      <c r="J98" s="419">
        <f t="shared" si="44"/>
        <v>0</v>
      </c>
      <c r="K98" s="419">
        <f t="shared" si="44"/>
        <v>2.2524999999999995</v>
      </c>
      <c r="L98" s="838">
        <f t="shared" si="26"/>
        <v>0</v>
      </c>
      <c r="M98" s="419"/>
      <c r="Y98"/>
      <c r="Z98"/>
      <c r="AA98"/>
      <c r="AB98"/>
    </row>
    <row r="99" spans="2:28" s="21" customFormat="1" ht="13.5" x14ac:dyDescent="0.3">
      <c r="B99" s="277"/>
      <c r="C99" s="277"/>
      <c r="D99" s="278" t="s">
        <v>89</v>
      </c>
      <c r="E99" s="275">
        <f t="shared" ref="E99:K102" si="45">E33-E66</f>
        <v>0</v>
      </c>
      <c r="F99" s="275">
        <f t="shared" si="45"/>
        <v>0</v>
      </c>
      <c r="G99" s="275">
        <f t="shared" si="45"/>
        <v>0</v>
      </c>
      <c r="H99" s="275">
        <f t="shared" si="45"/>
        <v>0</v>
      </c>
      <c r="I99" s="275">
        <f t="shared" si="45"/>
        <v>0</v>
      </c>
      <c r="J99" s="275">
        <f t="shared" si="45"/>
        <v>0</v>
      </c>
      <c r="K99" s="275">
        <f t="shared" si="45"/>
        <v>-10.625</v>
      </c>
      <c r="L99" s="276">
        <f t="shared" si="26"/>
        <v>0</v>
      </c>
      <c r="M99" s="275"/>
    </row>
    <row r="100" spans="2:28" x14ac:dyDescent="0.3">
      <c r="B100" s="277"/>
      <c r="C100" s="277"/>
      <c r="D100" s="283" t="s">
        <v>3318</v>
      </c>
      <c r="E100" s="281">
        <f t="shared" si="45"/>
        <v>0</v>
      </c>
      <c r="F100" s="281">
        <f t="shared" si="45"/>
        <v>0</v>
      </c>
      <c r="G100" s="281">
        <f t="shared" si="45"/>
        <v>0</v>
      </c>
      <c r="H100" s="281">
        <f t="shared" si="45"/>
        <v>0</v>
      </c>
      <c r="I100" s="281">
        <f t="shared" si="45"/>
        <v>0</v>
      </c>
      <c r="J100" s="281">
        <f t="shared" si="45"/>
        <v>0</v>
      </c>
      <c r="K100" s="281">
        <f t="shared" si="45"/>
        <v>5.7374999999999989</v>
      </c>
      <c r="L100" s="282">
        <f t="shared" si="26"/>
        <v>0</v>
      </c>
      <c r="M100" s="281"/>
      <c r="O100" s="21"/>
      <c r="P100" s="21"/>
      <c r="Q100" s="21"/>
      <c r="R100" s="21"/>
      <c r="S100" s="21"/>
      <c r="T100" s="21"/>
      <c r="U100" s="21"/>
      <c r="V100" s="21"/>
      <c r="W100" s="21"/>
      <c r="Y100" s="21"/>
      <c r="Z100" s="21"/>
      <c r="AA100" s="21"/>
      <c r="AB100" s="21"/>
    </row>
    <row r="101" spans="2:28" x14ac:dyDescent="0.3">
      <c r="B101" s="277"/>
      <c r="C101" s="277"/>
      <c r="D101" s="328" t="s">
        <v>3552</v>
      </c>
      <c r="E101" s="329">
        <f t="shared" si="45"/>
        <v>0</v>
      </c>
      <c r="F101" s="329">
        <f t="shared" si="45"/>
        <v>0</v>
      </c>
      <c r="G101" s="329">
        <f t="shared" si="45"/>
        <v>0</v>
      </c>
      <c r="H101" s="329">
        <f t="shared" si="45"/>
        <v>0</v>
      </c>
      <c r="I101" s="329">
        <f t="shared" si="45"/>
        <v>0</v>
      </c>
      <c r="J101" s="329">
        <f t="shared" si="45"/>
        <v>0</v>
      </c>
      <c r="K101" s="329">
        <f t="shared" si="45"/>
        <v>3.5274999999999999</v>
      </c>
      <c r="L101" s="330">
        <f t="shared" si="26"/>
        <v>0</v>
      </c>
      <c r="M101" s="329"/>
    </row>
    <row r="102" spans="2:28" x14ac:dyDescent="0.3">
      <c r="B102" s="284"/>
      <c r="C102" s="284"/>
      <c r="D102" s="285" t="s">
        <v>3553</v>
      </c>
      <c r="E102" s="286">
        <f t="shared" si="45"/>
        <v>0</v>
      </c>
      <c r="F102" s="286">
        <f t="shared" si="45"/>
        <v>0</v>
      </c>
      <c r="G102" s="286">
        <f t="shared" si="45"/>
        <v>0</v>
      </c>
      <c r="H102" s="286">
        <f t="shared" si="45"/>
        <v>0</v>
      </c>
      <c r="I102" s="286">
        <f t="shared" si="45"/>
        <v>0</v>
      </c>
      <c r="J102" s="286">
        <f t="shared" si="45"/>
        <v>0</v>
      </c>
      <c r="K102" s="286">
        <f t="shared" si="45"/>
        <v>3.6125000000000007</v>
      </c>
      <c r="L102" s="287">
        <f t="shared" si="26"/>
        <v>0</v>
      </c>
      <c r="M102" s="286"/>
    </row>
    <row r="103" spans="2:28" x14ac:dyDescent="0.3">
      <c r="B103" s="262" t="s">
        <v>3325</v>
      </c>
      <c r="C103" s="263"/>
      <c r="D103" s="264"/>
      <c r="E103" s="265">
        <f>SUM(E104:E108)</f>
        <v>5.8940324028397173</v>
      </c>
      <c r="F103" s="265">
        <f>SUM(F104:F108)</f>
        <v>6.5093043631736576</v>
      </c>
      <c r="G103" s="265">
        <f t="shared" ref="G103:K103" si="46">SUM(G104:G108)</f>
        <v>7.4637454291445193</v>
      </c>
      <c r="H103" s="265">
        <f t="shared" si="46"/>
        <v>7.814664099401746</v>
      </c>
      <c r="I103" s="265">
        <f t="shared" si="46"/>
        <v>8.1824606451358335</v>
      </c>
      <c r="J103" s="265">
        <f t="shared" si="46"/>
        <v>8.5679589183795457</v>
      </c>
      <c r="K103" s="265">
        <f t="shared" si="46"/>
        <v>8.9720233625150492</v>
      </c>
      <c r="L103" s="266">
        <f t="shared" si="26"/>
        <v>6.627975467935654E-2</v>
      </c>
      <c r="M103" s="265"/>
      <c r="X103" s="21"/>
    </row>
    <row r="104" spans="2:28" x14ac:dyDescent="0.3">
      <c r="B104" s="301"/>
      <c r="C104" s="302" t="s">
        <v>3326</v>
      </c>
      <c r="D104" s="303"/>
      <c r="E104" s="304">
        <v>5.2251444959260969</v>
      </c>
      <c r="F104" s="304">
        <v>5.6559802547308795</v>
      </c>
      <c r="G104" s="304">
        <v>6.3503153691445196</v>
      </c>
      <c r="H104" s="304">
        <f>+S75</f>
        <v>6.6678311376017456</v>
      </c>
      <c r="I104" s="304">
        <f t="shared" ref="I104:K104" si="47">+T75</f>
        <v>7.0012226944818332</v>
      </c>
      <c r="J104" s="304">
        <f t="shared" si="47"/>
        <v>7.3512838292059248</v>
      </c>
      <c r="K104" s="304">
        <f t="shared" si="47"/>
        <v>7.7188480206662211</v>
      </c>
      <c r="L104" s="305">
        <f t="shared" si="26"/>
        <v>6.4164877578718027E-2</v>
      </c>
      <c r="M104" s="304"/>
      <c r="O104" s="21"/>
      <c r="P104" s="21"/>
      <c r="Q104" s="21"/>
      <c r="R104" s="21"/>
      <c r="S104" s="21"/>
      <c r="T104" s="21"/>
      <c r="U104" s="21"/>
      <c r="V104" s="21"/>
      <c r="W104" s="21"/>
      <c r="X104" s="21"/>
    </row>
    <row r="105" spans="2:28" x14ac:dyDescent="0.3">
      <c r="B105" s="301"/>
      <c r="C105" s="306" t="s">
        <v>1988</v>
      </c>
      <c r="D105" s="307"/>
      <c r="E105" s="308">
        <v>0.57165085535770954</v>
      </c>
      <c r="F105" s="308">
        <v>0.66889090844277854</v>
      </c>
      <c r="G105" s="308">
        <v>0.81596126000000002</v>
      </c>
      <c r="H105" s="308">
        <f t="shared" ref="H105:K108" si="48">+S76</f>
        <v>0.84044009780000006</v>
      </c>
      <c r="I105" s="308">
        <f t="shared" si="48"/>
        <v>0.86565330073400004</v>
      </c>
      <c r="J105" s="308">
        <f t="shared" si="48"/>
        <v>0.89162289975602005</v>
      </c>
      <c r="K105" s="308">
        <f t="shared" si="48"/>
        <v>0.91837158674870067</v>
      </c>
      <c r="L105" s="309">
        <f t="shared" si="26"/>
        <v>6.5448909285634516E-2</v>
      </c>
      <c r="M105" s="308"/>
      <c r="O105" s="21"/>
      <c r="P105" s="21"/>
      <c r="Q105" s="21"/>
      <c r="R105" s="21"/>
      <c r="S105" s="21"/>
      <c r="T105" s="21"/>
      <c r="U105" s="21"/>
      <c r="V105" s="21"/>
      <c r="W105" s="21"/>
    </row>
    <row r="106" spans="2:28" x14ac:dyDescent="0.3">
      <c r="B106" s="301"/>
      <c r="C106" s="306" t="s">
        <v>3327</v>
      </c>
      <c r="D106" s="307"/>
      <c r="E106" s="308">
        <v>0</v>
      </c>
      <c r="F106" s="308">
        <v>0</v>
      </c>
      <c r="G106" s="308">
        <v>0</v>
      </c>
      <c r="H106" s="308">
        <f t="shared" si="48"/>
        <v>0</v>
      </c>
      <c r="I106" s="308">
        <f t="shared" si="48"/>
        <v>0</v>
      </c>
      <c r="J106" s="308">
        <f t="shared" si="48"/>
        <v>0</v>
      </c>
      <c r="K106" s="308">
        <f t="shared" si="48"/>
        <v>0</v>
      </c>
      <c r="L106" s="309">
        <f t="shared" si="26"/>
        <v>0</v>
      </c>
      <c r="M106" s="308"/>
    </row>
    <row r="107" spans="2:28" x14ac:dyDescent="0.3">
      <c r="B107" s="301"/>
      <c r="C107" s="306" t="s">
        <v>1995</v>
      </c>
      <c r="D107" s="307"/>
      <c r="E107" s="308">
        <v>4.081924E-2</v>
      </c>
      <c r="F107" s="308">
        <v>8.1065540000000005E-2</v>
      </c>
      <c r="G107" s="308">
        <v>7.0000000000000007E-2</v>
      </c>
      <c r="H107" s="308">
        <f t="shared" si="48"/>
        <v>7.2100000000000011E-2</v>
      </c>
      <c r="I107" s="308">
        <f t="shared" si="48"/>
        <v>7.426300000000001E-2</v>
      </c>
      <c r="J107" s="308">
        <f t="shared" si="48"/>
        <v>7.6490890000000006E-2</v>
      </c>
      <c r="K107" s="308">
        <f t="shared" si="48"/>
        <v>7.8785616700000005E-2</v>
      </c>
      <c r="L107" s="309">
        <f t="shared" si="26"/>
        <v>-5.6892569888209454E-3</v>
      </c>
      <c r="M107" s="308"/>
    </row>
    <row r="108" spans="2:28" x14ac:dyDescent="0.3">
      <c r="B108" s="310"/>
      <c r="C108" s="311" t="s">
        <v>71</v>
      </c>
      <c r="D108" s="312"/>
      <c r="E108" s="313">
        <v>5.6417811555909927E-2</v>
      </c>
      <c r="F108" s="313">
        <v>0.10336765999999981</v>
      </c>
      <c r="G108" s="313">
        <v>0.2274688</v>
      </c>
      <c r="H108" s="313">
        <f t="shared" si="48"/>
        <v>0.23429286400000002</v>
      </c>
      <c r="I108" s="313">
        <f t="shared" si="48"/>
        <v>0.24132164992000002</v>
      </c>
      <c r="J108" s="313">
        <f t="shared" si="48"/>
        <v>0.24856129941760002</v>
      </c>
      <c r="K108" s="313">
        <f t="shared" si="48"/>
        <v>0.25601813840012805</v>
      </c>
      <c r="L108" s="314">
        <f t="shared" si="26"/>
        <v>0.19888412648741172</v>
      </c>
      <c r="M108" s="313"/>
      <c r="X108" s="21"/>
    </row>
    <row r="109" spans="2:28" x14ac:dyDescent="0.3">
      <c r="B109" s="331" t="s">
        <v>3449</v>
      </c>
      <c r="C109" s="331"/>
      <c r="D109" s="331"/>
      <c r="E109" s="265">
        <f>E70-E103</f>
        <v>5.1277174671602905</v>
      </c>
      <c r="F109" s="265">
        <f>F70-F103</f>
        <v>-10.721891883173654</v>
      </c>
      <c r="G109" s="265">
        <f>G70-G103</f>
        <v>-6.0087648341445137</v>
      </c>
      <c r="H109" s="265">
        <f>H70-H103</f>
        <v>19.087645236709026</v>
      </c>
      <c r="I109" s="265">
        <f t="shared" ref="I109:K109" si="49">I70-I103</f>
        <v>24.2123748168937</v>
      </c>
      <c r="J109" s="265">
        <f t="shared" si="49"/>
        <v>34.983994705237556</v>
      </c>
      <c r="K109" s="265">
        <f t="shared" si="49"/>
        <v>53.127887161925329</v>
      </c>
      <c r="L109" s="266">
        <f t="shared" si="26"/>
        <v>-2.3772418918173153</v>
      </c>
      <c r="M109" s="265"/>
      <c r="O109" s="21"/>
      <c r="P109" s="21"/>
      <c r="Q109" s="21"/>
      <c r="R109" s="21"/>
      <c r="S109" s="21"/>
      <c r="T109" s="21"/>
      <c r="U109" s="21"/>
      <c r="V109" s="21"/>
      <c r="W109" s="21"/>
      <c r="X109" s="21"/>
    </row>
    <row r="110" spans="2:28" x14ac:dyDescent="0.3">
      <c r="F110" s="897"/>
      <c r="O110" s="21"/>
      <c r="P110" s="21"/>
      <c r="Q110" s="21"/>
      <c r="R110" s="21"/>
      <c r="S110" s="21"/>
      <c r="T110" s="21"/>
      <c r="U110" s="21"/>
      <c r="V110" s="21"/>
      <c r="W110" s="21"/>
    </row>
    <row r="111" spans="2:28" x14ac:dyDescent="0.3">
      <c r="G111" s="321"/>
    </row>
    <row r="112" spans="2:28" x14ac:dyDescent="0.3">
      <c r="F112" s="260"/>
      <c r="G112" s="898"/>
      <c r="H112" s="260"/>
      <c r="I112" s="260"/>
      <c r="J112" s="260"/>
      <c r="K112" s="260"/>
    </row>
    <row r="113" spans="6:11" x14ac:dyDescent="0.3">
      <c r="F113" s="260"/>
      <c r="G113" s="260"/>
      <c r="H113" s="260"/>
      <c r="I113" s="260"/>
      <c r="J113" s="260"/>
      <c r="K113" s="260"/>
    </row>
    <row r="114" spans="6:11" x14ac:dyDescent="0.3">
      <c r="F114" s="260"/>
      <c r="G114" s="260"/>
      <c r="H114" s="260"/>
      <c r="I114" s="260"/>
      <c r="J114" s="260"/>
      <c r="K114" s="260"/>
    </row>
    <row r="115" spans="6:11" x14ac:dyDescent="0.3">
      <c r="F115" s="260"/>
      <c r="G115" s="260"/>
      <c r="H115" s="260"/>
      <c r="I115" s="260"/>
      <c r="J115" s="260"/>
      <c r="K115" s="260"/>
    </row>
    <row r="116" spans="6:11" x14ac:dyDescent="0.3">
      <c r="F116" s="260"/>
      <c r="G116" s="260"/>
      <c r="H116" s="260"/>
      <c r="I116" s="260"/>
      <c r="J116" s="260"/>
      <c r="K116" s="260"/>
    </row>
    <row r="118" spans="6:11" x14ac:dyDescent="0.3">
      <c r="F118" s="260"/>
      <c r="G118" s="260"/>
      <c r="H118" s="260"/>
      <c r="I118" s="260"/>
      <c r="J118" s="260"/>
      <c r="K118" s="260"/>
    </row>
    <row r="119" spans="6:11" x14ac:dyDescent="0.3">
      <c r="F119" s="260"/>
      <c r="G119" s="260"/>
      <c r="H119" s="260"/>
      <c r="I119" s="260"/>
      <c r="J119" s="260"/>
      <c r="K119" s="260"/>
    </row>
    <row r="120" spans="6:11" x14ac:dyDescent="0.3">
      <c r="F120" s="260"/>
      <c r="G120" s="260"/>
      <c r="H120" s="260"/>
      <c r="I120" s="260"/>
      <c r="J120" s="260"/>
      <c r="K120" s="260"/>
    </row>
    <row r="121" spans="6:11" x14ac:dyDescent="0.3">
      <c r="F121" s="260"/>
      <c r="G121" s="260"/>
      <c r="H121" s="260"/>
      <c r="I121" s="260"/>
      <c r="J121" s="260"/>
      <c r="K121" s="260"/>
    </row>
    <row r="122" spans="6:11" x14ac:dyDescent="0.3">
      <c r="F122" s="260"/>
      <c r="G122" s="260"/>
      <c r="H122" s="260"/>
      <c r="I122" s="260"/>
      <c r="J122" s="260"/>
      <c r="K122" s="260"/>
    </row>
  </sheetData>
  <mergeCells count="1">
    <mergeCell ref="B3:D3"/>
  </mergeCells>
  <phoneticPr fontId="2"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38DA6-E763-4EBC-951A-899ACBE8F294}">
  <sheetPr>
    <tabColor theme="1" tint="0.34998626667073579"/>
  </sheetPr>
  <dimension ref="A1:AJ48"/>
  <sheetViews>
    <sheetView workbookViewId="0"/>
  </sheetViews>
  <sheetFormatPr defaultRowHeight="16.5" x14ac:dyDescent="0.3"/>
  <cols>
    <col min="1" max="3" width="2.625" customWidth="1"/>
    <col min="4" max="4" width="11" customWidth="1"/>
    <col min="5" max="12" width="9.625" customWidth="1"/>
    <col min="13" max="13" width="43.875" customWidth="1"/>
    <col min="14" max="14" width="5.25" customWidth="1"/>
    <col min="15" max="15" width="9.5" customWidth="1"/>
    <col min="16" max="16" width="10.375" customWidth="1"/>
    <col min="21" max="23" width="8.75" customWidth="1"/>
    <col min="24" max="24" width="5.625" bestFit="1" customWidth="1"/>
  </cols>
  <sheetData>
    <row r="1" spans="1:36" ht="17.25" thickBot="1" x14ac:dyDescent="0.35">
      <c r="A1" s="258" t="s">
        <v>3627</v>
      </c>
      <c r="B1" s="259"/>
      <c r="C1" s="259"/>
      <c r="D1" s="259"/>
      <c r="E1" s="259"/>
      <c r="F1" s="259"/>
      <c r="G1" s="259"/>
      <c r="H1" s="259"/>
      <c r="I1" s="259"/>
      <c r="J1" s="259"/>
      <c r="K1" s="259"/>
      <c r="L1" s="259"/>
      <c r="M1" s="259"/>
    </row>
    <row r="3" spans="1:36" s="21" customFormat="1" ht="13.5" x14ac:dyDescent="0.3">
      <c r="B3" s="1775" t="s">
        <v>3292</v>
      </c>
      <c r="C3" s="1776"/>
      <c r="D3" s="1777"/>
      <c r="E3" s="261" t="s">
        <v>3293</v>
      </c>
      <c r="F3" s="261" t="s">
        <v>3294</v>
      </c>
      <c r="G3" s="261" t="s">
        <v>3295</v>
      </c>
      <c r="H3" s="261" t="s">
        <v>3296</v>
      </c>
      <c r="I3" s="261" t="s">
        <v>3297</v>
      </c>
      <c r="J3" s="261" t="s">
        <v>3298</v>
      </c>
      <c r="K3" s="261" t="s">
        <v>3299</v>
      </c>
      <c r="L3" s="261" t="s">
        <v>51</v>
      </c>
      <c r="M3" s="261" t="s">
        <v>3463</v>
      </c>
      <c r="AF3" s="341"/>
      <c r="AJ3" s="341"/>
    </row>
    <row r="4" spans="1:36" s="21" customFormat="1" ht="13.5" x14ac:dyDescent="0.3">
      <c r="B4" s="262" t="s">
        <v>161</v>
      </c>
      <c r="C4" s="263"/>
      <c r="D4" s="264"/>
      <c r="E4" s="265">
        <f>SUM(E5,E6,E7,E8)</f>
        <v>447.35474404851635</v>
      </c>
      <c r="F4" s="265">
        <f>SUM(F5,F6,F7,F8)</f>
        <v>409.42723750999994</v>
      </c>
      <c r="G4" s="265">
        <f>SUM(G5,G6,G7,G8)</f>
        <v>526.59992439999996</v>
      </c>
      <c r="H4" s="265">
        <f>SUM(H5,H6,H7,H8)</f>
        <v>663.58376693348532</v>
      </c>
      <c r="I4" s="265">
        <f t="shared" ref="I4:K4" si="0">SUM(I5,I6,I7,I8)</f>
        <v>812.53668990277822</v>
      </c>
      <c r="J4" s="265">
        <f t="shared" si="0"/>
        <v>1001.0424517927778</v>
      </c>
      <c r="K4" s="265">
        <f t="shared" si="0"/>
        <v>1124.0018065013901</v>
      </c>
      <c r="L4" s="266">
        <f t="shared" ref="L4:L27" si="1">IFERROR((K4/F4)^(1/5)-1,0)</f>
        <v>0.22382143531436727</v>
      </c>
      <c r="M4" s="266"/>
      <c r="N4" s="267"/>
      <c r="O4" s="899"/>
      <c r="P4" s="900">
        <v>2020</v>
      </c>
      <c r="Q4" s="901">
        <v>2021</v>
      </c>
      <c r="R4" s="901">
        <v>2022</v>
      </c>
      <c r="S4" s="901">
        <v>2023</v>
      </c>
      <c r="T4" s="902">
        <v>2024</v>
      </c>
      <c r="U4" s="902">
        <v>2025</v>
      </c>
      <c r="V4" s="902">
        <v>2026</v>
      </c>
      <c r="W4" s="902">
        <v>2027</v>
      </c>
      <c r="X4" s="903"/>
      <c r="Y4" s="901">
        <v>2021</v>
      </c>
      <c r="Z4" s="901">
        <v>2022</v>
      </c>
      <c r="AA4" s="901">
        <v>2023</v>
      </c>
      <c r="AB4" s="902">
        <v>2024</v>
      </c>
      <c r="AC4" s="902">
        <v>2025</v>
      </c>
      <c r="AD4" s="902">
        <v>2026</v>
      </c>
      <c r="AE4" s="902">
        <v>2027</v>
      </c>
      <c r="AF4" s="903"/>
    </row>
    <row r="5" spans="1:36" s="21" customFormat="1" ht="13.5" x14ac:dyDescent="0.3">
      <c r="B5" s="268"/>
      <c r="C5" s="273" t="s">
        <v>96</v>
      </c>
      <c r="D5" s="274"/>
      <c r="E5" s="275">
        <v>181.93526825094207</v>
      </c>
      <c r="F5" s="275">
        <v>221.37407915999995</v>
      </c>
      <c r="G5" s="275">
        <v>311.95934999999997</v>
      </c>
      <c r="H5" s="904">
        <f>SUM(H36,H41,H46)</f>
        <v>446.51615794499997</v>
      </c>
      <c r="I5" s="904">
        <f>SUM(I36,I41,I46)</f>
        <v>581.07296588999998</v>
      </c>
      <c r="J5" s="904">
        <f>SUM(J36,J41,J46)</f>
        <v>738.58658177999985</v>
      </c>
      <c r="K5" s="904">
        <f>SUM(K36,K41,K46)</f>
        <v>845.24338972500004</v>
      </c>
      <c r="L5" s="276">
        <f t="shared" si="1"/>
        <v>0.30728718242465036</v>
      </c>
      <c r="M5" s="275"/>
      <c r="O5" s="905" t="s">
        <v>3628</v>
      </c>
      <c r="P5" s="906">
        <v>149.09</v>
      </c>
      <c r="Q5" s="907">
        <v>144.03</v>
      </c>
      <c r="R5" s="907">
        <v>127.03580541000001</v>
      </c>
      <c r="S5" s="907">
        <v>170.58600000000001</v>
      </c>
      <c r="T5" s="908">
        <f>S5*AB5</f>
        <v>170.58600000000001</v>
      </c>
      <c r="U5" s="908">
        <f t="shared" ref="U5:W7" si="2">T5*AC5</f>
        <v>221.76180000000002</v>
      </c>
      <c r="V5" s="908">
        <f t="shared" si="2"/>
        <v>266.11416000000003</v>
      </c>
      <c r="W5" s="908">
        <f t="shared" si="2"/>
        <v>292.72557600000005</v>
      </c>
      <c r="X5" s="828"/>
      <c r="Y5" s="909">
        <f>Q5/P5</f>
        <v>0.96606076866322355</v>
      </c>
      <c r="Z5" s="910">
        <f>R5/Q5</f>
        <v>0.88200934117892116</v>
      </c>
      <c r="AA5" s="910">
        <f>S5/R5</f>
        <v>1.3428182664678239</v>
      </c>
      <c r="AB5" s="911">
        <v>1</v>
      </c>
      <c r="AC5" s="911">
        <v>1.3</v>
      </c>
      <c r="AD5" s="911">
        <v>1.2</v>
      </c>
      <c r="AE5" s="911">
        <v>1.1000000000000001</v>
      </c>
      <c r="AF5" s="903" t="s">
        <v>3629</v>
      </c>
    </row>
    <row r="6" spans="1:36" s="21" customFormat="1" ht="13.5" x14ac:dyDescent="0.3">
      <c r="B6" s="277"/>
      <c r="C6" s="279" t="s">
        <v>98</v>
      </c>
      <c r="D6" s="280"/>
      <c r="E6" s="281">
        <v>174.14993767757423</v>
      </c>
      <c r="F6" s="281">
        <v>127.80878485</v>
      </c>
      <c r="G6" s="281">
        <v>132.8059744</v>
      </c>
      <c r="H6" s="281">
        <f>+T15</f>
        <v>133.64300898848529</v>
      </c>
      <c r="I6" s="281">
        <f t="shared" ref="I6:K6" si="3">+U15</f>
        <v>154.27612401277824</v>
      </c>
      <c r="J6" s="281">
        <f t="shared" si="3"/>
        <v>174.04167001277784</v>
      </c>
      <c r="K6" s="281">
        <f t="shared" si="3"/>
        <v>186.9762367763901</v>
      </c>
      <c r="L6" s="282">
        <f t="shared" si="1"/>
        <v>7.9058876747368556E-2</v>
      </c>
      <c r="M6" s="281"/>
      <c r="O6" s="912" t="s">
        <v>3630</v>
      </c>
      <c r="P6" s="913"/>
      <c r="Q6" s="914"/>
      <c r="R6" s="914">
        <v>38.076896230000003</v>
      </c>
      <c r="S6" s="914">
        <v>64.858725000000007</v>
      </c>
      <c r="T6" s="915">
        <f>S6*AB6</f>
        <v>71.34459750000002</v>
      </c>
      <c r="U6" s="915">
        <f t="shared" si="2"/>
        <v>77.052165300000027</v>
      </c>
      <c r="V6" s="915">
        <f t="shared" si="2"/>
        <v>81.675295218000031</v>
      </c>
      <c r="W6" s="915">
        <f t="shared" si="2"/>
        <v>84.94230702672003</v>
      </c>
      <c r="X6" s="828"/>
      <c r="Y6" s="916"/>
      <c r="Z6" s="917"/>
      <c r="AA6" s="917">
        <f>S6/R6</f>
        <v>1.7033616555358615</v>
      </c>
      <c r="AB6" s="918">
        <v>1.1000000000000001</v>
      </c>
      <c r="AC6" s="918">
        <v>1.08</v>
      </c>
      <c r="AD6" s="918">
        <v>1.06</v>
      </c>
      <c r="AE6" s="918">
        <v>1.04</v>
      </c>
      <c r="AF6" s="903" t="s">
        <v>3631</v>
      </c>
    </row>
    <row r="7" spans="1:36" s="21" customFormat="1" ht="13.5" x14ac:dyDescent="0.3">
      <c r="B7" s="277"/>
      <c r="C7" s="279" t="s">
        <v>100</v>
      </c>
      <c r="D7" s="280"/>
      <c r="E7" s="281">
        <v>89.163400139999993</v>
      </c>
      <c r="F7" s="281">
        <v>59.286567020000007</v>
      </c>
      <c r="G7" s="281">
        <v>81.834599999999995</v>
      </c>
      <c r="H7" s="281">
        <f>+T20</f>
        <v>83.424600000000012</v>
      </c>
      <c r="I7" s="281">
        <f t="shared" ref="I7:K7" si="4">+U20</f>
        <v>77.187600000000003</v>
      </c>
      <c r="J7" s="281">
        <f t="shared" si="4"/>
        <v>88.414200000000022</v>
      </c>
      <c r="K7" s="281">
        <f t="shared" si="4"/>
        <v>91.782180000000011</v>
      </c>
      <c r="L7" s="282">
        <f t="shared" si="1"/>
        <v>9.1340853778743458E-2</v>
      </c>
      <c r="M7" s="281"/>
      <c r="O7" s="919" t="s">
        <v>71</v>
      </c>
      <c r="P7" s="913">
        <v>26.108857099999994</v>
      </c>
      <c r="Q7" s="914">
        <v>37.744348280942035</v>
      </c>
      <c r="R7" s="914">
        <v>61.340927049999998</v>
      </c>
      <c r="S7" s="914">
        <v>76.514624999999995</v>
      </c>
      <c r="T7" s="915">
        <f>S7*AB7</f>
        <v>91.616058113870139</v>
      </c>
      <c r="U7" s="915">
        <f t="shared" si="2"/>
        <v>106.94952833405641</v>
      </c>
      <c r="V7" s="915">
        <f t="shared" si="2"/>
        <v>121.64082382733342</v>
      </c>
      <c r="W7" s="915">
        <f t="shared" si="2"/>
        <v>134.70098824895848</v>
      </c>
      <c r="X7" s="828"/>
      <c r="Y7" s="920">
        <f>Q7/P7</f>
        <v>1.4456530263418557</v>
      </c>
      <c r="Z7" s="921">
        <f>R7/Q7</f>
        <v>1.6251685310187858</v>
      </c>
      <c r="AA7" s="921">
        <f>S7/R7</f>
        <v>1.2473666225753592</v>
      </c>
      <c r="AB7" s="922">
        <v>1.1973666225753592</v>
      </c>
      <c r="AC7" s="922">
        <v>1.1673666225753592</v>
      </c>
      <c r="AD7" s="922">
        <v>1.1373666225753591</v>
      </c>
      <c r="AE7" s="922">
        <v>1.1073666225753591</v>
      </c>
      <c r="AF7" s="903" t="s">
        <v>3632</v>
      </c>
    </row>
    <row r="8" spans="1:36" s="21" customFormat="1" ht="13.5" x14ac:dyDescent="0.3">
      <c r="B8" s="277"/>
      <c r="C8" s="288" t="s">
        <v>103</v>
      </c>
      <c r="D8" s="289"/>
      <c r="E8" s="286">
        <v>2.1061379800000002</v>
      </c>
      <c r="F8" s="286">
        <v>0.95780648000000002</v>
      </c>
      <c r="G8" s="286">
        <v>0</v>
      </c>
      <c r="H8" s="286">
        <v>0</v>
      </c>
      <c r="I8" s="286">
        <v>0</v>
      </c>
      <c r="J8" s="286">
        <v>0</v>
      </c>
      <c r="K8" s="286">
        <v>0</v>
      </c>
      <c r="L8" s="287">
        <f t="shared" si="1"/>
        <v>-1</v>
      </c>
      <c r="M8" s="286"/>
      <c r="O8" s="923" t="s">
        <v>3633</v>
      </c>
      <c r="P8" s="924">
        <f>SUM(P5:P7)</f>
        <v>175.1988571</v>
      </c>
      <c r="Q8" s="925">
        <f>SUM(Q5:Q7)</f>
        <v>181.77434828094204</v>
      </c>
      <c r="R8" s="925">
        <f>SUM(R5:R7)</f>
        <v>226.45362869000002</v>
      </c>
      <c r="S8" s="925">
        <f>SUM(S5:S7)</f>
        <v>311.95934999999997</v>
      </c>
      <c r="T8" s="926">
        <f>SUM(T5:T7)</f>
        <v>333.54665561387014</v>
      </c>
      <c r="U8" s="926">
        <f t="shared" ref="U8:W8" si="5">SUM(U5:U7)</f>
        <v>405.76349363405649</v>
      </c>
      <c r="V8" s="926">
        <f t="shared" si="5"/>
        <v>469.43027904533346</v>
      </c>
      <c r="W8" s="926">
        <f t="shared" si="5"/>
        <v>512.36887127567854</v>
      </c>
      <c r="X8" s="828"/>
      <c r="Y8" s="927">
        <f>Q8/P8</f>
        <v>1.0375315871905995</v>
      </c>
      <c r="Z8" s="928">
        <f>R8/Q8</f>
        <v>1.2457952996756383</v>
      </c>
      <c r="AA8" s="928">
        <f>S8/R8</f>
        <v>1.3775860064801682</v>
      </c>
      <c r="AB8" s="929">
        <f>T8/S8</f>
        <v>1.0691990979397481</v>
      </c>
      <c r="AC8" s="929">
        <f t="shared" ref="AC8:AE8" si="6">U8/T8</f>
        <v>1.2165119535894495</v>
      </c>
      <c r="AD8" s="929">
        <f t="shared" si="6"/>
        <v>1.1569061446141229</v>
      </c>
      <c r="AE8" s="929">
        <f t="shared" si="6"/>
        <v>1.0914695837636805</v>
      </c>
      <c r="AF8" s="903"/>
    </row>
    <row r="9" spans="1:36" s="21" customFormat="1" ht="13.5" x14ac:dyDescent="0.3">
      <c r="B9" s="262" t="s">
        <v>44</v>
      </c>
      <c r="C9" s="263"/>
      <c r="D9" s="264"/>
      <c r="E9" s="265">
        <f>SUM(E10,E11,E12,E14,E13)</f>
        <v>328.27108532</v>
      </c>
      <c r="F9" s="265">
        <f>SUM(F10,F11,F12,F14,F13)</f>
        <v>292.01184341999999</v>
      </c>
      <c r="G9" s="265">
        <f t="shared" ref="G9:K9" si="7">SUM(G10,G11,G12,G14,G13)</f>
        <v>378.65174625566669</v>
      </c>
      <c r="H9" s="265">
        <f t="shared" si="7"/>
        <v>479.83110509704727</v>
      </c>
      <c r="I9" s="265">
        <f t="shared" si="7"/>
        <v>589.13370994692366</v>
      </c>
      <c r="J9" s="265">
        <f t="shared" si="7"/>
        <v>723.49369479602433</v>
      </c>
      <c r="K9" s="265">
        <f t="shared" si="7"/>
        <v>813.06647011592258</v>
      </c>
      <c r="L9" s="266">
        <f t="shared" si="1"/>
        <v>0.22728412646365204</v>
      </c>
      <c r="M9" s="266"/>
      <c r="O9" s="899"/>
      <c r="P9" s="900">
        <v>2020</v>
      </c>
      <c r="Q9" s="901">
        <v>2021</v>
      </c>
      <c r="R9" s="901">
        <v>2022</v>
      </c>
      <c r="S9" s="901">
        <v>2023</v>
      </c>
      <c r="T9" s="902">
        <v>2024</v>
      </c>
      <c r="U9" s="902">
        <v>2025</v>
      </c>
      <c r="V9" s="902">
        <v>2026</v>
      </c>
      <c r="W9" s="902">
        <v>2027</v>
      </c>
      <c r="X9" s="828"/>
      <c r="Y9" s="930"/>
      <c r="Z9" s="931"/>
      <c r="AA9" s="931"/>
      <c r="AB9" s="932"/>
      <c r="AC9" s="932"/>
      <c r="AD9" s="932"/>
      <c r="AE9" s="932"/>
      <c r="AF9" s="903"/>
    </row>
    <row r="10" spans="1:36" s="21" customFormat="1" ht="13.5" x14ac:dyDescent="0.3">
      <c r="B10" s="268"/>
      <c r="C10" s="273" t="s">
        <v>96</v>
      </c>
      <c r="D10" s="274"/>
      <c r="E10" s="275">
        <v>117.92227380999999</v>
      </c>
      <c r="F10" s="275">
        <v>145.95094573999995</v>
      </c>
      <c r="G10" s="275">
        <v>212.98772995566668</v>
      </c>
      <c r="H10" s="904">
        <f>SUM(H37,H42,H47)</f>
        <v>312.23405534991571</v>
      </c>
      <c r="I10" s="904">
        <f>SUM(I37,I42,I47)</f>
        <v>411.48038074416473</v>
      </c>
      <c r="J10" s="904">
        <f>SUM(J37,J42,J47)</f>
        <v>521.97303153266262</v>
      </c>
      <c r="K10" s="904">
        <f>SUM(K37,K42,K47)</f>
        <v>599.21935692691181</v>
      </c>
      <c r="L10" s="276">
        <f t="shared" si="1"/>
        <v>0.32640388161843492</v>
      </c>
      <c r="M10" s="275"/>
      <c r="O10" s="905" t="s">
        <v>3634</v>
      </c>
      <c r="P10" s="906">
        <v>62.2</v>
      </c>
      <c r="Q10" s="907">
        <v>74.5</v>
      </c>
      <c r="R10" s="907">
        <v>58.377997635454541</v>
      </c>
      <c r="S10" s="907">
        <v>58.653199999999998</v>
      </c>
      <c r="T10" s="933">
        <f t="shared" ref="T10:W14" si="8">S10*AB10</f>
        <v>58.929699708485273</v>
      </c>
      <c r="U10" s="933">
        <f t="shared" si="8"/>
        <v>59.207502876778243</v>
      </c>
      <c r="V10" s="933">
        <f t="shared" si="8"/>
        <v>59.486615649577857</v>
      </c>
      <c r="W10" s="933">
        <f t="shared" si="8"/>
        <v>59.767044200550082</v>
      </c>
      <c r="X10" s="828"/>
      <c r="Y10" s="934">
        <f t="shared" ref="Y10:AA11" si="9">Q10/P10</f>
        <v>1.197749196141479</v>
      </c>
      <c r="Z10" s="935">
        <f t="shared" si="9"/>
        <v>0.78359728369737636</v>
      </c>
      <c r="AA10" s="935">
        <f t="shared" si="9"/>
        <v>1.0047141453234483</v>
      </c>
      <c r="AB10" s="936">
        <v>1.0047141453234483</v>
      </c>
      <c r="AC10" s="936">
        <v>1.0047141453234483</v>
      </c>
      <c r="AD10" s="936">
        <v>1.0047141453234483</v>
      </c>
      <c r="AE10" s="936">
        <v>1.0047141453234483</v>
      </c>
      <c r="AF10" s="903"/>
    </row>
    <row r="11" spans="1:36" s="21" customFormat="1" ht="13.5" x14ac:dyDescent="0.3">
      <c r="B11" s="277"/>
      <c r="C11" s="279" t="s">
        <v>98</v>
      </c>
      <c r="D11" s="280"/>
      <c r="E11" s="281">
        <v>141.35823576999999</v>
      </c>
      <c r="F11" s="281">
        <v>99.190773110000009</v>
      </c>
      <c r="G11" s="281">
        <v>97.946942299999989</v>
      </c>
      <c r="H11" s="281">
        <f t="shared" ref="H11:K13" si="10">+H6*T32</f>
        <v>98.564271293758509</v>
      </c>
      <c r="I11" s="281">
        <f t="shared" si="10"/>
        <v>113.78158765233405</v>
      </c>
      <c r="J11" s="281">
        <f t="shared" si="10"/>
        <v>128.3590552876301</v>
      </c>
      <c r="K11" s="281">
        <f t="shared" si="10"/>
        <v>137.89854528568722</v>
      </c>
      <c r="L11" s="282">
        <f t="shared" si="1"/>
        <v>6.811418300163008E-2</v>
      </c>
      <c r="M11" s="281"/>
      <c r="O11" s="919" t="s">
        <v>3635</v>
      </c>
      <c r="P11" s="913">
        <v>6.3</v>
      </c>
      <c r="Q11" s="914">
        <v>7.25</v>
      </c>
      <c r="R11" s="914">
        <v>7.8680464399999996</v>
      </c>
      <c r="S11" s="914">
        <v>5.5446</v>
      </c>
      <c r="T11" s="937"/>
      <c r="U11" s="937"/>
      <c r="V11" s="937"/>
      <c r="W11" s="937"/>
      <c r="X11" s="828"/>
      <c r="Y11" s="938">
        <f t="shared" si="9"/>
        <v>1.1507936507936509</v>
      </c>
      <c r="Z11" s="917">
        <f t="shared" si="9"/>
        <v>1.0852477848275861</v>
      </c>
      <c r="AA11" s="917">
        <f t="shared" si="9"/>
        <v>0.70469843337630333</v>
      </c>
      <c r="AB11" s="939">
        <v>2.7</v>
      </c>
      <c r="AC11" s="939">
        <v>1.5</v>
      </c>
      <c r="AD11" s="939">
        <v>1.5</v>
      </c>
      <c r="AE11" s="939">
        <v>1.5</v>
      </c>
      <c r="AF11" s="903" t="s">
        <v>3636</v>
      </c>
    </row>
    <row r="12" spans="1:36" s="21" customFormat="1" ht="13.5" x14ac:dyDescent="0.3">
      <c r="B12" s="277"/>
      <c r="C12" s="279" t="s">
        <v>100</v>
      </c>
      <c r="D12" s="280"/>
      <c r="E12" s="281">
        <v>67.327608670000004</v>
      </c>
      <c r="F12" s="281">
        <v>46.082646080000004</v>
      </c>
      <c r="G12" s="281">
        <v>67.717073999999997</v>
      </c>
      <c r="H12" s="281">
        <f t="shared" si="10"/>
        <v>69.032778453373041</v>
      </c>
      <c r="I12" s="281">
        <f t="shared" si="10"/>
        <v>63.871741550424886</v>
      </c>
      <c r="J12" s="281">
        <f t="shared" si="10"/>
        <v>73.161607975731556</v>
      </c>
      <c r="K12" s="281">
        <f t="shared" si="10"/>
        <v>75.94856790332355</v>
      </c>
      <c r="L12" s="282">
        <f t="shared" si="1"/>
        <v>0.10508691385205204</v>
      </c>
      <c r="M12" s="281"/>
      <c r="O12" s="919" t="s">
        <v>3637</v>
      </c>
      <c r="P12" s="913"/>
      <c r="Q12" s="914">
        <v>2.13</v>
      </c>
      <c r="R12" s="914">
        <v>11.36756673</v>
      </c>
      <c r="S12" s="914">
        <v>23.258174400000001</v>
      </c>
      <c r="T12" s="940">
        <f t="shared" si="8"/>
        <v>27.909809280000001</v>
      </c>
      <c r="U12" s="940">
        <f t="shared" si="8"/>
        <v>33.491771135999997</v>
      </c>
      <c r="V12" s="940">
        <f t="shared" si="8"/>
        <v>40.190125363199996</v>
      </c>
      <c r="W12" s="940">
        <f t="shared" si="8"/>
        <v>48.228150435839993</v>
      </c>
      <c r="X12" s="828"/>
      <c r="Y12" s="941"/>
      <c r="Z12" s="917">
        <f>R12/Q12</f>
        <v>5.3368857887323946</v>
      </c>
      <c r="AA12" s="917">
        <f>S12/R12</f>
        <v>2.0460116885542137</v>
      </c>
      <c r="AB12" s="918">
        <v>1.2</v>
      </c>
      <c r="AC12" s="918">
        <v>1.2</v>
      </c>
      <c r="AD12" s="918">
        <v>1.2</v>
      </c>
      <c r="AE12" s="918">
        <v>1.2</v>
      </c>
      <c r="AF12" s="903" t="s">
        <v>3638</v>
      </c>
    </row>
    <row r="13" spans="1:36" s="21" customFormat="1" ht="13.5" x14ac:dyDescent="0.3">
      <c r="B13" s="277"/>
      <c r="C13" s="279" t="s">
        <v>103</v>
      </c>
      <c r="D13" s="280"/>
      <c r="E13" s="281">
        <v>1.6629670700000001</v>
      </c>
      <c r="F13" s="281">
        <v>0.78747849000000003</v>
      </c>
      <c r="G13" s="281">
        <v>0</v>
      </c>
      <c r="H13" s="281">
        <f t="shared" si="10"/>
        <v>0</v>
      </c>
      <c r="I13" s="281">
        <f t="shared" si="10"/>
        <v>0</v>
      </c>
      <c r="J13" s="281">
        <f t="shared" si="10"/>
        <v>0</v>
      </c>
      <c r="K13" s="281">
        <f t="shared" si="10"/>
        <v>0</v>
      </c>
      <c r="L13" s="282">
        <f t="shared" si="1"/>
        <v>-1</v>
      </c>
      <c r="M13" s="281"/>
      <c r="O13" s="919" t="s">
        <v>3639</v>
      </c>
      <c r="P13" s="913"/>
      <c r="Q13" s="914"/>
      <c r="R13" s="914">
        <v>8.9270112800000003</v>
      </c>
      <c r="S13" s="914">
        <v>29.07</v>
      </c>
      <c r="T13" s="940">
        <f t="shared" si="8"/>
        <v>30.523500000000002</v>
      </c>
      <c r="U13" s="940">
        <f t="shared" si="8"/>
        <v>45.785250000000005</v>
      </c>
      <c r="V13" s="940">
        <f t="shared" si="8"/>
        <v>59.520825000000009</v>
      </c>
      <c r="W13" s="940">
        <f t="shared" si="8"/>
        <v>65.472907500000019</v>
      </c>
      <c r="X13" s="828"/>
      <c r="Y13" s="941"/>
      <c r="Z13" s="914"/>
      <c r="AA13" s="917">
        <f>S13/R13</f>
        <v>3.2564090139695665</v>
      </c>
      <c r="AB13" s="939">
        <v>1.05</v>
      </c>
      <c r="AC13" s="939">
        <v>1.5</v>
      </c>
      <c r="AD13" s="939">
        <v>1.3</v>
      </c>
      <c r="AE13" s="939">
        <v>1.1000000000000001</v>
      </c>
      <c r="AF13" s="903" t="s">
        <v>3640</v>
      </c>
    </row>
    <row r="14" spans="1:36" s="21" customFormat="1" ht="13.5" x14ac:dyDescent="0.3">
      <c r="B14" s="277"/>
      <c r="C14" s="288" t="s">
        <v>3329</v>
      </c>
      <c r="D14" s="289"/>
      <c r="E14" s="286">
        <v>0</v>
      </c>
      <c r="F14" s="286">
        <v>0</v>
      </c>
      <c r="G14" s="286"/>
      <c r="H14" s="286">
        <v>0</v>
      </c>
      <c r="I14" s="286"/>
      <c r="J14" s="286"/>
      <c r="K14" s="286"/>
      <c r="L14" s="287">
        <f t="shared" si="1"/>
        <v>0</v>
      </c>
      <c r="M14" s="286"/>
      <c r="O14" s="919" t="s">
        <v>71</v>
      </c>
      <c r="P14" s="913">
        <v>111.25126879000001</v>
      </c>
      <c r="Q14" s="914">
        <v>105.40173485757424</v>
      </c>
      <c r="R14" s="914">
        <v>43.451013975954552</v>
      </c>
      <c r="S14" s="914">
        <v>16.28</v>
      </c>
      <c r="T14" s="915">
        <f t="shared" si="8"/>
        <v>16.28</v>
      </c>
      <c r="U14" s="915">
        <f t="shared" si="8"/>
        <v>15.791600000000001</v>
      </c>
      <c r="V14" s="915">
        <f t="shared" si="8"/>
        <v>14.844104</v>
      </c>
      <c r="W14" s="915">
        <f t="shared" si="8"/>
        <v>13.508134639999998</v>
      </c>
      <c r="X14" s="828"/>
      <c r="Y14" s="938">
        <f>Q14/P14</f>
        <v>0.94742051936982885</v>
      </c>
      <c r="Z14" s="917">
        <f>R14/Q14</f>
        <v>0.41224192405057108</v>
      </c>
      <c r="AA14" s="917">
        <f>S14/R14</f>
        <v>0.37467480066194137</v>
      </c>
      <c r="AB14" s="922">
        <v>1</v>
      </c>
      <c r="AC14" s="922">
        <v>0.97</v>
      </c>
      <c r="AD14" s="922">
        <v>0.94</v>
      </c>
      <c r="AE14" s="922">
        <v>0.90999999999999992</v>
      </c>
      <c r="AF14" s="903"/>
    </row>
    <row r="15" spans="1:36" s="21" customFormat="1" ht="13.5" x14ac:dyDescent="0.3">
      <c r="B15" s="262" t="s">
        <v>3320</v>
      </c>
      <c r="C15" s="263"/>
      <c r="D15" s="264"/>
      <c r="E15" s="265">
        <f>SUM(E16,E17,E18,E20,E19)</f>
        <v>119.08365872851631</v>
      </c>
      <c r="F15" s="265">
        <f>SUM(F16,F17,F18,F20,F19)</f>
        <v>117.41539408999999</v>
      </c>
      <c r="G15" s="265">
        <f t="shared" ref="G15:K15" si="11">SUM(G16,G17,G18,G20,G19)</f>
        <v>147.9481781443333</v>
      </c>
      <c r="H15" s="265">
        <f t="shared" si="11"/>
        <v>183.75266183643802</v>
      </c>
      <c r="I15" s="265">
        <f t="shared" si="11"/>
        <v>223.40297995585456</v>
      </c>
      <c r="J15" s="265">
        <f t="shared" si="11"/>
        <v>277.54875699675347</v>
      </c>
      <c r="K15" s="265">
        <f t="shared" si="11"/>
        <v>310.93533638546756</v>
      </c>
      <c r="L15" s="266">
        <f t="shared" si="1"/>
        <v>0.21503561486495526</v>
      </c>
      <c r="M15" s="266"/>
      <c r="O15" s="923" t="s">
        <v>3641</v>
      </c>
      <c r="P15" s="924">
        <f>SUM(P10:P14)</f>
        <v>179.75126879000001</v>
      </c>
      <c r="Q15" s="925">
        <f t="shared" ref="Q15:W15" si="12">SUM(Q10:Q14)</f>
        <v>189.28173485757424</v>
      </c>
      <c r="R15" s="925">
        <f t="shared" si="12"/>
        <v>129.99163606140908</v>
      </c>
      <c r="S15" s="925">
        <f t="shared" si="12"/>
        <v>132.8059744</v>
      </c>
      <c r="T15" s="926">
        <f t="shared" si="12"/>
        <v>133.64300898848529</v>
      </c>
      <c r="U15" s="926">
        <f t="shared" si="12"/>
        <v>154.27612401277824</v>
      </c>
      <c r="V15" s="926">
        <f t="shared" si="12"/>
        <v>174.04167001277784</v>
      </c>
      <c r="W15" s="926">
        <f t="shared" si="12"/>
        <v>186.9762367763901</v>
      </c>
      <c r="X15" s="828"/>
      <c r="Y15" s="927">
        <f>Q15/P15</f>
        <v>1.0530202992820512</v>
      </c>
      <c r="Z15" s="928">
        <f>R15/Q15</f>
        <v>0.6867627040676787</v>
      </c>
      <c r="AA15" s="928">
        <f>S15/R15</f>
        <v>1.0216501493777754</v>
      </c>
      <c r="AB15" s="929">
        <f>T15/S15</f>
        <v>1.0063026877538221</v>
      </c>
      <c r="AC15" s="929">
        <f t="shared" ref="AC15:AE15" si="13">U15/T15</f>
        <v>1.1543897820055122</v>
      </c>
      <c r="AD15" s="929">
        <f t="shared" si="13"/>
        <v>1.128117984078745</v>
      </c>
      <c r="AE15" s="929">
        <f t="shared" si="13"/>
        <v>1.0743187925205648</v>
      </c>
      <c r="AF15" s="903"/>
    </row>
    <row r="16" spans="1:36" s="21" customFormat="1" ht="13.5" x14ac:dyDescent="0.3">
      <c r="B16" s="268"/>
      <c r="C16" s="273" t="s">
        <v>96</v>
      </c>
      <c r="D16" s="274"/>
      <c r="E16" s="275">
        <f>E5-E10</f>
        <v>64.01299444094208</v>
      </c>
      <c r="F16" s="275">
        <f>F5-F10</f>
        <v>75.423133419999999</v>
      </c>
      <c r="G16" s="275">
        <f t="shared" ref="G16:K19" si="14">G5-G10</f>
        <v>98.971620044333292</v>
      </c>
      <c r="H16" s="275">
        <f t="shared" si="14"/>
        <v>134.28210259508427</v>
      </c>
      <c r="I16" s="275">
        <f t="shared" si="14"/>
        <v>169.59258514583524</v>
      </c>
      <c r="J16" s="275">
        <f t="shared" si="14"/>
        <v>216.61355024733723</v>
      </c>
      <c r="K16" s="275">
        <f t="shared" si="14"/>
        <v>246.02403279808823</v>
      </c>
      <c r="L16" s="276">
        <f t="shared" si="1"/>
        <v>0.2667607322937291</v>
      </c>
      <c r="M16" s="275"/>
      <c r="O16" s="899"/>
      <c r="P16" s="900">
        <v>2020</v>
      </c>
      <c r="Q16" s="901">
        <v>2021</v>
      </c>
      <c r="R16" s="901">
        <v>2022</v>
      </c>
      <c r="S16" s="901">
        <v>2023</v>
      </c>
      <c r="T16" s="902">
        <v>2024</v>
      </c>
      <c r="U16" s="902">
        <v>2025</v>
      </c>
      <c r="V16" s="902">
        <v>2026</v>
      </c>
      <c r="W16" s="902">
        <v>2027</v>
      </c>
      <c r="X16" s="828"/>
      <c r="Y16" s="930"/>
      <c r="Z16" s="931"/>
      <c r="AA16" s="931"/>
      <c r="AB16" s="932"/>
      <c r="AC16" s="932"/>
      <c r="AD16" s="932"/>
      <c r="AE16" s="932"/>
      <c r="AF16" s="903"/>
    </row>
    <row r="17" spans="2:32" s="21" customFormat="1" ht="13.5" x14ac:dyDescent="0.3">
      <c r="B17" s="277"/>
      <c r="C17" s="279" t="s">
        <v>98</v>
      </c>
      <c r="D17" s="280"/>
      <c r="E17" s="281">
        <f t="shared" ref="E17:H19" si="15">E6-E11</f>
        <v>32.791701907574236</v>
      </c>
      <c r="F17" s="281">
        <f t="shared" si="15"/>
        <v>28.618011739999986</v>
      </c>
      <c r="G17" s="281">
        <f t="shared" si="15"/>
        <v>34.859032100000007</v>
      </c>
      <c r="H17" s="281">
        <f t="shared" si="15"/>
        <v>35.078737694726783</v>
      </c>
      <c r="I17" s="281">
        <f t="shared" si="14"/>
        <v>40.494536360444187</v>
      </c>
      <c r="J17" s="281">
        <f t="shared" si="14"/>
        <v>45.682614725147744</v>
      </c>
      <c r="K17" s="281">
        <f t="shared" si="14"/>
        <v>49.077691490702875</v>
      </c>
      <c r="L17" s="282">
        <f t="shared" si="1"/>
        <v>0.11390700155940414</v>
      </c>
      <c r="M17" s="281"/>
      <c r="O17" s="905" t="s">
        <v>3642</v>
      </c>
      <c r="P17" s="906">
        <v>28.4</v>
      </c>
      <c r="Q17" s="907">
        <v>20.67</v>
      </c>
      <c r="R17" s="907">
        <v>24.594709550000001</v>
      </c>
      <c r="S17" s="907">
        <v>21.054600000000001</v>
      </c>
      <c r="T17" s="942">
        <f t="shared" ref="T17:W19" si="16">S17*AB17</f>
        <v>21.054600000000001</v>
      </c>
      <c r="U17" s="942">
        <f t="shared" si="16"/>
        <v>21.054600000000001</v>
      </c>
      <c r="V17" s="942">
        <f t="shared" si="16"/>
        <v>21.054600000000001</v>
      </c>
      <c r="W17" s="942">
        <f t="shared" si="16"/>
        <v>21.054600000000001</v>
      </c>
      <c r="X17" s="828"/>
      <c r="Y17" s="934">
        <f t="shared" ref="Y17:AE21" si="17">Q17/P17</f>
        <v>0.72781690140845079</v>
      </c>
      <c r="Z17" s="935">
        <f t="shared" si="17"/>
        <v>1.1898746758587324</v>
      </c>
      <c r="AA17" s="943">
        <f t="shared" si="17"/>
        <v>0.85606215260224527</v>
      </c>
      <c r="AB17" s="944">
        <v>1</v>
      </c>
      <c r="AC17" s="944">
        <v>1</v>
      </c>
      <c r="AD17" s="944">
        <v>1</v>
      </c>
      <c r="AE17" s="944">
        <v>1</v>
      </c>
      <c r="AF17" s="903"/>
    </row>
    <row r="18" spans="2:32" s="21" customFormat="1" ht="13.5" x14ac:dyDescent="0.3">
      <c r="B18" s="277"/>
      <c r="C18" s="279" t="s">
        <v>100</v>
      </c>
      <c r="D18" s="280"/>
      <c r="E18" s="281">
        <f t="shared" si="15"/>
        <v>21.83579146999999</v>
      </c>
      <c r="F18" s="281">
        <f t="shared" si="15"/>
        <v>13.203920940000003</v>
      </c>
      <c r="G18" s="281">
        <f t="shared" si="15"/>
        <v>14.117525999999998</v>
      </c>
      <c r="H18" s="281">
        <f t="shared" si="15"/>
        <v>14.391821546626971</v>
      </c>
      <c r="I18" s="281">
        <f t="shared" si="14"/>
        <v>13.315858449575117</v>
      </c>
      <c r="J18" s="281">
        <f t="shared" si="14"/>
        <v>15.252592024268466</v>
      </c>
      <c r="K18" s="281">
        <f t="shared" si="14"/>
        <v>15.833612096676461</v>
      </c>
      <c r="L18" s="282">
        <f t="shared" si="1"/>
        <v>3.6992026681366807E-2</v>
      </c>
      <c r="M18" s="281"/>
      <c r="O18" s="919" t="s">
        <v>3643</v>
      </c>
      <c r="P18" s="913">
        <v>13.9</v>
      </c>
      <c r="Q18" s="914">
        <v>10.9</v>
      </c>
      <c r="R18" s="914">
        <v>18.704999999999998</v>
      </c>
      <c r="S18" s="914">
        <v>56.7</v>
      </c>
      <c r="T18" s="945">
        <f t="shared" si="16"/>
        <v>62.370000000000012</v>
      </c>
      <c r="U18" s="945">
        <f t="shared" si="16"/>
        <v>56.13300000000001</v>
      </c>
      <c r="V18" s="945">
        <f t="shared" si="16"/>
        <v>67.359600000000015</v>
      </c>
      <c r="W18" s="945">
        <f t="shared" si="16"/>
        <v>70.727580000000017</v>
      </c>
      <c r="X18" s="828"/>
      <c r="Y18" s="938">
        <f t="shared" si="17"/>
        <v>0.78417266187050361</v>
      </c>
      <c r="Z18" s="917">
        <f t="shared" si="17"/>
        <v>1.7160550458715593</v>
      </c>
      <c r="AA18" s="943">
        <f t="shared" si="17"/>
        <v>3.0312750601443468</v>
      </c>
      <c r="AB18" s="939">
        <v>1.1000000000000001</v>
      </c>
      <c r="AC18" s="939">
        <v>0.9</v>
      </c>
      <c r="AD18" s="939">
        <v>1.2</v>
      </c>
      <c r="AE18" s="939">
        <v>1.05</v>
      </c>
      <c r="AF18" s="903" t="s">
        <v>3644</v>
      </c>
    </row>
    <row r="19" spans="2:32" s="21" customFormat="1" ht="13.5" x14ac:dyDescent="0.3">
      <c r="B19" s="277"/>
      <c r="C19" s="279" t="s">
        <v>103</v>
      </c>
      <c r="D19" s="280"/>
      <c r="E19" s="281">
        <f t="shared" si="15"/>
        <v>0.44317091000000008</v>
      </c>
      <c r="F19" s="281">
        <f t="shared" si="15"/>
        <v>0.17032798999999998</v>
      </c>
      <c r="G19" s="281">
        <f t="shared" si="15"/>
        <v>0</v>
      </c>
      <c r="H19" s="281">
        <f t="shared" si="15"/>
        <v>0</v>
      </c>
      <c r="I19" s="281">
        <f t="shared" si="14"/>
        <v>0</v>
      </c>
      <c r="J19" s="281">
        <f t="shared" si="14"/>
        <v>0</v>
      </c>
      <c r="K19" s="281">
        <f t="shared" si="14"/>
        <v>0</v>
      </c>
      <c r="L19" s="282">
        <f t="shared" si="1"/>
        <v>-1</v>
      </c>
      <c r="M19" s="281"/>
      <c r="O19" s="919" t="s">
        <v>71</v>
      </c>
      <c r="P19" s="913">
        <v>22.160670710000002</v>
      </c>
      <c r="Q19" s="914">
        <v>42.622522930000002</v>
      </c>
      <c r="R19" s="914">
        <v>15.386530899999999</v>
      </c>
      <c r="S19" s="914">
        <v>4.08</v>
      </c>
      <c r="T19" s="945">
        <f t="shared" si="16"/>
        <v>0</v>
      </c>
      <c r="U19" s="945">
        <f t="shared" si="16"/>
        <v>0</v>
      </c>
      <c r="V19" s="945">
        <f t="shared" si="16"/>
        <v>0</v>
      </c>
      <c r="W19" s="945">
        <f t="shared" si="16"/>
        <v>0</v>
      </c>
      <c r="X19" s="828"/>
      <c r="Y19" s="920">
        <f t="shared" si="17"/>
        <v>1.9233408360138933</v>
      </c>
      <c r="Z19" s="921">
        <f t="shared" si="17"/>
        <v>0.3609953105138724</v>
      </c>
      <c r="AA19" s="921">
        <f t="shared" si="17"/>
        <v>0.26516698445651582</v>
      </c>
      <c r="AB19" s="946">
        <v>0</v>
      </c>
      <c r="AC19" s="946">
        <v>0</v>
      </c>
      <c r="AD19" s="946">
        <v>0</v>
      </c>
      <c r="AE19" s="946">
        <v>0</v>
      </c>
      <c r="AF19" s="903"/>
    </row>
    <row r="20" spans="2:32" s="21" customFormat="1" ht="13.5" x14ac:dyDescent="0.3">
      <c r="B20" s="277"/>
      <c r="C20" s="288" t="s">
        <v>3329</v>
      </c>
      <c r="D20" s="289"/>
      <c r="E20" s="286">
        <f>-E14</f>
        <v>0</v>
      </c>
      <c r="F20" s="286">
        <f>-F14</f>
        <v>0</v>
      </c>
      <c r="G20" s="286">
        <f t="shared" ref="G20:K20" si="18">-G14</f>
        <v>0</v>
      </c>
      <c r="H20" s="286">
        <f t="shared" si="18"/>
        <v>0</v>
      </c>
      <c r="I20" s="286">
        <f t="shared" si="18"/>
        <v>0</v>
      </c>
      <c r="J20" s="286">
        <f t="shared" si="18"/>
        <v>0</v>
      </c>
      <c r="K20" s="286">
        <f t="shared" si="18"/>
        <v>0</v>
      </c>
      <c r="L20" s="287">
        <f t="shared" si="1"/>
        <v>0</v>
      </c>
      <c r="M20" s="286"/>
      <c r="O20" s="923" t="s">
        <v>3645</v>
      </c>
      <c r="P20" s="924">
        <f>SUM(P17:P19)</f>
        <v>64.460670710000002</v>
      </c>
      <c r="Q20" s="925">
        <f t="shared" ref="Q20:W20" si="19">SUM(Q17:Q19)</f>
        <v>74.192522929999996</v>
      </c>
      <c r="R20" s="925">
        <f t="shared" si="19"/>
        <v>58.68624045</v>
      </c>
      <c r="S20" s="925">
        <f t="shared" si="19"/>
        <v>81.834600000000009</v>
      </c>
      <c r="T20" s="926">
        <f t="shared" si="19"/>
        <v>83.424600000000012</v>
      </c>
      <c r="U20" s="926">
        <f t="shared" si="19"/>
        <v>77.187600000000003</v>
      </c>
      <c r="V20" s="926">
        <f t="shared" si="19"/>
        <v>88.414200000000022</v>
      </c>
      <c r="W20" s="926">
        <f t="shared" si="19"/>
        <v>91.782180000000011</v>
      </c>
      <c r="X20" s="828"/>
      <c r="Y20" s="927">
        <f t="shared" si="17"/>
        <v>1.1509734868224115</v>
      </c>
      <c r="Z20" s="928">
        <f t="shared" si="17"/>
        <v>0.79099939094091676</v>
      </c>
      <c r="AA20" s="928">
        <f t="shared" si="17"/>
        <v>1.394442707055364</v>
      </c>
      <c r="AB20" s="929">
        <f t="shared" si="17"/>
        <v>1.0194294344934784</v>
      </c>
      <c r="AC20" s="929">
        <f t="shared" si="17"/>
        <v>0.9252378794743995</v>
      </c>
      <c r="AD20" s="929">
        <f t="shared" si="17"/>
        <v>1.1454456415279139</v>
      </c>
      <c r="AE20" s="929">
        <f t="shared" si="17"/>
        <v>1.0380932022231721</v>
      </c>
      <c r="AF20" s="903"/>
    </row>
    <row r="21" spans="2:32" s="21" customFormat="1" ht="13.5" x14ac:dyDescent="0.3">
      <c r="B21" s="262" t="s">
        <v>3325</v>
      </c>
      <c r="C21" s="263"/>
      <c r="D21" s="264"/>
      <c r="E21" s="265">
        <f>SUM(E22:E26)</f>
        <v>113.57841608619616</v>
      </c>
      <c r="F21" s="265">
        <f>SUM(F22:F26)</f>
        <v>128.08568664902378</v>
      </c>
      <c r="G21" s="265">
        <f t="shared" ref="G21:K21" si="20">SUM(G22:G26)</f>
        <v>152.59872005033901</v>
      </c>
      <c r="H21" s="265">
        <f t="shared" si="20"/>
        <v>173.77871879597024</v>
      </c>
      <c r="I21" s="265">
        <f t="shared" si="20"/>
        <v>203.59944170899396</v>
      </c>
      <c r="J21" s="265">
        <f t="shared" si="20"/>
        <v>230.5634395031683</v>
      </c>
      <c r="K21" s="265">
        <f t="shared" si="20"/>
        <v>250.63580358845832</v>
      </c>
      <c r="L21" s="266">
        <f t="shared" si="1"/>
        <v>0.14369046908326877</v>
      </c>
      <c r="M21" s="265"/>
      <c r="O21" s="947" t="s">
        <v>3646</v>
      </c>
      <c r="P21" s="948">
        <f>SUM(P8,P15,P20)+1.8</f>
        <v>421.21079659999998</v>
      </c>
      <c r="Q21" s="949">
        <f>SUM(Q8,Q15,Q20)+2.2</f>
        <v>447.44860606851626</v>
      </c>
      <c r="R21" s="949">
        <f>SUM(R8,R15,R20)</f>
        <v>415.13150520140914</v>
      </c>
      <c r="S21" s="949">
        <f>SUM(S8,S15,S20)</f>
        <v>526.59992439999996</v>
      </c>
      <c r="T21" s="950">
        <f>SUM(T8,T15,T20)</f>
        <v>550.61426460235543</v>
      </c>
      <c r="U21" s="950">
        <f t="shared" ref="U21:W21" si="21">SUM(U8,U15,U20)</f>
        <v>637.22721764683467</v>
      </c>
      <c r="V21" s="950">
        <f t="shared" si="21"/>
        <v>731.8861490581113</v>
      </c>
      <c r="W21" s="950">
        <f t="shared" si="21"/>
        <v>791.12728805206871</v>
      </c>
      <c r="X21" s="828"/>
      <c r="Y21" s="951">
        <f t="shared" si="17"/>
        <v>1.0622913982269853</v>
      </c>
      <c r="Z21" s="952">
        <f t="shared" si="17"/>
        <v>0.92777471998167649</v>
      </c>
      <c r="AA21" s="952">
        <f t="shared" si="17"/>
        <v>1.268513513915331</v>
      </c>
      <c r="AB21" s="953">
        <f>T21/S21</f>
        <v>1.0456026275159782</v>
      </c>
      <c r="AC21" s="953">
        <f t="shared" si="17"/>
        <v>1.1573024140720904</v>
      </c>
      <c r="AD21" s="953">
        <f t="shared" si="17"/>
        <v>1.1485481611423238</v>
      </c>
      <c r="AE21" s="953">
        <f t="shared" si="17"/>
        <v>1.0809431071624962</v>
      </c>
      <c r="AF21" s="903"/>
    </row>
    <row r="22" spans="2:32" s="21" customFormat="1" ht="13.5" x14ac:dyDescent="0.3">
      <c r="B22" s="301"/>
      <c r="C22" s="302" t="s">
        <v>3326</v>
      </c>
      <c r="D22" s="303"/>
      <c r="E22" s="304">
        <v>64.872902077479807</v>
      </c>
      <c r="F22" s="304">
        <v>69.480029548021193</v>
      </c>
      <c r="G22" s="304">
        <v>76.12566466776542</v>
      </c>
      <c r="H22" s="304">
        <f>+G22*(1+T36)</f>
        <v>79.931947901153691</v>
      </c>
      <c r="I22" s="304">
        <f>+H22*(1+U36)</f>
        <v>83.928545296211382</v>
      </c>
      <c r="J22" s="304">
        <f t="shared" ref="J22:K22" si="22">+I22*(1+V36)</f>
        <v>88.124972561021949</v>
      </c>
      <c r="K22" s="304">
        <f t="shared" si="22"/>
        <v>92.531221189073051</v>
      </c>
      <c r="L22" s="305">
        <f t="shared" si="1"/>
        <v>5.8974883824259861E-2</v>
      </c>
      <c r="M22" s="304"/>
      <c r="Q22" s="850">
        <f>Q21/P21-1</f>
        <v>6.2291398226985262E-2</v>
      </c>
      <c r="R22" s="850">
        <f>R21/Q21-1</f>
        <v>-7.2225280018323512E-2</v>
      </c>
      <c r="S22" s="850">
        <f>S21/R21-1</f>
        <v>0.26851351391533096</v>
      </c>
      <c r="T22" s="850">
        <f>T21/S21-1</f>
        <v>4.5602627515978211E-2</v>
      </c>
      <c r="U22" s="850">
        <f t="shared" ref="U22:W22" si="23">U21/T21-1</f>
        <v>0.15730241407209045</v>
      </c>
      <c r="V22" s="850">
        <f t="shared" si="23"/>
        <v>0.14854816114232383</v>
      </c>
      <c r="W22" s="850">
        <f t="shared" si="23"/>
        <v>8.0943107162496197E-2</v>
      </c>
    </row>
    <row r="23" spans="2:32" s="21" customFormat="1" ht="13.5" x14ac:dyDescent="0.3">
      <c r="B23" s="301"/>
      <c r="C23" s="306" t="s">
        <v>1988</v>
      </c>
      <c r="D23" s="307"/>
      <c r="E23" s="308">
        <v>16.713099310057526</v>
      </c>
      <c r="F23" s="308">
        <v>16.529953432222722</v>
      </c>
      <c r="G23" s="308">
        <v>21.521799288899999</v>
      </c>
      <c r="H23" s="308">
        <f t="shared" ref="H23:K23" si="24">+G23*(1+T37)</f>
        <v>22.167453267566998</v>
      </c>
      <c r="I23" s="308">
        <f t="shared" si="24"/>
        <v>28.817689247837098</v>
      </c>
      <c r="J23" s="308">
        <f t="shared" si="24"/>
        <v>29.682219925272211</v>
      </c>
      <c r="K23" s="308">
        <f t="shared" si="24"/>
        <v>30.572686523030377</v>
      </c>
      <c r="L23" s="309">
        <f t="shared" si="1"/>
        <v>0.13086924874380679</v>
      </c>
      <c r="M23" s="308" t="s">
        <v>3647</v>
      </c>
    </row>
    <row r="24" spans="2:32" s="21" customFormat="1" ht="13.5" x14ac:dyDescent="0.3">
      <c r="B24" s="301"/>
      <c r="C24" s="306" t="s">
        <v>3327</v>
      </c>
      <c r="D24" s="307"/>
      <c r="E24" s="308">
        <v>5.2865602000000003</v>
      </c>
      <c r="F24" s="308">
        <v>13.304689579999998</v>
      </c>
      <c r="G24" s="308">
        <v>17.846775326873601</v>
      </c>
      <c r="H24" s="308">
        <f>+SUM(H5:H6)*T38</f>
        <v>23.279625766814995</v>
      </c>
      <c r="I24" s="308">
        <f t="shared" ref="I24:K24" si="25">+SUM(I5:I6)*U38</f>
        <v>29.506819156866499</v>
      </c>
      <c r="J24" s="308">
        <f t="shared" si="25"/>
        <v>36.620371402998558</v>
      </c>
      <c r="K24" s="308">
        <f t="shared" si="25"/>
        <v>41.41912768719363</v>
      </c>
      <c r="L24" s="309">
        <f t="shared" si="1"/>
        <v>0.25498703831758829</v>
      </c>
      <c r="M24" s="308" t="s">
        <v>3648</v>
      </c>
      <c r="O24" s="723"/>
      <c r="P24" s="723"/>
      <c r="Q24" s="875">
        <v>2021</v>
      </c>
      <c r="R24" s="878">
        <v>2022</v>
      </c>
      <c r="S24" s="878">
        <v>2023</v>
      </c>
      <c r="T24" s="954">
        <v>2024</v>
      </c>
      <c r="U24" s="878">
        <v>2025</v>
      </c>
      <c r="V24" s="878">
        <v>2026</v>
      </c>
      <c r="W24" s="879">
        <v>2027</v>
      </c>
      <c r="X24" s="723"/>
      <c r="Y24" s="833"/>
    </row>
    <row r="25" spans="2:32" s="21" customFormat="1" x14ac:dyDescent="0.3">
      <c r="B25" s="301"/>
      <c r="C25" s="306" t="s">
        <v>1995</v>
      </c>
      <c r="D25" s="307"/>
      <c r="E25" s="308">
        <v>9.3887922800000005</v>
      </c>
      <c r="F25" s="308">
        <v>9.3993084499999995</v>
      </c>
      <c r="G25" s="308">
        <v>14.730366647119999</v>
      </c>
      <c r="H25" s="308">
        <f>+SUM(H5:H6)*T39</f>
        <v>19.214531290510685</v>
      </c>
      <c r="I25" s="308">
        <f t="shared" ref="I25:K25" si="26">+SUM(I5:I6)*U39</f>
        <v>24.354330505658304</v>
      </c>
      <c r="J25" s="308">
        <f t="shared" si="26"/>
        <v>30.225712356427952</v>
      </c>
      <c r="K25" s="308">
        <f t="shared" si="26"/>
        <v>34.186508535103648</v>
      </c>
      <c r="L25" s="309">
        <f t="shared" si="1"/>
        <v>0.29464819261326913</v>
      </c>
      <c r="M25" s="308" t="s">
        <v>3648</v>
      </c>
      <c r="O25" s="585" t="s">
        <v>3649</v>
      </c>
      <c r="P25" s="503"/>
      <c r="Q25" s="502"/>
      <c r="R25" s="503"/>
      <c r="S25" s="503"/>
      <c r="T25" s="765"/>
      <c r="U25" s="588"/>
      <c r="V25" s="588"/>
      <c r="W25" s="727"/>
      <c r="X25" s="503"/>
      <c r="Y25" s="502"/>
    </row>
    <row r="26" spans="2:32" s="21" customFormat="1" ht="13.5" x14ac:dyDescent="0.3">
      <c r="B26" s="310"/>
      <c r="C26" s="311" t="s">
        <v>71</v>
      </c>
      <c r="D26" s="312"/>
      <c r="E26" s="313">
        <v>17.317062218658815</v>
      </c>
      <c r="F26" s="313">
        <v>19.371705638779869</v>
      </c>
      <c r="G26" s="313">
        <v>22.374114119679998</v>
      </c>
      <c r="H26" s="308">
        <f>+SUM(H5:H6)*T40</f>
        <v>29.185160569923873</v>
      </c>
      <c r="I26" s="308">
        <f t="shared" ref="I26:K26" si="27">+SUM(I5:I6)*U40</f>
        <v>36.992057502420685</v>
      </c>
      <c r="J26" s="308">
        <f t="shared" si="27"/>
        <v>45.91016325744765</v>
      </c>
      <c r="K26" s="308">
        <f t="shared" si="27"/>
        <v>51.926259654057624</v>
      </c>
      <c r="L26" s="314">
        <f t="shared" si="1"/>
        <v>0.21799031764478505</v>
      </c>
      <c r="M26" s="308" t="s">
        <v>3648</v>
      </c>
      <c r="P26" s="21" t="s">
        <v>96</v>
      </c>
      <c r="Q26" s="522"/>
      <c r="R26" s="592">
        <f>+(F5-E5)/E5</f>
        <v>0.21677386296899948</v>
      </c>
      <c r="S26" s="592">
        <f t="shared" ref="S26" si="28">+(G5-F5)/F5</f>
        <v>0.40919547213352275</v>
      </c>
      <c r="T26" s="735">
        <v>0.54550008014104823</v>
      </c>
      <c r="U26" s="592">
        <f t="shared" ref="U26:W28" si="29">+$X26</f>
        <v>0.05</v>
      </c>
      <c r="V26" s="592">
        <f t="shared" si="29"/>
        <v>0.05</v>
      </c>
      <c r="W26" s="722">
        <f t="shared" si="29"/>
        <v>0.05</v>
      </c>
      <c r="X26" s="608">
        <v>0.05</v>
      </c>
      <c r="Y26" s="522"/>
    </row>
    <row r="27" spans="2:32" s="21" customFormat="1" ht="13.5" x14ac:dyDescent="0.3">
      <c r="B27" s="331" t="s">
        <v>3449</v>
      </c>
      <c r="C27" s="331"/>
      <c r="D27" s="331"/>
      <c r="E27" s="265">
        <f>E15-E21</f>
        <v>5.5052426423201553</v>
      </c>
      <c r="F27" s="265">
        <f>F15-F21</f>
        <v>-10.670292559023792</v>
      </c>
      <c r="G27" s="265">
        <f>G15-G21</f>
        <v>-4.6505419060057136</v>
      </c>
      <c r="H27" s="265">
        <f>H15-H21</f>
        <v>9.9739430404677876</v>
      </c>
      <c r="I27" s="265">
        <f t="shared" ref="I27:K27" si="30">I15-I21</f>
        <v>19.803538246860597</v>
      </c>
      <c r="J27" s="265">
        <f t="shared" si="30"/>
        <v>46.985317493585171</v>
      </c>
      <c r="K27" s="265">
        <f t="shared" si="30"/>
        <v>60.299532797009249</v>
      </c>
      <c r="L27" s="266">
        <f t="shared" si="1"/>
        <v>-2.413928745973668</v>
      </c>
      <c r="M27" s="265"/>
      <c r="P27" s="21" t="s">
        <v>98</v>
      </c>
      <c r="Q27" s="522"/>
      <c r="R27" s="592">
        <f t="shared" ref="R27:S29" si="31">+(F6-E6)/E6</f>
        <v>-0.26609916400528066</v>
      </c>
      <c r="S27" s="592">
        <f t="shared" si="31"/>
        <v>3.9098952046722334E-2</v>
      </c>
      <c r="T27" s="735">
        <v>0.73464608433734913</v>
      </c>
      <c r="U27" s="592">
        <f t="shared" si="29"/>
        <v>0.05</v>
      </c>
      <c r="V27" s="592">
        <f t="shared" si="29"/>
        <v>0.05</v>
      </c>
      <c r="W27" s="722">
        <f t="shared" si="29"/>
        <v>0.05</v>
      </c>
      <c r="X27" s="608">
        <v>0.05</v>
      </c>
      <c r="Y27" s="522"/>
    </row>
    <row r="28" spans="2:32" x14ac:dyDescent="0.3">
      <c r="E28" s="325"/>
      <c r="F28" s="955">
        <v>0</v>
      </c>
      <c r="G28" s="325"/>
      <c r="H28" s="956"/>
      <c r="I28" s="956"/>
      <c r="J28" s="956"/>
      <c r="K28" s="956"/>
      <c r="P28" t="s">
        <v>100</v>
      </c>
      <c r="Q28" s="522"/>
      <c r="R28" s="592">
        <f t="shared" si="31"/>
        <v>-0.33507956261300992</v>
      </c>
      <c r="S28" s="592">
        <f t="shared" si="31"/>
        <v>0.38032279677103803</v>
      </c>
      <c r="T28" s="735">
        <v>0.10024449877750614</v>
      </c>
      <c r="U28" s="592">
        <f t="shared" si="29"/>
        <v>0.05</v>
      </c>
      <c r="V28" s="592">
        <f t="shared" si="29"/>
        <v>0.05</v>
      </c>
      <c r="W28" s="722">
        <f t="shared" si="29"/>
        <v>0.05</v>
      </c>
      <c r="X28" s="608">
        <v>0.05</v>
      </c>
      <c r="Y28" s="590"/>
    </row>
    <row r="29" spans="2:32" x14ac:dyDescent="0.3">
      <c r="E29" s="325"/>
      <c r="F29" s="325"/>
      <c r="G29" s="955"/>
      <c r="H29" s="325"/>
      <c r="I29" s="325"/>
      <c r="J29" s="325"/>
      <c r="K29" s="325"/>
      <c r="O29" s="537"/>
      <c r="P29" s="537" t="s">
        <v>103</v>
      </c>
      <c r="Q29" s="536"/>
      <c r="R29" s="746">
        <f t="shared" si="31"/>
        <v>-0.54523089698045335</v>
      </c>
      <c r="S29" s="746"/>
      <c r="T29" s="747"/>
      <c r="U29" s="746"/>
      <c r="V29" s="746"/>
      <c r="W29" s="763"/>
      <c r="X29" s="597"/>
      <c r="Y29" s="596"/>
    </row>
    <row r="30" spans="2:32" x14ac:dyDescent="0.3">
      <c r="F30" s="260"/>
      <c r="G30" s="646"/>
      <c r="H30" s="260"/>
      <c r="I30" s="260"/>
      <c r="J30" s="260"/>
      <c r="K30" s="260"/>
      <c r="O30" s="585" t="s">
        <v>45</v>
      </c>
      <c r="P30" s="585"/>
      <c r="Q30" s="502"/>
      <c r="R30" s="503"/>
      <c r="S30" s="503"/>
      <c r="T30" s="765"/>
      <c r="U30" s="588"/>
      <c r="V30" s="588"/>
      <c r="W30" s="727"/>
      <c r="X30" s="503"/>
      <c r="Y30" s="584"/>
    </row>
    <row r="31" spans="2:32" x14ac:dyDescent="0.3">
      <c r="F31" s="260"/>
      <c r="G31" s="260"/>
      <c r="H31" s="260"/>
      <c r="I31" s="260"/>
      <c r="J31" s="260"/>
      <c r="K31" s="260"/>
      <c r="P31" t="s">
        <v>96</v>
      </c>
      <c r="Q31" s="720">
        <f>+E10/E5</f>
        <v>0.64815511002160731</v>
      </c>
      <c r="R31" s="592">
        <f t="shared" ref="R31:S31" si="32">+F10/F5</f>
        <v>0.65929555209809676</v>
      </c>
      <c r="S31" s="592">
        <f t="shared" si="32"/>
        <v>0.6827419340233486</v>
      </c>
      <c r="T31" s="735">
        <f>+S31</f>
        <v>0.6827419340233486</v>
      </c>
      <c r="U31" s="592">
        <f>+T31</f>
        <v>0.6827419340233486</v>
      </c>
      <c r="V31" s="592">
        <f t="shared" ref="V31:W31" si="33">+U31</f>
        <v>0.6827419340233486</v>
      </c>
      <c r="W31" s="722">
        <f t="shared" si="33"/>
        <v>0.6827419340233486</v>
      </c>
      <c r="X31" s="21"/>
      <c r="Y31" s="590"/>
    </row>
    <row r="32" spans="2:32" x14ac:dyDescent="0.3">
      <c r="F32" s="260"/>
      <c r="G32" s="260"/>
      <c r="H32" s="260"/>
      <c r="I32" s="260"/>
      <c r="J32" s="260"/>
      <c r="K32" s="260"/>
      <c r="P32" t="s">
        <v>98</v>
      </c>
      <c r="Q32" s="720">
        <f t="shared" ref="Q32:S34" si="34">+E11/E6</f>
        <v>0.8117041995829728</v>
      </c>
      <c r="R32" s="592">
        <f t="shared" si="34"/>
        <v>0.77608728716428299</v>
      </c>
      <c r="S32" s="592">
        <f t="shared" si="34"/>
        <v>0.73751909688183415</v>
      </c>
      <c r="T32" s="735">
        <f t="shared" ref="T32:W33" si="35">+S32</f>
        <v>0.73751909688183415</v>
      </c>
      <c r="U32" s="592">
        <f t="shared" si="35"/>
        <v>0.73751909688183415</v>
      </c>
      <c r="V32" s="592">
        <f t="shared" si="35"/>
        <v>0.73751909688183415</v>
      </c>
      <c r="W32" s="722">
        <f t="shared" si="35"/>
        <v>0.73751909688183415</v>
      </c>
      <c r="X32" s="21"/>
      <c r="Y32" s="590"/>
    </row>
    <row r="33" spans="6:25" x14ac:dyDescent="0.3">
      <c r="F33" s="260"/>
      <c r="G33" s="260"/>
      <c r="H33" s="260"/>
      <c r="I33" s="260"/>
      <c r="J33" s="260"/>
      <c r="K33" s="260"/>
      <c r="P33" t="s">
        <v>100</v>
      </c>
      <c r="Q33" s="720">
        <f t="shared" si="34"/>
        <v>0.75510364750879277</v>
      </c>
      <c r="R33" s="592">
        <f t="shared" si="34"/>
        <v>0.77728646464643958</v>
      </c>
      <c r="S33" s="592">
        <f t="shared" si="34"/>
        <v>0.82748707759309637</v>
      </c>
      <c r="T33" s="735">
        <f t="shared" si="35"/>
        <v>0.82748707759309637</v>
      </c>
      <c r="U33" s="592">
        <f t="shared" si="35"/>
        <v>0.82748707759309637</v>
      </c>
      <c r="V33" s="592">
        <f t="shared" si="35"/>
        <v>0.82748707759309637</v>
      </c>
      <c r="W33" s="722">
        <f t="shared" si="35"/>
        <v>0.82748707759309637</v>
      </c>
      <c r="X33" s="21"/>
      <c r="Y33" s="590"/>
    </row>
    <row r="34" spans="6:25" x14ac:dyDescent="0.3">
      <c r="F34" s="260"/>
      <c r="G34" s="957" t="s">
        <v>3650</v>
      </c>
      <c r="H34" s="958" t="s">
        <v>3468</v>
      </c>
      <c r="I34" s="958" t="s">
        <v>3651</v>
      </c>
      <c r="J34" s="958" t="s">
        <v>3470</v>
      </c>
      <c r="K34" s="958" t="s">
        <v>3471</v>
      </c>
      <c r="O34" s="537"/>
      <c r="P34" s="537" t="s">
        <v>103</v>
      </c>
      <c r="Q34" s="662">
        <f t="shared" si="34"/>
        <v>0.78958125526039846</v>
      </c>
      <c r="R34" s="746">
        <f t="shared" si="34"/>
        <v>0.82216868067127713</v>
      </c>
      <c r="S34" s="746"/>
      <c r="T34" s="747"/>
      <c r="U34" s="746"/>
      <c r="V34" s="746"/>
      <c r="W34" s="763"/>
      <c r="X34" s="597"/>
      <c r="Y34" s="596"/>
    </row>
    <row r="35" spans="6:25" x14ac:dyDescent="0.3">
      <c r="G35" s="959" t="s">
        <v>3652</v>
      </c>
      <c r="H35" s="960">
        <v>64.806807944999989</v>
      </c>
      <c r="I35" s="960">
        <v>129.61361588999998</v>
      </c>
      <c r="J35" s="960">
        <v>259.22723177999995</v>
      </c>
      <c r="K35" s="960">
        <v>324.03403972500001</v>
      </c>
      <c r="O35" t="s">
        <v>3325</v>
      </c>
      <c r="Q35" s="720"/>
      <c r="R35" s="592"/>
      <c r="S35" s="592"/>
      <c r="T35" s="721"/>
      <c r="U35" s="592"/>
      <c r="V35" s="592"/>
      <c r="W35" s="722"/>
      <c r="X35" s="21"/>
      <c r="Y35" s="590"/>
    </row>
    <row r="36" spans="6:25" x14ac:dyDescent="0.3">
      <c r="F36" s="260"/>
      <c r="G36" s="961" t="s">
        <v>3653</v>
      </c>
      <c r="H36" s="323">
        <f>$S$8+H35</f>
        <v>376.76615794499997</v>
      </c>
      <c r="I36" s="323">
        <f t="shared" ref="I36:K36" si="36">$S$8+I35</f>
        <v>441.57296588999998</v>
      </c>
      <c r="J36" s="323">
        <f t="shared" si="36"/>
        <v>571.18658177999987</v>
      </c>
      <c r="K36" s="323">
        <f t="shared" si="36"/>
        <v>635.99338972500004</v>
      </c>
      <c r="P36" t="s">
        <v>3326</v>
      </c>
      <c r="Q36" s="522"/>
      <c r="R36" s="592">
        <f>+(F22-E22)/E22</f>
        <v>7.1017748905990732E-2</v>
      </c>
      <c r="S36" s="592">
        <f>+(G22-F22)/F22</f>
        <v>9.5648133182659203E-2</v>
      </c>
      <c r="T36" s="721">
        <f>+$X36</f>
        <v>0.05</v>
      </c>
      <c r="U36" s="592">
        <f t="shared" ref="U36:W37" si="37">+$X36</f>
        <v>0.05</v>
      </c>
      <c r="V36" s="592">
        <f t="shared" si="37"/>
        <v>0.05</v>
      </c>
      <c r="W36" s="722">
        <f t="shared" si="37"/>
        <v>0.05</v>
      </c>
      <c r="X36" s="608">
        <v>0.05</v>
      </c>
      <c r="Y36" s="590"/>
    </row>
    <row r="37" spans="6:25" x14ac:dyDescent="0.3">
      <c r="F37" s="260"/>
      <c r="G37" s="961" t="s">
        <v>3654</v>
      </c>
      <c r="H37" s="323">
        <f>H36*T31</f>
        <v>257.23405534991571</v>
      </c>
      <c r="I37" s="323">
        <f>I36*U31</f>
        <v>301.48038074416473</v>
      </c>
      <c r="J37" s="323">
        <f>J36*V31</f>
        <v>389.97303153266267</v>
      </c>
      <c r="K37" s="323">
        <f>K36*W31</f>
        <v>434.21935692691181</v>
      </c>
      <c r="P37" t="s">
        <v>1988</v>
      </c>
      <c r="Q37" s="522"/>
      <c r="R37" s="592">
        <f>+(F23-E23)/E23</f>
        <v>-1.0958223513013593E-2</v>
      </c>
      <c r="S37" s="592">
        <f>+(G23-F23)/F23</f>
        <v>0.30198789592149755</v>
      </c>
      <c r="T37" s="721">
        <f t="shared" ref="T37" si="38">+$X37</f>
        <v>0.03</v>
      </c>
      <c r="U37" s="592">
        <v>0.3</v>
      </c>
      <c r="V37" s="592">
        <f t="shared" si="37"/>
        <v>0.03</v>
      </c>
      <c r="W37" s="722">
        <f t="shared" si="37"/>
        <v>0.03</v>
      </c>
      <c r="X37" s="608">
        <v>0.03</v>
      </c>
      <c r="Y37" s="590"/>
    </row>
    <row r="38" spans="6:25" x14ac:dyDescent="0.3">
      <c r="F38" s="260"/>
      <c r="G38" s="961" t="s">
        <v>3655</v>
      </c>
      <c r="H38" s="326">
        <f>H36-H37</f>
        <v>119.53210259508427</v>
      </c>
      <c r="I38" s="326">
        <f t="shared" ref="I38:K38" si="39">I36-I37</f>
        <v>140.09258514583524</v>
      </c>
      <c r="J38" s="326">
        <f t="shared" si="39"/>
        <v>181.2135502473372</v>
      </c>
      <c r="K38" s="326">
        <f t="shared" si="39"/>
        <v>201.77403279808823</v>
      </c>
      <c r="P38" t="s">
        <v>3327</v>
      </c>
      <c r="Q38" s="522"/>
      <c r="R38" s="592"/>
      <c r="S38" s="592"/>
      <c r="T38" s="721">
        <f>+$X$38</f>
        <v>4.0126274122087573E-2</v>
      </c>
      <c r="U38" s="592">
        <f t="shared" ref="U38:W38" si="40">+$X$38</f>
        <v>4.0126274122087573E-2</v>
      </c>
      <c r="V38" s="592">
        <f t="shared" si="40"/>
        <v>4.0126274122087573E-2</v>
      </c>
      <c r="W38" s="722">
        <f t="shared" si="40"/>
        <v>4.0126274122087573E-2</v>
      </c>
      <c r="X38" s="608">
        <f>G24/SUM(G5:G6)</f>
        <v>4.0126274122087573E-2</v>
      </c>
      <c r="Y38" s="590"/>
    </row>
    <row r="39" spans="6:25" x14ac:dyDescent="0.3">
      <c r="F39" s="260"/>
      <c r="K39" s="260"/>
      <c r="P39" t="s">
        <v>1995</v>
      </c>
      <c r="Q39" s="522"/>
      <c r="R39" s="592">
        <f>+(F25-E25)/E25</f>
        <v>1.1200769690474968E-3</v>
      </c>
      <c r="S39" s="592">
        <f>+(G25-F25)/F25</f>
        <v>0.56717557738197211</v>
      </c>
      <c r="T39" s="721">
        <f t="shared" ref="T39:W40" si="41">+$X39</f>
        <v>3.3119413405241625E-2</v>
      </c>
      <c r="U39" s="592">
        <f t="shared" si="41"/>
        <v>3.3119413405241625E-2</v>
      </c>
      <c r="V39" s="592">
        <f t="shared" si="41"/>
        <v>3.3119413405241625E-2</v>
      </c>
      <c r="W39" s="722">
        <f t="shared" si="41"/>
        <v>3.3119413405241625E-2</v>
      </c>
      <c r="X39" s="608">
        <f>G25/SUM(G5:G6)</f>
        <v>3.3119413405241625E-2</v>
      </c>
      <c r="Y39" s="590"/>
    </row>
    <row r="40" spans="6:25" x14ac:dyDescent="0.3">
      <c r="F40" s="260"/>
      <c r="G40" s="957" t="s">
        <v>3656</v>
      </c>
      <c r="H40" s="958" t="s">
        <v>3468</v>
      </c>
      <c r="I40" s="958" t="s">
        <v>3651</v>
      </c>
      <c r="J40" s="958" t="s">
        <v>3470</v>
      </c>
      <c r="K40" s="958" t="s">
        <v>3471</v>
      </c>
      <c r="O40" s="537"/>
      <c r="P40" s="537" t="s">
        <v>71</v>
      </c>
      <c r="Q40" s="536"/>
      <c r="R40" s="746">
        <f>+(F26-E26)/E26</f>
        <v>0.11864849789054939</v>
      </c>
      <c r="S40" s="746">
        <f>+(G26-F26)/F26</f>
        <v>0.15498937145161146</v>
      </c>
      <c r="T40" s="747">
        <f t="shared" si="41"/>
        <v>5.0305437254721384E-2</v>
      </c>
      <c r="U40" s="746">
        <f t="shared" si="41"/>
        <v>5.0305437254721384E-2</v>
      </c>
      <c r="V40" s="746">
        <f t="shared" si="41"/>
        <v>5.0305437254721384E-2</v>
      </c>
      <c r="W40" s="763">
        <f t="shared" si="41"/>
        <v>5.0305437254721384E-2</v>
      </c>
      <c r="X40" s="664">
        <f>G26/SUM(G5:G6)</f>
        <v>5.0305437254721384E-2</v>
      </c>
      <c r="Y40" s="596"/>
    </row>
    <row r="41" spans="6:25" x14ac:dyDescent="0.3">
      <c r="G41" s="961" t="s">
        <v>3653</v>
      </c>
      <c r="H41" s="323">
        <v>44.75</v>
      </c>
      <c r="I41" s="323">
        <v>89.5</v>
      </c>
      <c r="J41" s="323">
        <v>107.39999999999999</v>
      </c>
      <c r="K41" s="323">
        <v>134.25</v>
      </c>
    </row>
    <row r="42" spans="6:25" x14ac:dyDescent="0.3">
      <c r="G42" s="961" t="s">
        <v>3654</v>
      </c>
      <c r="H42" s="323">
        <v>35</v>
      </c>
      <c r="I42" s="323">
        <v>70</v>
      </c>
      <c r="J42" s="323">
        <v>84</v>
      </c>
      <c r="K42" s="323">
        <v>105</v>
      </c>
    </row>
    <row r="43" spans="6:25" x14ac:dyDescent="0.3">
      <c r="G43" s="961" t="s">
        <v>3655</v>
      </c>
      <c r="H43" s="326">
        <f>H41-H42</f>
        <v>9.75</v>
      </c>
      <c r="I43" s="326">
        <f t="shared" ref="I43:K43" si="42">I41-I42</f>
        <v>19.5</v>
      </c>
      <c r="J43" s="326">
        <f t="shared" si="42"/>
        <v>23.399999999999991</v>
      </c>
      <c r="K43" s="326">
        <f t="shared" si="42"/>
        <v>29.25</v>
      </c>
    </row>
    <row r="45" spans="6:25" x14ac:dyDescent="0.3">
      <c r="G45" s="957" t="s">
        <v>3657</v>
      </c>
      <c r="H45" s="958" t="s">
        <v>3468</v>
      </c>
      <c r="I45" s="958" t="s">
        <v>3651</v>
      </c>
      <c r="J45" s="958" t="s">
        <v>3470</v>
      </c>
      <c r="K45" s="958" t="s">
        <v>3471</v>
      </c>
    </row>
    <row r="46" spans="6:25" x14ac:dyDescent="0.3">
      <c r="G46" s="961" t="s">
        <v>3653</v>
      </c>
      <c r="H46" s="323">
        <v>25</v>
      </c>
      <c r="I46" s="323">
        <v>50</v>
      </c>
      <c r="J46" s="323">
        <v>60</v>
      </c>
      <c r="K46" s="323">
        <v>75</v>
      </c>
    </row>
    <row r="47" spans="6:25" x14ac:dyDescent="0.3">
      <c r="G47" s="961" t="s">
        <v>3654</v>
      </c>
      <c r="H47" s="323">
        <v>20</v>
      </c>
      <c r="I47" s="323">
        <v>40</v>
      </c>
      <c r="J47" s="323">
        <v>48</v>
      </c>
      <c r="K47" s="323">
        <v>60</v>
      </c>
    </row>
    <row r="48" spans="6:25" x14ac:dyDescent="0.3">
      <c r="G48" s="961" t="s">
        <v>3655</v>
      </c>
      <c r="H48" s="326">
        <f>H46-H47</f>
        <v>5</v>
      </c>
      <c r="I48" s="326">
        <f t="shared" ref="I48:K48" si="43">I46-I47</f>
        <v>10</v>
      </c>
      <c r="J48" s="326">
        <f t="shared" si="43"/>
        <v>12</v>
      </c>
      <c r="K48" s="326">
        <f t="shared" si="43"/>
        <v>15</v>
      </c>
    </row>
  </sheetData>
  <mergeCells count="1">
    <mergeCell ref="B3:D3"/>
  </mergeCells>
  <phoneticPr fontId="2" type="noConversion"/>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D1902-D70A-41A7-B05B-DC566042DC3A}">
  <sheetPr>
    <tabColor theme="1" tint="0.34998626667073579"/>
  </sheetPr>
  <dimension ref="A1:Y42"/>
  <sheetViews>
    <sheetView workbookViewId="0"/>
  </sheetViews>
  <sheetFormatPr defaultRowHeight="16.5" x14ac:dyDescent="0.3"/>
  <cols>
    <col min="1" max="3" width="2.625" customWidth="1"/>
    <col min="4" max="4" width="11" customWidth="1"/>
    <col min="5" max="12" width="9.625" customWidth="1"/>
    <col min="13" max="13" width="43.875" customWidth="1"/>
    <col min="14" max="15" width="4.75" customWidth="1"/>
    <col min="16" max="16" width="9.875" bestFit="1" customWidth="1"/>
    <col min="23" max="24" width="8.75" customWidth="1"/>
    <col min="25" max="25" width="8.5" customWidth="1"/>
  </cols>
  <sheetData>
    <row r="1" spans="1:25" ht="17.25" thickBot="1" x14ac:dyDescent="0.35">
      <c r="A1" s="258" t="s">
        <v>3313</v>
      </c>
      <c r="B1" s="259"/>
      <c r="C1" s="259"/>
      <c r="D1" s="259"/>
      <c r="E1" s="259"/>
      <c r="F1" s="259"/>
      <c r="G1" s="259"/>
      <c r="H1" s="259"/>
      <c r="I1" s="259"/>
      <c r="J1" s="259"/>
      <c r="K1" s="259"/>
      <c r="L1" s="259"/>
      <c r="M1" s="259"/>
    </row>
    <row r="3" spans="1:25" s="21" customFormat="1" x14ac:dyDescent="0.3">
      <c r="B3" s="1775" t="s">
        <v>3292</v>
      </c>
      <c r="C3" s="1776"/>
      <c r="D3" s="1777"/>
      <c r="E3" s="261" t="s">
        <v>3293</v>
      </c>
      <c r="F3" s="261" t="s">
        <v>3294</v>
      </c>
      <c r="G3" s="261" t="s">
        <v>3295</v>
      </c>
      <c r="H3" s="261" t="s">
        <v>3296</v>
      </c>
      <c r="I3" s="261" t="s">
        <v>3297</v>
      </c>
      <c r="J3" s="261" t="s">
        <v>3298</v>
      </c>
      <c r="K3" s="261" t="s">
        <v>3299</v>
      </c>
      <c r="L3" s="261" t="s">
        <v>51</v>
      </c>
      <c r="M3" s="261" t="s">
        <v>3463</v>
      </c>
      <c r="P3"/>
      <c r="Q3"/>
      <c r="R3"/>
      <c r="S3"/>
      <c r="T3"/>
    </row>
    <row r="4" spans="1:25" s="21" customFormat="1" x14ac:dyDescent="0.3">
      <c r="B4" s="262" t="s">
        <v>161</v>
      </c>
      <c r="C4" s="263"/>
      <c r="D4" s="264"/>
      <c r="E4" s="265">
        <v>40.803211060000002</v>
      </c>
      <c r="F4" s="265">
        <f>SUM(F5,F6,F7,F8)</f>
        <v>154.05006992503999</v>
      </c>
      <c r="G4" s="265">
        <f>SUM(G5,G6,G7,G8)</f>
        <v>187.09699793799999</v>
      </c>
      <c r="H4" s="265">
        <f>SUM(H5,H6,H7,H8)</f>
        <v>233.39817755595237</v>
      </c>
      <c r="I4" s="265">
        <f t="shared" ref="I4:K4" si="0">SUM(I5,I6,I7,I8)</f>
        <v>269.25562706113095</v>
      </c>
      <c r="J4" s="265">
        <f t="shared" si="0"/>
        <v>297.7352940433542</v>
      </c>
      <c r="K4" s="265">
        <f t="shared" si="0"/>
        <v>333.80225870087901</v>
      </c>
      <c r="L4" s="266">
        <f t="shared" ref="L4:L25" si="1">IFERROR((K4/F4)^(1/5)-1,0)</f>
        <v>0.16725427787070957</v>
      </c>
      <c r="M4" s="266"/>
      <c r="N4" s="267"/>
      <c r="P4"/>
      <c r="Q4"/>
      <c r="R4"/>
      <c r="S4"/>
      <c r="T4"/>
    </row>
    <row r="5" spans="1:25" s="21" customFormat="1" ht="13.5" x14ac:dyDescent="0.3">
      <c r="B5" s="268"/>
      <c r="C5" s="273" t="s">
        <v>83</v>
      </c>
      <c r="D5" s="274"/>
      <c r="E5" s="275"/>
      <c r="F5" s="275">
        <v>152.62251055782272</v>
      </c>
      <c r="G5" s="275">
        <v>166.46894</v>
      </c>
      <c r="H5" s="275">
        <f>G5*(1+T6)</f>
        <v>211.85154388095236</v>
      </c>
      <c r="I5" s="275">
        <f t="shared" ref="I5:K6" si="2">H5*(1+U6)</f>
        <v>246.63166170238097</v>
      </c>
      <c r="J5" s="275">
        <f t="shared" si="2"/>
        <v>273.98013041666667</v>
      </c>
      <c r="K5" s="275">
        <f t="shared" si="2"/>
        <v>308.85933689285713</v>
      </c>
      <c r="L5" s="276">
        <f t="shared" si="1"/>
        <v>0.1514058410872261</v>
      </c>
      <c r="M5" s="275" t="s">
        <v>3658</v>
      </c>
      <c r="P5" s="1792" t="s">
        <v>54</v>
      </c>
      <c r="Q5" s="1793"/>
      <c r="R5" s="865" t="s">
        <v>2352</v>
      </c>
      <c r="S5" s="865" t="s">
        <v>2738</v>
      </c>
      <c r="T5" s="830" t="s">
        <v>2741</v>
      </c>
      <c r="U5" s="830" t="s">
        <v>3297</v>
      </c>
      <c r="V5" s="830" t="s">
        <v>3298</v>
      </c>
      <c r="W5" s="830" t="s">
        <v>3299</v>
      </c>
      <c r="X5" s="830"/>
    </row>
    <row r="6" spans="1:25" s="21" customFormat="1" ht="13.5" x14ac:dyDescent="0.3">
      <c r="B6" s="277"/>
      <c r="C6" s="279" t="s">
        <v>3305</v>
      </c>
      <c r="D6" s="280"/>
      <c r="E6" s="281"/>
      <c r="F6" s="281">
        <v>10.845408228058</v>
      </c>
      <c r="G6" s="281">
        <v>20.5206035</v>
      </c>
      <c r="H6" s="281">
        <f>G6*(1+T7)</f>
        <v>21.546633675000002</v>
      </c>
      <c r="I6" s="281">
        <f t="shared" si="2"/>
        <v>22.623965358750002</v>
      </c>
      <c r="J6" s="281">
        <f t="shared" si="2"/>
        <v>23.755163626687505</v>
      </c>
      <c r="K6" s="281">
        <f t="shared" si="2"/>
        <v>24.942921808021882</v>
      </c>
      <c r="L6" s="282">
        <f t="shared" si="1"/>
        <v>0.18124581888498859</v>
      </c>
      <c r="M6" s="281"/>
      <c r="P6" s="503" t="s">
        <v>3465</v>
      </c>
      <c r="Q6" s="658" t="s">
        <v>83</v>
      </c>
      <c r="R6" s="604"/>
      <c r="S6" s="660">
        <f>+(G5-F5)/F5</f>
        <v>9.0723376201647596E-2</v>
      </c>
      <c r="T6" s="659">
        <f>T20/S20-1</f>
        <v>0.27261904761904754</v>
      </c>
      <c r="U6" s="659">
        <f t="shared" ref="U6:W6" si="3">U20/T20-1</f>
        <v>0.16417212347988785</v>
      </c>
      <c r="V6" s="659">
        <f t="shared" si="3"/>
        <v>0.11088790678987537</v>
      </c>
      <c r="W6" s="660">
        <f t="shared" si="3"/>
        <v>0.12730560578661843</v>
      </c>
      <c r="X6" s="507">
        <v>0.05</v>
      </c>
    </row>
    <row r="7" spans="1:25" s="21" customFormat="1" ht="13.5" x14ac:dyDescent="0.3">
      <c r="B7" s="277"/>
      <c r="C7" s="279" t="s">
        <v>3416</v>
      </c>
      <c r="D7" s="280"/>
      <c r="E7" s="281"/>
      <c r="F7" s="281"/>
      <c r="G7" s="281">
        <v>0.107454438</v>
      </c>
      <c r="H7" s="281"/>
      <c r="I7" s="281"/>
      <c r="J7" s="281"/>
      <c r="K7" s="281"/>
      <c r="L7" s="282">
        <f t="shared" si="1"/>
        <v>0</v>
      </c>
      <c r="M7" s="281"/>
      <c r="P7" s="597"/>
      <c r="Q7" s="661" t="s">
        <v>3305</v>
      </c>
      <c r="R7" s="601"/>
      <c r="S7" s="663">
        <f t="shared" ref="S7" si="4">+(G6-F6)/F6</f>
        <v>0.89210060778638478</v>
      </c>
      <c r="T7" s="662">
        <f>$X$7</f>
        <v>0.05</v>
      </c>
      <c r="U7" s="662">
        <f t="shared" ref="U7:W7" si="5">$X$7</f>
        <v>0.05</v>
      </c>
      <c r="V7" s="662">
        <f t="shared" si="5"/>
        <v>0.05</v>
      </c>
      <c r="W7" s="663">
        <f t="shared" si="5"/>
        <v>0.05</v>
      </c>
      <c r="X7" s="609">
        <v>0.05</v>
      </c>
    </row>
    <row r="8" spans="1:25" s="21" customFormat="1" ht="13.5" x14ac:dyDescent="0.3">
      <c r="B8" s="277"/>
      <c r="C8" s="288" t="s">
        <v>3346</v>
      </c>
      <c r="D8" s="289"/>
      <c r="E8" s="286"/>
      <c r="F8" s="286">
        <v>-9.4178488608407349</v>
      </c>
      <c r="G8" s="286"/>
      <c r="H8" s="286"/>
      <c r="I8" s="286"/>
      <c r="J8" s="286"/>
      <c r="K8" s="286"/>
      <c r="L8" s="287">
        <f t="shared" si="1"/>
        <v>-1</v>
      </c>
      <c r="M8" s="286"/>
      <c r="P8" s="503" t="s">
        <v>3659</v>
      </c>
      <c r="Q8" s="658" t="s">
        <v>3660</v>
      </c>
      <c r="R8" s="660">
        <f>F10/F5</f>
        <v>0.83928831908807433</v>
      </c>
      <c r="S8" s="660">
        <f>G10/G5</f>
        <v>0.83308356843624998</v>
      </c>
      <c r="T8" s="659">
        <f>+S8+$X8</f>
        <v>0.83308356843624998</v>
      </c>
      <c r="U8" s="659">
        <f t="shared" ref="U8:W8" si="6">+T8+$X8</f>
        <v>0.83308356843624998</v>
      </c>
      <c r="V8" s="659">
        <f t="shared" si="6"/>
        <v>0.83308356843624998</v>
      </c>
      <c r="W8" s="659">
        <f t="shared" si="6"/>
        <v>0.83308356843624998</v>
      </c>
      <c r="X8" s="507">
        <v>0</v>
      </c>
    </row>
    <row r="9" spans="1:25" s="21" customFormat="1" ht="13.5" x14ac:dyDescent="0.3">
      <c r="B9" s="262" t="s">
        <v>44</v>
      </c>
      <c r="C9" s="263"/>
      <c r="D9" s="264"/>
      <c r="E9" s="265">
        <v>30.11222673</v>
      </c>
      <c r="F9" s="265">
        <f>SUM(F10,F11,F12,F13)</f>
        <v>125.65992098142026</v>
      </c>
      <c r="G9" s="265">
        <f>SUM(G10,G11,G12,G13)</f>
        <v>155.27275813150001</v>
      </c>
      <c r="H9" s="265">
        <f>SUM(H10,H11,H12,H13)</f>
        <v>193.9097706956976</v>
      </c>
      <c r="I9" s="265">
        <f t="shared" ref="I9:K9" si="7">SUM(I10,I11,I12,I13)</f>
        <v>223.7555018880378</v>
      </c>
      <c r="J9" s="265">
        <f t="shared" si="7"/>
        <v>247.45359764918487</v>
      </c>
      <c r="K9" s="265">
        <f t="shared" si="7"/>
        <v>277.47115409064634</v>
      </c>
      <c r="L9" s="266">
        <f t="shared" si="1"/>
        <v>0.17166703631390279</v>
      </c>
      <c r="M9" s="266"/>
      <c r="P9" s="597"/>
      <c r="Q9" s="661" t="s">
        <v>3661</v>
      </c>
      <c r="R9" s="663">
        <f>F11/F6</f>
        <v>0.67203787163935058</v>
      </c>
      <c r="S9" s="663">
        <f>G11/G6</f>
        <v>0.80846645482429402</v>
      </c>
      <c r="T9" s="662">
        <f>+S9</f>
        <v>0.80846645482429402</v>
      </c>
      <c r="U9" s="662">
        <f t="shared" ref="U9:W9" si="8">+T9</f>
        <v>0.80846645482429402</v>
      </c>
      <c r="V9" s="662">
        <f t="shared" si="8"/>
        <v>0.80846645482429402</v>
      </c>
      <c r="W9" s="662">
        <f t="shared" si="8"/>
        <v>0.80846645482429402</v>
      </c>
      <c r="X9" s="609"/>
    </row>
    <row r="10" spans="1:25" s="21" customFormat="1" ht="13.5" x14ac:dyDescent="0.3">
      <c r="B10" s="268"/>
      <c r="C10" s="273" t="s">
        <v>83</v>
      </c>
      <c r="D10" s="274"/>
      <c r="E10" s="275"/>
      <c r="F10" s="275">
        <v>128.09429034107691</v>
      </c>
      <c r="G10" s="275">
        <v>138.682538569</v>
      </c>
      <c r="H10" s="275">
        <f>H5*T8</f>
        <v>176.49004015507259</v>
      </c>
      <c r="I10" s="275">
        <f t="shared" ref="I10:K11" si="9">I5*U8</f>
        <v>205.46478482038154</v>
      </c>
      <c r="J10" s="275">
        <f t="shared" si="9"/>
        <v>228.24834472814581</v>
      </c>
      <c r="K10" s="275">
        <f t="shared" si="9"/>
        <v>257.30563852355533</v>
      </c>
      <c r="L10" s="276">
        <f t="shared" si="1"/>
        <v>0.14969834520087044</v>
      </c>
      <c r="M10" s="848" t="s">
        <v>3662</v>
      </c>
      <c r="P10" s="503" t="s">
        <v>3325</v>
      </c>
      <c r="Q10" s="658"/>
      <c r="R10" s="962"/>
      <c r="S10" s="962"/>
      <c r="T10" s="963"/>
      <c r="U10" s="963"/>
      <c r="V10" s="963"/>
      <c r="W10" s="963"/>
      <c r="X10" s="963"/>
    </row>
    <row r="11" spans="1:25" s="21" customFormat="1" ht="13.5" x14ac:dyDescent="0.3">
      <c r="B11" s="277"/>
      <c r="C11" s="279" t="s">
        <v>3305</v>
      </c>
      <c r="D11" s="280"/>
      <c r="E11" s="281"/>
      <c r="F11" s="281">
        <v>7.2885250626439992</v>
      </c>
      <c r="G11" s="281">
        <v>16.5902195625</v>
      </c>
      <c r="H11" s="281">
        <f>H6*T9</f>
        <v>17.419730540625</v>
      </c>
      <c r="I11" s="281">
        <f t="shared" si="9"/>
        <v>18.290717067656253</v>
      </c>
      <c r="J11" s="281">
        <f t="shared" si="9"/>
        <v>19.205252921039065</v>
      </c>
      <c r="K11" s="281">
        <f t="shared" si="9"/>
        <v>20.16551556709102</v>
      </c>
      <c r="L11" s="282">
        <f t="shared" si="1"/>
        <v>0.2257275163950101</v>
      </c>
      <c r="M11" s="281"/>
      <c r="Q11" s="508" t="s">
        <v>3326</v>
      </c>
      <c r="R11" s="964">
        <f>+(F20-E20)/E20</f>
        <v>0.24070787949737213</v>
      </c>
      <c r="S11" s="964">
        <f t="shared" ref="S11:S15" si="10">+(G20-F20)/F20</f>
        <v>0.2546279973500048</v>
      </c>
      <c r="T11" s="964">
        <f>+$X11</f>
        <v>0.1</v>
      </c>
      <c r="U11" s="965">
        <f t="shared" ref="U11:W11" si="11">+$X11</f>
        <v>0.1</v>
      </c>
      <c r="V11" s="965">
        <f t="shared" si="11"/>
        <v>0.1</v>
      </c>
      <c r="W11" s="965">
        <f t="shared" si="11"/>
        <v>0.1</v>
      </c>
      <c r="X11" s="966">
        <v>0.1</v>
      </c>
      <c r="Y11" s="738" t="s">
        <v>3663</v>
      </c>
    </row>
    <row r="12" spans="1:25" s="21" customFormat="1" ht="13.5" x14ac:dyDescent="0.3">
      <c r="B12" s="277"/>
      <c r="C12" s="279" t="s">
        <v>3416</v>
      </c>
      <c r="D12" s="280"/>
      <c r="E12" s="281"/>
      <c r="F12" s="281"/>
      <c r="G12" s="281">
        <v>0</v>
      </c>
      <c r="H12" s="281"/>
      <c r="I12" s="281"/>
      <c r="J12" s="281"/>
      <c r="K12" s="281"/>
      <c r="L12" s="282">
        <f t="shared" si="1"/>
        <v>0</v>
      </c>
      <c r="M12" s="281"/>
      <c r="Q12" s="301" t="s">
        <v>1988</v>
      </c>
      <c r="R12" s="967">
        <f t="shared" ref="R12:R15" si="12">+(F21-E21)/E21</f>
        <v>5.2324593004914211E-2</v>
      </c>
      <c r="S12" s="967">
        <f t="shared" si="10"/>
        <v>0.40675651137171726</v>
      </c>
      <c r="T12" s="967">
        <v>2.9999999999999988E-2</v>
      </c>
      <c r="U12" s="758">
        <v>0.03</v>
      </c>
      <c r="V12" s="758">
        <v>0.03</v>
      </c>
      <c r="W12" s="758">
        <v>0.03</v>
      </c>
      <c r="X12" s="968">
        <v>0.03</v>
      </c>
      <c r="Y12" s="21" t="s">
        <v>3664</v>
      </c>
    </row>
    <row r="13" spans="1:25" s="21" customFormat="1" ht="13.5" x14ac:dyDescent="0.3">
      <c r="B13" s="277"/>
      <c r="C13" s="288" t="s">
        <v>3346</v>
      </c>
      <c r="D13" s="289"/>
      <c r="E13" s="286"/>
      <c r="F13" s="286">
        <v>-9.722894422300655</v>
      </c>
      <c r="G13" s="286"/>
      <c r="H13" s="286"/>
      <c r="I13" s="286"/>
      <c r="J13" s="286"/>
      <c r="K13" s="286"/>
      <c r="L13" s="287">
        <f t="shared" si="1"/>
        <v>-1</v>
      </c>
      <c r="M13" s="286"/>
      <c r="Q13" s="301" t="s">
        <v>3327</v>
      </c>
      <c r="R13" s="967">
        <f>+E22/E4</f>
        <v>1.2041652537529481E-2</v>
      </c>
      <c r="S13" s="967">
        <f t="shared" ref="S13" si="13">+F22/F4</f>
        <v>1.330369211125477E-3</v>
      </c>
      <c r="T13" s="967">
        <f>+(H4-G4)/G4</f>
        <v>0.24747152615081308</v>
      </c>
      <c r="U13" s="967">
        <f t="shared" ref="U13:W13" si="14">+(I4-H4)/H4</f>
        <v>0.15363208865066008</v>
      </c>
      <c r="V13" s="967">
        <f t="shared" si="14"/>
        <v>0.10577185440123528</v>
      </c>
      <c r="W13" s="967">
        <f t="shared" si="14"/>
        <v>0.12113768632439317</v>
      </c>
      <c r="X13" s="968">
        <f>+X6</f>
        <v>0.05</v>
      </c>
      <c r="Y13" s="21" t="s">
        <v>3649</v>
      </c>
    </row>
    <row r="14" spans="1:25" s="21" customFormat="1" ht="13.5" x14ac:dyDescent="0.3">
      <c r="B14" s="262" t="s">
        <v>3320</v>
      </c>
      <c r="C14" s="263"/>
      <c r="D14" s="264"/>
      <c r="E14" s="265">
        <f t="shared" ref="E14:K18" si="15">E4-E9</f>
        <v>10.690984330000003</v>
      </c>
      <c r="F14" s="265">
        <f>SUM(F15,F16,F17,F18)</f>
        <v>28.390148943619728</v>
      </c>
      <c r="G14" s="265">
        <f>SUM(G15,G16,G17,G18)</f>
        <v>31.824239806500003</v>
      </c>
      <c r="H14" s="265">
        <f>SUM(H15,H16,H17,H18)</f>
        <v>39.48840686025477</v>
      </c>
      <c r="I14" s="265">
        <f t="shared" ref="I14:K14" si="16">SUM(I15,I16,I17,I18)</f>
        <v>45.500125173093181</v>
      </c>
      <c r="J14" s="265">
        <f t="shared" si="16"/>
        <v>50.281696394169302</v>
      </c>
      <c r="K14" s="265">
        <f t="shared" si="16"/>
        <v>56.331104610232657</v>
      </c>
      <c r="L14" s="266">
        <f t="shared" si="1"/>
        <v>0.14687508813145089</v>
      </c>
      <c r="M14" s="266"/>
      <c r="Q14" s="301" t="s">
        <v>1995</v>
      </c>
      <c r="R14" s="967">
        <f t="shared" si="12"/>
        <v>0.42641629064631176</v>
      </c>
      <c r="S14" s="967">
        <f t="shared" si="10"/>
        <v>-0.22692998774383211</v>
      </c>
      <c r="T14" s="758">
        <v>0.03</v>
      </c>
      <c r="U14" s="758">
        <v>0.03</v>
      </c>
      <c r="V14" s="758">
        <v>0.03</v>
      </c>
      <c r="W14" s="758">
        <v>0.03</v>
      </c>
      <c r="X14" s="968">
        <v>0.03</v>
      </c>
      <c r="Y14" s="21" t="s">
        <v>3664</v>
      </c>
    </row>
    <row r="15" spans="1:25" s="21" customFormat="1" ht="13.5" x14ac:dyDescent="0.3">
      <c r="B15" s="268"/>
      <c r="C15" s="273" t="s">
        <v>83</v>
      </c>
      <c r="D15" s="274"/>
      <c r="E15" s="275">
        <f t="shared" si="15"/>
        <v>0</v>
      </c>
      <c r="F15" s="275">
        <f t="shared" si="15"/>
        <v>24.528220216745808</v>
      </c>
      <c r="G15" s="275">
        <f t="shared" si="15"/>
        <v>27.786401431000002</v>
      </c>
      <c r="H15" s="275">
        <f t="shared" si="15"/>
        <v>35.361503725879771</v>
      </c>
      <c r="I15" s="275">
        <f t="shared" si="15"/>
        <v>41.166876881999428</v>
      </c>
      <c r="J15" s="275">
        <f t="shared" si="15"/>
        <v>45.731785688520858</v>
      </c>
      <c r="K15" s="275">
        <f t="shared" si="15"/>
        <v>51.553698369301799</v>
      </c>
      <c r="L15" s="276">
        <f t="shared" si="1"/>
        <v>0.16016232444304235</v>
      </c>
      <c r="M15" s="275"/>
      <c r="P15" s="597"/>
      <c r="Q15" s="310" t="s">
        <v>71</v>
      </c>
      <c r="R15" s="969">
        <f t="shared" si="12"/>
        <v>0.37225335261358861</v>
      </c>
      <c r="S15" s="969">
        <f t="shared" si="10"/>
        <v>-0.23361755361370276</v>
      </c>
      <c r="T15" s="969">
        <v>0.03</v>
      </c>
      <c r="U15" s="970">
        <v>0.03</v>
      </c>
      <c r="V15" s="970">
        <v>0.03</v>
      </c>
      <c r="W15" s="970">
        <v>0.03</v>
      </c>
      <c r="X15" s="971">
        <v>0.03</v>
      </c>
      <c r="Y15" s="21" t="s">
        <v>3664</v>
      </c>
    </row>
    <row r="16" spans="1:25" s="21" customFormat="1" ht="13.5" x14ac:dyDescent="0.3">
      <c r="B16" s="277"/>
      <c r="C16" s="279" t="s">
        <v>3305</v>
      </c>
      <c r="D16" s="280"/>
      <c r="E16" s="281">
        <f t="shared" si="15"/>
        <v>0</v>
      </c>
      <c r="F16" s="281">
        <f t="shared" si="15"/>
        <v>3.5568831654140007</v>
      </c>
      <c r="G16" s="281">
        <f t="shared" si="15"/>
        <v>3.9303839375000003</v>
      </c>
      <c r="H16" s="281">
        <f t="shared" si="15"/>
        <v>4.1269031343750022</v>
      </c>
      <c r="I16" s="281">
        <f t="shared" si="15"/>
        <v>4.3332482910937493</v>
      </c>
      <c r="J16" s="281">
        <f t="shared" si="15"/>
        <v>4.5499107056484398</v>
      </c>
      <c r="K16" s="281">
        <f t="shared" si="15"/>
        <v>4.777406240930862</v>
      </c>
      <c r="L16" s="282">
        <f t="shared" si="1"/>
        <v>6.0778025440930916E-2</v>
      </c>
      <c r="M16" s="281"/>
    </row>
    <row r="17" spans="2:24" s="21" customFormat="1" ht="13.5" x14ac:dyDescent="0.3">
      <c r="B17" s="277"/>
      <c r="C17" s="279" t="s">
        <v>3416</v>
      </c>
      <c r="D17" s="280"/>
      <c r="E17" s="281">
        <f t="shared" si="15"/>
        <v>0</v>
      </c>
      <c r="F17" s="281">
        <f t="shared" si="15"/>
        <v>0</v>
      </c>
      <c r="G17" s="281">
        <f t="shared" si="15"/>
        <v>0.107454438</v>
      </c>
      <c r="H17" s="281">
        <f t="shared" si="15"/>
        <v>0</v>
      </c>
      <c r="I17" s="281">
        <f t="shared" si="15"/>
        <v>0</v>
      </c>
      <c r="J17" s="281">
        <f t="shared" si="15"/>
        <v>0</v>
      </c>
      <c r="K17" s="281">
        <f t="shared" si="15"/>
        <v>0</v>
      </c>
      <c r="L17" s="282">
        <f t="shared" si="1"/>
        <v>0</v>
      </c>
      <c r="M17" s="281"/>
      <c r="P17" s="341" t="s">
        <v>3665</v>
      </c>
      <c r="W17" s="21" t="s">
        <v>3666</v>
      </c>
      <c r="X17" s="21">
        <v>9.85</v>
      </c>
    </row>
    <row r="18" spans="2:24" s="21" customFormat="1" ht="13.5" x14ac:dyDescent="0.3">
      <c r="B18" s="277"/>
      <c r="C18" s="288"/>
      <c r="D18" s="289"/>
      <c r="E18" s="286">
        <f>-E13</f>
        <v>0</v>
      </c>
      <c r="F18" s="281">
        <f t="shared" si="15"/>
        <v>0.30504556145992012</v>
      </c>
      <c r="G18" s="281">
        <f t="shared" si="15"/>
        <v>0</v>
      </c>
      <c r="H18" s="281">
        <f t="shared" si="15"/>
        <v>0</v>
      </c>
      <c r="I18" s="281">
        <f t="shared" si="15"/>
        <v>0</v>
      </c>
      <c r="J18" s="281">
        <f t="shared" si="15"/>
        <v>0</v>
      </c>
      <c r="K18" s="281">
        <f t="shared" si="15"/>
        <v>0</v>
      </c>
      <c r="L18" s="287">
        <f t="shared" si="1"/>
        <v>-1</v>
      </c>
      <c r="M18" s="286"/>
      <c r="R18" s="972"/>
      <c r="S18" s="972" t="s">
        <v>2738</v>
      </c>
      <c r="T18" s="972" t="s">
        <v>2741</v>
      </c>
      <c r="U18" s="972" t="s">
        <v>2745</v>
      </c>
      <c r="V18" s="972" t="s">
        <v>2748</v>
      </c>
      <c r="W18" s="972" t="s">
        <v>2752</v>
      </c>
    </row>
    <row r="19" spans="2:24" s="21" customFormat="1" ht="13.5" x14ac:dyDescent="0.3">
      <c r="B19" s="262" t="s">
        <v>3325</v>
      </c>
      <c r="C19" s="263"/>
      <c r="D19" s="264"/>
      <c r="E19" s="265">
        <f>SUM(E20:E24)</f>
        <v>16.149971939999997</v>
      </c>
      <c r="F19" s="265">
        <f>SUM(F20:F24)</f>
        <v>19.622303231669601</v>
      </c>
      <c r="G19" s="265">
        <f t="shared" ref="G19:K19" si="17">SUM(G20:G24)</f>
        <v>23.801275269999998</v>
      </c>
      <c r="H19" s="265">
        <f t="shared" si="17"/>
        <v>25.717757371587187</v>
      </c>
      <c r="I19" s="265">
        <f t="shared" si="17"/>
        <v>27.663298170121148</v>
      </c>
      <c r="J19" s="265">
        <f t="shared" si="17"/>
        <v>29.678585636752626</v>
      </c>
      <c r="K19" s="265">
        <f t="shared" si="17"/>
        <v>31.916747474904781</v>
      </c>
      <c r="L19" s="266">
        <f t="shared" si="1"/>
        <v>0.10218305262061533</v>
      </c>
      <c r="M19" s="265"/>
      <c r="P19" s="21" t="s">
        <v>161</v>
      </c>
      <c r="S19" s="320">
        <f>SUM(S20:S21)</f>
        <v>1780</v>
      </c>
      <c r="T19" s="320">
        <f t="shared" ref="T19:W19" si="18">SUM(T20:T21)</f>
        <v>2238</v>
      </c>
      <c r="U19" s="320">
        <f t="shared" si="18"/>
        <v>2589</v>
      </c>
      <c r="V19" s="320">
        <f t="shared" si="18"/>
        <v>2865</v>
      </c>
      <c r="W19" s="320">
        <f t="shared" si="18"/>
        <v>3217</v>
      </c>
    </row>
    <row r="20" spans="2:24" s="21" customFormat="1" ht="13.5" x14ac:dyDescent="0.3">
      <c r="B20" s="301"/>
      <c r="C20" s="302" t="s">
        <v>3326</v>
      </c>
      <c r="D20" s="303"/>
      <c r="E20" s="304">
        <v>7.5438563900000002</v>
      </c>
      <c r="F20" s="304">
        <v>9.3597220648696009</v>
      </c>
      <c r="G20" s="304">
        <v>11.742969349999999</v>
      </c>
      <c r="H20" s="304">
        <f>+G20*(1+T11)</f>
        <v>12.917266285</v>
      </c>
      <c r="I20" s="304">
        <f>+H20*(1+U11)</f>
        <v>14.208992913500001</v>
      </c>
      <c r="J20" s="304">
        <f t="shared" ref="J20:K20" si="19">+I20*(1+V11)</f>
        <v>15.629892204850004</v>
      </c>
      <c r="K20" s="304">
        <f t="shared" si="19"/>
        <v>17.192881425335006</v>
      </c>
      <c r="L20" s="305">
        <f t="shared" si="1"/>
        <v>0.12932032140994498</v>
      </c>
      <c r="M20" s="304" t="s">
        <v>3667</v>
      </c>
      <c r="Q20" s="21" t="s">
        <v>83</v>
      </c>
      <c r="S20" s="320">
        <v>1680</v>
      </c>
      <c r="T20" s="320">
        <v>2138</v>
      </c>
      <c r="U20" s="320">
        <v>2489</v>
      </c>
      <c r="V20" s="320">
        <v>2765</v>
      </c>
      <c r="W20" s="320">
        <v>3117</v>
      </c>
    </row>
    <row r="21" spans="2:24" s="21" customFormat="1" ht="13.5" x14ac:dyDescent="0.3">
      <c r="B21" s="301"/>
      <c r="C21" s="306" t="s">
        <v>1988</v>
      </c>
      <c r="D21" s="307"/>
      <c r="E21" s="308">
        <v>3.8218065700000001</v>
      </c>
      <c r="F21" s="308">
        <v>4.0217810433187573</v>
      </c>
      <c r="G21" s="308">
        <v>5.6576666700000002</v>
      </c>
      <c r="H21" s="308">
        <f t="shared" ref="H21:K22" si="20">+G21*(1+T12)</f>
        <v>5.8273966701000006</v>
      </c>
      <c r="I21" s="308">
        <f t="shared" si="20"/>
        <v>6.0022185702030004</v>
      </c>
      <c r="J21" s="308">
        <f t="shared" si="20"/>
        <v>6.1822851273090906</v>
      </c>
      <c r="K21" s="308">
        <f t="shared" si="20"/>
        <v>6.3677536811283639</v>
      </c>
      <c r="L21" s="309">
        <f t="shared" si="1"/>
        <v>9.6259996404768566E-2</v>
      </c>
      <c r="M21" s="308" t="s">
        <v>3668</v>
      </c>
      <c r="Q21" s="21" t="s">
        <v>3305</v>
      </c>
      <c r="S21" s="320">
        <v>100</v>
      </c>
      <c r="T21" s="320">
        <v>100</v>
      </c>
      <c r="U21" s="320">
        <v>100</v>
      </c>
      <c r="V21" s="320">
        <v>100</v>
      </c>
      <c r="W21" s="320">
        <v>100</v>
      </c>
    </row>
    <row r="22" spans="2:24" s="21" customFormat="1" ht="13.5" x14ac:dyDescent="0.3">
      <c r="B22" s="301"/>
      <c r="C22" s="306" t="s">
        <v>3327</v>
      </c>
      <c r="D22" s="307"/>
      <c r="E22" s="308">
        <v>0.49133809000000001</v>
      </c>
      <c r="F22" s="308">
        <v>0.20494347000000002</v>
      </c>
      <c r="G22" s="308">
        <v>1.74936</v>
      </c>
      <c r="H22" s="308">
        <f>+G22*(1+T13)</f>
        <v>2.1822767889871866</v>
      </c>
      <c r="I22" s="308">
        <f t="shared" si="20"/>
        <v>2.5175445300931441</v>
      </c>
      <c r="J22" s="308">
        <f t="shared" si="20"/>
        <v>2.7838298835787825</v>
      </c>
      <c r="K22" s="308">
        <f t="shared" si="20"/>
        <v>3.121056594796221</v>
      </c>
      <c r="L22" s="309">
        <f t="shared" si="1"/>
        <v>0.72398511485222339</v>
      </c>
      <c r="M22" s="308" t="s">
        <v>3669</v>
      </c>
      <c r="P22" s="21" t="s">
        <v>3654</v>
      </c>
      <c r="S22" s="320">
        <f>SUM(S23:S25)</f>
        <v>1504.3000000000002</v>
      </c>
      <c r="T22" s="320">
        <f t="shared" ref="T22:W22" si="21">SUM(T23:T25)</f>
        <v>1887.23</v>
      </c>
      <c r="U22" s="320">
        <f t="shared" si="21"/>
        <v>2188.5150000000003</v>
      </c>
      <c r="V22" s="320">
        <f t="shared" si="21"/>
        <v>2425.1750000000002</v>
      </c>
      <c r="W22" s="320">
        <f t="shared" si="21"/>
        <v>2728.4949999999999</v>
      </c>
    </row>
    <row r="23" spans="2:24" s="21" customFormat="1" ht="13.5" x14ac:dyDescent="0.3">
      <c r="B23" s="301"/>
      <c r="C23" s="306" t="s">
        <v>1995</v>
      </c>
      <c r="D23" s="307"/>
      <c r="E23" s="308">
        <v>2.6736540199999999</v>
      </c>
      <c r="F23" s="308">
        <v>3.8137436496799997</v>
      </c>
      <c r="G23" s="308">
        <v>2.9482908499999998</v>
      </c>
      <c r="H23" s="308">
        <f t="shared" ref="H23:K24" si="22">+G23*(1+T14)</f>
        <v>3.0367395755</v>
      </c>
      <c r="I23" s="308">
        <f t="shared" si="22"/>
        <v>3.1278417627650001</v>
      </c>
      <c r="J23" s="308">
        <f t="shared" si="22"/>
        <v>3.2216770156479502</v>
      </c>
      <c r="K23" s="308">
        <f t="shared" si="22"/>
        <v>3.3183273261173887</v>
      </c>
      <c r="L23" s="309">
        <f t="shared" si="1"/>
        <v>-2.7446401315823432E-2</v>
      </c>
      <c r="M23" s="308" t="s">
        <v>3668</v>
      </c>
      <c r="Q23" s="21" t="s">
        <v>83</v>
      </c>
      <c r="S23" s="320">
        <v>1373</v>
      </c>
      <c r="T23" s="320">
        <v>1731</v>
      </c>
      <c r="U23" s="320">
        <v>2020</v>
      </c>
      <c r="V23" s="320">
        <v>2247</v>
      </c>
      <c r="W23" s="320">
        <v>2538</v>
      </c>
    </row>
    <row r="24" spans="2:24" s="21" customFormat="1" ht="13.5" x14ac:dyDescent="0.3">
      <c r="B24" s="310"/>
      <c r="C24" s="311" t="s">
        <v>71</v>
      </c>
      <c r="D24" s="312"/>
      <c r="E24" s="313">
        <v>1.61931687</v>
      </c>
      <c r="F24" s="313">
        <v>2.2221130038012427</v>
      </c>
      <c r="G24" s="313">
        <v>1.7029883999999997</v>
      </c>
      <c r="H24" s="313">
        <f t="shared" si="22"/>
        <v>1.7540780519999997</v>
      </c>
      <c r="I24" s="313">
        <f t="shared" si="22"/>
        <v>1.8067003935599997</v>
      </c>
      <c r="J24" s="313">
        <f t="shared" si="22"/>
        <v>1.8609014053667998</v>
      </c>
      <c r="K24" s="313">
        <f t="shared" si="22"/>
        <v>1.9167284475278039</v>
      </c>
      <c r="L24" s="314">
        <f t="shared" si="1"/>
        <v>-2.913490023266585E-2</v>
      </c>
      <c r="M24" s="313" t="s">
        <v>3668</v>
      </c>
      <c r="Q24" s="21" t="s">
        <v>3305</v>
      </c>
      <c r="S24" s="320">
        <f>S21*77.9%</f>
        <v>77.900000000000006</v>
      </c>
      <c r="T24" s="320">
        <f t="shared" ref="T24:W24" si="23">T21*77.9%</f>
        <v>77.900000000000006</v>
      </c>
      <c r="U24" s="320">
        <f t="shared" si="23"/>
        <v>77.900000000000006</v>
      </c>
      <c r="V24" s="320">
        <f t="shared" si="23"/>
        <v>77.900000000000006</v>
      </c>
      <c r="W24" s="320">
        <f t="shared" si="23"/>
        <v>77.900000000000006</v>
      </c>
    </row>
    <row r="25" spans="2:24" s="21" customFormat="1" ht="13.5" x14ac:dyDescent="0.3">
      <c r="B25" s="331" t="s">
        <v>3670</v>
      </c>
      <c r="C25" s="331"/>
      <c r="D25" s="331"/>
      <c r="E25" s="265">
        <f>E14-E19</f>
        <v>-5.4589876099999941</v>
      </c>
      <c r="F25" s="265">
        <f>F14-F19</f>
        <v>8.7678457119501267</v>
      </c>
      <c r="G25" s="265">
        <f>G14-G19</f>
        <v>8.0229645365000053</v>
      </c>
      <c r="H25" s="265">
        <f>H14-H19</f>
        <v>13.770649488667583</v>
      </c>
      <c r="I25" s="265">
        <f t="shared" ref="I25:K25" si="24">I14-I19</f>
        <v>17.836827002972033</v>
      </c>
      <c r="J25" s="265">
        <f t="shared" si="24"/>
        <v>20.603110757416676</v>
      </c>
      <c r="K25" s="265">
        <f t="shared" si="24"/>
        <v>24.414357135327876</v>
      </c>
      <c r="L25" s="266">
        <f t="shared" si="1"/>
        <v>0.22729927834895269</v>
      </c>
      <c r="M25" s="265"/>
      <c r="Q25" s="21" t="s">
        <v>3671</v>
      </c>
      <c r="S25" s="320">
        <f>S19*3%</f>
        <v>53.4</v>
      </c>
      <c r="T25" s="320">
        <f>T19*3.5%</f>
        <v>78.330000000000013</v>
      </c>
      <c r="U25" s="320">
        <f t="shared" ref="U25:W25" si="25">U19*3.5%</f>
        <v>90.615000000000009</v>
      </c>
      <c r="V25" s="320">
        <f t="shared" si="25"/>
        <v>100.27500000000001</v>
      </c>
      <c r="W25" s="320">
        <f t="shared" si="25"/>
        <v>112.59500000000001</v>
      </c>
    </row>
    <row r="26" spans="2:24" x14ac:dyDescent="0.3">
      <c r="E26" s="325"/>
      <c r="F26" s="325"/>
      <c r="G26" s="325"/>
      <c r="H26" s="325"/>
      <c r="I26" s="325"/>
      <c r="J26" s="325"/>
      <c r="K26" s="325"/>
      <c r="P26" s="21" t="s">
        <v>3325</v>
      </c>
      <c r="Q26" s="21"/>
      <c r="R26" s="21"/>
      <c r="S26" s="320">
        <f>SUM(S27:S41)</f>
        <v>225.2</v>
      </c>
      <c r="T26" s="320">
        <f t="shared" ref="T26:W26" si="26">SUM(T27:T41)</f>
        <v>248.20000000000002</v>
      </c>
      <c r="U26" s="320">
        <f t="shared" si="26"/>
        <v>263</v>
      </c>
      <c r="V26" s="320">
        <f t="shared" si="26"/>
        <v>272.5</v>
      </c>
      <c r="W26" s="320">
        <f t="shared" si="26"/>
        <v>279</v>
      </c>
    </row>
    <row r="27" spans="2:24" x14ac:dyDescent="0.3">
      <c r="F27" s="325"/>
      <c r="G27" s="955"/>
      <c r="H27" s="325"/>
      <c r="I27" s="325"/>
      <c r="J27" s="325"/>
      <c r="K27" s="325"/>
      <c r="P27" s="21"/>
      <c r="Q27" s="21" t="s">
        <v>3187</v>
      </c>
      <c r="R27" s="21"/>
      <c r="S27" s="320">
        <v>71</v>
      </c>
      <c r="T27" s="320">
        <v>85</v>
      </c>
      <c r="U27" s="320">
        <v>92</v>
      </c>
      <c r="V27" s="320">
        <v>97</v>
      </c>
      <c r="W27" s="320">
        <v>97</v>
      </c>
    </row>
    <row r="28" spans="2:24" x14ac:dyDescent="0.3">
      <c r="E28" s="874"/>
      <c r="G28" s="898"/>
      <c r="P28" s="21"/>
      <c r="Q28" s="21" t="s">
        <v>3672</v>
      </c>
      <c r="R28" s="21"/>
      <c r="S28" s="320">
        <v>3</v>
      </c>
      <c r="T28" s="320">
        <v>4</v>
      </c>
      <c r="U28" s="320">
        <v>4</v>
      </c>
      <c r="V28" s="320">
        <v>5</v>
      </c>
      <c r="W28" s="320">
        <v>5</v>
      </c>
    </row>
    <row r="29" spans="2:24" x14ac:dyDescent="0.3">
      <c r="E29" s="874"/>
      <c r="P29" s="21"/>
      <c r="Q29" s="21" t="s">
        <v>3673</v>
      </c>
      <c r="R29" s="21"/>
      <c r="S29" s="320">
        <v>9</v>
      </c>
      <c r="T29" s="320">
        <v>11</v>
      </c>
      <c r="U29" s="320">
        <v>12</v>
      </c>
      <c r="V29" s="320">
        <v>12</v>
      </c>
      <c r="W29" s="320">
        <v>13</v>
      </c>
    </row>
    <row r="30" spans="2:24" x14ac:dyDescent="0.3">
      <c r="E30" s="973"/>
      <c r="P30" s="21"/>
      <c r="Q30" s="21" t="s">
        <v>3674</v>
      </c>
      <c r="R30" s="21"/>
      <c r="S30" s="320">
        <v>7</v>
      </c>
      <c r="T30" s="320">
        <v>8</v>
      </c>
      <c r="U30" s="320">
        <v>9</v>
      </c>
      <c r="V30" s="320">
        <v>10</v>
      </c>
      <c r="W30" s="320">
        <v>10</v>
      </c>
    </row>
    <row r="31" spans="2:24" x14ac:dyDescent="0.3">
      <c r="E31" s="874"/>
      <c r="P31" s="21"/>
      <c r="Q31" s="21" t="s">
        <v>3675</v>
      </c>
      <c r="R31" s="21"/>
      <c r="S31" s="320">
        <v>10</v>
      </c>
      <c r="T31" s="320">
        <v>13</v>
      </c>
      <c r="U31" s="320">
        <v>15</v>
      </c>
      <c r="V31" s="320">
        <v>17</v>
      </c>
      <c r="W31" s="320">
        <v>19</v>
      </c>
    </row>
    <row r="32" spans="2:24" x14ac:dyDescent="0.3">
      <c r="E32" s="874"/>
      <c r="P32" s="21"/>
      <c r="Q32" s="21" t="s">
        <v>3676</v>
      </c>
      <c r="R32" s="21"/>
      <c r="S32" s="320">
        <v>2</v>
      </c>
      <c r="T32" s="320">
        <v>3</v>
      </c>
      <c r="U32" s="320">
        <v>3</v>
      </c>
      <c r="V32" s="320">
        <v>3</v>
      </c>
      <c r="W32" s="320">
        <v>4</v>
      </c>
    </row>
    <row r="33" spans="16:23" x14ac:dyDescent="0.3">
      <c r="P33" s="21"/>
      <c r="Q33" s="21" t="s">
        <v>3677</v>
      </c>
      <c r="R33" s="21"/>
      <c r="S33" s="320">
        <v>52</v>
      </c>
      <c r="T33" s="320">
        <v>53</v>
      </c>
      <c r="U33" s="320">
        <v>53</v>
      </c>
      <c r="V33" s="320">
        <v>54</v>
      </c>
      <c r="W33" s="320">
        <v>54</v>
      </c>
    </row>
    <row r="34" spans="16:23" x14ac:dyDescent="0.3">
      <c r="P34" s="21"/>
      <c r="Q34" s="21" t="s">
        <v>3354</v>
      </c>
      <c r="R34" s="21"/>
      <c r="S34" s="320">
        <v>29</v>
      </c>
      <c r="T34" s="320">
        <v>29</v>
      </c>
      <c r="U34" s="320">
        <v>29</v>
      </c>
      <c r="V34" s="320">
        <v>29</v>
      </c>
      <c r="W34" s="320">
        <v>30</v>
      </c>
    </row>
    <row r="35" spans="16:23" x14ac:dyDescent="0.3">
      <c r="P35" s="21"/>
      <c r="Q35" s="21" t="s">
        <v>3678</v>
      </c>
      <c r="R35" s="21"/>
      <c r="S35" s="320">
        <v>6</v>
      </c>
      <c r="T35" s="320">
        <v>6</v>
      </c>
      <c r="U35" s="320">
        <v>6</v>
      </c>
      <c r="V35" s="320">
        <v>6</v>
      </c>
      <c r="W35" s="320">
        <v>6</v>
      </c>
    </row>
    <row r="36" spans="16:23" x14ac:dyDescent="0.3">
      <c r="P36" s="21"/>
      <c r="Q36" s="21" t="s">
        <v>3679</v>
      </c>
      <c r="R36" s="21"/>
      <c r="S36" s="320">
        <v>1</v>
      </c>
      <c r="T36" s="320">
        <v>1</v>
      </c>
      <c r="U36" s="320">
        <v>1</v>
      </c>
      <c r="V36" s="320">
        <v>1</v>
      </c>
      <c r="W36" s="320">
        <v>1</v>
      </c>
    </row>
    <row r="37" spans="16:23" x14ac:dyDescent="0.3">
      <c r="P37" s="21"/>
      <c r="Q37" s="21" t="s">
        <v>3680</v>
      </c>
      <c r="R37" s="21"/>
      <c r="S37" s="320">
        <v>9</v>
      </c>
      <c r="T37" s="320">
        <v>9</v>
      </c>
      <c r="U37" s="320">
        <v>9</v>
      </c>
      <c r="V37" s="320">
        <v>9</v>
      </c>
      <c r="W37" s="320">
        <v>9</v>
      </c>
    </row>
    <row r="38" spans="16:23" x14ac:dyDescent="0.3">
      <c r="Q38" s="21" t="s">
        <v>3681</v>
      </c>
      <c r="S38" s="320">
        <v>1</v>
      </c>
      <c r="T38" s="320">
        <v>1</v>
      </c>
      <c r="U38" s="320">
        <v>1</v>
      </c>
      <c r="V38" s="320">
        <v>1</v>
      </c>
      <c r="W38" s="320">
        <v>1</v>
      </c>
    </row>
    <row r="39" spans="16:23" x14ac:dyDescent="0.3">
      <c r="Q39" s="21" t="s">
        <v>3209</v>
      </c>
      <c r="S39" s="320">
        <v>6</v>
      </c>
      <c r="T39" s="320">
        <v>6</v>
      </c>
      <c r="U39" s="320">
        <v>6</v>
      </c>
      <c r="V39" s="320">
        <v>6</v>
      </c>
      <c r="W39" s="320">
        <v>6</v>
      </c>
    </row>
    <row r="40" spans="16:23" x14ac:dyDescent="0.3">
      <c r="Q40" s="21" t="s">
        <v>3416</v>
      </c>
      <c r="S40" s="320">
        <v>14.2</v>
      </c>
      <c r="T40" s="320">
        <v>13.9</v>
      </c>
      <c r="U40" s="320">
        <v>16</v>
      </c>
      <c r="V40" s="320">
        <v>14.2</v>
      </c>
      <c r="W40" s="320">
        <v>13.9</v>
      </c>
    </row>
    <row r="41" spans="16:23" x14ac:dyDescent="0.3">
      <c r="Q41" s="21" t="s">
        <v>3413</v>
      </c>
      <c r="S41" s="320">
        <v>5</v>
      </c>
      <c r="T41" s="320">
        <v>5.3</v>
      </c>
      <c r="U41" s="320">
        <v>7</v>
      </c>
      <c r="V41" s="320">
        <v>8.3000000000000007</v>
      </c>
      <c r="W41" s="320">
        <v>10.1</v>
      </c>
    </row>
    <row r="42" spans="16:23" x14ac:dyDescent="0.3">
      <c r="P42" s="903" t="s">
        <v>137</v>
      </c>
      <c r="S42" s="320">
        <f>S19-S22-S26</f>
        <v>50.499999999999829</v>
      </c>
      <c r="T42" s="320">
        <f t="shared" ref="T42:W42" si="27">T19-T22-T26</f>
        <v>102.56999999999996</v>
      </c>
      <c r="U42" s="320">
        <f t="shared" si="27"/>
        <v>137.48499999999967</v>
      </c>
      <c r="V42" s="320">
        <f t="shared" si="27"/>
        <v>167.32499999999982</v>
      </c>
      <c r="W42" s="320">
        <f t="shared" si="27"/>
        <v>209.50500000000011</v>
      </c>
    </row>
  </sheetData>
  <mergeCells count="2">
    <mergeCell ref="B3:D3"/>
    <mergeCell ref="P5:Q5"/>
  </mergeCells>
  <phoneticPr fontId="2" type="noConversion"/>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7BEFB-0DCB-4AFB-B2A8-E6510C13C973}">
  <sheetPr>
    <tabColor theme="1" tint="0.34998626667073579"/>
  </sheetPr>
  <dimension ref="A1:AC35"/>
  <sheetViews>
    <sheetView workbookViewId="0"/>
  </sheetViews>
  <sheetFormatPr defaultRowHeight="16.5" x14ac:dyDescent="0.3"/>
  <cols>
    <col min="1" max="3" width="2.625" customWidth="1"/>
    <col min="4" max="4" width="11" customWidth="1"/>
    <col min="5" max="12" width="9.625" customWidth="1"/>
    <col min="13" max="13" width="43.875" customWidth="1"/>
    <col min="17" max="18" width="3.5" customWidth="1"/>
    <col min="19" max="19" width="14" bestFit="1" customWidth="1"/>
  </cols>
  <sheetData>
    <row r="1" spans="1:26" ht="17.25" thickBot="1" x14ac:dyDescent="0.35">
      <c r="A1" s="258" t="s">
        <v>3316</v>
      </c>
      <c r="B1" s="259"/>
      <c r="C1" s="259"/>
      <c r="D1" s="259"/>
      <c r="E1" s="259"/>
      <c r="F1" s="259"/>
      <c r="G1" s="259"/>
      <c r="H1" s="259"/>
      <c r="I1" s="259"/>
      <c r="J1" s="259"/>
      <c r="K1" s="259"/>
      <c r="L1" s="259"/>
      <c r="M1" s="259"/>
    </row>
    <row r="2" spans="1:26" x14ac:dyDescent="0.3">
      <c r="H2" s="260"/>
      <c r="I2" s="260"/>
      <c r="J2" s="260"/>
      <c r="V2" s="324"/>
      <c r="W2" s="324"/>
      <c r="X2" s="324"/>
    </row>
    <row r="3" spans="1:26" s="21" customFormat="1" ht="13.5" x14ac:dyDescent="0.3">
      <c r="B3" s="1775" t="s">
        <v>3292</v>
      </c>
      <c r="C3" s="1776"/>
      <c r="D3" s="1777"/>
      <c r="E3" s="261" t="s">
        <v>3293</v>
      </c>
      <c r="F3" s="261" t="s">
        <v>3294</v>
      </c>
      <c r="G3" s="261" t="s">
        <v>3295</v>
      </c>
      <c r="H3" s="261" t="s">
        <v>3296</v>
      </c>
      <c r="I3" s="261" t="s">
        <v>3297</v>
      </c>
      <c r="J3" s="261" t="s">
        <v>3298</v>
      </c>
      <c r="K3" s="261" t="s">
        <v>3299</v>
      </c>
      <c r="L3" s="261" t="s">
        <v>51</v>
      </c>
      <c r="M3" s="261" t="s">
        <v>3463</v>
      </c>
      <c r="T3" s="974" t="s">
        <v>3360</v>
      </c>
      <c r="U3" s="974" t="s">
        <v>3361</v>
      </c>
      <c r="V3" s="974" t="s">
        <v>3362</v>
      </c>
      <c r="W3" s="974">
        <v>2025</v>
      </c>
      <c r="X3" s="974">
        <v>2026</v>
      </c>
      <c r="Y3" s="974">
        <v>2027</v>
      </c>
      <c r="Z3" s="974"/>
    </row>
    <row r="4" spans="1:26" s="21" customFormat="1" ht="13.5" x14ac:dyDescent="0.3">
      <c r="B4" s="262" t="s">
        <v>161</v>
      </c>
      <c r="C4" s="263"/>
      <c r="D4" s="264"/>
      <c r="E4" s="265">
        <v>2.8172000000000001</v>
      </c>
      <c r="F4" s="265">
        <f>SUM(F5,F6,F7,F8)</f>
        <v>4.0260976100000008</v>
      </c>
      <c r="G4" s="265">
        <f t="shared" ref="G4:K4" si="0">SUM(G5,G6,G7,G8)</f>
        <v>3.5027999999999988</v>
      </c>
      <c r="H4" s="265">
        <f t="shared" si="0"/>
        <v>7.1206400000000016</v>
      </c>
      <c r="I4" s="265">
        <f t="shared" si="0"/>
        <v>19.999999999999996</v>
      </c>
      <c r="J4" s="265">
        <f t="shared" si="0"/>
        <v>30</v>
      </c>
      <c r="K4" s="265">
        <f t="shared" si="0"/>
        <v>45</v>
      </c>
      <c r="L4" s="266">
        <f t="shared" ref="L4:L25" si="1">IFERROR((K4/F4)^(1/5)-1,0)</f>
        <v>0.62056196908578398</v>
      </c>
      <c r="M4" s="266"/>
      <c r="N4" s="267"/>
      <c r="O4" s="267"/>
      <c r="Q4" s="1780" t="s">
        <v>3682</v>
      </c>
      <c r="R4" s="1781"/>
      <c r="S4" s="1782"/>
      <c r="T4" s="975"/>
      <c r="U4" s="975"/>
      <c r="V4" s="975"/>
      <c r="W4" s="975"/>
      <c r="X4" s="975"/>
      <c r="Y4" s="975"/>
      <c r="Z4" s="552"/>
    </row>
    <row r="5" spans="1:26" s="21" customFormat="1" ht="15.6" customHeight="1" x14ac:dyDescent="0.3">
      <c r="B5" s="268"/>
      <c r="C5" s="273" t="s">
        <v>3302</v>
      </c>
      <c r="D5" s="274"/>
      <c r="E5" s="275"/>
      <c r="F5" s="275">
        <v>20.215262720000002</v>
      </c>
      <c r="G5" s="275">
        <v>11.558400000000001</v>
      </c>
      <c r="H5" s="275">
        <f t="shared" ref="H5:J5" si="2">+V6</f>
        <v>11.558400000000001</v>
      </c>
      <c r="I5" s="275">
        <f t="shared" si="2"/>
        <v>11.558400000000001</v>
      </c>
      <c r="J5" s="275">
        <f t="shared" si="2"/>
        <v>11.558400000000001</v>
      </c>
      <c r="K5" s="275">
        <f>+Y6</f>
        <v>11.558400000000001</v>
      </c>
      <c r="L5" s="276">
        <f t="shared" si="1"/>
        <v>-0.10578146805422162</v>
      </c>
      <c r="M5" s="275"/>
      <c r="Q5" s="553"/>
      <c r="R5" s="976" t="s">
        <v>3683</v>
      </c>
      <c r="S5" s="555"/>
      <c r="T5" s="977">
        <f>+SUM(T6:T9)</f>
        <v>21.0039771</v>
      </c>
      <c r="U5" s="977">
        <f t="shared" ref="U5:Y5" si="3">+SUM(U6:U9)</f>
        <v>16.225200000000001</v>
      </c>
      <c r="V5" s="977">
        <f t="shared" si="3"/>
        <v>20.541440000000001</v>
      </c>
      <c r="W5" s="977">
        <f t="shared" si="3"/>
        <v>34.352000000000004</v>
      </c>
      <c r="X5" s="977">
        <f t="shared" si="3"/>
        <v>45.748800000000003</v>
      </c>
      <c r="Y5" s="977">
        <f t="shared" si="3"/>
        <v>62.844000000000001</v>
      </c>
      <c r="Z5" s="977"/>
    </row>
    <row r="6" spans="1:26" s="21" customFormat="1" ht="13.5" x14ac:dyDescent="0.3">
      <c r="B6" s="277"/>
      <c r="C6" s="279" t="s">
        <v>3306</v>
      </c>
      <c r="D6" s="280"/>
      <c r="E6" s="281"/>
      <c r="F6" s="281">
        <v>0.5292</v>
      </c>
      <c r="G6" s="281">
        <v>3.2004000000000001</v>
      </c>
      <c r="H6" s="281">
        <f t="shared" ref="H6:J6" si="4">+V8</f>
        <v>5.1206399999999999</v>
      </c>
      <c r="I6" s="281">
        <f t="shared" si="4"/>
        <v>10</v>
      </c>
      <c r="J6" s="281">
        <f t="shared" si="4"/>
        <v>15</v>
      </c>
      <c r="K6" s="281">
        <f>+Y8</f>
        <v>22.5</v>
      </c>
      <c r="L6" s="282">
        <f t="shared" si="1"/>
        <v>1.1169594366312467</v>
      </c>
      <c r="M6" s="739" t="s">
        <v>3684</v>
      </c>
      <c r="Q6" s="553"/>
      <c r="R6" s="978"/>
      <c r="S6" s="979" t="s">
        <v>3685</v>
      </c>
      <c r="T6" s="980">
        <v>18.991457</v>
      </c>
      <c r="U6" s="980">
        <v>11.558400000000001</v>
      </c>
      <c r="V6" s="980">
        <v>11.558400000000001</v>
      </c>
      <c r="W6" s="980">
        <v>11.558400000000001</v>
      </c>
      <c r="X6" s="980">
        <v>11.558400000000001</v>
      </c>
      <c r="Y6" s="980">
        <f>+X6</f>
        <v>11.558400000000001</v>
      </c>
      <c r="Z6" s="980">
        <v>0</v>
      </c>
    </row>
    <row r="7" spans="1:26" s="21" customFormat="1" ht="13.5" x14ac:dyDescent="0.3">
      <c r="B7" s="277"/>
      <c r="C7" s="279" t="s">
        <v>3416</v>
      </c>
      <c r="D7" s="280"/>
      <c r="E7" s="281"/>
      <c r="F7" s="281">
        <v>0.2558802</v>
      </c>
      <c r="G7" s="281">
        <v>1.4663999999999999</v>
      </c>
      <c r="H7" s="281">
        <f t="shared" ref="H7:J7" si="5">+V7+V9</f>
        <v>3.8624000000000001</v>
      </c>
      <c r="I7" s="281">
        <f t="shared" si="5"/>
        <v>12.7936</v>
      </c>
      <c r="J7" s="281">
        <f t="shared" si="5"/>
        <v>19.1904</v>
      </c>
      <c r="K7" s="281">
        <f>+Y7+Y9</f>
        <v>28.785600000000002</v>
      </c>
      <c r="L7" s="282">
        <f t="shared" si="1"/>
        <v>1.5717439151126227</v>
      </c>
      <c r="M7" s="739" t="s">
        <v>3684</v>
      </c>
      <c r="Q7" s="553"/>
      <c r="R7" s="981"/>
      <c r="S7" s="982" t="s">
        <v>3686</v>
      </c>
      <c r="T7" s="983">
        <v>0.65612009999999998</v>
      </c>
      <c r="U7" s="983">
        <v>1.1639999999999999</v>
      </c>
      <c r="V7" s="983">
        <v>1.8624000000000001</v>
      </c>
      <c r="W7" s="983">
        <v>2.7936000000000001</v>
      </c>
      <c r="X7" s="983">
        <v>4.1904000000000003</v>
      </c>
      <c r="Y7" s="983">
        <f t="shared" ref="Y7:Y8" si="6">+X7*(1+$Z7)</f>
        <v>6.2856000000000005</v>
      </c>
      <c r="Z7" s="388">
        <v>0.5</v>
      </c>
    </row>
    <row r="8" spans="1:26" s="21" customFormat="1" ht="13.5" x14ac:dyDescent="0.3">
      <c r="B8" s="277"/>
      <c r="C8" s="288" t="s">
        <v>3346</v>
      </c>
      <c r="D8" s="289"/>
      <c r="E8" s="286"/>
      <c r="F8" s="286">
        <v>-16.974245310000001</v>
      </c>
      <c r="G8" s="286">
        <v>-12.722400000000002</v>
      </c>
      <c r="H8" s="286">
        <f t="shared" ref="H8:J8" si="7">-SUM(V6:V7)</f>
        <v>-13.4208</v>
      </c>
      <c r="I8" s="286">
        <f t="shared" si="7"/>
        <v>-14.352</v>
      </c>
      <c r="J8" s="286">
        <f t="shared" si="7"/>
        <v>-15.748800000000001</v>
      </c>
      <c r="K8" s="286">
        <f>-SUM(Y6:Y7)</f>
        <v>-17.844000000000001</v>
      </c>
      <c r="L8" s="287">
        <f t="shared" si="1"/>
        <v>1.0044127753650489E-2</v>
      </c>
      <c r="M8" s="286"/>
      <c r="Q8" s="553"/>
      <c r="R8" s="981"/>
      <c r="S8" s="982" t="s">
        <v>3306</v>
      </c>
      <c r="T8" s="983">
        <v>1.3564000000000001</v>
      </c>
      <c r="U8" s="983">
        <v>3.2004000000000001</v>
      </c>
      <c r="V8" s="983">
        <v>5.1206399999999999</v>
      </c>
      <c r="W8" s="983">
        <v>10</v>
      </c>
      <c r="X8" s="983">
        <v>15</v>
      </c>
      <c r="Y8" s="983">
        <f t="shared" si="6"/>
        <v>22.5</v>
      </c>
      <c r="Z8" s="388">
        <v>0.5</v>
      </c>
    </row>
    <row r="9" spans="1:26" s="21" customFormat="1" ht="13.5" x14ac:dyDescent="0.3">
      <c r="B9" s="262" t="s">
        <v>44</v>
      </c>
      <c r="C9" s="263"/>
      <c r="D9" s="264"/>
      <c r="E9" s="265">
        <v>5.8902032999999996</v>
      </c>
      <c r="F9" s="265">
        <f>SUM(F10,F11,F12,F13)</f>
        <v>17.44615147</v>
      </c>
      <c r="G9" s="265">
        <f t="shared" ref="G9:K9" si="8">SUM(G10,G11,G12,G13)</f>
        <v>17.233359839999999</v>
      </c>
      <c r="H9" s="265">
        <f t="shared" si="8"/>
        <v>18.945367999999998</v>
      </c>
      <c r="I9" s="265">
        <f t="shared" si="8"/>
        <v>26.647011999999997</v>
      </c>
      <c r="J9" s="265">
        <f t="shared" si="8"/>
        <v>32.946713200000005</v>
      </c>
      <c r="K9" s="265">
        <f t="shared" si="8"/>
        <v>42.770069800000002</v>
      </c>
      <c r="L9" s="266">
        <f t="shared" si="1"/>
        <v>0.19643212069917748</v>
      </c>
      <c r="M9" s="266"/>
      <c r="N9" s="267"/>
      <c r="Q9" s="553"/>
      <c r="R9" s="981"/>
      <c r="S9" s="984" t="s">
        <v>3687</v>
      </c>
      <c r="T9" s="983">
        <v>0</v>
      </c>
      <c r="U9" s="983">
        <v>0.3024</v>
      </c>
      <c r="V9" s="983">
        <v>2</v>
      </c>
      <c r="W9" s="983">
        <v>10</v>
      </c>
      <c r="X9" s="983">
        <v>15</v>
      </c>
      <c r="Y9" s="983">
        <f>+X9*(1+$Z9)</f>
        <v>22.5</v>
      </c>
      <c r="Z9" s="985">
        <v>0.5</v>
      </c>
    </row>
    <row r="10" spans="1:26" s="21" customFormat="1" ht="13.5" x14ac:dyDescent="0.3">
      <c r="B10" s="268"/>
      <c r="C10" s="273" t="s">
        <v>3302</v>
      </c>
      <c r="D10" s="274"/>
      <c r="E10" s="275"/>
      <c r="F10" s="275">
        <v>16.154299250000001</v>
      </c>
      <c r="G10" s="275">
        <v>12.83471984</v>
      </c>
      <c r="H10" s="275">
        <f>+H5*V12</f>
        <v>12.999999999999998</v>
      </c>
      <c r="I10" s="275">
        <f t="shared" ref="I10:K10" si="9">+I5*W12</f>
        <v>13.15</v>
      </c>
      <c r="J10" s="275">
        <f t="shared" si="9"/>
        <v>13.3</v>
      </c>
      <c r="K10" s="275">
        <f t="shared" si="9"/>
        <v>13.3</v>
      </c>
      <c r="L10" s="276">
        <f t="shared" si="1"/>
        <v>-3.8138141912047452E-2</v>
      </c>
      <c r="M10" s="275" t="s">
        <v>3688</v>
      </c>
      <c r="N10" s="267"/>
      <c r="Q10" s="1780" t="s">
        <v>3689</v>
      </c>
      <c r="R10" s="1781"/>
      <c r="S10" s="1782"/>
      <c r="T10" s="975">
        <f t="shared" ref="T10:Y10" si="10">T11+T16</f>
        <v>25.529053830000002</v>
      </c>
      <c r="U10" s="975">
        <f t="shared" si="10"/>
        <v>14.698888880000002</v>
      </c>
      <c r="V10" s="975">
        <f t="shared" si="10"/>
        <v>16.223470616000004</v>
      </c>
      <c r="W10" s="975">
        <f t="shared" si="10"/>
        <v>22.244329324000006</v>
      </c>
      <c r="X10" s="975">
        <f t="shared" si="10"/>
        <v>26.118745674000003</v>
      </c>
      <c r="Y10" s="975">
        <f t="shared" si="10"/>
        <v>31.691942900699999</v>
      </c>
      <c r="Z10" s="552"/>
    </row>
    <row r="11" spans="1:26" s="21" customFormat="1" ht="13.5" x14ac:dyDescent="0.3">
      <c r="B11" s="277"/>
      <c r="C11" s="279" t="s">
        <v>3306</v>
      </c>
      <c r="D11" s="280"/>
      <c r="E11" s="281"/>
      <c r="F11" s="281">
        <v>0.31600000000000006</v>
      </c>
      <c r="G11" s="281">
        <v>2.01024</v>
      </c>
      <c r="H11" s="281">
        <f>+H6*V14</f>
        <v>3.5844479999999996</v>
      </c>
      <c r="I11" s="281">
        <f t="shared" ref="I11:K11" si="11">+I6*W14</f>
        <v>7</v>
      </c>
      <c r="J11" s="281">
        <f t="shared" si="11"/>
        <v>10.5</v>
      </c>
      <c r="K11" s="281">
        <f t="shared" si="11"/>
        <v>15.749999999999998</v>
      </c>
      <c r="L11" s="282">
        <f t="shared" si="1"/>
        <v>1.1853383900254717</v>
      </c>
      <c r="M11" s="281" t="s">
        <v>3688</v>
      </c>
      <c r="N11" s="267"/>
      <c r="Q11" s="986"/>
      <c r="R11" s="976" t="s">
        <v>3690</v>
      </c>
      <c r="S11" s="987"/>
      <c r="T11" s="977">
        <v>19.260000000000002</v>
      </c>
      <c r="U11" s="977">
        <f>U6*0.8+U9*0.7</f>
        <v>9.458400000000001</v>
      </c>
      <c r="V11" s="977">
        <f>V6*0.8+V9*0.7</f>
        <v>10.646720000000002</v>
      </c>
      <c r="W11" s="977">
        <f>W6*0.8+W9*0.7</f>
        <v>16.246720000000003</v>
      </c>
      <c r="X11" s="977">
        <f>X6*0.8+X9*0.7</f>
        <v>19.746720000000003</v>
      </c>
      <c r="Y11" s="977">
        <f>Y6*0.8+Y9*0.7</f>
        <v>24.99672</v>
      </c>
      <c r="Z11" s="977"/>
    </row>
    <row r="12" spans="1:26" s="21" customFormat="1" ht="13.5" x14ac:dyDescent="0.3">
      <c r="B12" s="277"/>
      <c r="C12" s="279" t="s">
        <v>71</v>
      </c>
      <c r="D12" s="280"/>
      <c r="E12" s="281"/>
      <c r="F12" s="281">
        <v>0.97585221999999994</v>
      </c>
      <c r="G12" s="281">
        <v>2.3883999999999999</v>
      </c>
      <c r="H12" s="281">
        <f>+V7*V13+V9*V15</f>
        <v>2.3609200000000001</v>
      </c>
      <c r="I12" s="281">
        <f t="shared" ref="I12:K12" si="12">+W7*W13+W9*W15</f>
        <v>6.4970119999999998</v>
      </c>
      <c r="J12" s="281">
        <f t="shared" si="12"/>
        <v>9.1467132000000007</v>
      </c>
      <c r="K12" s="281">
        <f t="shared" si="12"/>
        <v>13.720069800000001</v>
      </c>
      <c r="L12" s="282">
        <f t="shared" si="1"/>
        <v>0.69665856281030836</v>
      </c>
      <c r="M12" s="281"/>
      <c r="Q12" s="553"/>
      <c r="R12" s="981"/>
      <c r="S12" s="984" t="s">
        <v>3685</v>
      </c>
      <c r="T12" s="988">
        <v>0.76131877085575894</v>
      </c>
      <c r="U12" s="988">
        <v>1.1104235741971207</v>
      </c>
      <c r="V12" s="988">
        <v>1.1247231450719821</v>
      </c>
      <c r="W12" s="988">
        <v>1.1377007198228128</v>
      </c>
      <c r="X12" s="988">
        <v>1.1506782945736433</v>
      </c>
      <c r="Y12" s="989">
        <f>+X12</f>
        <v>1.1506782945736433</v>
      </c>
      <c r="Z12" s="985"/>
    </row>
    <row r="13" spans="1:26" s="21" customFormat="1" ht="13.5" x14ac:dyDescent="0.25">
      <c r="B13" s="277"/>
      <c r="C13" s="288"/>
      <c r="D13" s="289"/>
      <c r="E13" s="286"/>
      <c r="F13" s="286"/>
      <c r="G13" s="286"/>
      <c r="H13" s="286"/>
      <c r="I13" s="286"/>
      <c r="J13" s="286"/>
      <c r="K13" s="286"/>
      <c r="L13" s="287">
        <f t="shared" si="1"/>
        <v>0</v>
      </c>
      <c r="M13" s="286"/>
      <c r="Q13" s="553"/>
      <c r="R13" s="981"/>
      <c r="S13" s="984" t="s">
        <v>3686</v>
      </c>
      <c r="T13" s="990">
        <v>1.5770433797105132</v>
      </c>
      <c r="U13" s="990">
        <v>1.0628865979381446</v>
      </c>
      <c r="V13" s="990">
        <v>0.7307345360824743</v>
      </c>
      <c r="W13" s="990">
        <v>0.53587199312714784</v>
      </c>
      <c r="X13" s="990">
        <v>0.39297279495990844</v>
      </c>
      <c r="Y13" s="989">
        <f>+X13</f>
        <v>0.39297279495990844</v>
      </c>
      <c r="Z13" s="991"/>
    </row>
    <row r="14" spans="1:26" s="21" customFormat="1" ht="15.6" customHeight="1" x14ac:dyDescent="0.25">
      <c r="B14" s="262" t="s">
        <v>3320</v>
      </c>
      <c r="C14" s="263"/>
      <c r="D14" s="264"/>
      <c r="E14" s="265">
        <f t="shared" ref="E14:E17" si="13">E4-E9</f>
        <v>-3.0730032999999994</v>
      </c>
      <c r="F14" s="265">
        <f>SUM(F15,F16,F17,F18)</f>
        <v>-13.420053859999999</v>
      </c>
      <c r="G14" s="265">
        <f t="shared" ref="F14:K18" si="14">G4-G9</f>
        <v>-13.73055984</v>
      </c>
      <c r="H14" s="265">
        <f t="shared" si="14"/>
        <v>-11.824727999999997</v>
      </c>
      <c r="I14" s="265">
        <f t="shared" si="14"/>
        <v>-6.6470120000000001</v>
      </c>
      <c r="J14" s="265">
        <f t="shared" si="14"/>
        <v>-2.9467132000000049</v>
      </c>
      <c r="K14" s="265">
        <f t="shared" si="14"/>
        <v>2.2299301999999983</v>
      </c>
      <c r="L14" s="266">
        <f t="shared" si="1"/>
        <v>-1.6984050999965041</v>
      </c>
      <c r="M14" s="266"/>
      <c r="Q14" s="553"/>
      <c r="R14" s="981"/>
      <c r="S14" s="984" t="s">
        <v>3306</v>
      </c>
      <c r="T14" s="990">
        <v>0.63145089943969335</v>
      </c>
      <c r="U14" s="990">
        <v>0.62812148481439822</v>
      </c>
      <c r="V14" s="990">
        <v>0.7</v>
      </c>
      <c r="W14" s="990">
        <v>0.7</v>
      </c>
      <c r="X14" s="990">
        <v>0.7</v>
      </c>
      <c r="Y14" s="989">
        <f>+X14</f>
        <v>0.7</v>
      </c>
      <c r="Z14" s="991"/>
    </row>
    <row r="15" spans="1:26" s="21" customFormat="1" ht="15.6" customHeight="1" x14ac:dyDescent="0.25">
      <c r="B15" s="268"/>
      <c r="C15" s="273" t="s">
        <v>3302</v>
      </c>
      <c r="D15" s="274"/>
      <c r="E15" s="275">
        <f t="shared" si="13"/>
        <v>0</v>
      </c>
      <c r="F15" s="275">
        <f t="shared" si="14"/>
        <v>4.0609634700000008</v>
      </c>
      <c r="G15" s="275">
        <f t="shared" si="14"/>
        <v>-1.2763198399999993</v>
      </c>
      <c r="H15" s="275">
        <f t="shared" si="14"/>
        <v>-1.4415999999999976</v>
      </c>
      <c r="I15" s="275">
        <f t="shared" si="14"/>
        <v>-1.5915999999999997</v>
      </c>
      <c r="J15" s="275">
        <f t="shared" si="14"/>
        <v>-1.7416</v>
      </c>
      <c r="K15" s="275">
        <f t="shared" si="14"/>
        <v>-1.7416</v>
      </c>
      <c r="L15" s="276">
        <f t="shared" si="1"/>
        <v>-1.8442359984287868</v>
      </c>
      <c r="M15" s="275"/>
      <c r="Q15" s="992"/>
      <c r="R15" s="993"/>
      <c r="S15" s="994" t="s">
        <v>3687</v>
      </c>
      <c r="T15" s="995" t="s">
        <v>3691</v>
      </c>
      <c r="U15" s="995">
        <v>0.5</v>
      </c>
      <c r="V15" s="995">
        <v>0.5</v>
      </c>
      <c r="W15" s="995">
        <v>0.5</v>
      </c>
      <c r="X15" s="995">
        <v>0.5</v>
      </c>
      <c r="Y15" s="989">
        <f>+X15</f>
        <v>0.5</v>
      </c>
      <c r="Z15" s="996"/>
    </row>
    <row r="16" spans="1:26" s="21" customFormat="1" ht="13.5" x14ac:dyDescent="0.3">
      <c r="B16" s="277"/>
      <c r="C16" s="279" t="s">
        <v>3306</v>
      </c>
      <c r="D16" s="280"/>
      <c r="E16" s="281">
        <f t="shared" si="13"/>
        <v>0</v>
      </c>
      <c r="F16" s="281">
        <f t="shared" si="14"/>
        <v>0.21319999999999995</v>
      </c>
      <c r="G16" s="281">
        <f t="shared" si="14"/>
        <v>1.1901600000000001</v>
      </c>
      <c r="H16" s="281">
        <f t="shared" si="14"/>
        <v>1.5361920000000002</v>
      </c>
      <c r="I16" s="281">
        <f t="shared" si="14"/>
        <v>3</v>
      </c>
      <c r="J16" s="281">
        <f t="shared" si="14"/>
        <v>4.5</v>
      </c>
      <c r="K16" s="281">
        <f t="shared" si="14"/>
        <v>6.7500000000000018</v>
      </c>
      <c r="L16" s="282">
        <f t="shared" si="1"/>
        <v>0.99573702521481056</v>
      </c>
      <c r="M16" s="281"/>
      <c r="Q16" s="992"/>
      <c r="R16" s="976" t="s">
        <v>3692</v>
      </c>
      <c r="S16" s="987"/>
      <c r="T16" s="977">
        <f t="shared" ref="T16:Y16" si="15">SUM(T17:T21)</f>
        <v>6.2690538299999989</v>
      </c>
      <c r="U16" s="977">
        <f t="shared" si="15"/>
        <v>5.24048888</v>
      </c>
      <c r="V16" s="977">
        <f t="shared" si="15"/>
        <v>5.5767506160000009</v>
      </c>
      <c r="W16" s="977">
        <f t="shared" si="15"/>
        <v>5.9976093240000008</v>
      </c>
      <c r="X16" s="977">
        <f t="shared" si="15"/>
        <v>6.3720256740000005</v>
      </c>
      <c r="Y16" s="977">
        <f t="shared" si="15"/>
        <v>6.695222900700001</v>
      </c>
      <c r="Z16" s="977"/>
    </row>
    <row r="17" spans="2:29" s="21" customFormat="1" ht="13.5" x14ac:dyDescent="0.3">
      <c r="B17" s="277"/>
      <c r="C17" s="279" t="s">
        <v>71</v>
      </c>
      <c r="D17" s="280"/>
      <c r="E17" s="281">
        <f t="shared" si="13"/>
        <v>0</v>
      </c>
      <c r="F17" s="281">
        <f t="shared" si="14"/>
        <v>-0.71997201999999993</v>
      </c>
      <c r="G17" s="281">
        <f t="shared" si="14"/>
        <v>-0.92199999999999993</v>
      </c>
      <c r="H17" s="281">
        <f t="shared" si="14"/>
        <v>1.5014799999999999</v>
      </c>
      <c r="I17" s="281">
        <f t="shared" si="14"/>
        <v>6.2965879999999999</v>
      </c>
      <c r="J17" s="281">
        <f t="shared" si="14"/>
        <v>10.0436868</v>
      </c>
      <c r="K17" s="281">
        <f t="shared" si="14"/>
        <v>15.065530200000001</v>
      </c>
      <c r="L17" s="282">
        <f t="shared" si="1"/>
        <v>-2.8371040740662701</v>
      </c>
      <c r="M17" s="281"/>
      <c r="Q17" s="553"/>
      <c r="R17" s="981"/>
      <c r="S17" s="984" t="s">
        <v>3326</v>
      </c>
      <c r="T17" s="983">
        <f>+F20</f>
        <v>3.66143683</v>
      </c>
      <c r="U17" s="983">
        <f>+G20</f>
        <v>2.472</v>
      </c>
      <c r="V17" s="983">
        <v>2.3957999999999999</v>
      </c>
      <c r="W17" s="983">
        <v>2.6353800000000001</v>
      </c>
      <c r="X17" s="983">
        <v>2.8989180000000001</v>
      </c>
      <c r="Y17" s="983">
        <f>+X17*(1+$Z17)</f>
        <v>3.0728530800000002</v>
      </c>
      <c r="Z17" s="985">
        <v>0.06</v>
      </c>
    </row>
    <row r="18" spans="2:29" s="21" customFormat="1" ht="13.5" x14ac:dyDescent="0.3">
      <c r="B18" s="277"/>
      <c r="C18" s="288" t="s">
        <v>3346</v>
      </c>
      <c r="D18" s="289"/>
      <c r="E18" s="286">
        <f>-E13</f>
        <v>0</v>
      </c>
      <c r="F18" s="281">
        <f t="shared" si="14"/>
        <v>-16.974245310000001</v>
      </c>
      <c r="G18" s="281">
        <f t="shared" si="14"/>
        <v>-12.722400000000002</v>
      </c>
      <c r="H18" s="281">
        <f t="shared" si="14"/>
        <v>-13.4208</v>
      </c>
      <c r="I18" s="281">
        <f t="shared" si="14"/>
        <v>-14.352</v>
      </c>
      <c r="J18" s="281">
        <f t="shared" si="14"/>
        <v>-15.748800000000001</v>
      </c>
      <c r="K18" s="281">
        <f t="shared" si="14"/>
        <v>-17.844000000000001</v>
      </c>
      <c r="L18" s="287">
        <f t="shared" si="1"/>
        <v>1.0044127753650489E-2</v>
      </c>
      <c r="M18" s="286"/>
      <c r="Q18" s="553"/>
      <c r="R18" s="981"/>
      <c r="S18" s="984" t="s">
        <v>1988</v>
      </c>
      <c r="T18" s="983">
        <f>+F21</f>
        <v>1.9954526599999998</v>
      </c>
      <c r="U18" s="983">
        <f>+G21</f>
        <v>2.1461388800000001</v>
      </c>
      <c r="V18" s="983">
        <v>2.1729656159999999</v>
      </c>
      <c r="W18" s="983">
        <v>2.2534458240000004</v>
      </c>
      <c r="X18" s="983">
        <v>2.2534458240000004</v>
      </c>
      <c r="Y18" s="983">
        <f t="shared" ref="Y18:Y21" si="16">+X18*(1+$Z18)</f>
        <v>2.3661181152000004</v>
      </c>
      <c r="Z18" s="985">
        <v>0.05</v>
      </c>
    </row>
    <row r="19" spans="2:29" s="21" customFormat="1" ht="13.5" x14ac:dyDescent="0.3">
      <c r="B19" s="262" t="s">
        <v>3325</v>
      </c>
      <c r="C19" s="263"/>
      <c r="D19" s="264"/>
      <c r="E19" s="265">
        <f>SUM(E20:E24)</f>
        <v>4.9183019800000007</v>
      </c>
      <c r="F19" s="265">
        <f>SUM(F20:F24)</f>
        <v>-5.983922960000001</v>
      </c>
      <c r="G19" s="265">
        <f t="shared" ref="G19:K19" si="17">SUM(G20:G24)</f>
        <v>-9.2779944300000015</v>
      </c>
      <c r="H19" s="265">
        <f t="shared" si="17"/>
        <v>-7.8440493839999998</v>
      </c>
      <c r="I19" s="265">
        <f t="shared" si="17"/>
        <v>-8.3543906760000013</v>
      </c>
      <c r="J19" s="265">
        <f t="shared" si="17"/>
        <v>-9.3767743260000014</v>
      </c>
      <c r="K19" s="265">
        <f t="shared" si="17"/>
        <v>-11.148777099300002</v>
      </c>
      <c r="L19" s="266">
        <f t="shared" si="1"/>
        <v>0.13252617386449739</v>
      </c>
      <c r="M19" s="265"/>
      <c r="Q19" s="553"/>
      <c r="R19" s="981"/>
      <c r="S19" s="984" t="s">
        <v>3327</v>
      </c>
      <c r="T19" s="983">
        <v>0</v>
      </c>
      <c r="U19" s="983">
        <f>+G22</f>
        <v>0</v>
      </c>
      <c r="V19" s="983">
        <v>0</v>
      </c>
      <c r="W19" s="983">
        <v>0</v>
      </c>
      <c r="X19" s="983">
        <v>0</v>
      </c>
      <c r="Y19" s="983">
        <f t="shared" si="16"/>
        <v>0</v>
      </c>
      <c r="Z19" s="985">
        <v>0</v>
      </c>
    </row>
    <row r="20" spans="2:29" s="21" customFormat="1" x14ac:dyDescent="0.3">
      <c r="B20" s="301"/>
      <c r="C20" s="302" t="s">
        <v>3326</v>
      </c>
      <c r="D20" s="303"/>
      <c r="E20" s="304">
        <v>4.6947365899999998</v>
      </c>
      <c r="F20" s="304">
        <v>3.66143683</v>
      </c>
      <c r="G20" s="304">
        <v>2.472</v>
      </c>
      <c r="H20" s="308">
        <f t="shared" ref="H20:K24" si="18">+V17</f>
        <v>2.3957999999999999</v>
      </c>
      <c r="I20" s="308">
        <f t="shared" si="18"/>
        <v>2.6353800000000001</v>
      </c>
      <c r="J20" s="308">
        <f t="shared" si="18"/>
        <v>2.8989180000000001</v>
      </c>
      <c r="K20" s="308">
        <f t="shared" si="18"/>
        <v>3.0728530800000002</v>
      </c>
      <c r="L20" s="305">
        <f t="shared" si="1"/>
        <v>-3.4442703456546875E-2</v>
      </c>
      <c r="M20" s="304"/>
      <c r="Q20" s="553"/>
      <c r="R20" s="981"/>
      <c r="S20" s="984" t="s">
        <v>1995</v>
      </c>
      <c r="T20" s="983">
        <v>0.26675430999999961</v>
      </c>
      <c r="U20" s="983">
        <v>0.51</v>
      </c>
      <c r="V20" s="983">
        <v>0.82601807664497484</v>
      </c>
      <c r="W20" s="983">
        <v>0.90861988430947238</v>
      </c>
      <c r="X20" s="983">
        <v>0.99948187274041966</v>
      </c>
      <c r="Y20" s="983">
        <f t="shared" si="16"/>
        <v>1.0294663289226322</v>
      </c>
      <c r="Z20" s="985">
        <v>0.03</v>
      </c>
      <c r="AA20"/>
      <c r="AB20"/>
      <c r="AC20"/>
    </row>
    <row r="21" spans="2:29" s="21" customFormat="1" x14ac:dyDescent="0.25">
      <c r="B21" s="301"/>
      <c r="C21" s="306" t="s">
        <v>1988</v>
      </c>
      <c r="D21" s="307"/>
      <c r="E21" s="308">
        <v>0.65124521999999996</v>
      </c>
      <c r="F21" s="308">
        <v>1.9954526599999998</v>
      </c>
      <c r="G21" s="308">
        <v>2.1461388800000001</v>
      </c>
      <c r="H21" s="308">
        <f t="shared" si="18"/>
        <v>2.1729656159999999</v>
      </c>
      <c r="I21" s="308">
        <f t="shared" si="18"/>
        <v>2.2534458240000004</v>
      </c>
      <c r="J21" s="308">
        <f t="shared" si="18"/>
        <v>2.2534458240000004</v>
      </c>
      <c r="K21" s="308">
        <f t="shared" si="18"/>
        <v>2.3661181152000004</v>
      </c>
      <c r="L21" s="309">
        <f t="shared" si="1"/>
        <v>3.4663189383745907E-2</v>
      </c>
      <c r="M21" s="308"/>
      <c r="Q21" s="553"/>
      <c r="R21" s="993"/>
      <c r="S21" s="994" t="s">
        <v>71</v>
      </c>
      <c r="T21" s="997">
        <f>+F24</f>
        <v>0.34541003000000037</v>
      </c>
      <c r="U21" s="997">
        <f>+G24</f>
        <v>0.11235000000000001</v>
      </c>
      <c r="V21" s="998">
        <v>0.18196692335502535</v>
      </c>
      <c r="W21" s="998">
        <v>0.20016361569052787</v>
      </c>
      <c r="X21" s="998">
        <v>0.22017997725958069</v>
      </c>
      <c r="Y21" s="998">
        <f t="shared" si="16"/>
        <v>0.22678537657736811</v>
      </c>
      <c r="Z21" s="996">
        <v>0.03</v>
      </c>
      <c r="AA21"/>
      <c r="AB21"/>
      <c r="AC21"/>
    </row>
    <row r="22" spans="2:29" s="21" customFormat="1" ht="17.45" customHeight="1" x14ac:dyDescent="0.3">
      <c r="B22" s="301"/>
      <c r="C22" s="306" t="s">
        <v>3327</v>
      </c>
      <c r="D22" s="307"/>
      <c r="E22" s="308">
        <v>-4.6449999999999996</v>
      </c>
      <c r="F22" s="308">
        <v>-4.5000000000000005E-2</v>
      </c>
      <c r="G22" s="308">
        <v>0</v>
      </c>
      <c r="H22" s="308">
        <f t="shared" si="18"/>
        <v>0</v>
      </c>
      <c r="I22" s="308">
        <f t="shared" si="18"/>
        <v>0</v>
      </c>
      <c r="J22" s="308">
        <f t="shared" si="18"/>
        <v>0</v>
      </c>
      <c r="K22" s="308">
        <f t="shared" si="18"/>
        <v>0</v>
      </c>
      <c r="L22" s="309">
        <f t="shared" si="1"/>
        <v>-1</v>
      </c>
      <c r="M22" s="999" t="s">
        <v>3693</v>
      </c>
      <c r="Q22"/>
      <c r="S22" s="21" t="s">
        <v>3694</v>
      </c>
      <c r="V22" s="1000">
        <f>-(V6+V7)</f>
        <v>-13.4208</v>
      </c>
      <c r="W22" s="1000">
        <f t="shared" ref="W22:Y22" si="19">-(W6+W7)</f>
        <v>-14.352</v>
      </c>
      <c r="X22" s="1000">
        <f t="shared" si="19"/>
        <v>-15.748800000000001</v>
      </c>
      <c r="Y22" s="1000">
        <f t="shared" si="19"/>
        <v>-17.844000000000001</v>
      </c>
      <c r="AA22"/>
      <c r="AB22"/>
      <c r="AC22"/>
    </row>
    <row r="23" spans="2:29" s="21" customFormat="1" x14ac:dyDescent="0.3">
      <c r="B23" s="301"/>
      <c r="C23" s="306" t="s">
        <v>1995</v>
      </c>
      <c r="D23" s="307"/>
      <c r="E23" s="308">
        <v>3.70512212</v>
      </c>
      <c r="F23" s="308">
        <v>-11.94122248</v>
      </c>
      <c r="G23" s="308">
        <v>-14.008483310000001</v>
      </c>
      <c r="H23" s="308">
        <f>+V20+V22</f>
        <v>-12.594781923355026</v>
      </c>
      <c r="I23" s="308">
        <f t="shared" ref="I23:K23" si="20">+W20+W22</f>
        <v>-13.443380115690529</v>
      </c>
      <c r="J23" s="308">
        <f t="shared" si="20"/>
        <v>-14.749318127259581</v>
      </c>
      <c r="K23" s="308">
        <f t="shared" si="20"/>
        <v>-16.814533671077371</v>
      </c>
      <c r="L23" s="309">
        <f t="shared" si="1"/>
        <v>7.0846465288457949E-2</v>
      </c>
      <c r="M23" s="999" t="s">
        <v>3693</v>
      </c>
      <c r="T23" s="1001">
        <f>T5-T10</f>
        <v>-4.5250767300000021</v>
      </c>
      <c r="U23" s="1001">
        <f t="shared" ref="U23:Y23" si="21">U5-U10</f>
        <v>1.526311119999999</v>
      </c>
      <c r="V23" s="1001">
        <f t="shared" si="21"/>
        <v>4.3179693839999977</v>
      </c>
      <c r="W23" s="1001">
        <f t="shared" si="21"/>
        <v>12.107670675999998</v>
      </c>
      <c r="X23" s="1001">
        <f t="shared" si="21"/>
        <v>19.630054326</v>
      </c>
      <c r="Y23" s="1001">
        <f t="shared" si="21"/>
        <v>31.152057099300002</v>
      </c>
      <c r="AA23"/>
      <c r="AB23"/>
      <c r="AC23"/>
    </row>
    <row r="24" spans="2:29" s="21" customFormat="1" ht="17.45" customHeight="1" x14ac:dyDescent="0.3">
      <c r="B24" s="310"/>
      <c r="C24" s="311" t="s">
        <v>71</v>
      </c>
      <c r="D24" s="312"/>
      <c r="E24" s="313">
        <v>0.51219804999999996</v>
      </c>
      <c r="F24" s="313">
        <v>0.34541003000000037</v>
      </c>
      <c r="G24" s="313">
        <v>0.11235000000000001</v>
      </c>
      <c r="H24" s="313">
        <f>+V21</f>
        <v>0.18196692335502535</v>
      </c>
      <c r="I24" s="313">
        <f t="shared" si="18"/>
        <v>0.20016361569052787</v>
      </c>
      <c r="J24" s="313">
        <f t="shared" si="18"/>
        <v>0.22017997725958069</v>
      </c>
      <c r="K24" s="313">
        <f t="shared" si="18"/>
        <v>0.22678537657736811</v>
      </c>
      <c r="L24" s="314">
        <f t="shared" si="1"/>
        <v>-8.0702623847912602E-2</v>
      </c>
      <c r="M24" s="313"/>
      <c r="R24"/>
      <c r="S24"/>
      <c r="T24"/>
      <c r="U24"/>
      <c r="V24"/>
      <c r="W24"/>
      <c r="X24"/>
      <c r="Y24"/>
      <c r="Z24"/>
      <c r="AA24"/>
      <c r="AB24"/>
      <c r="AC24"/>
    </row>
    <row r="25" spans="2:29" s="21" customFormat="1" ht="17.45" customHeight="1" x14ac:dyDescent="0.3">
      <c r="B25" s="331" t="s">
        <v>3670</v>
      </c>
      <c r="C25" s="331"/>
      <c r="D25" s="331"/>
      <c r="E25" s="265">
        <f>E14-E19</f>
        <v>-7.9913052800000006</v>
      </c>
      <c r="F25" s="265">
        <f>F14-F19</f>
        <v>-7.4361308999999984</v>
      </c>
      <c r="G25" s="265">
        <f>G14-G19</f>
        <v>-4.4525654099999983</v>
      </c>
      <c r="H25" s="265">
        <f>H14-H19</f>
        <v>-3.9806786159999969</v>
      </c>
      <c r="I25" s="265">
        <f t="shared" ref="I25:K25" si="22">I14-I19</f>
        <v>1.7073786760000011</v>
      </c>
      <c r="J25" s="265">
        <f t="shared" si="22"/>
        <v>6.4300611259999965</v>
      </c>
      <c r="K25" s="265">
        <f t="shared" si="22"/>
        <v>13.3787072993</v>
      </c>
      <c r="L25" s="266">
        <f t="shared" si="1"/>
        <v>-2.1246397391169913</v>
      </c>
      <c r="M25" s="265"/>
      <c r="Q25"/>
      <c r="R25"/>
      <c r="S25"/>
      <c r="T25"/>
      <c r="U25"/>
      <c r="V25"/>
      <c r="W25"/>
      <c r="X25"/>
      <c r="Y25"/>
      <c r="Z25"/>
      <c r="AA25"/>
      <c r="AB25"/>
      <c r="AC25"/>
    </row>
    <row r="26" spans="2:29" x14ac:dyDescent="0.3">
      <c r="F26" s="260"/>
      <c r="H26" s="260"/>
      <c r="I26" s="335"/>
      <c r="J26" s="260"/>
    </row>
    <row r="27" spans="2:29" x14ac:dyDescent="0.3">
      <c r="G27" s="321"/>
      <c r="H27" s="1"/>
    </row>
    <row r="28" spans="2:29" x14ac:dyDescent="0.3">
      <c r="E28" s="874"/>
      <c r="G28" s="898"/>
    </row>
    <row r="29" spans="2:29" x14ac:dyDescent="0.3">
      <c r="E29" s="874"/>
    </row>
    <row r="30" spans="2:29" ht="22.9" customHeight="1" x14ac:dyDescent="0.3">
      <c r="E30" s="973"/>
    </row>
    <row r="31" spans="2:29" x14ac:dyDescent="0.3">
      <c r="E31" s="874"/>
      <c r="L31" s="322"/>
    </row>
    <row r="32" spans="2:29" x14ac:dyDescent="0.3">
      <c r="E32" s="874"/>
    </row>
    <row r="34" spans="6:11" x14ac:dyDescent="0.3">
      <c r="F34" s="326"/>
      <c r="G34" s="326"/>
      <c r="H34" s="326"/>
      <c r="I34" s="326"/>
      <c r="J34" s="326"/>
      <c r="K34" s="326"/>
    </row>
    <row r="35" spans="6:11" x14ac:dyDescent="0.3">
      <c r="F35" s="973"/>
    </row>
  </sheetData>
  <mergeCells count="3">
    <mergeCell ref="B3:D3"/>
    <mergeCell ref="Q4:S4"/>
    <mergeCell ref="Q10:S10"/>
  </mergeCells>
  <phoneticPr fontId="2"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4E97A-CD67-4DA3-AC00-E39B62905A15}">
  <sheetPr>
    <tabColor theme="1" tint="0.34998626667073579"/>
  </sheetPr>
  <dimension ref="A1:U54"/>
  <sheetViews>
    <sheetView workbookViewId="0"/>
  </sheetViews>
  <sheetFormatPr defaultRowHeight="16.5" x14ac:dyDescent="0.3"/>
  <cols>
    <col min="1" max="3" width="2.625" customWidth="1"/>
    <col min="4" max="4" width="19.875" bestFit="1" customWidth="1"/>
    <col min="5" max="12" width="9.625" customWidth="1"/>
    <col min="13" max="13" width="46.25" customWidth="1"/>
    <col min="15" max="15" width="9.5" bestFit="1" customWidth="1"/>
  </cols>
  <sheetData>
    <row r="1" spans="1:21" ht="17.25" thickBot="1" x14ac:dyDescent="0.35">
      <c r="A1" s="258" t="s">
        <v>3695</v>
      </c>
      <c r="B1" s="259"/>
      <c r="C1" s="259"/>
      <c r="D1" s="259"/>
      <c r="E1" s="259"/>
      <c r="F1" s="259"/>
      <c r="G1" s="259"/>
      <c r="H1" s="259"/>
      <c r="I1" s="259"/>
      <c r="J1" s="259"/>
      <c r="K1" s="259"/>
      <c r="L1" s="259"/>
      <c r="M1" s="259"/>
    </row>
    <row r="3" spans="1:21" s="21" customFormat="1" ht="13.5" x14ac:dyDescent="0.3">
      <c r="B3" s="1775" t="s">
        <v>3292</v>
      </c>
      <c r="C3" s="1776"/>
      <c r="D3" s="1777"/>
      <c r="E3" s="261" t="s">
        <v>3293</v>
      </c>
      <c r="F3" s="261" t="s">
        <v>3294</v>
      </c>
      <c r="G3" s="261" t="s">
        <v>3295</v>
      </c>
      <c r="H3" s="261" t="s">
        <v>3296</v>
      </c>
      <c r="I3" s="261" t="s">
        <v>3297</v>
      </c>
      <c r="J3" s="261" t="s">
        <v>3298</v>
      </c>
      <c r="K3" s="261" t="s">
        <v>3299</v>
      </c>
      <c r="L3" s="261" t="s">
        <v>51</v>
      </c>
      <c r="M3" s="261" t="s">
        <v>3463</v>
      </c>
      <c r="O3" s="341" t="s">
        <v>3365</v>
      </c>
    </row>
    <row r="4" spans="1:21" s="21" customFormat="1" ht="13.5" x14ac:dyDescent="0.3">
      <c r="B4" s="262" t="s">
        <v>3325</v>
      </c>
      <c r="C4" s="263"/>
      <c r="D4" s="264"/>
      <c r="E4" s="265">
        <f>SUM(E10:E46)</f>
        <v>77.718436628100221</v>
      </c>
      <c r="F4" s="265">
        <f>SUM(F10:F46)</f>
        <v>87.649705179288418</v>
      </c>
      <c r="G4" s="265">
        <f t="shared" ref="G4:K4" si="0">SUM(G10:G46)</f>
        <v>86.830897100000016</v>
      </c>
      <c r="H4" s="265">
        <f t="shared" si="0"/>
        <v>97.624854926153162</v>
      </c>
      <c r="I4" s="265">
        <f t="shared" si="0"/>
        <v>101.92297422242922</v>
      </c>
      <c r="J4" s="265">
        <f t="shared" si="0"/>
        <v>106.42865051073399</v>
      </c>
      <c r="K4" s="265">
        <f t="shared" si="0"/>
        <v>111.15204117148544</v>
      </c>
      <c r="L4" s="266">
        <f>+IFERROR(RATE(5,0,-F4,K4),)</f>
        <v>4.8656846320444827E-2</v>
      </c>
      <c r="M4" s="266"/>
      <c r="N4" s="267"/>
      <c r="O4" s="267"/>
    </row>
    <row r="5" spans="1:21" s="21" customFormat="1" ht="13.5" x14ac:dyDescent="0.3">
      <c r="B5" s="268"/>
      <c r="C5" s="834" t="s">
        <v>3326</v>
      </c>
      <c r="D5" s="835"/>
      <c r="E5" s="419">
        <f>SUM(E10:E12,E14:E16,E31,E35)</f>
        <v>46.109584800783729</v>
      </c>
      <c r="F5" s="419">
        <f>SUM(F10:F12,F14:F16,F31,F35)</f>
        <v>51.008498121039331</v>
      </c>
      <c r="G5" s="419">
        <f t="shared" ref="G5:K5" si="1">SUM(G10:G12,G14:G16,G31,G35)</f>
        <v>39.330477469999998</v>
      </c>
      <c r="H5" s="419">
        <f t="shared" si="1"/>
        <v>47.77745712251108</v>
      </c>
      <c r="I5" s="419">
        <f t="shared" si="1"/>
        <v>49.840760676711092</v>
      </c>
      <c r="J5" s="419">
        <f t="shared" si="1"/>
        <v>52.007229408621093</v>
      </c>
      <c r="K5" s="419">
        <f t="shared" si="1"/>
        <v>54.282021577126599</v>
      </c>
      <c r="L5" s="838">
        <f t="shared" ref="L5:L46" si="2">+IFERROR(RATE(5,0,-F5,K5),)</f>
        <v>1.2517866552805991E-2</v>
      </c>
      <c r="M5" s="419"/>
    </row>
    <row r="6" spans="1:21" s="21" customFormat="1" ht="13.5" x14ac:dyDescent="0.3">
      <c r="B6" s="277"/>
      <c r="C6" s="834" t="s">
        <v>1988</v>
      </c>
      <c r="D6" s="835"/>
      <c r="E6" s="419">
        <f>SUM(E22:E24)</f>
        <v>9.4037782607713432</v>
      </c>
      <c r="F6" s="419">
        <f>SUM(F22:F24)</f>
        <v>9.0828450819790305</v>
      </c>
      <c r="G6" s="419">
        <f t="shared" ref="G6:K6" si="3">SUM(G22:G24)</f>
        <v>13.139868643333333</v>
      </c>
      <c r="H6" s="419">
        <f t="shared" si="3"/>
        <v>13.782081147557932</v>
      </c>
      <c r="I6" s="419">
        <f t="shared" si="3"/>
        <v>14.324686693716933</v>
      </c>
      <c r="J6" s="419">
        <f t="shared" si="3"/>
        <v>14.890209887063204</v>
      </c>
      <c r="K6" s="419">
        <f t="shared" si="3"/>
        <v>15.479670231052488</v>
      </c>
      <c r="L6" s="838">
        <f t="shared" si="2"/>
        <v>0.11252033917487538</v>
      </c>
      <c r="M6" s="419"/>
    </row>
    <row r="7" spans="1:21" s="21" customFormat="1" ht="13.5" x14ac:dyDescent="0.3">
      <c r="B7" s="277"/>
      <c r="C7" s="834" t="s">
        <v>3327</v>
      </c>
      <c r="D7" s="835"/>
      <c r="E7" s="419">
        <f>SUM(E36:E37)</f>
        <v>1.17702879</v>
      </c>
      <c r="F7" s="419">
        <f>SUM(F36:F37)</f>
        <v>1.15152356</v>
      </c>
      <c r="G7" s="419">
        <f t="shared" ref="G7:K7" si="4">SUM(G36:G37)</f>
        <v>2.4</v>
      </c>
      <c r="H7" s="419">
        <f t="shared" si="4"/>
        <v>2.52</v>
      </c>
      <c r="I7" s="419">
        <f t="shared" si="4"/>
        <v>2.6460000000000004</v>
      </c>
      <c r="J7" s="419">
        <f t="shared" si="4"/>
        <v>2.7783000000000007</v>
      </c>
      <c r="K7" s="419">
        <f t="shared" si="4"/>
        <v>2.917215000000001</v>
      </c>
      <c r="L7" s="838">
        <f t="shared" si="2"/>
        <v>0.20431230012585852</v>
      </c>
      <c r="M7" s="419"/>
    </row>
    <row r="8" spans="1:21" s="21" customFormat="1" ht="13.5" x14ac:dyDescent="0.3">
      <c r="B8" s="277"/>
      <c r="C8" s="834" t="s">
        <v>1995</v>
      </c>
      <c r="D8" s="835"/>
      <c r="E8" s="419">
        <f>SUM(E25:E27,E44)</f>
        <v>13.731581630000001</v>
      </c>
      <c r="F8" s="419">
        <f>SUM(F25:F27,F44)</f>
        <v>16.84363093</v>
      </c>
      <c r="G8" s="419">
        <f t="shared" ref="G8:K8" si="5">SUM(G25:G27,G44)</f>
        <v>22.15125234666667</v>
      </c>
      <c r="H8" s="419">
        <f t="shared" si="5"/>
        <v>23.258814964000006</v>
      </c>
      <c r="I8" s="419">
        <f t="shared" si="5"/>
        <v>24.421755712200007</v>
      </c>
      <c r="J8" s="419">
        <f t="shared" si="5"/>
        <v>25.642843497810009</v>
      </c>
      <c r="K8" s="419">
        <f t="shared" si="5"/>
        <v>26.924985672700512</v>
      </c>
      <c r="L8" s="838">
        <f t="shared" si="2"/>
        <v>9.8358089057319284E-2</v>
      </c>
      <c r="M8" s="419"/>
    </row>
    <row r="9" spans="1:21" s="21" customFormat="1" ht="13.5" x14ac:dyDescent="0.3">
      <c r="B9" s="277"/>
      <c r="C9" s="834" t="s">
        <v>3696</v>
      </c>
      <c r="D9" s="835"/>
      <c r="E9" s="419">
        <f>E4-SUM(E5:E8)</f>
        <v>7.2964631465451504</v>
      </c>
      <c r="F9" s="419">
        <f>F4-SUM(F5:F8)</f>
        <v>9.5632074862700591</v>
      </c>
      <c r="G9" s="419">
        <f t="shared" ref="G9:K9" si="6">G4-SUM(G5:G8)</f>
        <v>9.8092986400000086</v>
      </c>
      <c r="H9" s="419">
        <f t="shared" si="6"/>
        <v>10.286501692084144</v>
      </c>
      <c r="I9" s="419">
        <f t="shared" si="6"/>
        <v>10.689771139801181</v>
      </c>
      <c r="J9" s="419">
        <f t="shared" si="6"/>
        <v>11.110067717239687</v>
      </c>
      <c r="K9" s="419">
        <f t="shared" si="6"/>
        <v>11.548148690605842</v>
      </c>
      <c r="L9" s="838">
        <f t="shared" si="2"/>
        <v>3.8440835020504945E-2</v>
      </c>
      <c r="M9" s="419"/>
      <c r="P9" s="21">
        <v>2023</v>
      </c>
      <c r="Q9" s="21">
        <v>2024</v>
      </c>
      <c r="R9" s="21">
        <v>2025</v>
      </c>
      <c r="S9" s="21">
        <v>2026</v>
      </c>
      <c r="T9" s="21">
        <v>2027</v>
      </c>
    </row>
    <row r="10" spans="1:21" s="21" customFormat="1" ht="13.5" x14ac:dyDescent="0.3">
      <c r="B10" s="268"/>
      <c r="C10" s="273"/>
      <c r="D10" s="274" t="s">
        <v>1647</v>
      </c>
      <c r="E10" s="275">
        <v>24.765609210000001</v>
      </c>
      <c r="F10" s="304">
        <v>26.252642139999999</v>
      </c>
      <c r="G10" s="304">
        <v>31.21336518</v>
      </c>
      <c r="H10" s="304">
        <f>+SUM(Q10:Q12)</f>
        <v>38.374033439000002</v>
      </c>
      <c r="I10" s="304">
        <f t="shared" ref="I10:K10" si="7">+SUM(R10:R12)</f>
        <v>40.012735110950004</v>
      </c>
      <c r="J10" s="304">
        <f t="shared" si="7"/>
        <v>41.733371866497507</v>
      </c>
      <c r="K10" s="304">
        <f t="shared" si="7"/>
        <v>43.540040459822386</v>
      </c>
      <c r="L10" s="276">
        <f t="shared" si="2"/>
        <v>0.10647896465960675</v>
      </c>
      <c r="M10" s="275" t="s">
        <v>3697</v>
      </c>
      <c r="O10" s="21" t="s">
        <v>3698</v>
      </c>
      <c r="P10" s="752">
        <f>+G10</f>
        <v>31.21336518</v>
      </c>
      <c r="Q10" s="730">
        <f>+P10*(1+$U$10)</f>
        <v>32.774033439</v>
      </c>
      <c r="R10" s="730">
        <f t="shared" ref="R10:T10" si="8">+Q10*(1+$U$10)</f>
        <v>34.412735110950003</v>
      </c>
      <c r="S10" s="730">
        <f t="shared" si="8"/>
        <v>36.133371866497505</v>
      </c>
      <c r="T10" s="730">
        <f t="shared" si="8"/>
        <v>37.940040459822384</v>
      </c>
      <c r="U10" s="738">
        <v>0.05</v>
      </c>
    </row>
    <row r="11" spans="1:21" s="21" customFormat="1" ht="13.5" x14ac:dyDescent="0.3">
      <c r="B11" s="277"/>
      <c r="C11" s="279"/>
      <c r="D11" s="280" t="s">
        <v>3699</v>
      </c>
      <c r="E11" s="281">
        <v>0</v>
      </c>
      <c r="F11" s="308">
        <v>0</v>
      </c>
      <c r="G11" s="308">
        <v>0</v>
      </c>
      <c r="H11" s="308"/>
      <c r="I11" s="308"/>
      <c r="J11" s="308"/>
      <c r="K11" s="308"/>
      <c r="L11" s="282">
        <f t="shared" si="2"/>
        <v>0</v>
      </c>
      <c r="M11" s="281"/>
      <c r="O11" s="358" t="s">
        <v>3700</v>
      </c>
      <c r="P11" s="358"/>
      <c r="Q11" s="21">
        <v>5</v>
      </c>
      <c r="R11" s="21">
        <v>5</v>
      </c>
      <c r="S11" s="21">
        <v>5</v>
      </c>
      <c r="T11" s="21">
        <v>5</v>
      </c>
    </row>
    <row r="12" spans="1:21" s="21" customFormat="1" ht="13.5" x14ac:dyDescent="0.3">
      <c r="B12" s="277"/>
      <c r="C12" s="279"/>
      <c r="D12" s="280" t="s">
        <v>1984</v>
      </c>
      <c r="E12" s="281">
        <v>2.3533393999999999</v>
      </c>
      <c r="F12" s="308">
        <v>2.2727540200000003</v>
      </c>
      <c r="G12" s="308">
        <v>2.2765</v>
      </c>
      <c r="H12" s="308">
        <f>G12/G10*H10</f>
        <v>2.7987526054979344</v>
      </c>
      <c r="I12" s="308">
        <f t="shared" ref="I12:K12" si="9">H12/H10*I10</f>
        <v>2.9182688554979341</v>
      </c>
      <c r="J12" s="308">
        <f t="shared" si="9"/>
        <v>3.0437609179979344</v>
      </c>
      <c r="K12" s="308">
        <f t="shared" si="9"/>
        <v>3.1755275836229346</v>
      </c>
      <c r="L12" s="282">
        <f t="shared" si="2"/>
        <v>6.9184590671646715E-2</v>
      </c>
      <c r="M12" s="281" t="s">
        <v>3701</v>
      </c>
      <c r="O12" s="21" t="s">
        <v>3702</v>
      </c>
      <c r="Q12" s="21">
        <v>0.6</v>
      </c>
      <c r="R12" s="21">
        <v>0.6</v>
      </c>
      <c r="S12" s="21">
        <v>0.6</v>
      </c>
      <c r="T12" s="21">
        <v>0.6</v>
      </c>
    </row>
    <row r="13" spans="1:21" s="21" customFormat="1" ht="13.5" x14ac:dyDescent="0.3">
      <c r="B13" s="277"/>
      <c r="C13" s="279"/>
      <c r="D13" s="280" t="s">
        <v>1987</v>
      </c>
      <c r="E13" s="281">
        <v>0.38638368820237579</v>
      </c>
      <c r="F13" s="308">
        <v>0.22336600000000001</v>
      </c>
      <c r="G13" s="308">
        <v>0.14699999999999999</v>
      </c>
      <c r="H13" s="308">
        <f>G13*(1+$E$54)</f>
        <v>0.15140999999999999</v>
      </c>
      <c r="I13" s="308">
        <f t="shared" ref="I13:K13" si="10">H13*(1+$E$54)</f>
        <v>0.15595229999999999</v>
      </c>
      <c r="J13" s="308">
        <f t="shared" si="10"/>
        <v>0.16063086899999998</v>
      </c>
      <c r="K13" s="308">
        <f t="shared" si="10"/>
        <v>0.16544979506999999</v>
      </c>
      <c r="L13" s="282">
        <f t="shared" si="2"/>
        <v>-5.8262567357815744E-2</v>
      </c>
      <c r="M13" s="281" t="s">
        <v>3703</v>
      </c>
    </row>
    <row r="14" spans="1:21" s="21" customFormat="1" ht="13.5" x14ac:dyDescent="0.3">
      <c r="B14" s="268"/>
      <c r="C14" s="279"/>
      <c r="D14" s="280" t="s">
        <v>3704</v>
      </c>
      <c r="E14" s="281">
        <v>2.0759756</v>
      </c>
      <c r="F14" s="308">
        <v>2.35599136</v>
      </c>
      <c r="G14" s="308">
        <v>2.4424664599999999</v>
      </c>
      <c r="H14" s="308">
        <f>G14/G10*H10</f>
        <v>3.00279348507196</v>
      </c>
      <c r="I14" s="308">
        <f t="shared" ref="I14:K14" si="11">H14/H10*I10</f>
        <v>3.1310229742219602</v>
      </c>
      <c r="J14" s="308">
        <f t="shared" si="11"/>
        <v>3.2656639378294603</v>
      </c>
      <c r="K14" s="308">
        <f t="shared" si="11"/>
        <v>3.4070369496173356</v>
      </c>
      <c r="L14" s="282">
        <f t="shared" si="2"/>
        <v>7.6565926060032555E-2</v>
      </c>
      <c r="M14" s="281" t="s">
        <v>3705</v>
      </c>
    </row>
    <row r="15" spans="1:21" s="21" customFormat="1" ht="13.5" x14ac:dyDescent="0.3">
      <c r="B15" s="277"/>
      <c r="C15" s="279"/>
      <c r="D15" s="280" t="s">
        <v>3706</v>
      </c>
      <c r="E15" s="281">
        <v>15.151919140783733</v>
      </c>
      <c r="F15" s="308">
        <v>19.249668551039331</v>
      </c>
      <c r="G15" s="308">
        <v>2.8706884399999999</v>
      </c>
      <c r="H15" s="308">
        <f>$G$15/$G$10*SUM(Q10,Q12)</f>
        <v>3.0694047705852245</v>
      </c>
      <c r="I15" s="308">
        <f t="shared" ref="I15:K15" si="12">$G$15/$G$10*SUM(R10,R12)</f>
        <v>3.2201159136852247</v>
      </c>
      <c r="J15" s="308">
        <f t="shared" si="12"/>
        <v>3.378362613940225</v>
      </c>
      <c r="K15" s="308">
        <f t="shared" si="12"/>
        <v>3.5445216492079754</v>
      </c>
      <c r="L15" s="282">
        <f t="shared" si="2"/>
        <v>-0.28710285502182042</v>
      </c>
      <c r="M15" s="281" t="s">
        <v>3707</v>
      </c>
    </row>
    <row r="16" spans="1:21" s="21" customFormat="1" ht="13.5" x14ac:dyDescent="0.3">
      <c r="B16" s="277"/>
      <c r="C16" s="279"/>
      <c r="D16" s="280" t="s">
        <v>527</v>
      </c>
      <c r="E16" s="281">
        <v>0.23599486</v>
      </c>
      <c r="F16" s="308">
        <v>-0.20846971000000003</v>
      </c>
      <c r="G16" s="308">
        <v>2.945739E-2</v>
      </c>
      <c r="H16" s="308">
        <v>0</v>
      </c>
      <c r="I16" s="308">
        <f t="shared" ref="I16:K16" si="13">H16</f>
        <v>0</v>
      </c>
      <c r="J16" s="308">
        <f t="shared" si="13"/>
        <v>0</v>
      </c>
      <c r="K16" s="308">
        <f t="shared" si="13"/>
        <v>0</v>
      </c>
      <c r="L16" s="282">
        <f t="shared" si="2"/>
        <v>-0.99999940981024027</v>
      </c>
      <c r="M16" s="739" t="s">
        <v>3708</v>
      </c>
    </row>
    <row r="17" spans="2:15" s="21" customFormat="1" ht="13.5" x14ac:dyDescent="0.3">
      <c r="B17" s="277"/>
      <c r="C17" s="279"/>
      <c r="D17" s="280" t="s">
        <v>3709</v>
      </c>
      <c r="E17" s="281">
        <v>0.12090819</v>
      </c>
      <c r="F17" s="308">
        <v>0.48697860000000004</v>
      </c>
      <c r="G17" s="308">
        <v>1.9026799999999999</v>
      </c>
      <c r="H17" s="308">
        <f>$G$17/$G$10*SUM(Q10,Q12)</f>
        <v>2.0343883326109382</v>
      </c>
      <c r="I17" s="308">
        <f t="shared" ref="I17:K17" si="14">$G$17/$G$10*SUM(R10,R12)</f>
        <v>2.1342790326109387</v>
      </c>
      <c r="J17" s="308">
        <f t="shared" si="14"/>
        <v>2.2391642676109389</v>
      </c>
      <c r="K17" s="308">
        <f t="shared" si="14"/>
        <v>2.3492937643609388</v>
      </c>
      <c r="L17" s="282">
        <f t="shared" si="2"/>
        <v>0.36988935158386627</v>
      </c>
      <c r="M17" s="281" t="s">
        <v>3707</v>
      </c>
    </row>
    <row r="18" spans="2:15" s="21" customFormat="1" ht="13.5" x14ac:dyDescent="0.3">
      <c r="B18" s="301"/>
      <c r="C18" s="306"/>
      <c r="D18" s="307" t="s">
        <v>3710</v>
      </c>
      <c r="E18" s="308">
        <v>1.1208409100000001</v>
      </c>
      <c r="F18" s="308">
        <v>1.2922106944444445</v>
      </c>
      <c r="G18" s="308">
        <v>1.5679689999999999</v>
      </c>
      <c r="H18" s="308">
        <f t="shared" ref="H18:K18" si="15">$G18/$G$10*SUM(Q$10,Q$12)</f>
        <v>1.6765077887483131</v>
      </c>
      <c r="I18" s="308">
        <f t="shared" si="15"/>
        <v>1.7588261612483131</v>
      </c>
      <c r="J18" s="308">
        <f t="shared" si="15"/>
        <v>1.8452604523733134</v>
      </c>
      <c r="K18" s="308">
        <f t="shared" si="15"/>
        <v>1.9360164580545636</v>
      </c>
      <c r="L18" s="309">
        <f t="shared" si="2"/>
        <v>8.4214329402356111E-2</v>
      </c>
      <c r="M18" s="281" t="s">
        <v>3707</v>
      </c>
    </row>
    <row r="19" spans="2:15" s="21" customFormat="1" ht="13.5" x14ac:dyDescent="0.3">
      <c r="B19" s="301"/>
      <c r="C19" s="306"/>
      <c r="D19" s="307" t="s">
        <v>3711</v>
      </c>
      <c r="E19" s="308">
        <v>7.4845800000000004E-2</v>
      </c>
      <c r="F19" s="308">
        <v>4.63323E-2</v>
      </c>
      <c r="G19" s="308">
        <v>0</v>
      </c>
      <c r="H19" s="308">
        <f>G19*(1+$E$54)</f>
        <v>0</v>
      </c>
      <c r="I19" s="308">
        <f t="shared" ref="I19:K20" si="16">H19*(1+$E$54)</f>
        <v>0</v>
      </c>
      <c r="J19" s="308">
        <f t="shared" si="16"/>
        <v>0</v>
      </c>
      <c r="K19" s="308">
        <f t="shared" si="16"/>
        <v>0</v>
      </c>
      <c r="L19" s="309">
        <f t="shared" si="2"/>
        <v>-0.99999940914518248</v>
      </c>
      <c r="M19" s="281" t="s">
        <v>3703</v>
      </c>
    </row>
    <row r="20" spans="2:15" s="21" customFormat="1" ht="13.5" x14ac:dyDescent="0.3">
      <c r="B20" s="301"/>
      <c r="C20" s="306"/>
      <c r="D20" s="307" t="s">
        <v>3712</v>
      </c>
      <c r="E20" s="308">
        <v>0.32273319</v>
      </c>
      <c r="F20" s="308">
        <v>0.34022987999999998</v>
      </c>
      <c r="G20" s="308">
        <v>0.38116470000000002</v>
      </c>
      <c r="H20" s="308">
        <f>G20*(1+$E$54)</f>
        <v>0.39259964100000005</v>
      </c>
      <c r="I20" s="308">
        <f t="shared" si="16"/>
        <v>0.40437763023000006</v>
      </c>
      <c r="J20" s="308">
        <f t="shared" si="16"/>
        <v>0.41650895913690006</v>
      </c>
      <c r="K20" s="308">
        <f t="shared" si="16"/>
        <v>0.42900422791100706</v>
      </c>
      <c r="L20" s="309">
        <f t="shared" si="2"/>
        <v>4.7460908717965218E-2</v>
      </c>
      <c r="M20" s="281" t="s">
        <v>3703</v>
      </c>
    </row>
    <row r="21" spans="2:15" s="21" customFormat="1" ht="13.5" x14ac:dyDescent="0.3">
      <c r="B21" s="301"/>
      <c r="C21" s="306"/>
      <c r="D21" s="307" t="s">
        <v>3713</v>
      </c>
      <c r="E21" s="308">
        <v>3.9085290000000002E-2</v>
      </c>
      <c r="F21" s="308">
        <v>7.4765890000000002E-2</v>
      </c>
      <c r="G21" s="308">
        <v>3.9980710000000003E-2</v>
      </c>
      <c r="H21" s="308">
        <f>G21</f>
        <v>3.9980710000000003E-2</v>
      </c>
      <c r="I21" s="308">
        <f t="shared" ref="I21:K21" si="17">H21</f>
        <v>3.9980710000000003E-2</v>
      </c>
      <c r="J21" s="308">
        <f t="shared" si="17"/>
        <v>3.9980710000000003E-2</v>
      </c>
      <c r="K21" s="308">
        <f t="shared" si="17"/>
        <v>3.9980710000000003E-2</v>
      </c>
      <c r="L21" s="309">
        <f t="shared" si="2"/>
        <v>-0.11767334590841774</v>
      </c>
      <c r="M21" s="739" t="s">
        <v>3708</v>
      </c>
    </row>
    <row r="22" spans="2:15" s="21" customFormat="1" ht="13.5" x14ac:dyDescent="0.3">
      <c r="B22" s="301"/>
      <c r="C22" s="306"/>
      <c r="D22" s="307" t="s">
        <v>1989</v>
      </c>
      <c r="E22" s="308">
        <v>2.2337834299999999</v>
      </c>
      <c r="F22" s="308">
        <v>2.2544035300000003</v>
      </c>
      <c r="G22" s="308">
        <v>2.5819937433333333</v>
      </c>
      <c r="H22" s="308">
        <f t="shared" ref="H22:K24" si="18">G22*(1+$E$51)</f>
        <v>2.6594535556333332</v>
      </c>
      <c r="I22" s="308">
        <f t="shared" si="18"/>
        <v>2.7392371623023331</v>
      </c>
      <c r="J22" s="308">
        <f t="shared" si="18"/>
        <v>2.821414277171403</v>
      </c>
      <c r="K22" s="308">
        <f t="shared" si="18"/>
        <v>2.9060567054865452</v>
      </c>
      <c r="L22" s="309">
        <f t="shared" si="2"/>
        <v>5.2093859131830303E-2</v>
      </c>
      <c r="M22" s="308"/>
    </row>
    <row r="23" spans="2:15" s="21" customFormat="1" ht="13.5" x14ac:dyDescent="0.3">
      <c r="B23" s="277"/>
      <c r="C23" s="279"/>
      <c r="D23" s="280" t="s">
        <v>3714</v>
      </c>
      <c r="E23" s="281">
        <v>4.3372839507713428</v>
      </c>
      <c r="F23" s="308">
        <v>3.7462275819790301</v>
      </c>
      <c r="G23" s="308">
        <v>6.3233150499999997</v>
      </c>
      <c r="H23" s="308">
        <f>$G23/$G$10*SUM(Q$10,Q$12)</f>
        <v>6.7610309464245963</v>
      </c>
      <c r="I23" s="308">
        <f t="shared" ref="I23:K23" si="19">$G$23/$G$10*SUM(R10,R12)</f>
        <v>7.0930049865495972</v>
      </c>
      <c r="J23" s="308">
        <f t="shared" si="19"/>
        <v>7.4415777286808478</v>
      </c>
      <c r="K23" s="308">
        <f t="shared" si="19"/>
        <v>7.8075791079186612</v>
      </c>
      <c r="L23" s="282">
        <f t="shared" si="2"/>
        <v>0.15820236455246911</v>
      </c>
      <c r="M23" s="281" t="s">
        <v>3707</v>
      </c>
    </row>
    <row r="24" spans="2:15" s="21" customFormat="1" ht="13.5" x14ac:dyDescent="0.3">
      <c r="B24" s="277"/>
      <c r="C24" s="279"/>
      <c r="D24" s="280" t="s">
        <v>3715</v>
      </c>
      <c r="E24" s="281">
        <v>2.83271088</v>
      </c>
      <c r="F24" s="308">
        <v>3.0822139699999997</v>
      </c>
      <c r="G24" s="308">
        <v>4.234559850000001</v>
      </c>
      <c r="H24" s="308">
        <f t="shared" si="18"/>
        <v>4.3615966455000015</v>
      </c>
      <c r="I24" s="308">
        <f t="shared" si="18"/>
        <v>4.4924445448650019</v>
      </c>
      <c r="J24" s="308">
        <f t="shared" si="18"/>
        <v>4.6272178812109521</v>
      </c>
      <c r="K24" s="308">
        <f t="shared" si="18"/>
        <v>4.7660344176472806</v>
      </c>
      <c r="L24" s="282">
        <f t="shared" si="2"/>
        <v>9.1085735393510045E-2</v>
      </c>
      <c r="M24" s="281"/>
    </row>
    <row r="25" spans="2:15" s="21" customFormat="1" ht="13.5" x14ac:dyDescent="0.3">
      <c r="B25" s="277"/>
      <c r="C25" s="279"/>
      <c r="D25" s="280" t="s">
        <v>3716</v>
      </c>
      <c r="E25" s="281">
        <v>13.731581630000001</v>
      </c>
      <c r="F25" s="308">
        <v>16.843606319999999</v>
      </c>
      <c r="G25" s="308">
        <v>22.15125234666667</v>
      </c>
      <c r="H25" s="308">
        <f>G25*(1+$E$53)</f>
        <v>23.258814964000006</v>
      </c>
      <c r="I25" s="308">
        <f>H25*(1+$E$53)</f>
        <v>24.421755712200007</v>
      </c>
      <c r="J25" s="308">
        <f t="shared" ref="J25:K25" si="20">I25*(1+$E$53)</f>
        <v>25.642843497810009</v>
      </c>
      <c r="K25" s="308">
        <f t="shared" si="20"/>
        <v>26.924985672700512</v>
      </c>
      <c r="L25" s="282">
        <f t="shared" si="2"/>
        <v>9.8358410016812586E-2</v>
      </c>
      <c r="M25" s="281" t="s">
        <v>3717</v>
      </c>
      <c r="O25" s="358"/>
    </row>
    <row r="26" spans="2:15" s="21" customFormat="1" ht="13.5" x14ac:dyDescent="0.3">
      <c r="B26" s="277"/>
      <c r="C26" s="279"/>
      <c r="D26" s="280" t="s">
        <v>3718</v>
      </c>
      <c r="E26" s="281">
        <v>0</v>
      </c>
      <c r="F26" s="308">
        <v>0</v>
      </c>
      <c r="G26" s="308">
        <v>0</v>
      </c>
      <c r="H26" s="308">
        <v>0</v>
      </c>
      <c r="I26" s="308">
        <v>0</v>
      </c>
      <c r="J26" s="308">
        <v>0</v>
      </c>
      <c r="K26" s="308">
        <v>0</v>
      </c>
      <c r="L26" s="282">
        <f t="shared" si="2"/>
        <v>0</v>
      </c>
      <c r="M26" s="281"/>
    </row>
    <row r="27" spans="2:15" s="21" customFormat="1" ht="13.5" x14ac:dyDescent="0.3">
      <c r="B27" s="277"/>
      <c r="C27" s="279"/>
      <c r="D27" s="280" t="s">
        <v>3719</v>
      </c>
      <c r="E27" s="281">
        <v>0</v>
      </c>
      <c r="F27" s="308">
        <v>0</v>
      </c>
      <c r="G27" s="308">
        <v>0</v>
      </c>
      <c r="H27" s="308">
        <v>0</v>
      </c>
      <c r="I27" s="308">
        <v>0</v>
      </c>
      <c r="J27" s="308">
        <v>0</v>
      </c>
      <c r="K27" s="308">
        <v>0</v>
      </c>
      <c r="L27" s="282">
        <f t="shared" si="2"/>
        <v>0</v>
      </c>
      <c r="M27" s="281"/>
    </row>
    <row r="28" spans="2:15" s="21" customFormat="1" ht="13.5" x14ac:dyDescent="0.3">
      <c r="B28" s="277"/>
      <c r="C28" s="279"/>
      <c r="D28" s="280" t="s">
        <v>1986</v>
      </c>
      <c r="E28" s="281">
        <v>0.11268265</v>
      </c>
      <c r="F28" s="308">
        <v>0.17450114800000002</v>
      </c>
      <c r="G28" s="308">
        <v>0.38779999999999998</v>
      </c>
      <c r="H28" s="308">
        <f>G28*(1+$E$54)</f>
        <v>0.39943400000000001</v>
      </c>
      <c r="I28" s="308">
        <f t="shared" ref="I28:K29" si="21">H28*(1+$E$54)</f>
        <v>0.41141702000000002</v>
      </c>
      <c r="J28" s="308">
        <f t="shared" si="21"/>
        <v>0.42375953060000005</v>
      </c>
      <c r="K28" s="308">
        <f t="shared" si="21"/>
        <v>0.43647231651800006</v>
      </c>
      <c r="L28" s="282">
        <f t="shared" si="2"/>
        <v>0.20124524902852622</v>
      </c>
      <c r="M28" s="281" t="s">
        <v>3703</v>
      </c>
    </row>
    <row r="29" spans="2:15" s="21" customFormat="1" ht="13.5" x14ac:dyDescent="0.3">
      <c r="B29" s="277"/>
      <c r="C29" s="279"/>
      <c r="D29" s="280" t="s">
        <v>1998</v>
      </c>
      <c r="E29" s="281">
        <v>1.96709315</v>
      </c>
      <c r="F29" s="308">
        <v>1.9928675455555558</v>
      </c>
      <c r="G29" s="308">
        <v>2.5480334299999998</v>
      </c>
      <c r="H29" s="308">
        <f t="shared" ref="H29" si="22">G29*(1+$E$54)</f>
        <v>2.6244744329</v>
      </c>
      <c r="I29" s="308">
        <f t="shared" si="21"/>
        <v>2.7032086658870003</v>
      </c>
      <c r="J29" s="308">
        <f t="shared" si="21"/>
        <v>2.7843049258636103</v>
      </c>
      <c r="K29" s="308">
        <f t="shared" si="21"/>
        <v>2.8678340736395187</v>
      </c>
      <c r="L29" s="282">
        <f t="shared" si="2"/>
        <v>7.5511645333017074E-2</v>
      </c>
      <c r="M29" s="281" t="s">
        <v>3703</v>
      </c>
    </row>
    <row r="30" spans="2:15" s="21" customFormat="1" ht="13.5" x14ac:dyDescent="0.3">
      <c r="B30" s="277"/>
      <c r="C30" s="279"/>
      <c r="D30" s="280" t="s">
        <v>2002</v>
      </c>
      <c r="E30" s="281">
        <v>2.2029612383427866</v>
      </c>
      <c r="F30" s="308">
        <v>1.8128121922700688</v>
      </c>
      <c r="G30" s="308">
        <v>1.2236807999999999</v>
      </c>
      <c r="H30" s="308">
        <f t="shared" ref="H30:K31" si="23">$G30/$G$10*SUM(Q$10,Q$12)</f>
        <v>1.3083870868249097</v>
      </c>
      <c r="I30" s="308">
        <f t="shared" si="23"/>
        <v>1.3726303288249098</v>
      </c>
      <c r="J30" s="308">
        <f t="shared" si="23"/>
        <v>1.4400857329249099</v>
      </c>
      <c r="K30" s="308">
        <f t="shared" si="23"/>
        <v>1.51091390722991</v>
      </c>
      <c r="L30" s="282">
        <f t="shared" si="2"/>
        <v>-3.5777234496958903E-2</v>
      </c>
      <c r="M30" s="281" t="s">
        <v>3707</v>
      </c>
    </row>
    <row r="31" spans="2:15" s="21" customFormat="1" ht="13.5" x14ac:dyDescent="0.3">
      <c r="B31" s="277"/>
      <c r="C31" s="279"/>
      <c r="D31" s="280" t="s">
        <v>3720</v>
      </c>
      <c r="E31" s="281">
        <v>0.25260465999999998</v>
      </c>
      <c r="F31" s="308">
        <v>0.29657350000000005</v>
      </c>
      <c r="G31" s="308">
        <v>0.498</v>
      </c>
      <c r="H31" s="308">
        <f t="shared" si="23"/>
        <v>0.53247282235596483</v>
      </c>
      <c r="I31" s="308">
        <f t="shared" si="23"/>
        <v>0.55861782235596491</v>
      </c>
      <c r="J31" s="308">
        <f t="shared" si="23"/>
        <v>0.58607007235596498</v>
      </c>
      <c r="K31" s="308">
        <f t="shared" si="23"/>
        <v>0.61489493485596503</v>
      </c>
      <c r="L31" s="282">
        <f t="shared" si="2"/>
        <v>0.15700094752080981</v>
      </c>
      <c r="M31" s="281" t="s">
        <v>3707</v>
      </c>
    </row>
    <row r="32" spans="2:15" s="21" customFormat="1" ht="13.5" x14ac:dyDescent="0.3">
      <c r="B32" s="277"/>
      <c r="C32" s="279"/>
      <c r="D32" s="280" t="s">
        <v>3721</v>
      </c>
      <c r="E32" s="281">
        <v>0.39097837000000002</v>
      </c>
      <c r="F32" s="308">
        <v>0.451899732</v>
      </c>
      <c r="G32" s="308">
        <v>0.70881000000000005</v>
      </c>
      <c r="H32" s="308">
        <f t="shared" ref="H32:K34" si="24">G32*(1+$E$54)</f>
        <v>0.73007430000000006</v>
      </c>
      <c r="I32" s="308">
        <f t="shared" si="24"/>
        <v>0.75197652900000012</v>
      </c>
      <c r="J32" s="308">
        <f t="shared" si="24"/>
        <v>0.77453582487000017</v>
      </c>
      <c r="K32" s="308">
        <f t="shared" si="24"/>
        <v>0.79777189961610018</v>
      </c>
      <c r="L32" s="282">
        <f t="shared" si="2"/>
        <v>0.12038511471913327</v>
      </c>
      <c r="M32" s="281" t="s">
        <v>3703</v>
      </c>
    </row>
    <row r="33" spans="2:13" s="21" customFormat="1" ht="13.5" x14ac:dyDescent="0.3">
      <c r="B33" s="277"/>
      <c r="C33" s="279"/>
      <c r="D33" s="280" t="s">
        <v>3722</v>
      </c>
      <c r="E33" s="281">
        <v>1.3960000000000001E-3</v>
      </c>
      <c r="F33" s="308">
        <v>9.0342599999999988E-3</v>
      </c>
      <c r="G33" s="308">
        <v>9.9000000000000005E-2</v>
      </c>
      <c r="H33" s="308">
        <f t="shared" si="24"/>
        <v>0.10197000000000001</v>
      </c>
      <c r="I33" s="308">
        <f t="shared" si="24"/>
        <v>0.10502910000000001</v>
      </c>
      <c r="J33" s="308">
        <f t="shared" si="24"/>
        <v>0.10817997300000001</v>
      </c>
      <c r="K33" s="308">
        <f t="shared" si="24"/>
        <v>0.11142537219000001</v>
      </c>
      <c r="L33" s="282">
        <f t="shared" si="2"/>
        <v>0.65279237902370368</v>
      </c>
      <c r="M33" s="281" t="s">
        <v>3703</v>
      </c>
    </row>
    <row r="34" spans="2:13" s="21" customFormat="1" ht="13.5" x14ac:dyDescent="0.3">
      <c r="B34" s="277"/>
      <c r="C34" s="279"/>
      <c r="D34" s="280" t="s">
        <v>3723</v>
      </c>
      <c r="E34" s="281">
        <v>0.12376595</v>
      </c>
      <c r="F34" s="308">
        <v>0.18203114399999998</v>
      </c>
      <c r="G34" s="308">
        <v>0.18248</v>
      </c>
      <c r="H34" s="308">
        <f t="shared" si="24"/>
        <v>0.18795440000000002</v>
      </c>
      <c r="I34" s="308">
        <f t="shared" si="24"/>
        <v>0.19359303200000003</v>
      </c>
      <c r="J34" s="308">
        <f t="shared" si="24"/>
        <v>0.19940082296000003</v>
      </c>
      <c r="K34" s="308">
        <f t="shared" si="24"/>
        <v>0.20538284764880005</v>
      </c>
      <c r="L34" s="282">
        <f t="shared" si="2"/>
        <v>2.4433317497624181E-2</v>
      </c>
      <c r="M34" s="281" t="s">
        <v>3703</v>
      </c>
    </row>
    <row r="35" spans="2:13" s="21" customFormat="1" ht="13.5" x14ac:dyDescent="0.3">
      <c r="B35" s="277"/>
      <c r="C35" s="279"/>
      <c r="D35" s="280" t="s">
        <v>3724</v>
      </c>
      <c r="E35" s="281">
        <v>1.2741419300000001</v>
      </c>
      <c r="F35" s="308">
        <v>0.78933826000000007</v>
      </c>
      <c r="G35" s="308">
        <v>0</v>
      </c>
      <c r="H35" s="308">
        <f>G35*(1+$E$50)</f>
        <v>0</v>
      </c>
      <c r="I35" s="308">
        <f t="shared" ref="I35:K35" si="25">H35*(1+$E$50)</f>
        <v>0</v>
      </c>
      <c r="J35" s="308">
        <f t="shared" si="25"/>
        <v>0</v>
      </c>
      <c r="K35" s="308">
        <f t="shared" si="25"/>
        <v>0</v>
      </c>
      <c r="L35" s="282">
        <f t="shared" si="2"/>
        <v>-0.99999940914518248</v>
      </c>
      <c r="M35" s="281"/>
    </row>
    <row r="36" spans="2:13" s="21" customFormat="1" ht="13.5" x14ac:dyDescent="0.3">
      <c r="B36" s="277"/>
      <c r="C36" s="279"/>
      <c r="D36" s="280" t="s">
        <v>3725</v>
      </c>
      <c r="E36" s="281">
        <v>0</v>
      </c>
      <c r="F36" s="308">
        <v>0</v>
      </c>
      <c r="G36" s="308">
        <v>0</v>
      </c>
      <c r="H36" s="308">
        <v>0</v>
      </c>
      <c r="I36" s="308">
        <v>0</v>
      </c>
      <c r="J36" s="308">
        <v>0</v>
      </c>
      <c r="K36" s="308">
        <v>0</v>
      </c>
      <c r="L36" s="282">
        <f t="shared" si="2"/>
        <v>0</v>
      </c>
      <c r="M36" s="281"/>
    </row>
    <row r="37" spans="2:13" s="21" customFormat="1" ht="13.5" x14ac:dyDescent="0.3">
      <c r="B37" s="277"/>
      <c r="C37" s="279"/>
      <c r="D37" s="280" t="s">
        <v>1991</v>
      </c>
      <c r="E37" s="281">
        <v>1.17702879</v>
      </c>
      <c r="F37" s="308">
        <v>1.15152356</v>
      </c>
      <c r="G37" s="308">
        <v>2.4</v>
      </c>
      <c r="H37" s="308">
        <f>G37*(1+$E$52)</f>
        <v>2.52</v>
      </c>
      <c r="I37" s="308">
        <f t="shared" ref="I37:K37" si="26">H37*(1+$E$52)</f>
        <v>2.6460000000000004</v>
      </c>
      <c r="J37" s="308">
        <f t="shared" si="26"/>
        <v>2.7783000000000007</v>
      </c>
      <c r="K37" s="308">
        <f t="shared" si="26"/>
        <v>2.917215000000001</v>
      </c>
      <c r="L37" s="282">
        <f t="shared" si="2"/>
        <v>0.20431230012585852</v>
      </c>
      <c r="M37" s="281" t="s">
        <v>3726</v>
      </c>
    </row>
    <row r="38" spans="2:13" s="21" customFormat="1" ht="13.5" x14ac:dyDescent="0.3">
      <c r="B38" s="277"/>
      <c r="C38" s="279"/>
      <c r="D38" s="280" t="s">
        <v>3727</v>
      </c>
      <c r="E38" s="281">
        <v>1.5E-3</v>
      </c>
      <c r="F38" s="308">
        <v>6.9999999999999999E-4</v>
      </c>
      <c r="G38" s="308">
        <v>0</v>
      </c>
      <c r="H38" s="308">
        <f>G38*(1+$E$54)</f>
        <v>0</v>
      </c>
      <c r="I38" s="308">
        <f t="shared" ref="I38:K38" si="27">H38*(1+$E$54)</f>
        <v>0</v>
      </c>
      <c r="J38" s="308">
        <f t="shared" si="27"/>
        <v>0</v>
      </c>
      <c r="K38" s="308">
        <f t="shared" si="27"/>
        <v>0</v>
      </c>
      <c r="L38" s="282">
        <f t="shared" si="2"/>
        <v>-0.99999940914518248</v>
      </c>
      <c r="M38" s="281" t="s">
        <v>3728</v>
      </c>
    </row>
    <row r="39" spans="2:13" s="21" customFormat="1" ht="13.5" x14ac:dyDescent="0.3">
      <c r="B39" s="277"/>
      <c r="C39" s="279"/>
      <c r="D39" s="280" t="s">
        <v>3729</v>
      </c>
      <c r="E39" s="281">
        <v>1.759198E-2</v>
      </c>
      <c r="F39" s="308">
        <v>0</v>
      </c>
      <c r="G39" s="308">
        <v>0</v>
      </c>
      <c r="H39" s="308">
        <v>0</v>
      </c>
      <c r="I39" s="308">
        <v>0</v>
      </c>
      <c r="J39" s="308">
        <v>0</v>
      </c>
      <c r="K39" s="308">
        <v>0</v>
      </c>
      <c r="L39" s="282">
        <f t="shared" si="2"/>
        <v>0</v>
      </c>
      <c r="M39" s="281"/>
    </row>
    <row r="40" spans="2:13" s="21" customFormat="1" ht="13.5" x14ac:dyDescent="0.3">
      <c r="B40" s="277"/>
      <c r="C40" s="279"/>
      <c r="D40" s="280" t="s">
        <v>1992</v>
      </c>
      <c r="E40" s="281">
        <v>0.35395599999999999</v>
      </c>
      <c r="F40" s="308">
        <v>0.37547809999999993</v>
      </c>
      <c r="G40" s="308">
        <v>0.62070000000000003</v>
      </c>
      <c r="H40" s="308">
        <f t="shared" ref="H40:K40" si="28">G40*(1+$E$54)</f>
        <v>0.63932100000000003</v>
      </c>
      <c r="I40" s="308">
        <f t="shared" si="28"/>
        <v>0.65850063000000003</v>
      </c>
      <c r="J40" s="308">
        <f t="shared" si="28"/>
        <v>0.67825564890000001</v>
      </c>
      <c r="K40" s="308">
        <f t="shared" si="28"/>
        <v>0.69860331836700007</v>
      </c>
      <c r="L40" s="282">
        <f t="shared" si="2"/>
        <v>0.13221578796367578</v>
      </c>
      <c r="M40" s="281" t="s">
        <v>3728</v>
      </c>
    </row>
    <row r="41" spans="2:13" s="21" customFormat="1" ht="13.5" x14ac:dyDescent="0.3">
      <c r="B41" s="277"/>
      <c r="C41" s="279"/>
      <c r="D41" s="280" t="s">
        <v>3730</v>
      </c>
      <c r="E41" s="281">
        <v>5.9740740000000001E-2</v>
      </c>
      <c r="F41" s="308">
        <v>0</v>
      </c>
      <c r="G41" s="308">
        <v>0</v>
      </c>
      <c r="H41" s="308">
        <v>0</v>
      </c>
      <c r="I41" s="308">
        <v>0</v>
      </c>
      <c r="J41" s="308">
        <v>0</v>
      </c>
      <c r="K41" s="308">
        <v>0</v>
      </c>
      <c r="L41" s="282">
        <f t="shared" si="2"/>
        <v>0</v>
      </c>
      <c r="M41" s="281"/>
    </row>
    <row r="42" spans="2:13" s="21" customFormat="1" ht="13.5" x14ac:dyDescent="0.3">
      <c r="B42" s="277"/>
      <c r="C42" s="279"/>
      <c r="D42" s="280" t="s">
        <v>1999</v>
      </c>
      <c r="E42" s="281">
        <v>0</v>
      </c>
      <c r="F42" s="308">
        <v>0</v>
      </c>
      <c r="G42" s="308">
        <v>0</v>
      </c>
      <c r="H42" s="308">
        <v>0</v>
      </c>
      <c r="I42" s="308">
        <v>0</v>
      </c>
      <c r="J42" s="308">
        <v>0</v>
      </c>
      <c r="K42" s="308">
        <v>0</v>
      </c>
      <c r="L42" s="282">
        <f t="shared" si="2"/>
        <v>0</v>
      </c>
      <c r="M42" s="281"/>
    </row>
    <row r="43" spans="2:13" s="21" customFormat="1" ht="13.5" x14ac:dyDescent="0.3">
      <c r="B43" s="277"/>
      <c r="C43" s="279"/>
      <c r="D43" s="280" t="s">
        <v>132</v>
      </c>
      <c r="E43" s="281">
        <v>0</v>
      </c>
      <c r="F43" s="308">
        <v>2.1</v>
      </c>
      <c r="G43" s="308">
        <v>0</v>
      </c>
      <c r="H43" s="281">
        <f>G43</f>
        <v>0</v>
      </c>
      <c r="I43" s="308">
        <f t="shared" ref="I43:K43" si="29">H43</f>
        <v>0</v>
      </c>
      <c r="J43" s="308">
        <f t="shared" si="29"/>
        <v>0</v>
      </c>
      <c r="K43" s="308">
        <f t="shared" si="29"/>
        <v>0</v>
      </c>
      <c r="L43" s="282">
        <f t="shared" si="2"/>
        <v>-0.99999940914518248</v>
      </c>
      <c r="M43" s="281"/>
    </row>
    <row r="44" spans="2:13" s="21" customFormat="1" ht="13.5" x14ac:dyDescent="0.3">
      <c r="B44" s="277"/>
      <c r="C44" s="279"/>
      <c r="D44" s="280" t="s">
        <v>3205</v>
      </c>
      <c r="E44" s="281">
        <v>0</v>
      </c>
      <c r="F44" s="308">
        <v>2.461E-5</v>
      </c>
      <c r="G44" s="308">
        <v>0</v>
      </c>
      <c r="H44" s="281">
        <v>0</v>
      </c>
      <c r="I44" s="308">
        <v>0</v>
      </c>
      <c r="J44" s="308">
        <v>0</v>
      </c>
      <c r="K44" s="308">
        <v>0</v>
      </c>
      <c r="L44" s="282">
        <f t="shared" si="2"/>
        <v>-0.99999940914518248</v>
      </c>
      <c r="M44" s="281"/>
    </row>
    <row r="45" spans="2:13" s="21" customFormat="1" ht="13.5" x14ac:dyDescent="0.3">
      <c r="B45" s="277"/>
      <c r="C45" s="279"/>
      <c r="D45" s="280" t="s">
        <v>3731</v>
      </c>
      <c r="E45" s="281">
        <v>0</v>
      </c>
      <c r="F45" s="308">
        <v>0</v>
      </c>
      <c r="G45" s="308">
        <v>0</v>
      </c>
      <c r="H45" s="281">
        <v>0</v>
      </c>
      <c r="I45" s="308">
        <v>0</v>
      </c>
      <c r="J45" s="308">
        <v>0</v>
      </c>
      <c r="K45" s="308">
        <v>0</v>
      </c>
      <c r="L45" s="282">
        <f t="shared" si="2"/>
        <v>0</v>
      </c>
      <c r="M45" s="281"/>
    </row>
    <row r="46" spans="2:13" s="21" customFormat="1" ht="13.5" x14ac:dyDescent="0.3">
      <c r="B46" s="284"/>
      <c r="C46" s="288"/>
      <c r="D46" s="289" t="s">
        <v>3732</v>
      </c>
      <c r="E46" s="286">
        <v>0</v>
      </c>
      <c r="F46" s="313">
        <v>0</v>
      </c>
      <c r="G46" s="313">
        <v>0</v>
      </c>
      <c r="H46" s="286">
        <v>0</v>
      </c>
      <c r="I46" s="313">
        <v>0</v>
      </c>
      <c r="J46" s="313">
        <v>0</v>
      </c>
      <c r="K46" s="313">
        <v>0</v>
      </c>
      <c r="L46" s="287">
        <f t="shared" si="2"/>
        <v>0</v>
      </c>
      <c r="M46" s="286"/>
    </row>
    <row r="49" spans="2:6" x14ac:dyDescent="0.3">
      <c r="B49" t="s">
        <v>3733</v>
      </c>
    </row>
    <row r="50" spans="2:6" x14ac:dyDescent="0.3">
      <c r="C50" t="s">
        <v>3326</v>
      </c>
      <c r="E50" s="874">
        <v>0.05</v>
      </c>
      <c r="F50" t="s">
        <v>3717</v>
      </c>
    </row>
    <row r="51" spans="2:6" x14ac:dyDescent="0.3">
      <c r="C51" t="s">
        <v>1988</v>
      </c>
      <c r="E51" s="874">
        <v>0.03</v>
      </c>
      <c r="F51" t="s">
        <v>3734</v>
      </c>
    </row>
    <row r="52" spans="2:6" x14ac:dyDescent="0.3">
      <c r="C52" t="s">
        <v>3327</v>
      </c>
      <c r="E52" s="973">
        <v>0.05</v>
      </c>
      <c r="F52" t="s">
        <v>3726</v>
      </c>
    </row>
    <row r="53" spans="2:6" x14ac:dyDescent="0.3">
      <c r="C53" t="s">
        <v>1995</v>
      </c>
      <c r="E53" s="874">
        <v>0.05</v>
      </c>
      <c r="F53" t="s">
        <v>3717</v>
      </c>
    </row>
    <row r="54" spans="2:6" x14ac:dyDescent="0.3">
      <c r="C54" t="s">
        <v>71</v>
      </c>
      <c r="E54" s="874">
        <v>0.03</v>
      </c>
      <c r="F54" t="s">
        <v>3734</v>
      </c>
    </row>
  </sheetData>
  <mergeCells count="1">
    <mergeCell ref="B3:D3"/>
  </mergeCells>
  <phoneticPr fontId="2"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F36BB-CF82-4FB9-836D-D50D4927211D}">
  <sheetPr>
    <tabColor theme="1" tint="0.34998626667073579"/>
  </sheetPr>
  <dimension ref="B1:AC173"/>
  <sheetViews>
    <sheetView workbookViewId="0"/>
  </sheetViews>
  <sheetFormatPr defaultRowHeight="16.5" outlineLevelRow="1" outlineLevelCol="1" x14ac:dyDescent="0.3"/>
  <cols>
    <col min="1" max="1" width="1.875" customWidth="1"/>
    <col min="2" max="2" width="18.75" customWidth="1"/>
    <col min="25" max="26" width="8.75" customWidth="1" outlineLevel="1"/>
  </cols>
  <sheetData>
    <row r="1" spans="2:29" ht="6.6" customHeight="1" x14ac:dyDescent="0.3"/>
    <row r="2" spans="2:29" ht="18" thickBot="1" x14ac:dyDescent="0.35">
      <c r="B2" s="1175" t="s">
        <v>3735</v>
      </c>
      <c r="C2" s="259"/>
      <c r="D2" s="259"/>
      <c r="E2" s="259"/>
      <c r="F2" s="259"/>
      <c r="G2" s="259"/>
      <c r="H2" s="259"/>
      <c r="I2" s="259"/>
      <c r="J2" s="259"/>
      <c r="K2" s="259"/>
      <c r="L2" s="259"/>
      <c r="M2" s="259"/>
      <c r="N2" s="259"/>
      <c r="O2" s="259"/>
      <c r="P2" s="259"/>
      <c r="Q2" s="259"/>
      <c r="R2" s="259"/>
      <c r="S2" s="259"/>
      <c r="T2" s="259"/>
      <c r="U2" s="259"/>
      <c r="V2" s="259"/>
      <c r="W2" s="259"/>
      <c r="X2" s="259"/>
      <c r="Y2" s="259"/>
      <c r="Z2" s="259"/>
      <c r="AA2" s="259"/>
      <c r="AB2" s="259"/>
      <c r="AC2" s="259"/>
    </row>
    <row r="4" spans="2:29" x14ac:dyDescent="0.3">
      <c r="B4" s="1176" t="s">
        <v>3736</v>
      </c>
      <c r="AC4" s="1177" t="s">
        <v>3737</v>
      </c>
    </row>
    <row r="5" spans="2:29" x14ac:dyDescent="0.3">
      <c r="B5" s="1795" t="s">
        <v>3738</v>
      </c>
      <c r="C5" s="1796" t="s">
        <v>3739</v>
      </c>
      <c r="D5" s="1797"/>
      <c r="E5" s="1797"/>
      <c r="F5" s="1797"/>
      <c r="G5" s="1797"/>
      <c r="H5" s="1797"/>
      <c r="I5" s="1798"/>
      <c r="J5" s="1799" t="s">
        <v>3740</v>
      </c>
      <c r="K5" s="1796" t="s">
        <v>3741</v>
      </c>
      <c r="L5" s="1797"/>
      <c r="M5" s="1797"/>
      <c r="N5" s="1797"/>
      <c r="O5" s="1797"/>
      <c r="P5" s="1798"/>
      <c r="Q5" s="1796" t="s">
        <v>3742</v>
      </c>
      <c r="R5" s="1797"/>
      <c r="S5" s="1797"/>
      <c r="T5" s="1797"/>
      <c r="U5" s="1797"/>
      <c r="V5" s="1797"/>
      <c r="W5" s="1797"/>
      <c r="X5" s="1798"/>
      <c r="Y5" s="1794" t="s">
        <v>3743</v>
      </c>
      <c r="Z5" s="1794"/>
      <c r="AA5" s="1794"/>
      <c r="AB5" s="1178" t="s">
        <v>3744</v>
      </c>
      <c r="AC5" s="1178"/>
    </row>
    <row r="6" spans="2:29" ht="27" x14ac:dyDescent="0.3">
      <c r="B6" s="1795"/>
      <c r="C6" s="1179" t="s">
        <v>3745</v>
      </c>
      <c r="D6" s="1180" t="s">
        <v>3746</v>
      </c>
      <c r="E6" s="1181" t="s">
        <v>3747</v>
      </c>
      <c r="F6" s="1180" t="s">
        <v>3416</v>
      </c>
      <c r="G6" s="1180" t="s">
        <v>103</v>
      </c>
      <c r="H6" s="1182" t="s">
        <v>3495</v>
      </c>
      <c r="I6" s="1183" t="s">
        <v>3748</v>
      </c>
      <c r="J6" s="1800"/>
      <c r="K6" s="1184" t="s">
        <v>3749</v>
      </c>
      <c r="L6" s="1185" t="s">
        <v>3750</v>
      </c>
      <c r="M6" s="1186" t="s">
        <v>83</v>
      </c>
      <c r="N6" s="1187" t="s">
        <v>3751</v>
      </c>
      <c r="O6" s="1182" t="s">
        <v>3495</v>
      </c>
      <c r="P6" s="1183" t="s">
        <v>3748</v>
      </c>
      <c r="Q6" s="1184" t="s">
        <v>3752</v>
      </c>
      <c r="R6" s="1185" t="s">
        <v>3403</v>
      </c>
      <c r="S6" s="1181" t="s">
        <v>3753</v>
      </c>
      <c r="T6" s="1185" t="s">
        <v>3754</v>
      </c>
      <c r="U6" s="1185" t="s">
        <v>3755</v>
      </c>
      <c r="V6" s="1185" t="s">
        <v>3756</v>
      </c>
      <c r="W6" s="1185" t="s">
        <v>3346</v>
      </c>
      <c r="X6" s="1188" t="s">
        <v>3748</v>
      </c>
      <c r="Y6" s="1184" t="s">
        <v>3757</v>
      </c>
      <c r="Z6" s="1185" t="s">
        <v>3758</v>
      </c>
      <c r="AA6" s="1188" t="s">
        <v>3748</v>
      </c>
      <c r="AB6" s="1189" t="s">
        <v>3759</v>
      </c>
      <c r="AC6" s="1190" t="s">
        <v>3760</v>
      </c>
    </row>
    <row r="7" spans="2:29" x14ac:dyDescent="0.3">
      <c r="B7" s="1191" t="s">
        <v>3761</v>
      </c>
      <c r="C7" s="1192">
        <v>20516368091</v>
      </c>
      <c r="D7" s="1193">
        <v>20029998504</v>
      </c>
      <c r="E7" s="1194">
        <v>4437673522</v>
      </c>
      <c r="F7" s="1193"/>
      <c r="G7" s="1193">
        <v>1385479207</v>
      </c>
      <c r="H7" s="1195"/>
      <c r="I7" s="1196">
        <f>SUM(C7:H7)</f>
        <v>46369519324</v>
      </c>
      <c r="J7" s="1197">
        <v>7340710394</v>
      </c>
      <c r="K7" s="1192">
        <v>47784982585</v>
      </c>
      <c r="L7" s="1198"/>
      <c r="M7" s="1198">
        <v>15583700899</v>
      </c>
      <c r="N7" s="1193">
        <v>16077945762</v>
      </c>
      <c r="O7" s="1195"/>
      <c r="P7" s="1196">
        <f>SUM(K7:O7)</f>
        <v>79446629246</v>
      </c>
      <c r="Q7" s="1192">
        <v>58664542755</v>
      </c>
      <c r="R7" s="1199"/>
      <c r="S7" s="1198"/>
      <c r="T7" s="1199"/>
      <c r="U7" s="1199"/>
      <c r="V7" s="1199"/>
      <c r="W7" s="1199">
        <v>5139760965</v>
      </c>
      <c r="X7" s="1196">
        <f>SUM(Q7:W7)</f>
        <v>63804303720</v>
      </c>
      <c r="Y7" s="1192">
        <v>0</v>
      </c>
      <c r="Z7" s="1199">
        <v>0</v>
      </c>
      <c r="AA7" s="1196">
        <f>SUM(Y7:Z7)</f>
        <v>0</v>
      </c>
      <c r="AB7" s="1200">
        <f>SUM(I7,J7,P7,X7,AA7)</f>
        <v>196961162684</v>
      </c>
      <c r="AC7" s="1201">
        <f>SUM(C7:F7,J7:M7,Q7:U7,AA7)</f>
        <v>174357976750</v>
      </c>
    </row>
    <row r="8" spans="2:29" x14ac:dyDescent="0.3">
      <c r="B8" s="1202" t="s">
        <v>3690</v>
      </c>
      <c r="C8" s="1203">
        <v>16811158499.799999</v>
      </c>
      <c r="D8" s="1204">
        <v>21211536945.200001</v>
      </c>
      <c r="E8" s="1205">
        <v>2908528099</v>
      </c>
      <c r="F8" s="1204"/>
      <c r="G8" s="1204">
        <v>83038669</v>
      </c>
      <c r="H8" s="1206"/>
      <c r="I8" s="1207">
        <f>SUM(C8:H8)</f>
        <v>41014262213</v>
      </c>
      <c r="J8" s="1208">
        <v>6535297780</v>
      </c>
      <c r="K8" s="1203">
        <v>40823034444</v>
      </c>
      <c r="L8" s="1209"/>
      <c r="M8" s="1209">
        <v>15511568384</v>
      </c>
      <c r="N8" s="1204">
        <v>13664040024</v>
      </c>
      <c r="O8" s="1206"/>
      <c r="P8" s="1207">
        <f>SUM(K8:O8)</f>
        <v>69998642852</v>
      </c>
      <c r="Q8" s="1203">
        <f>40952434944+3024895206</f>
        <v>43977330150</v>
      </c>
      <c r="R8" s="1210"/>
      <c r="S8" s="1209"/>
      <c r="T8" s="1210"/>
      <c r="U8" s="1210"/>
      <c r="V8" s="1210"/>
      <c r="W8" s="1210">
        <v>4777598722</v>
      </c>
      <c r="X8" s="1207">
        <f>SUM(Q8:W8)</f>
        <v>48754928872</v>
      </c>
      <c r="Y8" s="1203">
        <v>0</v>
      </c>
      <c r="Z8" s="1210">
        <v>0</v>
      </c>
      <c r="AA8" s="1207">
        <f>SUM(Y8:Z8)</f>
        <v>0</v>
      </c>
      <c r="AB8" s="1211">
        <f>SUM(I8,J8,P8,X8,AA8)</f>
        <v>166303131717</v>
      </c>
      <c r="AC8" s="1212">
        <f>SUM(C8:F8,J8:M8,Q8:U8,AA8)</f>
        <v>147778454302</v>
      </c>
    </row>
    <row r="9" spans="2:29" x14ac:dyDescent="0.3">
      <c r="B9" s="1213" t="s">
        <v>3762</v>
      </c>
      <c r="C9" s="1214">
        <f>C7-C8</f>
        <v>3705209591.2000008</v>
      </c>
      <c r="D9" s="1215">
        <f t="shared" ref="D9:K9" si="0">D7-D8</f>
        <v>-1181538441.2000008</v>
      </c>
      <c r="E9" s="1216">
        <f t="shared" si="0"/>
        <v>1529145423</v>
      </c>
      <c r="F9" s="1215">
        <f t="shared" si="0"/>
        <v>0</v>
      </c>
      <c r="G9" s="1215">
        <f t="shared" si="0"/>
        <v>1302440538</v>
      </c>
      <c r="H9" s="1217">
        <f t="shared" si="0"/>
        <v>0</v>
      </c>
      <c r="I9" s="1218">
        <f t="shared" si="0"/>
        <v>5355257111</v>
      </c>
      <c r="J9" s="1219">
        <f t="shared" si="0"/>
        <v>805412614</v>
      </c>
      <c r="K9" s="1214">
        <f t="shared" si="0"/>
        <v>6961948141</v>
      </c>
      <c r="L9" s="1220">
        <f>L7-L8</f>
        <v>0</v>
      </c>
      <c r="M9" s="1220">
        <f t="shared" ref="M9:Q9" si="1">M7-M8</f>
        <v>72132515</v>
      </c>
      <c r="N9" s="1215">
        <f t="shared" si="1"/>
        <v>2413905738</v>
      </c>
      <c r="O9" s="1217">
        <f t="shared" si="1"/>
        <v>0</v>
      </c>
      <c r="P9" s="1218">
        <f t="shared" si="1"/>
        <v>9447986394</v>
      </c>
      <c r="Q9" s="1214">
        <f t="shared" si="1"/>
        <v>14687212605</v>
      </c>
      <c r="R9" s="1221">
        <f>R7-R8</f>
        <v>0</v>
      </c>
      <c r="S9" s="1220">
        <f>S7-S8</f>
        <v>0</v>
      </c>
      <c r="T9" s="1221">
        <f t="shared" ref="T9:U9" si="2">T7-T8</f>
        <v>0</v>
      </c>
      <c r="U9" s="1221">
        <f t="shared" si="2"/>
        <v>0</v>
      </c>
      <c r="V9" s="1221">
        <f>V7-V8</f>
        <v>0</v>
      </c>
      <c r="W9" s="1221">
        <f>W7-W8</f>
        <v>362162243</v>
      </c>
      <c r="X9" s="1218">
        <f>X7-X8</f>
        <v>15049374848</v>
      </c>
      <c r="Y9" s="1214">
        <f t="shared" ref="Y9:AC9" si="3">Y7-Y8</f>
        <v>0</v>
      </c>
      <c r="Z9" s="1221">
        <f t="shared" si="3"/>
        <v>0</v>
      </c>
      <c r="AA9" s="1218">
        <f t="shared" si="3"/>
        <v>0</v>
      </c>
      <c r="AB9" s="1222">
        <f t="shared" si="3"/>
        <v>30658030967</v>
      </c>
      <c r="AC9" s="1223">
        <f t="shared" si="3"/>
        <v>26579522448</v>
      </c>
    </row>
    <row r="10" spans="2:29" x14ac:dyDescent="0.3">
      <c r="B10" s="1224" t="s">
        <v>3763</v>
      </c>
      <c r="C10" s="1225">
        <f>IFERROR(C9/C7,0)</f>
        <v>0.18059773419767119</v>
      </c>
      <c r="D10" s="1226">
        <f t="shared" ref="D10:K10" si="4">IFERROR(D9/D7,0)</f>
        <v>-5.8988443806625698E-2</v>
      </c>
      <c r="E10" s="1227">
        <f t="shared" si="4"/>
        <v>0.34458267725626529</v>
      </c>
      <c r="F10" s="1226">
        <f t="shared" si="4"/>
        <v>0</v>
      </c>
      <c r="G10" s="1226">
        <f t="shared" si="4"/>
        <v>0.9400650196838356</v>
      </c>
      <c r="H10" s="1228">
        <f t="shared" si="4"/>
        <v>0</v>
      </c>
      <c r="I10" s="1229">
        <f t="shared" si="4"/>
        <v>0.11549089119472969</v>
      </c>
      <c r="J10" s="1230">
        <f t="shared" si="4"/>
        <v>0.10971861996603377</v>
      </c>
      <c r="K10" s="1225">
        <f t="shared" si="4"/>
        <v>0.14569322335978832</v>
      </c>
      <c r="L10" s="1231">
        <f>IFERROR(L9/L7,0)</f>
        <v>0</v>
      </c>
      <c r="M10" s="1231">
        <f t="shared" ref="M10:Q10" si="5">IFERROR(M9/M7,0)</f>
        <v>4.6287153140002011E-3</v>
      </c>
      <c r="N10" s="1226">
        <f t="shared" si="5"/>
        <v>0.15013769630354348</v>
      </c>
      <c r="O10" s="1228">
        <f t="shared" si="5"/>
        <v>0</v>
      </c>
      <c r="P10" s="1229">
        <f t="shared" si="5"/>
        <v>0.11892243237589202</v>
      </c>
      <c r="Q10" s="1225">
        <f t="shared" si="5"/>
        <v>0.25035927862487606</v>
      </c>
      <c r="R10" s="1232">
        <f>IFERROR(R9/R7,0)</f>
        <v>0</v>
      </c>
      <c r="S10" s="1231">
        <f>IFERROR(S9/S7,0)</f>
        <v>0</v>
      </c>
      <c r="T10" s="1232">
        <f t="shared" ref="T10:U10" si="6">IFERROR(T9/T7,0)</f>
        <v>0</v>
      </c>
      <c r="U10" s="1232">
        <f t="shared" si="6"/>
        <v>0</v>
      </c>
      <c r="V10" s="1232">
        <f>IFERROR(V9/V7,0)</f>
        <v>0</v>
      </c>
      <c r="W10" s="1232">
        <f>IFERROR(W9/W7,0)</f>
        <v>7.0462857215773264E-2</v>
      </c>
      <c r="X10" s="1229">
        <f>IFERROR(X9/X7,0)</f>
        <v>0.23586770751457392</v>
      </c>
      <c r="Y10" s="1225">
        <f t="shared" ref="Y10:AC10" si="7">IFERROR(Y9/Y7,0)</f>
        <v>0</v>
      </c>
      <c r="Z10" s="1232">
        <f t="shared" si="7"/>
        <v>0</v>
      </c>
      <c r="AA10" s="1229">
        <f t="shared" si="7"/>
        <v>0</v>
      </c>
      <c r="AB10" s="1233">
        <f t="shared" si="7"/>
        <v>0.15565520912458791</v>
      </c>
      <c r="AC10" s="1234">
        <f t="shared" si="7"/>
        <v>0.15244225095655109</v>
      </c>
    </row>
    <row r="11" spans="2:29" x14ac:dyDescent="0.3">
      <c r="B11" s="1235" t="s">
        <v>3692</v>
      </c>
      <c r="C11" s="1236">
        <f t="shared" ref="C11:K11" si="8">SUM(C12:C16)</f>
        <v>12888005279.899706</v>
      </c>
      <c r="D11" s="1237">
        <f t="shared" si="8"/>
        <v>0</v>
      </c>
      <c r="E11" s="1238">
        <f t="shared" si="8"/>
        <v>0</v>
      </c>
      <c r="F11" s="1237">
        <f t="shared" si="8"/>
        <v>0</v>
      </c>
      <c r="G11" s="1237">
        <f t="shared" si="8"/>
        <v>183238993</v>
      </c>
      <c r="H11" s="1239">
        <f t="shared" si="8"/>
        <v>0</v>
      </c>
      <c r="I11" s="1240">
        <f t="shared" si="8"/>
        <v>13071244272.899708</v>
      </c>
      <c r="J11" s="1241">
        <f t="shared" si="8"/>
        <v>324215971.00228292</v>
      </c>
      <c r="K11" s="1236">
        <f t="shared" si="8"/>
        <v>7342838687.2826977</v>
      </c>
      <c r="L11" s="1242">
        <f>SUM(L12:L16)</f>
        <v>0</v>
      </c>
      <c r="M11" s="1242">
        <f t="shared" ref="M11:Q11" si="9">SUM(M12:M16)</f>
        <v>1306030424.6343386</v>
      </c>
      <c r="N11" s="1237">
        <f t="shared" si="9"/>
        <v>3224575472</v>
      </c>
      <c r="O11" s="1239">
        <f t="shared" si="9"/>
        <v>0</v>
      </c>
      <c r="P11" s="1240">
        <f t="shared" si="9"/>
        <v>11873444583.917036</v>
      </c>
      <c r="Q11" s="1236">
        <f t="shared" si="9"/>
        <v>21681091886.570721</v>
      </c>
      <c r="R11" s="1243">
        <f>SUM(R12:R16)</f>
        <v>0</v>
      </c>
      <c r="S11" s="1242">
        <f>SUM(S12:S16)</f>
        <v>0</v>
      </c>
      <c r="T11" s="1243">
        <f t="shared" ref="T11:U11" si="10">SUM(T12:T16)</f>
        <v>0</v>
      </c>
      <c r="U11" s="1243">
        <f t="shared" si="10"/>
        <v>0</v>
      </c>
      <c r="V11" s="1243">
        <f>SUM(V12:V16)</f>
        <v>0</v>
      </c>
      <c r="W11" s="1243">
        <f>SUM(W12:W16)</f>
        <v>3694270956</v>
      </c>
      <c r="X11" s="1240">
        <f>SUM(X12:X16)</f>
        <v>25375362842.570721</v>
      </c>
      <c r="Y11" s="1236">
        <f t="shared" ref="Y11:AC11" si="11">SUM(Y12:Y16)</f>
        <v>0</v>
      </c>
      <c r="Z11" s="1243">
        <f t="shared" si="11"/>
        <v>6757234431.6102533</v>
      </c>
      <c r="AA11" s="1240">
        <f t="shared" si="11"/>
        <v>6757234431.6102533</v>
      </c>
      <c r="AB11" s="1244">
        <f t="shared" si="11"/>
        <v>57401502102</v>
      </c>
      <c r="AC11" s="1245">
        <f t="shared" si="11"/>
        <v>50299416681</v>
      </c>
    </row>
    <row r="12" spans="2:29" x14ac:dyDescent="0.3">
      <c r="B12" s="1246" t="s">
        <v>3326</v>
      </c>
      <c r="C12" s="1247">
        <f t="shared" ref="C12:H12" si="12">SUM(C17:C19,C21:C23,C36,C40)</f>
        <v>6158242645.5762768</v>
      </c>
      <c r="D12" s="1248">
        <f t="shared" si="12"/>
        <v>0</v>
      </c>
      <c r="E12" s="1249">
        <f t="shared" si="12"/>
        <v>0</v>
      </c>
      <c r="F12" s="1248">
        <f t="shared" si="12"/>
        <v>0</v>
      </c>
      <c r="G12" s="1248">
        <f t="shared" si="12"/>
        <v>666634412</v>
      </c>
      <c r="H12" s="1250">
        <f t="shared" si="12"/>
        <v>0</v>
      </c>
      <c r="I12" s="1251">
        <f>SUM(C12:H12)</f>
        <v>6824877057.5762768</v>
      </c>
      <c r="J12" s="1252">
        <f t="shared" ref="J12:O12" si="13">SUM(J17:J19,J21:J23,J36,J40)</f>
        <v>255602490.70198384</v>
      </c>
      <c r="K12" s="1247">
        <f t="shared" si="13"/>
        <v>1377716734.7277982</v>
      </c>
      <c r="L12" s="1253">
        <f t="shared" si="13"/>
        <v>0</v>
      </c>
      <c r="M12" s="1253">
        <f t="shared" si="13"/>
        <v>457388266.35611683</v>
      </c>
      <c r="N12" s="1248">
        <f t="shared" si="13"/>
        <v>1157407853</v>
      </c>
      <c r="O12" s="1250">
        <f t="shared" si="13"/>
        <v>0</v>
      </c>
      <c r="P12" s="1251">
        <f t="shared" ref="P12:P51" si="14">SUM(K12:O12)</f>
        <v>2992512854.0839148</v>
      </c>
      <c r="Q12" s="1247">
        <f t="shared" ref="Q12:W12" si="15">SUM(Q17:Q19,Q21:Q23,Q36,Q40)</f>
        <v>6729967396.6425333</v>
      </c>
      <c r="R12" s="1254">
        <f t="shared" si="15"/>
        <v>0</v>
      </c>
      <c r="S12" s="1253">
        <f t="shared" si="15"/>
        <v>0</v>
      </c>
      <c r="T12" s="1254">
        <f t="shared" si="15"/>
        <v>0</v>
      </c>
      <c r="U12" s="1254">
        <f t="shared" si="15"/>
        <v>0</v>
      </c>
      <c r="V12" s="1254">
        <f t="shared" si="15"/>
        <v>0</v>
      </c>
      <c r="W12" s="1254">
        <f t="shared" si="15"/>
        <v>355511686</v>
      </c>
      <c r="X12" s="1251">
        <f>SUM(Q12:W12)</f>
        <v>7085479082.6425333</v>
      </c>
      <c r="Y12" s="1247">
        <f>SUM(Y17:Y19,Y21:Y23,Y36,Y40)</f>
        <v>0</v>
      </c>
      <c r="Z12" s="1254">
        <f>SUM(Z17:Z19,Z21:Z23,Z36,Z40)</f>
        <v>3926137305.9952908</v>
      </c>
      <c r="AA12" s="1251">
        <f>SUM(Y12:Z12)</f>
        <v>3926137305.9952908</v>
      </c>
      <c r="AB12" s="1255">
        <f t="shared" ref="AB12:AB14" si="16">SUM(I12,J12,P12,X12,AA12)</f>
        <v>21084608791</v>
      </c>
      <c r="AC12" s="1256">
        <f t="shared" ref="AC12:AC14" si="17">SUM(C12:F12,J12:M12,Q12:U12,AA12)</f>
        <v>18905054840</v>
      </c>
    </row>
    <row r="13" spans="2:29" x14ac:dyDescent="0.3">
      <c r="B13" s="1246" t="s">
        <v>1988</v>
      </c>
      <c r="C13" s="1247">
        <f t="shared" ref="C13:H13" si="18">SUM(C29:C31)</f>
        <v>2008642320.3738511</v>
      </c>
      <c r="D13" s="1248">
        <f t="shared" si="18"/>
        <v>0</v>
      </c>
      <c r="E13" s="1249">
        <f t="shared" si="18"/>
        <v>0</v>
      </c>
      <c r="F13" s="1248">
        <f t="shared" si="18"/>
        <v>0</v>
      </c>
      <c r="G13" s="1248">
        <f t="shared" si="18"/>
        <v>44697809</v>
      </c>
      <c r="H13" s="1250">
        <f t="shared" si="18"/>
        <v>0</v>
      </c>
      <c r="I13" s="1251">
        <f>SUM(C13:H13)</f>
        <v>2053340129.3738511</v>
      </c>
      <c r="J13" s="1252">
        <f>SUM(J29:J31)</f>
        <v>49364593.118190601</v>
      </c>
      <c r="K13" s="1247">
        <f t="shared" ref="K13" si="19">SUM(K29:K31)</f>
        <v>5272466406.2314539</v>
      </c>
      <c r="L13" s="1253">
        <f>SUM(L29:L31)</f>
        <v>0</v>
      </c>
      <c r="M13" s="1253">
        <f t="shared" ref="M13:O13" si="20">SUM(M29:M31)</f>
        <v>56872149.709494598</v>
      </c>
      <c r="N13" s="1248">
        <f t="shared" si="20"/>
        <v>1224704680</v>
      </c>
      <c r="O13" s="1250">
        <f t="shared" si="20"/>
        <v>0</v>
      </c>
      <c r="P13" s="1251">
        <f t="shared" si="14"/>
        <v>6554043235.9409485</v>
      </c>
      <c r="Q13" s="1247">
        <f t="shared" ref="Q13:R13" si="21">SUM(Q29:Q31)</f>
        <v>1560665157.601321</v>
      </c>
      <c r="R13" s="1254">
        <f t="shared" si="21"/>
        <v>0</v>
      </c>
      <c r="S13" s="1253">
        <f>SUM(S29:S31)</f>
        <v>0</v>
      </c>
      <c r="T13" s="1254">
        <f t="shared" ref="T13:W13" si="22">SUM(T29:T31)</f>
        <v>0</v>
      </c>
      <c r="U13" s="1254">
        <f t="shared" si="22"/>
        <v>0</v>
      </c>
      <c r="V13" s="1254">
        <f t="shared" si="22"/>
        <v>0</v>
      </c>
      <c r="W13" s="1254">
        <f t="shared" si="22"/>
        <v>77222370</v>
      </c>
      <c r="X13" s="1251">
        <f>SUM(Q13:W13)</f>
        <v>1637887527.601321</v>
      </c>
      <c r="Y13" s="1247">
        <f>SUM(Y29:Y31)</f>
        <v>0</v>
      </c>
      <c r="Z13" s="1254">
        <f>SUM(Z29:Z31)</f>
        <v>622472343.96568799</v>
      </c>
      <c r="AA13" s="1251">
        <f>SUM(Y13:Z13)</f>
        <v>622472343.96568799</v>
      </c>
      <c r="AB13" s="1255">
        <f t="shared" si="16"/>
        <v>10917107830</v>
      </c>
      <c r="AC13" s="1256">
        <f t="shared" si="17"/>
        <v>9570482971</v>
      </c>
    </row>
    <row r="14" spans="2:29" x14ac:dyDescent="0.3">
      <c r="B14" s="1246" t="s">
        <v>3327</v>
      </c>
      <c r="C14" s="1247">
        <f t="shared" ref="C14:H14" si="23">SUM(C41:C42)</f>
        <v>440205636</v>
      </c>
      <c r="D14" s="1248">
        <f t="shared" si="23"/>
        <v>0</v>
      </c>
      <c r="E14" s="1249">
        <f t="shared" si="23"/>
        <v>0</v>
      </c>
      <c r="F14" s="1248">
        <f t="shared" si="23"/>
        <v>0</v>
      </c>
      <c r="G14" s="1248">
        <f t="shared" si="23"/>
        <v>156886517</v>
      </c>
      <c r="H14" s="1250">
        <f t="shared" si="23"/>
        <v>0</v>
      </c>
      <c r="I14" s="1251">
        <f>SUM(C14:H14)</f>
        <v>597092153</v>
      </c>
      <c r="J14" s="1252">
        <f>SUM(J41:J42)</f>
        <v>0</v>
      </c>
      <c r="K14" s="1247">
        <f t="shared" ref="K14" si="24">SUM(K41:K42)</f>
        <v>477435582</v>
      </c>
      <c r="L14" s="1253">
        <f>SUM(L41:L42)</f>
        <v>0</v>
      </c>
      <c r="M14" s="1253">
        <f t="shared" ref="M14:O14" si="25">SUM(M41:M42)</f>
        <v>26115118</v>
      </c>
      <c r="N14" s="1248">
        <f t="shared" si="25"/>
        <v>155713618</v>
      </c>
      <c r="O14" s="1250">
        <f t="shared" si="25"/>
        <v>0</v>
      </c>
      <c r="P14" s="1251">
        <f t="shared" si="14"/>
        <v>659264318</v>
      </c>
      <c r="Q14" s="1247">
        <f t="shared" ref="Q14:R14" si="26">SUM(Q41:Q42)</f>
        <v>5827864230</v>
      </c>
      <c r="R14" s="1254">
        <f t="shared" si="26"/>
        <v>0</v>
      </c>
      <c r="S14" s="1253">
        <f>SUM(S41:S42)</f>
        <v>0</v>
      </c>
      <c r="T14" s="1254">
        <f t="shared" ref="T14:W14" si="27">SUM(T41:T42)</f>
        <v>0</v>
      </c>
      <c r="U14" s="1254">
        <f t="shared" si="27"/>
        <v>0</v>
      </c>
      <c r="V14" s="1254">
        <f t="shared" si="27"/>
        <v>0</v>
      </c>
      <c r="W14" s="1254">
        <f t="shared" si="27"/>
        <v>1310850466</v>
      </c>
      <c r="X14" s="1251">
        <f>SUM(Q14:W14)</f>
        <v>7138714696</v>
      </c>
      <c r="Y14" s="1247">
        <f>SUM(Y41:Y42)</f>
        <v>0</v>
      </c>
      <c r="Z14" s="1254">
        <f>SUM(Z41:Z42)</f>
        <v>153131990</v>
      </c>
      <c r="AA14" s="1251">
        <f>SUM(Y14:Z14)</f>
        <v>153131990</v>
      </c>
      <c r="AB14" s="1255">
        <f t="shared" si="16"/>
        <v>8548203157</v>
      </c>
      <c r="AC14" s="1256">
        <f t="shared" si="17"/>
        <v>6924752556</v>
      </c>
    </row>
    <row r="15" spans="2:29" x14ac:dyDescent="0.3">
      <c r="B15" s="1246" t="s">
        <v>1995</v>
      </c>
      <c r="C15" s="1247">
        <f t="shared" ref="C15:H15" si="28">SUM(C32,C49)</f>
        <v>519308858</v>
      </c>
      <c r="D15" s="1248">
        <f t="shared" si="28"/>
        <v>0</v>
      </c>
      <c r="E15" s="1249">
        <f t="shared" si="28"/>
        <v>0</v>
      </c>
      <c r="F15" s="1248">
        <f t="shared" si="28"/>
        <v>0</v>
      </c>
      <c r="G15" s="1248">
        <f t="shared" si="28"/>
        <v>178324875</v>
      </c>
      <c r="H15" s="1250">
        <f t="shared" si="28"/>
        <v>0</v>
      </c>
      <c r="I15" s="1251">
        <f>SUM(C15:H15)</f>
        <v>697633733</v>
      </c>
      <c r="J15" s="1252">
        <f t="shared" ref="J15:O15" si="29">SUM(J32,J49)</f>
        <v>13002293</v>
      </c>
      <c r="K15" s="1247">
        <f t="shared" si="29"/>
        <v>145814262</v>
      </c>
      <c r="L15" s="1253">
        <f t="shared" si="29"/>
        <v>0</v>
      </c>
      <c r="M15" s="1253">
        <f t="shared" si="29"/>
        <v>622748413</v>
      </c>
      <c r="N15" s="1248">
        <f t="shared" si="29"/>
        <v>372568128</v>
      </c>
      <c r="O15" s="1250">
        <f t="shared" si="29"/>
        <v>0</v>
      </c>
      <c r="P15" s="1251">
        <f t="shared" si="14"/>
        <v>1141130803</v>
      </c>
      <c r="Q15" s="1247">
        <f t="shared" ref="Q15:W15" si="30">SUM(Q32,Q49)</f>
        <v>7490987199</v>
      </c>
      <c r="R15" s="1254">
        <f t="shared" si="30"/>
        <v>0</v>
      </c>
      <c r="S15" s="1253">
        <f t="shared" si="30"/>
        <v>0</v>
      </c>
      <c r="T15" s="1254">
        <f t="shared" si="30"/>
        <v>0</v>
      </c>
      <c r="U15" s="1254">
        <f t="shared" si="30"/>
        <v>0</v>
      </c>
      <c r="V15" s="1254">
        <f t="shared" si="30"/>
        <v>0</v>
      </c>
      <c r="W15" s="1254">
        <f t="shared" si="30"/>
        <v>1767502478</v>
      </c>
      <c r="X15" s="1251">
        <f>SUM(Q15:W15)</f>
        <v>9258489677</v>
      </c>
      <c r="Y15" s="1247">
        <f>SUM(Y32,Y49)</f>
        <v>0</v>
      </c>
      <c r="Z15" s="1254">
        <f>SUM(Z32,Z49)</f>
        <v>982153230</v>
      </c>
      <c r="AA15" s="1251">
        <f>SUM(Y15:Z15)</f>
        <v>982153230</v>
      </c>
      <c r="AB15" s="1255">
        <f>SUM(AB32:AB32,AB49)</f>
        <v>12092409736</v>
      </c>
      <c r="AC15" s="1256">
        <f>SUM(AC32:AC32,AC49)</f>
        <v>9774014255</v>
      </c>
    </row>
    <row r="16" spans="2:29" ht="17.25" thickBot="1" x14ac:dyDescent="0.35">
      <c r="B16" s="1257" t="s">
        <v>3696</v>
      </c>
      <c r="C16" s="1258">
        <f t="shared" ref="C16:H16" si="31">SUM(C20,C24:C28,C33:C35,C37:C39,C43:C48,C50:C51)</f>
        <v>3761605819.9495797</v>
      </c>
      <c r="D16" s="1259">
        <f t="shared" si="31"/>
        <v>0</v>
      </c>
      <c r="E16" s="1260">
        <f t="shared" si="31"/>
        <v>0</v>
      </c>
      <c r="F16" s="1259">
        <f t="shared" si="31"/>
        <v>0</v>
      </c>
      <c r="G16" s="1259">
        <f t="shared" si="31"/>
        <v>-863304620</v>
      </c>
      <c r="H16" s="1261">
        <f t="shared" si="31"/>
        <v>0</v>
      </c>
      <c r="I16" s="1262">
        <f>SUM(C16:H16)</f>
        <v>2898301199.9495797</v>
      </c>
      <c r="J16" s="1263">
        <f t="shared" ref="J16:O16" si="32">SUM(J20,J24:J28,J33:J35,J37:J39,J43:J48,J50:J51)</f>
        <v>6246594.1821084358</v>
      </c>
      <c r="K16" s="1258">
        <f t="shared" si="32"/>
        <v>69405702.323444903</v>
      </c>
      <c r="L16" s="1264">
        <f t="shared" si="32"/>
        <v>0</v>
      </c>
      <c r="M16" s="1264">
        <f t="shared" si="32"/>
        <v>142906477.5687272</v>
      </c>
      <c r="N16" s="1259">
        <f t="shared" si="32"/>
        <v>314181193</v>
      </c>
      <c r="O16" s="1261">
        <f t="shared" si="32"/>
        <v>0</v>
      </c>
      <c r="P16" s="1262">
        <f t="shared" si="14"/>
        <v>526493372.8921721</v>
      </c>
      <c r="Q16" s="1258">
        <f t="shared" ref="Q16:W16" si="33">SUM(Q20,Q24:Q28,Q33:Q35,Q37:Q39,Q43:Q48,Q50:Q51)</f>
        <v>71607903.326865077</v>
      </c>
      <c r="R16" s="1265">
        <f t="shared" si="33"/>
        <v>0</v>
      </c>
      <c r="S16" s="1264">
        <f t="shared" si="33"/>
        <v>0</v>
      </c>
      <c r="T16" s="1265">
        <f t="shared" si="33"/>
        <v>0</v>
      </c>
      <c r="U16" s="1265">
        <f t="shared" si="33"/>
        <v>0</v>
      </c>
      <c r="V16" s="1265">
        <f t="shared" si="33"/>
        <v>0</v>
      </c>
      <c r="W16" s="1265">
        <f t="shared" si="33"/>
        <v>183183956</v>
      </c>
      <c r="X16" s="1262">
        <f>SUM(Q16:W16)</f>
        <v>254791859.32686508</v>
      </c>
      <c r="Y16" s="1258">
        <f>SUM(Y20,Y24:Y28,Y33:Y35,Y37:Y39,Y43:Y48,Y50:Y51)</f>
        <v>0</v>
      </c>
      <c r="Z16" s="1265">
        <f>SUM(Z20,Z24:Z28,Z33:Z35,Z37:Z39,Z43:Z48,Z50:Z51)</f>
        <v>1073339561.6492748</v>
      </c>
      <c r="AA16" s="1262">
        <f>SUM(Y16:Z16)</f>
        <v>1073339561.6492748</v>
      </c>
      <c r="AB16" s="1266">
        <f t="shared" ref="AB16:AB51" si="34">SUM(I16,J16,P16,X16,AA16)</f>
        <v>4759172588</v>
      </c>
      <c r="AC16" s="1267">
        <f t="shared" ref="AC16:AC51" si="35">SUM(C16:F16,J16:M16,Q16:U16,AA16)</f>
        <v>5125112059</v>
      </c>
    </row>
    <row r="17" spans="2:29" ht="17.25" hidden="1" outlineLevel="1" thickTop="1" x14ac:dyDescent="0.25">
      <c r="B17" s="1268" t="s">
        <v>1647</v>
      </c>
      <c r="C17" s="1269">
        <v>2976143846</v>
      </c>
      <c r="D17" s="1270"/>
      <c r="E17" s="1271"/>
      <c r="F17" s="1270"/>
      <c r="G17" s="1270">
        <v>564708583</v>
      </c>
      <c r="H17" s="1272"/>
      <c r="I17" s="1273">
        <f t="shared" ref="I17:I51" si="36">SUM(C17:H17)</f>
        <v>3540852429</v>
      </c>
      <c r="J17" s="1274">
        <v>192443390</v>
      </c>
      <c r="K17" s="1269">
        <v>1095582460</v>
      </c>
      <c r="L17" s="1275"/>
      <c r="M17" s="1275">
        <v>340743590</v>
      </c>
      <c r="N17" s="1270">
        <v>858040582</v>
      </c>
      <c r="O17" s="1272"/>
      <c r="P17" s="1273">
        <f t="shared" si="14"/>
        <v>2294366632</v>
      </c>
      <c r="Q17" s="1269">
        <v>4641843683</v>
      </c>
      <c r="R17" s="1276"/>
      <c r="S17" s="1275"/>
      <c r="T17" s="1276"/>
      <c r="U17" s="1276"/>
      <c r="V17" s="1276"/>
      <c r="W17" s="1276">
        <v>294077119</v>
      </c>
      <c r="X17" s="1273">
        <f t="shared" ref="X17:X51" si="37">SUM(Q17:W17)</f>
        <v>4935920802</v>
      </c>
      <c r="Y17" s="1269"/>
      <c r="Z17" s="1276">
        <v>2910151867</v>
      </c>
      <c r="AA17" s="1273">
        <f t="shared" ref="AA17:AA51" si="38">SUM(Y17:Z17)</f>
        <v>2910151867</v>
      </c>
      <c r="AB17" s="1277">
        <f t="shared" si="34"/>
        <v>13873735120</v>
      </c>
      <c r="AC17" s="1278">
        <f t="shared" si="35"/>
        <v>12156908836</v>
      </c>
    </row>
    <row r="18" spans="2:29" hidden="1" outlineLevel="1" x14ac:dyDescent="0.25">
      <c r="B18" s="1268" t="s">
        <v>3699</v>
      </c>
      <c r="C18" s="1269">
        <v>1931870910</v>
      </c>
      <c r="D18" s="1270"/>
      <c r="E18" s="1271"/>
      <c r="F18" s="1270"/>
      <c r="G18" s="1270">
        <v>0</v>
      </c>
      <c r="H18" s="1272"/>
      <c r="I18" s="1273">
        <f t="shared" si="36"/>
        <v>1931870910</v>
      </c>
      <c r="J18" s="1274">
        <v>0</v>
      </c>
      <c r="K18" s="1269">
        <v>0</v>
      </c>
      <c r="L18" s="1275"/>
      <c r="M18" s="1275">
        <v>0</v>
      </c>
      <c r="N18" s="1270">
        <v>0</v>
      </c>
      <c r="O18" s="1272"/>
      <c r="P18" s="1273">
        <f t="shared" si="14"/>
        <v>0</v>
      </c>
      <c r="Q18" s="1269">
        <v>0</v>
      </c>
      <c r="R18" s="1276"/>
      <c r="S18" s="1275"/>
      <c r="T18" s="1276"/>
      <c r="U18" s="1276"/>
      <c r="V18" s="1276"/>
      <c r="W18" s="1276">
        <v>0</v>
      </c>
      <c r="X18" s="1273">
        <f t="shared" si="37"/>
        <v>0</v>
      </c>
      <c r="Y18" s="1269"/>
      <c r="Z18" s="1276">
        <v>4631520</v>
      </c>
      <c r="AA18" s="1273">
        <f t="shared" si="38"/>
        <v>4631520</v>
      </c>
      <c r="AB18" s="1277">
        <f t="shared" si="34"/>
        <v>1936502430</v>
      </c>
      <c r="AC18" s="1278">
        <f t="shared" si="35"/>
        <v>1936502430</v>
      </c>
    </row>
    <row r="19" spans="2:29" hidden="1" outlineLevel="1" x14ac:dyDescent="0.25">
      <c r="B19" s="1268" t="s">
        <v>1984</v>
      </c>
      <c r="C19" s="1269">
        <v>398789273.33497095</v>
      </c>
      <c r="D19" s="1270"/>
      <c r="E19" s="1271"/>
      <c r="F19" s="1270"/>
      <c r="G19" s="1270">
        <v>0</v>
      </c>
      <c r="H19" s="1272"/>
      <c r="I19" s="1273">
        <f t="shared" si="36"/>
        <v>398789273.33497095</v>
      </c>
      <c r="J19" s="1274">
        <v>11747351.191782776</v>
      </c>
      <c r="K19" s="1269">
        <v>84704563.721248984</v>
      </c>
      <c r="L19" s="1275"/>
      <c r="M19" s="1275">
        <v>34755365</v>
      </c>
      <c r="N19" s="1270">
        <v>40484922</v>
      </c>
      <c r="O19" s="1272"/>
      <c r="P19" s="1273">
        <f t="shared" si="14"/>
        <v>159944850.72124898</v>
      </c>
      <c r="Q19" s="1269">
        <v>318298856.46196657</v>
      </c>
      <c r="R19" s="1276"/>
      <c r="S19" s="1275"/>
      <c r="T19" s="1276"/>
      <c r="U19" s="1276"/>
      <c r="V19" s="1276"/>
      <c r="W19" s="1276">
        <v>5380540</v>
      </c>
      <c r="X19" s="1273">
        <f t="shared" si="37"/>
        <v>323679396.46196657</v>
      </c>
      <c r="Y19" s="1269"/>
      <c r="Z19" s="1276">
        <v>200143486.29003075</v>
      </c>
      <c r="AA19" s="1273">
        <f t="shared" si="38"/>
        <v>200143486.29003075</v>
      </c>
      <c r="AB19" s="1277">
        <f t="shared" si="34"/>
        <v>1094304358</v>
      </c>
      <c r="AC19" s="1278">
        <f t="shared" si="35"/>
        <v>1048438896</v>
      </c>
    </row>
    <row r="20" spans="2:29" hidden="1" outlineLevel="1" x14ac:dyDescent="0.25">
      <c r="B20" s="1279" t="s">
        <v>1987</v>
      </c>
      <c r="C20" s="1280">
        <v>234048901.94957966</v>
      </c>
      <c r="D20" s="1281"/>
      <c r="E20" s="1282"/>
      <c r="F20" s="1281"/>
      <c r="G20" s="1281">
        <v>60232614</v>
      </c>
      <c r="H20" s="1283"/>
      <c r="I20" s="1284">
        <f t="shared" si="36"/>
        <v>294281515.94957966</v>
      </c>
      <c r="J20" s="1285">
        <v>-654929.81789156422</v>
      </c>
      <c r="K20" s="1280">
        <v>22284810.323444899</v>
      </c>
      <c r="L20" s="1286"/>
      <c r="M20" s="1286">
        <v>5424612.5687271822</v>
      </c>
      <c r="N20" s="1281">
        <v>92530382</v>
      </c>
      <c r="O20" s="1283"/>
      <c r="P20" s="1284">
        <f t="shared" si="14"/>
        <v>120239804.89217208</v>
      </c>
      <c r="Q20" s="1280">
        <v>-19406805.673134923</v>
      </c>
      <c r="R20" s="1287"/>
      <c r="S20" s="1286"/>
      <c r="T20" s="1287"/>
      <c r="U20" s="1287"/>
      <c r="V20" s="1287"/>
      <c r="W20" s="1287">
        <v>157342600</v>
      </c>
      <c r="X20" s="1284">
        <f t="shared" si="37"/>
        <v>137935794.32686508</v>
      </c>
      <c r="Y20" s="1280"/>
      <c r="Z20" s="1287">
        <v>183748763.64927483</v>
      </c>
      <c r="AA20" s="1284">
        <f t="shared" si="38"/>
        <v>183748763.64927483</v>
      </c>
      <c r="AB20" s="1288">
        <f t="shared" si="34"/>
        <v>735550949.00000012</v>
      </c>
      <c r="AC20" s="1289">
        <f t="shared" si="35"/>
        <v>425445353.00000012</v>
      </c>
    </row>
    <row r="21" spans="2:29" hidden="1" outlineLevel="1" x14ac:dyDescent="0.25">
      <c r="B21" s="1268" t="s">
        <v>3704</v>
      </c>
      <c r="C21" s="1269">
        <v>400863660</v>
      </c>
      <c r="D21" s="1270"/>
      <c r="E21" s="1271"/>
      <c r="F21" s="1270"/>
      <c r="G21" s="1270">
        <v>79528990</v>
      </c>
      <c r="H21" s="1272"/>
      <c r="I21" s="1273">
        <f t="shared" si="36"/>
        <v>480392650</v>
      </c>
      <c r="J21" s="1274">
        <v>14695820</v>
      </c>
      <c r="K21" s="1269">
        <v>92579480</v>
      </c>
      <c r="L21" s="1275"/>
      <c r="M21" s="1275">
        <v>26291960</v>
      </c>
      <c r="N21" s="1270">
        <v>181924258</v>
      </c>
      <c r="O21" s="1272"/>
      <c r="P21" s="1273">
        <f t="shared" si="14"/>
        <v>300795698</v>
      </c>
      <c r="Q21" s="1269">
        <v>388375580</v>
      </c>
      <c r="R21" s="1276"/>
      <c r="S21" s="1275"/>
      <c r="T21" s="1276"/>
      <c r="U21" s="1276"/>
      <c r="V21" s="1276"/>
      <c r="W21" s="1276">
        <v>43098850</v>
      </c>
      <c r="X21" s="1273">
        <f t="shared" si="37"/>
        <v>431474430</v>
      </c>
      <c r="Y21" s="1269"/>
      <c r="Z21" s="1276">
        <v>258261300</v>
      </c>
      <c r="AA21" s="1273">
        <f t="shared" si="38"/>
        <v>258261300</v>
      </c>
      <c r="AB21" s="1277">
        <f t="shared" si="34"/>
        <v>1485619898</v>
      </c>
      <c r="AC21" s="1278">
        <f t="shared" si="35"/>
        <v>1181067800</v>
      </c>
    </row>
    <row r="22" spans="2:29" hidden="1" outlineLevel="1" x14ac:dyDescent="0.25">
      <c r="B22" s="1268" t="s">
        <v>3706</v>
      </c>
      <c r="C22" s="1269">
        <v>369844254.24130589</v>
      </c>
      <c r="D22" s="1270"/>
      <c r="E22" s="1271"/>
      <c r="F22" s="1270"/>
      <c r="G22" s="1270">
        <v>0</v>
      </c>
      <c r="H22" s="1272"/>
      <c r="I22" s="1273">
        <f t="shared" si="36"/>
        <v>369844254.24130589</v>
      </c>
      <c r="J22" s="1274">
        <v>24212977.510201059</v>
      </c>
      <c r="K22" s="1269">
        <v>62355706.740452416</v>
      </c>
      <c r="L22" s="1275"/>
      <c r="M22" s="1275">
        <v>23617138.329881284</v>
      </c>
      <c r="N22" s="1270">
        <v>0</v>
      </c>
      <c r="O22" s="1272"/>
      <c r="P22" s="1273">
        <f t="shared" si="14"/>
        <v>85972845.070333704</v>
      </c>
      <c r="Q22" s="1269">
        <v>404626379.93612027</v>
      </c>
      <c r="R22" s="1276"/>
      <c r="S22" s="1275"/>
      <c r="T22" s="1276"/>
      <c r="U22" s="1276"/>
      <c r="V22" s="1276"/>
      <c r="W22" s="1276">
        <v>0</v>
      </c>
      <c r="X22" s="1273">
        <f t="shared" si="37"/>
        <v>404626379.93612027</v>
      </c>
      <c r="Y22" s="1269"/>
      <c r="Z22" s="1276">
        <v>325522485.24203879</v>
      </c>
      <c r="AA22" s="1273">
        <f t="shared" si="38"/>
        <v>325522485.24203879</v>
      </c>
      <c r="AB22" s="1277">
        <f t="shared" si="34"/>
        <v>1210178941.9999998</v>
      </c>
      <c r="AC22" s="1278">
        <f t="shared" si="35"/>
        <v>1210178941.9999998</v>
      </c>
    </row>
    <row r="23" spans="2:29" hidden="1" outlineLevel="1" x14ac:dyDescent="0.25">
      <c r="B23" s="1268" t="s">
        <v>527</v>
      </c>
      <c r="C23" s="1269">
        <v>0</v>
      </c>
      <c r="D23" s="1270"/>
      <c r="E23" s="1271"/>
      <c r="F23" s="1270"/>
      <c r="G23" s="1270">
        <v>0</v>
      </c>
      <c r="H23" s="1272"/>
      <c r="I23" s="1273">
        <f t="shared" si="36"/>
        <v>0</v>
      </c>
      <c r="J23" s="1274">
        <v>0</v>
      </c>
      <c r="K23" s="1269">
        <v>21912708.266096584</v>
      </c>
      <c r="L23" s="1275"/>
      <c r="M23" s="1275">
        <v>30754843.026235517</v>
      </c>
      <c r="N23" s="1270">
        <v>0</v>
      </c>
      <c r="O23" s="1272"/>
      <c r="P23" s="1273">
        <f t="shared" si="14"/>
        <v>52667551.292332098</v>
      </c>
      <c r="Q23" s="1269">
        <v>532058104.24444675</v>
      </c>
      <c r="R23" s="1276"/>
      <c r="S23" s="1275"/>
      <c r="T23" s="1276"/>
      <c r="U23" s="1276"/>
      <c r="V23" s="1276"/>
      <c r="W23" s="1276">
        <v>0</v>
      </c>
      <c r="X23" s="1273">
        <f t="shared" si="37"/>
        <v>532058104.24444675</v>
      </c>
      <c r="Y23" s="1269"/>
      <c r="Z23" s="1276">
        <v>89957733.463221192</v>
      </c>
      <c r="AA23" s="1273">
        <f t="shared" si="38"/>
        <v>89957733.463221192</v>
      </c>
      <c r="AB23" s="1277">
        <f t="shared" si="34"/>
        <v>674683389</v>
      </c>
      <c r="AC23" s="1278">
        <f t="shared" si="35"/>
        <v>674683389</v>
      </c>
    </row>
    <row r="24" spans="2:29" hidden="1" outlineLevel="1" x14ac:dyDescent="0.25">
      <c r="B24" s="1268" t="s">
        <v>3199</v>
      </c>
      <c r="C24" s="1269">
        <v>12172652</v>
      </c>
      <c r="D24" s="1270"/>
      <c r="E24" s="1271"/>
      <c r="F24" s="1270"/>
      <c r="G24" s="1270">
        <v>0</v>
      </c>
      <c r="H24" s="1272"/>
      <c r="I24" s="1273">
        <f t="shared" si="36"/>
        <v>12172652</v>
      </c>
      <c r="J24" s="1274">
        <v>0</v>
      </c>
      <c r="K24" s="1269">
        <v>1939170</v>
      </c>
      <c r="L24" s="1275"/>
      <c r="M24" s="1275">
        <v>1329100</v>
      </c>
      <c r="N24" s="1270">
        <v>748832</v>
      </c>
      <c r="O24" s="1272"/>
      <c r="P24" s="1273">
        <f t="shared" si="14"/>
        <v>4017102</v>
      </c>
      <c r="Q24" s="1269">
        <v>22645341</v>
      </c>
      <c r="R24" s="1276"/>
      <c r="S24" s="1275"/>
      <c r="T24" s="1276"/>
      <c r="U24" s="1276"/>
      <c r="V24" s="1276"/>
      <c r="W24" s="1276">
        <v>0</v>
      </c>
      <c r="X24" s="1273">
        <f t="shared" si="37"/>
        <v>22645341</v>
      </c>
      <c r="Y24" s="1269"/>
      <c r="Z24" s="1276">
        <v>12863141</v>
      </c>
      <c r="AA24" s="1273">
        <f t="shared" si="38"/>
        <v>12863141</v>
      </c>
      <c r="AB24" s="1277">
        <f t="shared" si="34"/>
        <v>51698236</v>
      </c>
      <c r="AC24" s="1278">
        <f t="shared" si="35"/>
        <v>50949404</v>
      </c>
    </row>
    <row r="25" spans="2:29" hidden="1" outlineLevel="1" x14ac:dyDescent="0.25">
      <c r="B25" s="1268" t="s">
        <v>3710</v>
      </c>
      <c r="C25" s="1269">
        <v>6261490</v>
      </c>
      <c r="D25" s="1270"/>
      <c r="E25" s="1271"/>
      <c r="F25" s="1270"/>
      <c r="G25" s="1270">
        <v>22224437</v>
      </c>
      <c r="H25" s="1272"/>
      <c r="I25" s="1273">
        <f t="shared" si="36"/>
        <v>28485927</v>
      </c>
      <c r="J25" s="1274">
        <v>578900</v>
      </c>
      <c r="K25" s="1269">
        <v>3267773</v>
      </c>
      <c r="L25" s="1275"/>
      <c r="M25" s="1275">
        <v>0</v>
      </c>
      <c r="N25" s="1270">
        <v>5186911</v>
      </c>
      <c r="O25" s="1272"/>
      <c r="P25" s="1273">
        <f t="shared" si="14"/>
        <v>8454684</v>
      </c>
      <c r="Q25" s="1269">
        <v>0</v>
      </c>
      <c r="R25" s="1276"/>
      <c r="S25" s="1275"/>
      <c r="T25" s="1276"/>
      <c r="U25" s="1276"/>
      <c r="V25" s="1276"/>
      <c r="W25" s="1276">
        <v>108000</v>
      </c>
      <c r="X25" s="1273">
        <f t="shared" si="37"/>
        <v>108000</v>
      </c>
      <c r="Y25" s="1269"/>
      <c r="Z25" s="1276">
        <v>151708163</v>
      </c>
      <c r="AA25" s="1273">
        <f t="shared" si="38"/>
        <v>151708163</v>
      </c>
      <c r="AB25" s="1277">
        <f t="shared" si="34"/>
        <v>189335674</v>
      </c>
      <c r="AC25" s="1278">
        <f t="shared" si="35"/>
        <v>161816326</v>
      </c>
    </row>
    <row r="26" spans="2:29" hidden="1" outlineLevel="1" x14ac:dyDescent="0.25">
      <c r="B26" s="1268" t="s">
        <v>3711</v>
      </c>
      <c r="C26" s="1269">
        <v>62435736</v>
      </c>
      <c r="D26" s="1270"/>
      <c r="E26" s="1271"/>
      <c r="F26" s="1270"/>
      <c r="G26" s="1270">
        <v>1092442</v>
      </c>
      <c r="H26" s="1272"/>
      <c r="I26" s="1273">
        <f t="shared" si="36"/>
        <v>63528178</v>
      </c>
      <c r="J26" s="1274">
        <v>0</v>
      </c>
      <c r="K26" s="1269">
        <v>1211454</v>
      </c>
      <c r="L26" s="1275"/>
      <c r="M26" s="1275">
        <v>745464</v>
      </c>
      <c r="N26" s="1270">
        <v>25392681</v>
      </c>
      <c r="O26" s="1272"/>
      <c r="P26" s="1273">
        <f t="shared" si="14"/>
        <v>27349599</v>
      </c>
      <c r="Q26" s="1269">
        <v>455346</v>
      </c>
      <c r="R26" s="1276"/>
      <c r="S26" s="1275"/>
      <c r="T26" s="1276"/>
      <c r="U26" s="1276"/>
      <c r="V26" s="1276"/>
      <c r="W26" s="1276">
        <v>0</v>
      </c>
      <c r="X26" s="1273">
        <f t="shared" si="37"/>
        <v>455346</v>
      </c>
      <c r="Y26" s="1269"/>
      <c r="Z26" s="1276">
        <v>18066468</v>
      </c>
      <c r="AA26" s="1273">
        <f t="shared" si="38"/>
        <v>18066468</v>
      </c>
      <c r="AB26" s="1277">
        <f t="shared" si="34"/>
        <v>109399591</v>
      </c>
      <c r="AC26" s="1278">
        <f t="shared" si="35"/>
        <v>82914468</v>
      </c>
    </row>
    <row r="27" spans="2:29" hidden="1" outlineLevel="1" x14ac:dyDescent="0.25">
      <c r="B27" s="1268" t="s">
        <v>3712</v>
      </c>
      <c r="C27" s="1269">
        <v>16217070</v>
      </c>
      <c r="D27" s="1270"/>
      <c r="E27" s="1271"/>
      <c r="F27" s="1270"/>
      <c r="G27" s="1270">
        <v>18004508</v>
      </c>
      <c r="H27" s="1272"/>
      <c r="I27" s="1273">
        <f t="shared" si="36"/>
        <v>34221578</v>
      </c>
      <c r="J27" s="1274">
        <v>0</v>
      </c>
      <c r="K27" s="1269">
        <v>0</v>
      </c>
      <c r="L27" s="1275"/>
      <c r="M27" s="1275">
        <v>359740</v>
      </c>
      <c r="N27" s="1270">
        <v>1209043</v>
      </c>
      <c r="O27" s="1272"/>
      <c r="P27" s="1273">
        <f t="shared" si="14"/>
        <v>1568783</v>
      </c>
      <c r="Q27" s="1269">
        <v>0</v>
      </c>
      <c r="R27" s="1276"/>
      <c r="S27" s="1275"/>
      <c r="T27" s="1276"/>
      <c r="U27" s="1276"/>
      <c r="V27" s="1276"/>
      <c r="W27" s="1276">
        <v>0</v>
      </c>
      <c r="X27" s="1273">
        <f t="shared" si="37"/>
        <v>0</v>
      </c>
      <c r="Y27" s="1269"/>
      <c r="Z27" s="1276">
        <v>21604505</v>
      </c>
      <c r="AA27" s="1273">
        <f t="shared" si="38"/>
        <v>21604505</v>
      </c>
      <c r="AB27" s="1277">
        <f t="shared" si="34"/>
        <v>57394866</v>
      </c>
      <c r="AC27" s="1278">
        <f t="shared" si="35"/>
        <v>38181315</v>
      </c>
    </row>
    <row r="28" spans="2:29" hidden="1" outlineLevel="1" x14ac:dyDescent="0.25">
      <c r="B28" s="1290" t="s">
        <v>3713</v>
      </c>
      <c r="C28" s="1291">
        <v>0</v>
      </c>
      <c r="D28" s="1292"/>
      <c r="E28" s="1293"/>
      <c r="F28" s="1292"/>
      <c r="G28" s="1292">
        <v>0</v>
      </c>
      <c r="H28" s="1294"/>
      <c r="I28" s="1295">
        <f t="shared" si="36"/>
        <v>0</v>
      </c>
      <c r="J28" s="1296">
        <v>0</v>
      </c>
      <c r="K28" s="1291">
        <v>0</v>
      </c>
      <c r="L28" s="1297"/>
      <c r="M28" s="1297">
        <v>0</v>
      </c>
      <c r="N28" s="1292">
        <v>0</v>
      </c>
      <c r="O28" s="1294"/>
      <c r="P28" s="1295">
        <f t="shared" si="14"/>
        <v>0</v>
      </c>
      <c r="Q28" s="1291">
        <v>0</v>
      </c>
      <c r="R28" s="1298"/>
      <c r="S28" s="1297"/>
      <c r="T28" s="1298"/>
      <c r="U28" s="1298"/>
      <c r="V28" s="1298"/>
      <c r="W28" s="1298">
        <v>0</v>
      </c>
      <c r="X28" s="1295">
        <f t="shared" si="37"/>
        <v>0</v>
      </c>
      <c r="Y28" s="1291"/>
      <c r="Z28" s="1298">
        <v>3259565</v>
      </c>
      <c r="AA28" s="1295">
        <f t="shared" si="38"/>
        <v>3259565</v>
      </c>
      <c r="AB28" s="1299">
        <f t="shared" si="34"/>
        <v>3259565</v>
      </c>
      <c r="AC28" s="1300">
        <f t="shared" si="35"/>
        <v>3259565</v>
      </c>
    </row>
    <row r="29" spans="2:29" hidden="1" outlineLevel="1" x14ac:dyDescent="0.25">
      <c r="B29" s="1279" t="s">
        <v>1989</v>
      </c>
      <c r="C29" s="1280">
        <v>1173413502</v>
      </c>
      <c r="D29" s="1281"/>
      <c r="E29" s="1282"/>
      <c r="F29" s="1281"/>
      <c r="G29" s="1281">
        <v>0</v>
      </c>
      <c r="H29" s="1283"/>
      <c r="I29" s="1284">
        <f t="shared" si="36"/>
        <v>1173413502</v>
      </c>
      <c r="J29" s="1285">
        <v>0</v>
      </c>
      <c r="K29" s="1280">
        <v>5067509320</v>
      </c>
      <c r="L29" s="1286"/>
      <c r="M29" s="1286">
        <v>0</v>
      </c>
      <c r="N29" s="1281">
        <v>798950523</v>
      </c>
      <c r="O29" s="1283"/>
      <c r="P29" s="1284">
        <f t="shared" si="14"/>
        <v>5866459843</v>
      </c>
      <c r="Q29" s="1280">
        <v>718247349</v>
      </c>
      <c r="R29" s="1287"/>
      <c r="S29" s="1286"/>
      <c r="T29" s="1287"/>
      <c r="U29" s="1287"/>
      <c r="V29" s="1287"/>
      <c r="W29" s="1287">
        <v>49955511</v>
      </c>
      <c r="X29" s="1284">
        <f t="shared" si="37"/>
        <v>768202860</v>
      </c>
      <c r="Y29" s="1280"/>
      <c r="Z29" s="1287">
        <v>115802805</v>
      </c>
      <c r="AA29" s="1284">
        <f t="shared" si="38"/>
        <v>115802805</v>
      </c>
      <c r="AB29" s="1288">
        <f t="shared" si="34"/>
        <v>7923879010</v>
      </c>
      <c r="AC29" s="1289">
        <f t="shared" si="35"/>
        <v>7074972976</v>
      </c>
    </row>
    <row r="30" spans="2:29" hidden="1" outlineLevel="1" x14ac:dyDescent="0.25">
      <c r="B30" s="1268" t="s">
        <v>3714</v>
      </c>
      <c r="C30" s="1269">
        <v>741595522.80103099</v>
      </c>
      <c r="D30" s="1270"/>
      <c r="E30" s="1271"/>
      <c r="F30" s="1270"/>
      <c r="G30" s="1270">
        <v>0</v>
      </c>
      <c r="H30" s="1272"/>
      <c r="I30" s="1273">
        <f t="shared" si="36"/>
        <v>741595522.80103099</v>
      </c>
      <c r="J30" s="1274">
        <v>43248973.860177837</v>
      </c>
      <c r="K30" s="1269">
        <v>115149778.04246585</v>
      </c>
      <c r="L30" s="1275"/>
      <c r="M30" s="1275">
        <v>30716974.738763403</v>
      </c>
      <c r="N30" s="1270">
        <v>412657138</v>
      </c>
      <c r="O30" s="1272"/>
      <c r="P30" s="1273">
        <f t="shared" si="14"/>
        <v>558523890.78122926</v>
      </c>
      <c r="Q30" s="1269">
        <v>784655881.92259192</v>
      </c>
      <c r="R30" s="1276"/>
      <c r="S30" s="1275"/>
      <c r="T30" s="1276"/>
      <c r="U30" s="1276"/>
      <c r="V30" s="1276"/>
      <c r="W30" s="1276">
        <v>0</v>
      </c>
      <c r="X30" s="1273">
        <f t="shared" si="37"/>
        <v>784655881.92259192</v>
      </c>
      <c r="Y30" s="1269"/>
      <c r="Z30" s="1276">
        <v>338435513.63497001</v>
      </c>
      <c r="AA30" s="1273">
        <f t="shared" si="38"/>
        <v>338435513.63497001</v>
      </c>
      <c r="AB30" s="1277">
        <f t="shared" si="34"/>
        <v>2466459783</v>
      </c>
      <c r="AC30" s="1278">
        <f t="shared" si="35"/>
        <v>2053802645</v>
      </c>
    </row>
    <row r="31" spans="2:29" hidden="1" outlineLevel="1" x14ac:dyDescent="0.25">
      <c r="B31" s="1290" t="s">
        <v>3715</v>
      </c>
      <c r="C31" s="1291">
        <v>93633295.572819948</v>
      </c>
      <c r="D31" s="1292"/>
      <c r="E31" s="1293"/>
      <c r="F31" s="1292"/>
      <c r="G31" s="1292">
        <v>44697809</v>
      </c>
      <c r="H31" s="1294"/>
      <c r="I31" s="1295">
        <f t="shared" si="36"/>
        <v>138331104.57281995</v>
      </c>
      <c r="J31" s="1296">
        <v>6115619.2580127642</v>
      </c>
      <c r="K31" s="1291">
        <v>89807308.188988164</v>
      </c>
      <c r="L31" s="1297"/>
      <c r="M31" s="1297">
        <v>26155174.970731195</v>
      </c>
      <c r="N31" s="1292">
        <v>13097019</v>
      </c>
      <c r="O31" s="1294"/>
      <c r="P31" s="1295">
        <f t="shared" si="14"/>
        <v>129059502.15971936</v>
      </c>
      <c r="Q31" s="1291">
        <v>57761926.678729057</v>
      </c>
      <c r="R31" s="1298"/>
      <c r="S31" s="1297"/>
      <c r="T31" s="1298"/>
      <c r="U31" s="1298"/>
      <c r="V31" s="1298"/>
      <c r="W31" s="1298">
        <v>27266859</v>
      </c>
      <c r="X31" s="1295">
        <f t="shared" si="37"/>
        <v>85028785.678729057</v>
      </c>
      <c r="Y31" s="1291"/>
      <c r="Z31" s="1298">
        <v>168234025.33071798</v>
      </c>
      <c r="AA31" s="1295">
        <f t="shared" si="38"/>
        <v>168234025.33071798</v>
      </c>
      <c r="AB31" s="1299">
        <f t="shared" si="34"/>
        <v>526769036.99999911</v>
      </c>
      <c r="AC31" s="1300">
        <f t="shared" si="35"/>
        <v>441707349.99999911</v>
      </c>
    </row>
    <row r="32" spans="2:29" hidden="1" outlineLevel="1" x14ac:dyDescent="0.25">
      <c r="B32" s="1279" t="s">
        <v>3716</v>
      </c>
      <c r="C32" s="1280">
        <v>442827969</v>
      </c>
      <c r="D32" s="1281"/>
      <c r="E32" s="1282"/>
      <c r="F32" s="1281"/>
      <c r="G32" s="1281">
        <v>178324875</v>
      </c>
      <c r="H32" s="1283"/>
      <c r="I32" s="1284">
        <f t="shared" si="36"/>
        <v>621152844</v>
      </c>
      <c r="J32" s="1285">
        <v>13002293</v>
      </c>
      <c r="K32" s="1280">
        <v>138992030</v>
      </c>
      <c r="L32" s="1286"/>
      <c r="M32" s="1286">
        <v>364772858</v>
      </c>
      <c r="N32" s="1281">
        <v>372568128</v>
      </c>
      <c r="O32" s="1283"/>
      <c r="P32" s="1284">
        <f t="shared" si="14"/>
        <v>876333016</v>
      </c>
      <c r="Q32" s="1280">
        <v>6777584784</v>
      </c>
      <c r="R32" s="1287"/>
      <c r="S32" s="1286"/>
      <c r="T32" s="1287"/>
      <c r="U32" s="1287"/>
      <c r="V32" s="1287"/>
      <c r="W32" s="1287">
        <v>1767502478</v>
      </c>
      <c r="X32" s="1284">
        <f t="shared" si="37"/>
        <v>8545087262</v>
      </c>
      <c r="Y32" s="1280"/>
      <c r="Z32" s="1287">
        <v>981312902</v>
      </c>
      <c r="AA32" s="1284">
        <f t="shared" si="38"/>
        <v>981312902</v>
      </c>
      <c r="AB32" s="1288">
        <f t="shared" si="34"/>
        <v>11036888317</v>
      </c>
      <c r="AC32" s="1289">
        <f t="shared" si="35"/>
        <v>8718492836</v>
      </c>
    </row>
    <row r="33" spans="2:29" hidden="1" outlineLevel="1" x14ac:dyDescent="0.25">
      <c r="B33" s="1268" t="s">
        <v>1986</v>
      </c>
      <c r="C33" s="1269">
        <v>217192360</v>
      </c>
      <c r="D33" s="1270"/>
      <c r="E33" s="1271"/>
      <c r="F33" s="1270"/>
      <c r="G33" s="1270">
        <v>44126530</v>
      </c>
      <c r="H33" s="1272"/>
      <c r="I33" s="1273">
        <f t="shared" si="36"/>
        <v>261318890</v>
      </c>
      <c r="J33" s="1274">
        <v>2569630</v>
      </c>
      <c r="K33" s="1269">
        <v>16011954</v>
      </c>
      <c r="L33" s="1275"/>
      <c r="M33" s="1275">
        <v>21074833</v>
      </c>
      <c r="N33" s="1270">
        <v>73936388</v>
      </c>
      <c r="O33" s="1272"/>
      <c r="P33" s="1273">
        <f t="shared" si="14"/>
        <v>111023175</v>
      </c>
      <c r="Q33" s="1269">
        <v>14549906</v>
      </c>
      <c r="R33" s="1276"/>
      <c r="S33" s="1275"/>
      <c r="T33" s="1276"/>
      <c r="U33" s="1276"/>
      <c r="V33" s="1276"/>
      <c r="W33" s="1276">
        <v>2452870</v>
      </c>
      <c r="X33" s="1273">
        <f t="shared" si="37"/>
        <v>17002776</v>
      </c>
      <c r="Y33" s="1269"/>
      <c r="Z33" s="1276">
        <v>29347296</v>
      </c>
      <c r="AA33" s="1273">
        <f t="shared" si="38"/>
        <v>29347296</v>
      </c>
      <c r="AB33" s="1277">
        <f t="shared" si="34"/>
        <v>421261767</v>
      </c>
      <c r="AC33" s="1278">
        <f t="shared" si="35"/>
        <v>300745979</v>
      </c>
    </row>
    <row r="34" spans="2:29" hidden="1" outlineLevel="1" x14ac:dyDescent="0.25">
      <c r="B34" s="1268" t="s">
        <v>1998</v>
      </c>
      <c r="C34" s="1269">
        <v>2579091</v>
      </c>
      <c r="D34" s="1270"/>
      <c r="E34" s="1271"/>
      <c r="F34" s="1270"/>
      <c r="G34" s="1270">
        <v>0</v>
      </c>
      <c r="H34" s="1272"/>
      <c r="I34" s="1273">
        <f t="shared" si="36"/>
        <v>2579091</v>
      </c>
      <c r="J34" s="1274">
        <v>0</v>
      </c>
      <c r="K34" s="1269">
        <v>0</v>
      </c>
      <c r="L34" s="1275"/>
      <c r="M34" s="1275">
        <v>0</v>
      </c>
      <c r="N34" s="1270">
        <v>0</v>
      </c>
      <c r="O34" s="1272"/>
      <c r="P34" s="1273">
        <f t="shared" si="14"/>
        <v>0</v>
      </c>
      <c r="Q34" s="1269">
        <v>14560000</v>
      </c>
      <c r="R34" s="1276"/>
      <c r="S34" s="1275"/>
      <c r="T34" s="1276"/>
      <c r="U34" s="1276"/>
      <c r="V34" s="1276"/>
      <c r="W34" s="1276">
        <v>0</v>
      </c>
      <c r="X34" s="1273">
        <f t="shared" si="37"/>
        <v>14560000</v>
      </c>
      <c r="Y34" s="1269"/>
      <c r="Z34" s="1276">
        <v>208674910</v>
      </c>
      <c r="AA34" s="1273">
        <f t="shared" si="38"/>
        <v>208674910</v>
      </c>
      <c r="AB34" s="1277">
        <f t="shared" si="34"/>
        <v>225814001</v>
      </c>
      <c r="AC34" s="1278">
        <f t="shared" si="35"/>
        <v>225814001</v>
      </c>
    </row>
    <row r="35" spans="2:29" hidden="1" outlineLevel="1" x14ac:dyDescent="0.25">
      <c r="B35" s="1268" t="s">
        <v>2002</v>
      </c>
      <c r="C35" s="1269">
        <v>2111603</v>
      </c>
      <c r="D35" s="1270"/>
      <c r="E35" s="1271"/>
      <c r="F35" s="1270"/>
      <c r="G35" s="1270">
        <v>26598141</v>
      </c>
      <c r="H35" s="1272"/>
      <c r="I35" s="1273">
        <f t="shared" si="36"/>
        <v>28709744</v>
      </c>
      <c r="J35" s="1274">
        <v>70017</v>
      </c>
      <c r="K35" s="1269">
        <v>929282</v>
      </c>
      <c r="L35" s="1275"/>
      <c r="M35" s="1275">
        <v>1634004</v>
      </c>
      <c r="N35" s="1270">
        <v>38834920</v>
      </c>
      <c r="O35" s="1272"/>
      <c r="P35" s="1273">
        <f t="shared" si="14"/>
        <v>41398206</v>
      </c>
      <c r="Q35" s="1269">
        <v>1505498</v>
      </c>
      <c r="R35" s="1276"/>
      <c r="S35" s="1275"/>
      <c r="T35" s="1276"/>
      <c r="U35" s="1276"/>
      <c r="V35" s="1276"/>
      <c r="W35" s="1276">
        <v>8492153</v>
      </c>
      <c r="X35" s="1273">
        <f t="shared" si="37"/>
        <v>9997651</v>
      </c>
      <c r="Y35" s="1269"/>
      <c r="Z35" s="1276">
        <v>308827741</v>
      </c>
      <c r="AA35" s="1273">
        <f t="shared" si="38"/>
        <v>308827741</v>
      </c>
      <c r="AB35" s="1277">
        <f t="shared" si="34"/>
        <v>389003359</v>
      </c>
      <c r="AC35" s="1278">
        <f t="shared" si="35"/>
        <v>315078145</v>
      </c>
    </row>
    <row r="36" spans="2:29" hidden="1" outlineLevel="1" x14ac:dyDescent="0.25">
      <c r="B36" s="1268" t="s">
        <v>3720</v>
      </c>
      <c r="C36" s="1269">
        <v>6686661</v>
      </c>
      <c r="D36" s="1270"/>
      <c r="E36" s="1271"/>
      <c r="F36" s="1270"/>
      <c r="G36" s="1270">
        <v>19945725</v>
      </c>
      <c r="H36" s="1272"/>
      <c r="I36" s="1273">
        <f t="shared" si="36"/>
        <v>26632386</v>
      </c>
      <c r="J36" s="1274">
        <v>10203100</v>
      </c>
      <c r="K36" s="1269">
        <v>8399173</v>
      </c>
      <c r="L36" s="1275"/>
      <c r="M36" s="1275">
        <v>1225370</v>
      </c>
      <c r="N36" s="1270">
        <v>67449508</v>
      </c>
      <c r="O36" s="1272"/>
      <c r="P36" s="1273">
        <f t="shared" si="14"/>
        <v>77074051</v>
      </c>
      <c r="Q36" s="1269">
        <v>5227630</v>
      </c>
      <c r="R36" s="1276"/>
      <c r="S36" s="1275"/>
      <c r="T36" s="1276"/>
      <c r="U36" s="1276"/>
      <c r="V36" s="1276"/>
      <c r="W36" s="1276">
        <v>12124677</v>
      </c>
      <c r="X36" s="1273">
        <f t="shared" si="37"/>
        <v>17352307</v>
      </c>
      <c r="Y36" s="1269"/>
      <c r="Z36" s="1276">
        <v>11936350</v>
      </c>
      <c r="AA36" s="1273">
        <f t="shared" si="38"/>
        <v>11936350</v>
      </c>
      <c r="AB36" s="1277">
        <f t="shared" si="34"/>
        <v>143198194</v>
      </c>
      <c r="AC36" s="1278">
        <f t="shared" si="35"/>
        <v>43678284</v>
      </c>
    </row>
    <row r="37" spans="2:29" hidden="1" outlineLevel="1" x14ac:dyDescent="0.25">
      <c r="B37" s="1268" t="s">
        <v>3721</v>
      </c>
      <c r="C37" s="1269">
        <v>17993051</v>
      </c>
      <c r="D37" s="1270"/>
      <c r="E37" s="1271"/>
      <c r="F37" s="1270"/>
      <c r="G37" s="1270">
        <v>6960318</v>
      </c>
      <c r="H37" s="1272"/>
      <c r="I37" s="1273">
        <f t="shared" si="36"/>
        <v>24953369</v>
      </c>
      <c r="J37" s="1274">
        <v>1144246</v>
      </c>
      <c r="K37" s="1269">
        <v>10225488</v>
      </c>
      <c r="L37" s="1275"/>
      <c r="M37" s="1275">
        <v>9922176</v>
      </c>
      <c r="N37" s="1270">
        <v>21926967</v>
      </c>
      <c r="O37" s="1272"/>
      <c r="P37" s="1273">
        <f t="shared" si="14"/>
        <v>42074631</v>
      </c>
      <c r="Q37" s="1269">
        <v>31190576</v>
      </c>
      <c r="R37" s="1276"/>
      <c r="S37" s="1275"/>
      <c r="T37" s="1276"/>
      <c r="U37" s="1276"/>
      <c r="V37" s="1276"/>
      <c r="W37" s="1276">
        <v>12315000</v>
      </c>
      <c r="X37" s="1273">
        <f t="shared" si="37"/>
        <v>43505576</v>
      </c>
      <c r="Y37" s="1269"/>
      <c r="Z37" s="1276">
        <v>36195925</v>
      </c>
      <c r="AA37" s="1273">
        <f t="shared" si="38"/>
        <v>36195925</v>
      </c>
      <c r="AB37" s="1277">
        <f t="shared" si="34"/>
        <v>147873747</v>
      </c>
      <c r="AC37" s="1278">
        <f t="shared" si="35"/>
        <v>106671462</v>
      </c>
    </row>
    <row r="38" spans="2:29" hidden="1" outlineLevel="1" x14ac:dyDescent="0.25">
      <c r="B38" s="1268" t="s">
        <v>3722</v>
      </c>
      <c r="C38" s="1269">
        <v>146520</v>
      </c>
      <c r="D38" s="1270"/>
      <c r="E38" s="1271"/>
      <c r="F38" s="1270"/>
      <c r="G38" s="1270">
        <v>7287692</v>
      </c>
      <c r="H38" s="1272"/>
      <c r="I38" s="1273">
        <f t="shared" si="36"/>
        <v>7434212</v>
      </c>
      <c r="J38" s="1274">
        <v>0</v>
      </c>
      <c r="K38" s="1269">
        <v>194800</v>
      </c>
      <c r="L38" s="1275"/>
      <c r="M38" s="1275">
        <v>0</v>
      </c>
      <c r="N38" s="1270">
        <v>1826711</v>
      </c>
      <c r="O38" s="1272"/>
      <c r="P38" s="1273">
        <f t="shared" si="14"/>
        <v>2021511</v>
      </c>
      <c r="Q38" s="1269">
        <v>1806062</v>
      </c>
      <c r="R38" s="1276"/>
      <c r="S38" s="1275"/>
      <c r="T38" s="1276"/>
      <c r="U38" s="1276"/>
      <c r="V38" s="1276"/>
      <c r="W38" s="1276">
        <v>431020</v>
      </c>
      <c r="X38" s="1273">
        <f t="shared" si="37"/>
        <v>2237082</v>
      </c>
      <c r="Y38" s="1269"/>
      <c r="Z38" s="1276">
        <v>707900</v>
      </c>
      <c r="AA38" s="1273">
        <f t="shared" si="38"/>
        <v>707900</v>
      </c>
      <c r="AB38" s="1277">
        <f t="shared" si="34"/>
        <v>12400705</v>
      </c>
      <c r="AC38" s="1278">
        <f t="shared" si="35"/>
        <v>2855282</v>
      </c>
    </row>
    <row r="39" spans="2:29" hidden="1" outlineLevel="1" x14ac:dyDescent="0.25">
      <c r="B39" s="1268" t="s">
        <v>3723</v>
      </c>
      <c r="C39" s="1269">
        <v>7174680</v>
      </c>
      <c r="D39" s="1270"/>
      <c r="E39" s="1271"/>
      <c r="F39" s="1270"/>
      <c r="G39" s="1270">
        <v>36993929</v>
      </c>
      <c r="H39" s="1272"/>
      <c r="I39" s="1273">
        <f t="shared" si="36"/>
        <v>44168609</v>
      </c>
      <c r="J39" s="1274">
        <v>2538731</v>
      </c>
      <c r="K39" s="1269">
        <v>1900135</v>
      </c>
      <c r="L39" s="1275"/>
      <c r="M39" s="1275">
        <v>2058787</v>
      </c>
      <c r="N39" s="1270">
        <v>0</v>
      </c>
      <c r="O39" s="1272"/>
      <c r="P39" s="1273">
        <f t="shared" si="14"/>
        <v>3958922</v>
      </c>
      <c r="Q39" s="1269">
        <v>45455</v>
      </c>
      <c r="R39" s="1276"/>
      <c r="S39" s="1275"/>
      <c r="T39" s="1276"/>
      <c r="U39" s="1276"/>
      <c r="V39" s="1276"/>
      <c r="W39" s="1276">
        <v>1469933</v>
      </c>
      <c r="X39" s="1273">
        <f t="shared" si="37"/>
        <v>1515388</v>
      </c>
      <c r="Y39" s="1269"/>
      <c r="Z39" s="1276">
        <v>10257375</v>
      </c>
      <c r="AA39" s="1273">
        <f t="shared" si="38"/>
        <v>10257375</v>
      </c>
      <c r="AB39" s="1277">
        <f t="shared" si="34"/>
        <v>62439025</v>
      </c>
      <c r="AC39" s="1278">
        <f t="shared" si="35"/>
        <v>23975163</v>
      </c>
    </row>
    <row r="40" spans="2:29" hidden="1" outlineLevel="1" x14ac:dyDescent="0.25">
      <c r="B40" s="1290" t="s">
        <v>3724</v>
      </c>
      <c r="C40" s="1291">
        <v>74044041</v>
      </c>
      <c r="D40" s="1292"/>
      <c r="E40" s="1293"/>
      <c r="F40" s="1292"/>
      <c r="G40" s="1292">
        <v>2451114</v>
      </c>
      <c r="H40" s="1294"/>
      <c r="I40" s="1295">
        <f t="shared" si="36"/>
        <v>76495155</v>
      </c>
      <c r="J40" s="1296">
        <v>2299852</v>
      </c>
      <c r="K40" s="1291">
        <v>12182643</v>
      </c>
      <c r="L40" s="1297"/>
      <c r="M40" s="1297">
        <v>0</v>
      </c>
      <c r="N40" s="1292">
        <v>9508583</v>
      </c>
      <c r="O40" s="1294"/>
      <c r="P40" s="1295">
        <f t="shared" si="14"/>
        <v>21691226</v>
      </c>
      <c r="Q40" s="1291">
        <v>439537163</v>
      </c>
      <c r="R40" s="1298"/>
      <c r="S40" s="1297"/>
      <c r="T40" s="1298"/>
      <c r="U40" s="1298"/>
      <c r="V40" s="1298"/>
      <c r="W40" s="1298">
        <v>830500</v>
      </c>
      <c r="X40" s="1295">
        <f t="shared" si="37"/>
        <v>440367663</v>
      </c>
      <c r="Y40" s="1291"/>
      <c r="Z40" s="1298">
        <v>125532564</v>
      </c>
      <c r="AA40" s="1295">
        <f t="shared" si="38"/>
        <v>125532564</v>
      </c>
      <c r="AB40" s="1299">
        <f t="shared" si="34"/>
        <v>666386460</v>
      </c>
      <c r="AC40" s="1300">
        <f t="shared" si="35"/>
        <v>653596263</v>
      </c>
    </row>
    <row r="41" spans="2:29" hidden="1" outlineLevel="1" x14ac:dyDescent="0.25">
      <c r="B41" s="1268" t="s">
        <v>3725</v>
      </c>
      <c r="C41" s="1269">
        <v>280879092</v>
      </c>
      <c r="D41" s="1270"/>
      <c r="E41" s="1271"/>
      <c r="F41" s="1270"/>
      <c r="G41" s="1270">
        <v>0</v>
      </c>
      <c r="H41" s="1272"/>
      <c r="I41" s="1273">
        <f t="shared" si="36"/>
        <v>280879092</v>
      </c>
      <c r="J41" s="1274">
        <v>0</v>
      </c>
      <c r="K41" s="1269">
        <v>0</v>
      </c>
      <c r="L41" s="1275"/>
      <c r="M41" s="1275">
        <v>0</v>
      </c>
      <c r="N41" s="1270">
        <v>0</v>
      </c>
      <c r="O41" s="1272"/>
      <c r="P41" s="1273">
        <f t="shared" si="14"/>
        <v>0</v>
      </c>
      <c r="Q41" s="1269">
        <v>0</v>
      </c>
      <c r="R41" s="1276"/>
      <c r="S41" s="1275"/>
      <c r="T41" s="1276"/>
      <c r="U41" s="1276"/>
      <c r="V41" s="1276"/>
      <c r="W41" s="1276">
        <v>0</v>
      </c>
      <c r="X41" s="1273">
        <f t="shared" si="37"/>
        <v>0</v>
      </c>
      <c r="Y41" s="1269"/>
      <c r="Z41" s="1276">
        <v>0</v>
      </c>
      <c r="AA41" s="1273">
        <f t="shared" si="38"/>
        <v>0</v>
      </c>
      <c r="AB41" s="1277">
        <f t="shared" si="34"/>
        <v>280879092</v>
      </c>
      <c r="AC41" s="1278">
        <f t="shared" si="35"/>
        <v>280879092</v>
      </c>
    </row>
    <row r="42" spans="2:29" hidden="1" outlineLevel="1" x14ac:dyDescent="0.25">
      <c r="B42" s="1268" t="s">
        <v>1991</v>
      </c>
      <c r="C42" s="1269">
        <v>159326544</v>
      </c>
      <c r="D42" s="1270"/>
      <c r="E42" s="1271"/>
      <c r="F42" s="1270"/>
      <c r="G42" s="1270">
        <v>156886517</v>
      </c>
      <c r="H42" s="1272"/>
      <c r="I42" s="1273">
        <f t="shared" si="36"/>
        <v>316213061</v>
      </c>
      <c r="J42" s="1274">
        <v>0</v>
      </c>
      <c r="K42" s="1269">
        <v>477435582</v>
      </c>
      <c r="L42" s="1275"/>
      <c r="M42" s="1275">
        <v>26115118</v>
      </c>
      <c r="N42" s="1270">
        <v>155713618</v>
      </c>
      <c r="O42" s="1272"/>
      <c r="P42" s="1273">
        <f t="shared" si="14"/>
        <v>659264318</v>
      </c>
      <c r="Q42" s="1269">
        <v>5827864230</v>
      </c>
      <c r="R42" s="1276"/>
      <c r="S42" s="1275"/>
      <c r="T42" s="1276"/>
      <c r="U42" s="1276"/>
      <c r="V42" s="1276"/>
      <c r="W42" s="1276">
        <v>1310850466</v>
      </c>
      <c r="X42" s="1273">
        <f t="shared" si="37"/>
        <v>7138714696</v>
      </c>
      <c r="Y42" s="1269"/>
      <c r="Z42" s="1276">
        <v>153131990</v>
      </c>
      <c r="AA42" s="1273">
        <f t="shared" si="38"/>
        <v>153131990</v>
      </c>
      <c r="AB42" s="1277">
        <f t="shared" si="34"/>
        <v>8267324065</v>
      </c>
      <c r="AC42" s="1278">
        <f t="shared" si="35"/>
        <v>6643873464</v>
      </c>
    </row>
    <row r="43" spans="2:29" hidden="1" outlineLevel="1" x14ac:dyDescent="0.25">
      <c r="B43" s="1290" t="s">
        <v>3727</v>
      </c>
      <c r="C43" s="1291">
        <v>251022535</v>
      </c>
      <c r="D43" s="1292"/>
      <c r="E43" s="1293"/>
      <c r="F43" s="1292"/>
      <c r="G43" s="1292">
        <v>0</v>
      </c>
      <c r="H43" s="1294"/>
      <c r="I43" s="1295">
        <f t="shared" si="36"/>
        <v>251022535</v>
      </c>
      <c r="J43" s="1296">
        <v>0</v>
      </c>
      <c r="K43" s="1291">
        <v>643062</v>
      </c>
      <c r="L43" s="1297"/>
      <c r="M43" s="1297">
        <v>10266550</v>
      </c>
      <c r="N43" s="1292">
        <v>1068364</v>
      </c>
      <c r="O43" s="1294"/>
      <c r="P43" s="1295">
        <f t="shared" si="14"/>
        <v>11977976</v>
      </c>
      <c r="Q43" s="1291">
        <v>890687</v>
      </c>
      <c r="R43" s="1298"/>
      <c r="S43" s="1297"/>
      <c r="T43" s="1298"/>
      <c r="U43" s="1298"/>
      <c r="V43" s="1298"/>
      <c r="W43" s="1298">
        <v>0</v>
      </c>
      <c r="X43" s="1295">
        <f t="shared" si="37"/>
        <v>890687</v>
      </c>
      <c r="Y43" s="1291"/>
      <c r="Z43" s="1298">
        <v>0</v>
      </c>
      <c r="AA43" s="1295">
        <f t="shared" si="38"/>
        <v>0</v>
      </c>
      <c r="AB43" s="1299">
        <f t="shared" si="34"/>
        <v>263891198</v>
      </c>
      <c r="AC43" s="1300">
        <f t="shared" si="35"/>
        <v>262822834</v>
      </c>
    </row>
    <row r="44" spans="2:29" hidden="1" outlineLevel="1" x14ac:dyDescent="0.25">
      <c r="B44" s="1279" t="s">
        <v>3729</v>
      </c>
      <c r="C44" s="1280">
        <v>396640061</v>
      </c>
      <c r="D44" s="1281"/>
      <c r="E44" s="1282"/>
      <c r="F44" s="1281"/>
      <c r="G44" s="1281">
        <v>0</v>
      </c>
      <c r="H44" s="1283"/>
      <c r="I44" s="1284">
        <f t="shared" si="36"/>
        <v>396640061</v>
      </c>
      <c r="J44" s="1285">
        <v>0</v>
      </c>
      <c r="K44" s="1280">
        <v>0</v>
      </c>
      <c r="L44" s="1286"/>
      <c r="M44" s="1286">
        <v>4554000</v>
      </c>
      <c r="N44" s="1281">
        <v>237273</v>
      </c>
      <c r="O44" s="1283"/>
      <c r="P44" s="1284">
        <f t="shared" si="14"/>
        <v>4791273</v>
      </c>
      <c r="Q44" s="1280">
        <v>0</v>
      </c>
      <c r="R44" s="1287"/>
      <c r="S44" s="1286"/>
      <c r="T44" s="1287"/>
      <c r="U44" s="1287"/>
      <c r="V44" s="1287"/>
      <c r="W44" s="1287">
        <v>0</v>
      </c>
      <c r="X44" s="1284">
        <f t="shared" si="37"/>
        <v>0</v>
      </c>
      <c r="Y44" s="1280"/>
      <c r="Z44" s="1287">
        <v>31724941</v>
      </c>
      <c r="AA44" s="1284">
        <f t="shared" si="38"/>
        <v>31724941</v>
      </c>
      <c r="AB44" s="1288">
        <f t="shared" si="34"/>
        <v>433156275</v>
      </c>
      <c r="AC44" s="1289">
        <f t="shared" si="35"/>
        <v>432919002</v>
      </c>
    </row>
    <row r="45" spans="2:29" hidden="1" outlineLevel="1" x14ac:dyDescent="0.25">
      <c r="B45" s="1268" t="s">
        <v>1992</v>
      </c>
      <c r="C45" s="1269">
        <v>222586849</v>
      </c>
      <c r="D45" s="1270"/>
      <c r="E45" s="1271"/>
      <c r="F45" s="1270"/>
      <c r="G45" s="1270">
        <v>45461655</v>
      </c>
      <c r="H45" s="1272"/>
      <c r="I45" s="1273">
        <f t="shared" si="36"/>
        <v>268048504</v>
      </c>
      <c r="J45" s="1274">
        <v>0</v>
      </c>
      <c r="K45" s="1269">
        <v>5077325</v>
      </c>
      <c r="L45" s="1275"/>
      <c r="M45" s="1275">
        <v>11285476</v>
      </c>
      <c r="N45" s="1270">
        <v>50679274</v>
      </c>
      <c r="O45" s="1272"/>
      <c r="P45" s="1273">
        <f t="shared" si="14"/>
        <v>67042075</v>
      </c>
      <c r="Q45" s="1269">
        <v>3365838</v>
      </c>
      <c r="R45" s="1276"/>
      <c r="S45" s="1275"/>
      <c r="T45" s="1276"/>
      <c r="U45" s="1276"/>
      <c r="V45" s="1276"/>
      <c r="W45" s="1276">
        <v>572380</v>
      </c>
      <c r="X45" s="1273">
        <f t="shared" si="37"/>
        <v>3938218</v>
      </c>
      <c r="Y45" s="1269"/>
      <c r="Z45" s="1276">
        <v>40411868</v>
      </c>
      <c r="AA45" s="1273">
        <f t="shared" si="38"/>
        <v>40411868</v>
      </c>
      <c r="AB45" s="1277">
        <f t="shared" si="34"/>
        <v>379440665</v>
      </c>
      <c r="AC45" s="1278">
        <f t="shared" si="35"/>
        <v>282727356</v>
      </c>
    </row>
    <row r="46" spans="2:29" hidden="1" outlineLevel="1" x14ac:dyDescent="0.25">
      <c r="B46" s="1268" t="s">
        <v>3730</v>
      </c>
      <c r="C46" s="1269">
        <v>0</v>
      </c>
      <c r="D46" s="1270"/>
      <c r="E46" s="1271"/>
      <c r="F46" s="1270"/>
      <c r="G46" s="1270">
        <v>0</v>
      </c>
      <c r="H46" s="1272"/>
      <c r="I46" s="1273">
        <f t="shared" si="36"/>
        <v>0</v>
      </c>
      <c r="J46" s="1274">
        <v>0</v>
      </c>
      <c r="K46" s="1269">
        <v>0</v>
      </c>
      <c r="L46" s="1275"/>
      <c r="M46" s="1275">
        <v>0</v>
      </c>
      <c r="N46" s="1270">
        <v>0</v>
      </c>
      <c r="O46" s="1272"/>
      <c r="P46" s="1273">
        <f t="shared" si="14"/>
        <v>0</v>
      </c>
      <c r="Q46" s="1269">
        <v>0</v>
      </c>
      <c r="R46" s="1276"/>
      <c r="S46" s="1275"/>
      <c r="T46" s="1276"/>
      <c r="U46" s="1276"/>
      <c r="V46" s="1276"/>
      <c r="W46" s="1276">
        <v>0</v>
      </c>
      <c r="X46" s="1273">
        <f t="shared" si="37"/>
        <v>0</v>
      </c>
      <c r="Y46" s="1269"/>
      <c r="Z46" s="1276">
        <v>0</v>
      </c>
      <c r="AA46" s="1273">
        <f t="shared" si="38"/>
        <v>0</v>
      </c>
      <c r="AB46" s="1277">
        <f t="shared" si="34"/>
        <v>0</v>
      </c>
      <c r="AC46" s="1278">
        <f t="shared" si="35"/>
        <v>0</v>
      </c>
    </row>
    <row r="47" spans="2:29" hidden="1" outlineLevel="1" x14ac:dyDescent="0.25">
      <c r="B47" s="1268" t="s">
        <v>1999</v>
      </c>
      <c r="C47" s="1269">
        <v>293547912</v>
      </c>
      <c r="D47" s="1270"/>
      <c r="E47" s="1271"/>
      <c r="F47" s="1270"/>
      <c r="G47" s="1270">
        <v>0</v>
      </c>
      <c r="H47" s="1272"/>
      <c r="I47" s="1273">
        <f t="shared" si="36"/>
        <v>293547912</v>
      </c>
      <c r="J47" s="1274">
        <v>0</v>
      </c>
      <c r="K47" s="1269">
        <v>4725810</v>
      </c>
      <c r="L47" s="1275"/>
      <c r="M47" s="1275">
        <v>35967098</v>
      </c>
      <c r="N47" s="1270">
        <v>0</v>
      </c>
      <c r="O47" s="1272"/>
      <c r="P47" s="1273">
        <f t="shared" si="14"/>
        <v>40692908</v>
      </c>
      <c r="Q47" s="1269">
        <v>0</v>
      </c>
      <c r="R47" s="1276"/>
      <c r="S47" s="1275"/>
      <c r="T47" s="1276"/>
      <c r="U47" s="1276"/>
      <c r="V47" s="1276"/>
      <c r="W47" s="1276">
        <v>0</v>
      </c>
      <c r="X47" s="1273">
        <f t="shared" si="37"/>
        <v>0</v>
      </c>
      <c r="Y47" s="1269"/>
      <c r="Z47" s="1276">
        <v>0</v>
      </c>
      <c r="AA47" s="1273">
        <f t="shared" si="38"/>
        <v>0</v>
      </c>
      <c r="AB47" s="1277">
        <f t="shared" si="34"/>
        <v>334240820</v>
      </c>
      <c r="AC47" s="1278">
        <f t="shared" si="35"/>
        <v>334240820</v>
      </c>
    </row>
    <row r="48" spans="2:29" hidden="1" outlineLevel="1" x14ac:dyDescent="0.25">
      <c r="B48" s="1268" t="s">
        <v>132</v>
      </c>
      <c r="C48" s="1269">
        <v>1502640903</v>
      </c>
      <c r="D48" s="1270"/>
      <c r="E48" s="1271"/>
      <c r="F48" s="1270"/>
      <c r="G48" s="1270">
        <v>-1132286886</v>
      </c>
      <c r="H48" s="1272"/>
      <c r="I48" s="1273">
        <f t="shared" si="36"/>
        <v>370354017</v>
      </c>
      <c r="J48" s="1274">
        <v>0</v>
      </c>
      <c r="K48" s="1269">
        <v>-205361</v>
      </c>
      <c r="L48" s="1275"/>
      <c r="M48" s="1275">
        <v>0</v>
      </c>
      <c r="N48" s="1270">
        <v>603447</v>
      </c>
      <c r="O48" s="1272"/>
      <c r="P48" s="1273">
        <f t="shared" si="14"/>
        <v>398086</v>
      </c>
      <c r="Q48" s="1269">
        <v>0</v>
      </c>
      <c r="R48" s="1276"/>
      <c r="S48" s="1275"/>
      <c r="T48" s="1276"/>
      <c r="U48" s="1276"/>
      <c r="V48" s="1276"/>
      <c r="W48" s="1276">
        <v>0</v>
      </c>
      <c r="X48" s="1273">
        <f t="shared" si="37"/>
        <v>0</v>
      </c>
      <c r="Y48" s="1269"/>
      <c r="Z48" s="1276">
        <v>0</v>
      </c>
      <c r="AA48" s="1273">
        <f t="shared" si="38"/>
        <v>0</v>
      </c>
      <c r="AB48" s="1277">
        <f t="shared" si="34"/>
        <v>370752103</v>
      </c>
      <c r="AC48" s="1278">
        <f t="shared" si="35"/>
        <v>1502435542</v>
      </c>
    </row>
    <row r="49" spans="2:29" hidden="1" outlineLevel="1" x14ac:dyDescent="0.25">
      <c r="B49" s="1268" t="s">
        <v>3205</v>
      </c>
      <c r="C49" s="1269">
        <v>76480889</v>
      </c>
      <c r="D49" s="1270"/>
      <c r="E49" s="1271"/>
      <c r="F49" s="1270"/>
      <c r="G49" s="1270">
        <v>0</v>
      </c>
      <c r="H49" s="1272"/>
      <c r="I49" s="1273">
        <f t="shared" si="36"/>
        <v>76480889</v>
      </c>
      <c r="J49" s="1274">
        <v>0</v>
      </c>
      <c r="K49" s="1269">
        <v>6822232</v>
      </c>
      <c r="L49" s="1275"/>
      <c r="M49" s="1275">
        <v>257975555</v>
      </c>
      <c r="N49" s="1270">
        <v>0</v>
      </c>
      <c r="O49" s="1272"/>
      <c r="P49" s="1273">
        <f t="shared" si="14"/>
        <v>264797787</v>
      </c>
      <c r="Q49" s="1269">
        <v>713402415</v>
      </c>
      <c r="R49" s="1276"/>
      <c r="S49" s="1275"/>
      <c r="T49" s="1276"/>
      <c r="U49" s="1276"/>
      <c r="V49" s="1276"/>
      <c r="W49" s="1276">
        <v>0</v>
      </c>
      <c r="X49" s="1273">
        <f t="shared" si="37"/>
        <v>713402415</v>
      </c>
      <c r="Y49" s="1269"/>
      <c r="Z49" s="1276">
        <v>840328</v>
      </c>
      <c r="AA49" s="1273">
        <f t="shared" si="38"/>
        <v>840328</v>
      </c>
      <c r="AB49" s="1277">
        <f t="shared" si="34"/>
        <v>1055521419</v>
      </c>
      <c r="AC49" s="1278">
        <f t="shared" si="35"/>
        <v>1055521419</v>
      </c>
    </row>
    <row r="50" spans="2:29" hidden="1" outlineLevel="1" x14ac:dyDescent="0.25">
      <c r="B50" s="1290" t="s">
        <v>3731</v>
      </c>
      <c r="C50" s="1291">
        <v>138419400</v>
      </c>
      <c r="D50" s="1292"/>
      <c r="E50" s="1293"/>
      <c r="F50" s="1292"/>
      <c r="G50" s="1292">
        <v>0</v>
      </c>
      <c r="H50" s="1294"/>
      <c r="I50" s="1295">
        <f t="shared" si="36"/>
        <v>138419400</v>
      </c>
      <c r="J50" s="1296">
        <v>0</v>
      </c>
      <c r="K50" s="1291">
        <v>0</v>
      </c>
      <c r="L50" s="1297"/>
      <c r="M50" s="1297">
        <v>1734637</v>
      </c>
      <c r="N50" s="1292">
        <v>0</v>
      </c>
      <c r="O50" s="1294"/>
      <c r="P50" s="1295">
        <f t="shared" si="14"/>
        <v>1734637</v>
      </c>
      <c r="Q50" s="1291">
        <v>0</v>
      </c>
      <c r="R50" s="1298"/>
      <c r="S50" s="1297"/>
      <c r="T50" s="1298"/>
      <c r="U50" s="1298"/>
      <c r="V50" s="1298"/>
      <c r="W50" s="1298">
        <v>0</v>
      </c>
      <c r="X50" s="1295">
        <f t="shared" si="37"/>
        <v>0</v>
      </c>
      <c r="Y50" s="1291"/>
      <c r="Z50" s="1298">
        <v>0</v>
      </c>
      <c r="AA50" s="1295">
        <f t="shared" si="38"/>
        <v>0</v>
      </c>
      <c r="AB50" s="1299">
        <f t="shared" si="34"/>
        <v>140154037</v>
      </c>
      <c r="AC50" s="1300">
        <f t="shared" si="35"/>
        <v>140154037</v>
      </c>
    </row>
    <row r="51" spans="2:29" hidden="1" outlineLevel="1" x14ac:dyDescent="0.25">
      <c r="B51" s="1301" t="s">
        <v>3732</v>
      </c>
      <c r="C51" s="1302">
        <v>378415005</v>
      </c>
      <c r="D51" s="1303"/>
      <c r="E51" s="1304"/>
      <c r="F51" s="1303"/>
      <c r="G51" s="1303">
        <v>0</v>
      </c>
      <c r="H51" s="1305"/>
      <c r="I51" s="1306">
        <f t="shared" si="36"/>
        <v>378415005</v>
      </c>
      <c r="J51" s="1307">
        <v>0</v>
      </c>
      <c r="K51" s="1302">
        <v>1200000</v>
      </c>
      <c r="L51" s="1308"/>
      <c r="M51" s="1308">
        <v>36550000</v>
      </c>
      <c r="N51" s="1303">
        <v>0</v>
      </c>
      <c r="O51" s="1305"/>
      <c r="P51" s="1306">
        <f t="shared" si="14"/>
        <v>37750000</v>
      </c>
      <c r="Q51" s="1302">
        <v>0</v>
      </c>
      <c r="R51" s="1309"/>
      <c r="S51" s="1308"/>
      <c r="T51" s="1309"/>
      <c r="U51" s="1309"/>
      <c r="V51" s="1309"/>
      <c r="W51" s="1309">
        <v>0</v>
      </c>
      <c r="X51" s="1306">
        <f t="shared" si="37"/>
        <v>0</v>
      </c>
      <c r="Y51" s="1302"/>
      <c r="Z51" s="1309">
        <v>15941000</v>
      </c>
      <c r="AA51" s="1306">
        <f t="shared" si="38"/>
        <v>15941000</v>
      </c>
      <c r="AB51" s="1310">
        <f t="shared" si="34"/>
        <v>432106005</v>
      </c>
      <c r="AC51" s="1311">
        <f t="shared" si="35"/>
        <v>432106005</v>
      </c>
    </row>
    <row r="52" spans="2:29" ht="17.25" collapsed="1" thickTop="1" x14ac:dyDescent="0.3">
      <c r="B52" s="1191" t="s">
        <v>3764</v>
      </c>
      <c r="C52" s="1192">
        <f t="shared" ref="C52:AC52" si="39">C9-C11</f>
        <v>-9182795688.6997051</v>
      </c>
      <c r="D52" s="1193">
        <f t="shared" si="39"/>
        <v>-1181538441.2000008</v>
      </c>
      <c r="E52" s="1194">
        <f t="shared" si="39"/>
        <v>1529145423</v>
      </c>
      <c r="F52" s="1193">
        <f t="shared" si="39"/>
        <v>0</v>
      </c>
      <c r="G52" s="1193">
        <f t="shared" si="39"/>
        <v>1119201545</v>
      </c>
      <c r="H52" s="1195">
        <f t="shared" si="39"/>
        <v>0</v>
      </c>
      <c r="I52" s="1196">
        <f t="shared" si="39"/>
        <v>-7715987161.8997078</v>
      </c>
      <c r="J52" s="1197">
        <f t="shared" si="39"/>
        <v>481196642.99771708</v>
      </c>
      <c r="K52" s="1192">
        <f t="shared" si="39"/>
        <v>-380890546.28269768</v>
      </c>
      <c r="L52" s="1198">
        <f t="shared" si="39"/>
        <v>0</v>
      </c>
      <c r="M52" s="1198">
        <f t="shared" si="39"/>
        <v>-1233897909.6343386</v>
      </c>
      <c r="N52" s="1193">
        <f t="shared" si="39"/>
        <v>-810669734</v>
      </c>
      <c r="O52" s="1195">
        <f t="shared" si="39"/>
        <v>0</v>
      </c>
      <c r="P52" s="1196">
        <f t="shared" si="39"/>
        <v>-2425458189.9170361</v>
      </c>
      <c r="Q52" s="1192">
        <f t="shared" si="39"/>
        <v>-6993879281.5707207</v>
      </c>
      <c r="R52" s="1199">
        <f t="shared" si="39"/>
        <v>0</v>
      </c>
      <c r="S52" s="1198">
        <f t="shared" si="39"/>
        <v>0</v>
      </c>
      <c r="T52" s="1199">
        <f t="shared" si="39"/>
        <v>0</v>
      </c>
      <c r="U52" s="1199">
        <f t="shared" si="39"/>
        <v>0</v>
      </c>
      <c r="V52" s="1199">
        <f t="shared" si="39"/>
        <v>0</v>
      </c>
      <c r="W52" s="1199">
        <f t="shared" si="39"/>
        <v>-3332108713</v>
      </c>
      <c r="X52" s="1196">
        <f t="shared" si="39"/>
        <v>-10325987994.570721</v>
      </c>
      <c r="Y52" s="1192">
        <f t="shared" si="39"/>
        <v>0</v>
      </c>
      <c r="Z52" s="1199">
        <f t="shared" si="39"/>
        <v>-6757234431.6102533</v>
      </c>
      <c r="AA52" s="1196">
        <f t="shared" si="39"/>
        <v>-6757234431.6102533</v>
      </c>
      <c r="AB52" s="1312">
        <f t="shared" si="39"/>
        <v>-26743471135</v>
      </c>
      <c r="AC52" s="1313">
        <f t="shared" si="39"/>
        <v>-23719894233</v>
      </c>
    </row>
    <row r="53" spans="2:29" x14ac:dyDescent="0.3">
      <c r="B53" s="1314" t="s">
        <v>3765</v>
      </c>
      <c r="C53" s="1315">
        <f t="shared" ref="C53:AC53" si="40">IFERROR(C52/C7,0)</f>
        <v>-0.44758388268184562</v>
      </c>
      <c r="D53" s="1316">
        <f t="shared" si="40"/>
        <v>-5.8988443806625698E-2</v>
      </c>
      <c r="E53" s="1317">
        <f t="shared" si="40"/>
        <v>0.34458267725626529</v>
      </c>
      <c r="F53" s="1316">
        <f t="shared" si="40"/>
        <v>0</v>
      </c>
      <c r="G53" s="1316">
        <f t="shared" si="40"/>
        <v>0.80780825821516644</v>
      </c>
      <c r="H53" s="1318">
        <f t="shared" si="40"/>
        <v>0</v>
      </c>
      <c r="I53" s="1319">
        <f t="shared" si="40"/>
        <v>-0.16640213818015698</v>
      </c>
      <c r="J53" s="1320">
        <f t="shared" si="40"/>
        <v>6.5551781390398911E-2</v>
      </c>
      <c r="K53" s="1315">
        <f t="shared" si="40"/>
        <v>-7.9709257109211867E-3</v>
      </c>
      <c r="L53" s="1321">
        <f t="shared" si="40"/>
        <v>0</v>
      </c>
      <c r="M53" s="1321">
        <f t="shared" si="40"/>
        <v>-7.9178746924841031E-2</v>
      </c>
      <c r="N53" s="1316">
        <f t="shared" si="40"/>
        <v>-5.0421225820776593E-2</v>
      </c>
      <c r="O53" s="1318">
        <f t="shared" si="40"/>
        <v>0</v>
      </c>
      <c r="P53" s="1319">
        <f t="shared" si="40"/>
        <v>-3.0529403360925519E-2</v>
      </c>
      <c r="Q53" s="1315">
        <f t="shared" si="40"/>
        <v>-0.11921816745046786</v>
      </c>
      <c r="R53" s="1322">
        <f t="shared" si="40"/>
        <v>0</v>
      </c>
      <c r="S53" s="1321">
        <f t="shared" si="40"/>
        <v>0</v>
      </c>
      <c r="T53" s="1322">
        <f t="shared" si="40"/>
        <v>0</v>
      </c>
      <c r="U53" s="1322">
        <f t="shared" si="40"/>
        <v>0</v>
      </c>
      <c r="V53" s="1322">
        <f t="shared" si="40"/>
        <v>0</v>
      </c>
      <c r="W53" s="1322">
        <f t="shared" si="40"/>
        <v>-0.64830032674486449</v>
      </c>
      <c r="X53" s="1319">
        <f t="shared" si="40"/>
        <v>-0.16183842456592709</v>
      </c>
      <c r="Y53" s="1315">
        <f t="shared" si="40"/>
        <v>0</v>
      </c>
      <c r="Z53" s="1322">
        <f t="shared" si="40"/>
        <v>0</v>
      </c>
      <c r="AA53" s="1319">
        <f t="shared" si="40"/>
        <v>0</v>
      </c>
      <c r="AB53" s="1323">
        <f t="shared" si="40"/>
        <v>-0.13578042884478</v>
      </c>
      <c r="AC53" s="1324">
        <f t="shared" si="40"/>
        <v>-0.13604134823731256</v>
      </c>
    </row>
    <row r="54" spans="2:29" x14ac:dyDescent="0.3">
      <c r="B54" s="1325" t="s">
        <v>3766</v>
      </c>
      <c r="C54" s="1326">
        <f t="shared" ref="C54:H54" si="41">SUM(C55:C57)</f>
        <v>1836659348.9596474</v>
      </c>
      <c r="D54" s="1327">
        <f t="shared" si="41"/>
        <v>0</v>
      </c>
      <c r="E54" s="1328">
        <f t="shared" si="41"/>
        <v>0</v>
      </c>
      <c r="F54" s="1327">
        <f t="shared" si="41"/>
        <v>0</v>
      </c>
      <c r="G54" s="1327">
        <f t="shared" si="41"/>
        <v>0</v>
      </c>
      <c r="H54" s="1329">
        <f t="shared" si="41"/>
        <v>0</v>
      </c>
      <c r="I54" s="1330">
        <f t="shared" ref="I54:I57" si="42">SUM(C54:H54)</f>
        <v>1836659348.9596474</v>
      </c>
      <c r="J54" s="1331">
        <f t="shared" ref="J54:O54" si="43">SUM(J55:J57)</f>
        <v>260233661.95743588</v>
      </c>
      <c r="K54" s="1326">
        <f t="shared" si="43"/>
        <v>1687282662.9931095</v>
      </c>
      <c r="L54" s="1332">
        <f t="shared" si="43"/>
        <v>0</v>
      </c>
      <c r="M54" s="1332">
        <f t="shared" si="43"/>
        <v>550673019.50211155</v>
      </c>
      <c r="N54" s="1327">
        <f t="shared" si="43"/>
        <v>0</v>
      </c>
      <c r="O54" s="1329">
        <f t="shared" si="43"/>
        <v>0</v>
      </c>
      <c r="P54" s="1330">
        <f>SUM(K54:O54)</f>
        <v>2237955682.4952211</v>
      </c>
      <c r="Q54" s="1326">
        <f t="shared" ref="Q54:R54" si="44">SUM(Q55:Q57)</f>
        <v>2422385738.1979499</v>
      </c>
      <c r="R54" s="1333">
        <f t="shared" si="44"/>
        <v>0</v>
      </c>
      <c r="S54" s="1332">
        <f>SUM(S55:S57)</f>
        <v>0</v>
      </c>
      <c r="T54" s="1333">
        <f t="shared" ref="T54:W54" si="45">SUM(T55:T57)</f>
        <v>0</v>
      </c>
      <c r="U54" s="1333">
        <f t="shared" si="45"/>
        <v>0</v>
      </c>
      <c r="V54" s="1333">
        <f t="shared" si="45"/>
        <v>0</v>
      </c>
      <c r="W54" s="1333">
        <f t="shared" si="45"/>
        <v>0</v>
      </c>
      <c r="X54" s="1330">
        <f>SUM(Q54:W54)</f>
        <v>2422385738.1979499</v>
      </c>
      <c r="Y54" s="1326">
        <f>SUM(Y55:Y57)</f>
        <v>0</v>
      </c>
      <c r="Z54" s="1333">
        <f>SUM(Z55:Z57)</f>
        <v>-6757234431.6102533</v>
      </c>
      <c r="AA54" s="1330">
        <f t="shared" ref="AA54:AA57" si="46">SUM(Y54:Z54)</f>
        <v>-6757234431.6102533</v>
      </c>
      <c r="AB54" s="1334">
        <f>SUM(AB55:AB57)</f>
        <v>0</v>
      </c>
      <c r="AC54" s="1335">
        <f>SUM(C54:F54,J54:M54,Q54:U54,AA54)</f>
        <v>0</v>
      </c>
    </row>
    <row r="55" spans="2:29" hidden="1" outlineLevel="1" x14ac:dyDescent="0.3">
      <c r="B55" s="1336" t="s">
        <v>3767</v>
      </c>
      <c r="C55" s="1337">
        <v>1836659348.9596474</v>
      </c>
      <c r="D55" s="1338"/>
      <c r="E55" s="1339"/>
      <c r="F55" s="1338"/>
      <c r="G55" s="1338"/>
      <c r="H55" s="1340"/>
      <c r="I55" s="1341">
        <f t="shared" si="42"/>
        <v>1836659348.9596474</v>
      </c>
      <c r="J55" s="1342">
        <v>260233661.95743588</v>
      </c>
      <c r="K55" s="1337">
        <v>1687282662.9931095</v>
      </c>
      <c r="L55" s="1343"/>
      <c r="M55" s="1343">
        <v>550673019.50211155</v>
      </c>
      <c r="N55" s="1338"/>
      <c r="O55" s="1340"/>
      <c r="P55" s="1341">
        <f>SUM(K55:O55)</f>
        <v>2237955682.4952211</v>
      </c>
      <c r="Q55" s="1337">
        <v>2422385738.1979499</v>
      </c>
      <c r="R55" s="1344"/>
      <c r="S55" s="1343"/>
      <c r="T55" s="1344"/>
      <c r="U55" s="1344"/>
      <c r="V55" s="1344"/>
      <c r="W55" s="1344"/>
      <c r="X55" s="1341">
        <f>SUM(Q55:W55)</f>
        <v>2422385738.1979499</v>
      </c>
      <c r="Y55" s="1337"/>
      <c r="Z55" s="1344">
        <v>-6757234431.6102533</v>
      </c>
      <c r="AA55" s="1341">
        <f t="shared" si="46"/>
        <v>-6757234431.6102533</v>
      </c>
      <c r="AB55" s="1345">
        <f>SUM(AB118,AB182,AB246)</f>
        <v>0</v>
      </c>
      <c r="AC55" s="1346">
        <f>SUM(C55:F55,J55:M55,Q55:U55,AA55)</f>
        <v>0</v>
      </c>
    </row>
    <row r="56" spans="2:29" hidden="1" outlineLevel="1" x14ac:dyDescent="0.3">
      <c r="B56" s="1336" t="s">
        <v>3768</v>
      </c>
      <c r="C56" s="1337"/>
      <c r="D56" s="1338"/>
      <c r="E56" s="1339"/>
      <c r="F56" s="1338"/>
      <c r="G56" s="1338"/>
      <c r="H56" s="1340"/>
      <c r="I56" s="1341">
        <f t="shared" si="42"/>
        <v>0</v>
      </c>
      <c r="J56" s="1342"/>
      <c r="K56" s="1337"/>
      <c r="L56" s="1343"/>
      <c r="M56" s="1343"/>
      <c r="N56" s="1338"/>
      <c r="O56" s="1340"/>
      <c r="P56" s="1341">
        <f>SUM(K56:O56)</f>
        <v>0</v>
      </c>
      <c r="Q56" s="1337"/>
      <c r="R56" s="1344"/>
      <c r="S56" s="1343"/>
      <c r="T56" s="1344"/>
      <c r="U56" s="1344"/>
      <c r="V56" s="1344"/>
      <c r="W56" s="1344"/>
      <c r="X56" s="1341">
        <f>SUM(Q56:W56)</f>
        <v>0</v>
      </c>
      <c r="Y56" s="1337"/>
      <c r="Z56" s="1344"/>
      <c r="AA56" s="1341">
        <f t="shared" si="46"/>
        <v>0</v>
      </c>
      <c r="AB56" s="1345">
        <f>SUM(AB119,AB183,AB247)</f>
        <v>0</v>
      </c>
      <c r="AC56" s="1346">
        <f>SUM(C56:F56,J56:M56,Q56:U56,AA56)</f>
        <v>0</v>
      </c>
    </row>
    <row r="57" spans="2:29" hidden="1" outlineLevel="1" x14ac:dyDescent="0.3">
      <c r="B57" s="1347"/>
      <c r="C57" s="1348"/>
      <c r="D57" s="1349"/>
      <c r="E57" s="1350"/>
      <c r="F57" s="1349"/>
      <c r="G57" s="1349"/>
      <c r="H57" s="1351"/>
      <c r="I57" s="1352">
        <f t="shared" si="42"/>
        <v>0</v>
      </c>
      <c r="J57" s="1353"/>
      <c r="K57" s="1348"/>
      <c r="L57" s="1354"/>
      <c r="M57" s="1354"/>
      <c r="N57" s="1349"/>
      <c r="O57" s="1351"/>
      <c r="P57" s="1352">
        <f>SUM(K57:O57)</f>
        <v>0</v>
      </c>
      <c r="Q57" s="1348"/>
      <c r="R57" s="1355"/>
      <c r="S57" s="1354"/>
      <c r="T57" s="1355"/>
      <c r="U57" s="1355"/>
      <c r="V57" s="1355"/>
      <c r="W57" s="1355"/>
      <c r="X57" s="1352">
        <f>SUM(Q57:W57)</f>
        <v>0</v>
      </c>
      <c r="Y57" s="1348"/>
      <c r="Z57" s="1355"/>
      <c r="AA57" s="1352">
        <f t="shared" si="46"/>
        <v>0</v>
      </c>
      <c r="AB57" s="1356">
        <f>SUM(AB120,AB184,AB248)</f>
        <v>0</v>
      </c>
      <c r="AC57" s="1357">
        <f>SUM(C57:F57,J57:M57,Q57:U57,AA57)</f>
        <v>0</v>
      </c>
    </row>
    <row r="58" spans="2:29" collapsed="1" x14ac:dyDescent="0.3">
      <c r="B58" s="1191" t="s">
        <v>3769</v>
      </c>
      <c r="C58" s="1192">
        <f t="shared" ref="C58:K58" si="47">C52-C54</f>
        <v>-11019455037.659353</v>
      </c>
      <c r="D58" s="1193">
        <f t="shared" si="47"/>
        <v>-1181538441.2000008</v>
      </c>
      <c r="E58" s="1194">
        <f t="shared" si="47"/>
        <v>1529145423</v>
      </c>
      <c r="F58" s="1193">
        <f t="shared" si="47"/>
        <v>0</v>
      </c>
      <c r="G58" s="1193">
        <f t="shared" si="47"/>
        <v>1119201545</v>
      </c>
      <c r="H58" s="1195">
        <f t="shared" si="47"/>
        <v>0</v>
      </c>
      <c r="I58" s="1196">
        <f t="shared" si="47"/>
        <v>-9552646510.8593559</v>
      </c>
      <c r="J58" s="1197">
        <f t="shared" si="47"/>
        <v>220962981.04028121</v>
      </c>
      <c r="K58" s="1192">
        <f t="shared" si="47"/>
        <v>-2068173209.2758071</v>
      </c>
      <c r="L58" s="1198">
        <f>L52-L54</f>
        <v>0</v>
      </c>
      <c r="M58" s="1198">
        <f t="shared" ref="M58:Q58" si="48">M52-M54</f>
        <v>-1784570929.1364503</v>
      </c>
      <c r="N58" s="1193">
        <f t="shared" si="48"/>
        <v>-810669734</v>
      </c>
      <c r="O58" s="1195">
        <f t="shared" si="48"/>
        <v>0</v>
      </c>
      <c r="P58" s="1196">
        <f t="shared" si="48"/>
        <v>-4663413872.4122572</v>
      </c>
      <c r="Q58" s="1192">
        <f t="shared" si="48"/>
        <v>-9416265019.768671</v>
      </c>
      <c r="R58" s="1199">
        <f>R52-R54</f>
        <v>0</v>
      </c>
      <c r="S58" s="1198">
        <f>S52-S54</f>
        <v>0</v>
      </c>
      <c r="T58" s="1199">
        <f t="shared" ref="T58:U58" si="49">T52-T54</f>
        <v>0</v>
      </c>
      <c r="U58" s="1199">
        <f t="shared" si="49"/>
        <v>0</v>
      </c>
      <c r="V58" s="1199">
        <f>V52-V54</f>
        <v>0</v>
      </c>
      <c r="W58" s="1199">
        <f>W52-W54</f>
        <v>-3332108713</v>
      </c>
      <c r="X58" s="1196">
        <f>X52-X54</f>
        <v>-12748373732.768671</v>
      </c>
      <c r="Y58" s="1192">
        <f t="shared" ref="Y58:AC58" si="50">Y52-Y54</f>
        <v>0</v>
      </c>
      <c r="Z58" s="1199">
        <f t="shared" si="50"/>
        <v>0</v>
      </c>
      <c r="AA58" s="1196">
        <f t="shared" si="50"/>
        <v>0</v>
      </c>
      <c r="AB58" s="1312">
        <f t="shared" si="50"/>
        <v>-26743471135</v>
      </c>
      <c r="AC58" s="1313">
        <f t="shared" si="50"/>
        <v>-23719894233</v>
      </c>
    </row>
    <row r="59" spans="2:29" x14ac:dyDescent="0.3">
      <c r="B59" s="1314" t="s">
        <v>3770</v>
      </c>
      <c r="C59" s="1315">
        <f t="shared" ref="C59:AC59" si="51">IFERROR(C58/C7,0)</f>
        <v>-0.53710554367043661</v>
      </c>
      <c r="D59" s="1316">
        <f t="shared" si="51"/>
        <v>-5.8988443806625698E-2</v>
      </c>
      <c r="E59" s="1317">
        <f t="shared" si="51"/>
        <v>0.34458267725626529</v>
      </c>
      <c r="F59" s="1316">
        <f t="shared" si="51"/>
        <v>0</v>
      </c>
      <c r="G59" s="1316">
        <f t="shared" si="51"/>
        <v>0.80780825821516644</v>
      </c>
      <c r="H59" s="1318">
        <f t="shared" si="51"/>
        <v>0</v>
      </c>
      <c r="I59" s="1319">
        <f t="shared" si="51"/>
        <v>-0.20601133352519105</v>
      </c>
      <c r="J59" s="1320">
        <f t="shared" si="51"/>
        <v>3.010103507432842E-2</v>
      </c>
      <c r="K59" s="1315">
        <f t="shared" si="51"/>
        <v>-4.3280819567045721E-2</v>
      </c>
      <c r="L59" s="1321">
        <f t="shared" si="51"/>
        <v>0</v>
      </c>
      <c r="M59" s="1321">
        <f t="shared" si="51"/>
        <v>-0.11451521950417859</v>
      </c>
      <c r="N59" s="1316">
        <f t="shared" si="51"/>
        <v>-5.0421225820776593E-2</v>
      </c>
      <c r="O59" s="1318">
        <f t="shared" si="51"/>
        <v>0</v>
      </c>
      <c r="P59" s="1319">
        <f t="shared" si="51"/>
        <v>-5.869870020504428E-2</v>
      </c>
      <c r="Q59" s="1315">
        <f t="shared" si="51"/>
        <v>-0.16051032834422152</v>
      </c>
      <c r="R59" s="1322">
        <f t="shared" si="51"/>
        <v>0</v>
      </c>
      <c r="S59" s="1321">
        <f t="shared" si="51"/>
        <v>0</v>
      </c>
      <c r="T59" s="1322">
        <f t="shared" si="51"/>
        <v>0</v>
      </c>
      <c r="U59" s="1322">
        <f t="shared" si="51"/>
        <v>0</v>
      </c>
      <c r="V59" s="1322">
        <f t="shared" si="51"/>
        <v>0</v>
      </c>
      <c r="W59" s="1322">
        <f t="shared" si="51"/>
        <v>-0.64830032674486449</v>
      </c>
      <c r="X59" s="1319">
        <f t="shared" si="51"/>
        <v>-0.19980429202258632</v>
      </c>
      <c r="Y59" s="1315">
        <f t="shared" si="51"/>
        <v>0</v>
      </c>
      <c r="Z59" s="1322">
        <f t="shared" si="51"/>
        <v>0</v>
      </c>
      <c r="AA59" s="1319">
        <f t="shared" si="51"/>
        <v>0</v>
      </c>
      <c r="AB59" s="1323">
        <f t="shared" si="51"/>
        <v>-0.13578042884478</v>
      </c>
      <c r="AC59" s="1324">
        <f t="shared" si="51"/>
        <v>-0.13604134823731256</v>
      </c>
    </row>
    <row r="61" spans="2:29" x14ac:dyDescent="0.3">
      <c r="B61" s="1176" t="s">
        <v>3771</v>
      </c>
      <c r="AC61" s="1177" t="s">
        <v>3737</v>
      </c>
    </row>
    <row r="62" spans="2:29" x14ac:dyDescent="0.3">
      <c r="B62" s="1795" t="s">
        <v>3738</v>
      </c>
      <c r="C62" s="1796" t="s">
        <v>3739</v>
      </c>
      <c r="D62" s="1797"/>
      <c r="E62" s="1797"/>
      <c r="F62" s="1797"/>
      <c r="G62" s="1797"/>
      <c r="H62" s="1797"/>
      <c r="I62" s="1798"/>
      <c r="J62" s="1799" t="s">
        <v>3740</v>
      </c>
      <c r="K62" s="1796" t="s">
        <v>3741</v>
      </c>
      <c r="L62" s="1797"/>
      <c r="M62" s="1797"/>
      <c r="N62" s="1797"/>
      <c r="O62" s="1797"/>
      <c r="P62" s="1798"/>
      <c r="Q62" s="1796" t="s">
        <v>3742</v>
      </c>
      <c r="R62" s="1797"/>
      <c r="S62" s="1797"/>
      <c r="T62" s="1797"/>
      <c r="U62" s="1797"/>
      <c r="V62" s="1797"/>
      <c r="W62" s="1797"/>
      <c r="X62" s="1798"/>
      <c r="Y62" s="1794" t="s">
        <v>3772</v>
      </c>
      <c r="Z62" s="1794"/>
      <c r="AA62" s="1794"/>
      <c r="AB62" s="1178" t="s">
        <v>3744</v>
      </c>
      <c r="AC62" s="1178"/>
    </row>
    <row r="63" spans="2:29" ht="27" x14ac:dyDescent="0.3">
      <c r="B63" s="1795"/>
      <c r="C63" s="1179" t="s">
        <v>3745</v>
      </c>
      <c r="D63" s="1180" t="s">
        <v>3746</v>
      </c>
      <c r="E63" s="1181" t="s">
        <v>3747</v>
      </c>
      <c r="F63" s="1180" t="s">
        <v>3416</v>
      </c>
      <c r="G63" s="1180" t="s">
        <v>103</v>
      </c>
      <c r="H63" s="1182" t="s">
        <v>3495</v>
      </c>
      <c r="I63" s="1183" t="s">
        <v>3748</v>
      </c>
      <c r="J63" s="1800"/>
      <c r="K63" s="1184" t="s">
        <v>3749</v>
      </c>
      <c r="L63" s="1185" t="s">
        <v>3750</v>
      </c>
      <c r="M63" s="1186" t="s">
        <v>83</v>
      </c>
      <c r="N63" s="1187" t="s">
        <v>3751</v>
      </c>
      <c r="O63" s="1182" t="s">
        <v>3495</v>
      </c>
      <c r="P63" s="1183" t="s">
        <v>3748</v>
      </c>
      <c r="Q63" s="1184" t="s">
        <v>3752</v>
      </c>
      <c r="R63" s="1185" t="s">
        <v>3403</v>
      </c>
      <c r="S63" s="1181" t="s">
        <v>3753</v>
      </c>
      <c r="T63" s="1185" t="s">
        <v>3754</v>
      </c>
      <c r="U63" s="1185" t="s">
        <v>3755</v>
      </c>
      <c r="V63" s="1185" t="s">
        <v>3756</v>
      </c>
      <c r="W63" s="1185" t="s">
        <v>3346</v>
      </c>
      <c r="X63" s="1188" t="s">
        <v>3748</v>
      </c>
      <c r="Y63" s="1184" t="s">
        <v>3757</v>
      </c>
      <c r="Z63" s="1185" t="s">
        <v>3758</v>
      </c>
      <c r="AA63" s="1188" t="s">
        <v>3748</v>
      </c>
      <c r="AB63" s="1189" t="s">
        <v>3759</v>
      </c>
      <c r="AC63" s="1190" t="s">
        <v>3760</v>
      </c>
    </row>
    <row r="64" spans="2:29" x14ac:dyDescent="0.3">
      <c r="B64" s="1191" t="s">
        <v>3761</v>
      </c>
      <c r="C64" s="1192">
        <v>17519885710</v>
      </c>
      <c r="D64" s="1193">
        <v>21355688984</v>
      </c>
      <c r="E64" s="1194">
        <v>3065504966</v>
      </c>
      <c r="F64" s="1193">
        <v>0</v>
      </c>
      <c r="G64" s="1193">
        <v>176085385</v>
      </c>
      <c r="H64" s="1195">
        <v>0</v>
      </c>
      <c r="I64" s="1196">
        <f>SUM(C64:H64)</f>
        <v>42117165045</v>
      </c>
      <c r="J64" s="1197">
        <v>4167685374</v>
      </c>
      <c r="K64" s="1192">
        <v>55164035937</v>
      </c>
      <c r="L64" s="1198">
        <v>10567744810</v>
      </c>
      <c r="M64" s="1198">
        <v>6211552300</v>
      </c>
      <c r="N64" s="1193">
        <v>4661589672</v>
      </c>
      <c r="O64" s="1195">
        <v>-323912678</v>
      </c>
      <c r="P64" s="1196">
        <f>SUM(K64:O64)</f>
        <v>76281010041</v>
      </c>
      <c r="Q64" s="1192">
        <v>103754254119</v>
      </c>
      <c r="R64" s="1199">
        <v>0</v>
      </c>
      <c r="S64" s="1198">
        <v>8957644</v>
      </c>
      <c r="T64" s="1199">
        <v>0</v>
      </c>
      <c r="U64" s="1199">
        <v>0</v>
      </c>
      <c r="V64" s="1199">
        <v>0</v>
      </c>
      <c r="W64" s="1199">
        <v>0</v>
      </c>
      <c r="X64" s="1196">
        <f>SUM(Q64:W64)</f>
        <v>103763211763</v>
      </c>
      <c r="Y64" s="1192">
        <v>0</v>
      </c>
      <c r="Z64" s="1199">
        <v>0</v>
      </c>
      <c r="AA64" s="1196">
        <f>SUM(Y64:Z64)</f>
        <v>0</v>
      </c>
      <c r="AB64" s="1200">
        <f>SUM(I64,J64,P64,X64,AA64)</f>
        <v>226329072223</v>
      </c>
      <c r="AC64" s="1201">
        <f>SUM(C64:F64,J64:M64,Q64:U64,AA64)</f>
        <v>221815309844</v>
      </c>
    </row>
    <row r="65" spans="2:29" x14ac:dyDescent="0.3">
      <c r="B65" s="1202" t="s">
        <v>3690</v>
      </c>
      <c r="C65" s="1203">
        <v>10358904765</v>
      </c>
      <c r="D65" s="1204">
        <v>16699761828</v>
      </c>
      <c r="E65" s="1205">
        <v>2676528703</v>
      </c>
      <c r="F65" s="1204">
        <v>0</v>
      </c>
      <c r="G65" s="1204">
        <v>999630203</v>
      </c>
      <c r="H65" s="1206">
        <v>0</v>
      </c>
      <c r="I65" s="1207">
        <f>SUM(C65:H65)</f>
        <v>30734825499</v>
      </c>
      <c r="J65" s="1208">
        <v>3905819645</v>
      </c>
      <c r="K65" s="1203">
        <v>50120080307</v>
      </c>
      <c r="L65" s="1209">
        <v>3476419595</v>
      </c>
      <c r="M65" s="1209">
        <v>5925539098</v>
      </c>
      <c r="N65" s="1204">
        <v>4121098045</v>
      </c>
      <c r="O65" s="1206">
        <v>-295366617</v>
      </c>
      <c r="P65" s="1207">
        <f>SUM(K65:O65)</f>
        <v>63347770428</v>
      </c>
      <c r="Q65" s="1203">
        <v>83216971755</v>
      </c>
      <c r="R65" s="1210">
        <v>0</v>
      </c>
      <c r="S65" s="1209">
        <v>0</v>
      </c>
      <c r="T65" s="1210">
        <v>0</v>
      </c>
      <c r="U65" s="1210">
        <v>0</v>
      </c>
      <c r="V65" s="1210">
        <v>0</v>
      </c>
      <c r="W65" s="1210">
        <v>0</v>
      </c>
      <c r="X65" s="1207">
        <f>SUM(Q65:W65)</f>
        <v>83216971755</v>
      </c>
      <c r="Y65" s="1203">
        <v>0</v>
      </c>
      <c r="Z65" s="1210">
        <v>0</v>
      </c>
      <c r="AA65" s="1207">
        <f>SUM(Y65:Z65)</f>
        <v>0</v>
      </c>
      <c r="AB65" s="1211">
        <f>SUM(I65,J65,P65,X65,AA65)</f>
        <v>181205387327</v>
      </c>
      <c r="AC65" s="1212">
        <f>SUM(C65:F65,J65:M65,Q65:U65,AA65)</f>
        <v>176380025696</v>
      </c>
    </row>
    <row r="66" spans="2:29" x14ac:dyDescent="0.3">
      <c r="B66" s="1213" t="s">
        <v>3762</v>
      </c>
      <c r="C66" s="1214">
        <f>C64-C65</f>
        <v>7160980945</v>
      </c>
      <c r="D66" s="1215">
        <f t="shared" ref="D66:K66" si="52">D64-D65</f>
        <v>4655927156</v>
      </c>
      <c r="E66" s="1216">
        <f t="shared" si="52"/>
        <v>388976263</v>
      </c>
      <c r="F66" s="1215">
        <f t="shared" si="52"/>
        <v>0</v>
      </c>
      <c r="G66" s="1215">
        <f t="shared" si="52"/>
        <v>-823544818</v>
      </c>
      <c r="H66" s="1217">
        <f t="shared" si="52"/>
        <v>0</v>
      </c>
      <c r="I66" s="1218">
        <f t="shared" si="52"/>
        <v>11382339546</v>
      </c>
      <c r="J66" s="1219">
        <f t="shared" si="52"/>
        <v>261865729</v>
      </c>
      <c r="K66" s="1214">
        <f t="shared" si="52"/>
        <v>5043955630</v>
      </c>
      <c r="L66" s="1220">
        <f>L64-L65</f>
        <v>7091325215</v>
      </c>
      <c r="M66" s="1220">
        <f t="shared" ref="M66:Q66" si="53">M64-M65</f>
        <v>286013202</v>
      </c>
      <c r="N66" s="1215">
        <f t="shared" si="53"/>
        <v>540491627</v>
      </c>
      <c r="O66" s="1217">
        <f t="shared" si="53"/>
        <v>-28546061</v>
      </c>
      <c r="P66" s="1218">
        <f t="shared" si="53"/>
        <v>12933239613</v>
      </c>
      <c r="Q66" s="1214">
        <f t="shared" si="53"/>
        <v>20537282364</v>
      </c>
      <c r="R66" s="1221">
        <f>R64-R65</f>
        <v>0</v>
      </c>
      <c r="S66" s="1220">
        <f>S64-S65</f>
        <v>8957644</v>
      </c>
      <c r="T66" s="1221">
        <f t="shared" ref="T66:U66" si="54">T64-T65</f>
        <v>0</v>
      </c>
      <c r="U66" s="1221">
        <f t="shared" si="54"/>
        <v>0</v>
      </c>
      <c r="V66" s="1221">
        <f>V64-V65</f>
        <v>0</v>
      </c>
      <c r="W66" s="1221">
        <f>W64-W65</f>
        <v>0</v>
      </c>
      <c r="X66" s="1218">
        <f>X64-X65</f>
        <v>20546240008</v>
      </c>
      <c r="Y66" s="1214">
        <f t="shared" ref="Y66:AC66" si="55">Y64-Y65</f>
        <v>0</v>
      </c>
      <c r="Z66" s="1221">
        <f t="shared" si="55"/>
        <v>0</v>
      </c>
      <c r="AA66" s="1218">
        <f t="shared" si="55"/>
        <v>0</v>
      </c>
      <c r="AB66" s="1222">
        <f t="shared" si="55"/>
        <v>45123684896</v>
      </c>
      <c r="AC66" s="1223">
        <f t="shared" si="55"/>
        <v>45435284148</v>
      </c>
    </row>
    <row r="67" spans="2:29" x14ac:dyDescent="0.3">
      <c r="B67" s="1224" t="s">
        <v>3763</v>
      </c>
      <c r="C67" s="1225">
        <f>IFERROR(C66/C64,0)</f>
        <v>0.40873445543726666</v>
      </c>
      <c r="D67" s="1226">
        <f t="shared" ref="D67:K67" si="56">IFERROR(D66/D64,0)</f>
        <v>0.21801811964429196</v>
      </c>
      <c r="E67" s="1227">
        <f t="shared" si="56"/>
        <v>0.12688815295169872</v>
      </c>
      <c r="F67" s="1226">
        <f t="shared" si="56"/>
        <v>0</v>
      </c>
      <c r="G67" s="1226">
        <f t="shared" si="56"/>
        <v>-4.6769629290926105</v>
      </c>
      <c r="H67" s="1228">
        <f t="shared" si="56"/>
        <v>0</v>
      </c>
      <c r="I67" s="1229">
        <f t="shared" si="56"/>
        <v>0.27025417151982006</v>
      </c>
      <c r="J67" s="1230">
        <f t="shared" si="56"/>
        <v>6.2832413078406243E-2</v>
      </c>
      <c r="K67" s="1225">
        <f t="shared" si="56"/>
        <v>9.1435580162416721E-2</v>
      </c>
      <c r="L67" s="1231">
        <f>IFERROR(L66/L64,0)</f>
        <v>0.67103486529024159</v>
      </c>
      <c r="M67" s="1231">
        <f t="shared" ref="M67:Q67" si="57">IFERROR(M66/M64,0)</f>
        <v>4.6045366469827521E-2</v>
      </c>
      <c r="N67" s="1226">
        <f t="shared" si="57"/>
        <v>0.11594577494593351</v>
      </c>
      <c r="O67" s="1228">
        <f t="shared" si="57"/>
        <v>8.8128878363939803E-2</v>
      </c>
      <c r="P67" s="1229">
        <f t="shared" si="57"/>
        <v>0.16954730418551828</v>
      </c>
      <c r="Q67" s="1225">
        <f t="shared" si="57"/>
        <v>0.19794159322320365</v>
      </c>
      <c r="R67" s="1232">
        <f>IFERROR(R66/R64,0)</f>
        <v>0</v>
      </c>
      <c r="S67" s="1231">
        <f>IFERROR(S66/S64,0)</f>
        <v>1</v>
      </c>
      <c r="T67" s="1232">
        <f t="shared" ref="T67:U67" si="58">IFERROR(T66/T64,0)</f>
        <v>0</v>
      </c>
      <c r="U67" s="1232">
        <f t="shared" si="58"/>
        <v>0</v>
      </c>
      <c r="V67" s="1232">
        <f>IFERROR(V66/V64,0)</f>
        <v>0</v>
      </c>
      <c r="W67" s="1232">
        <f>IFERROR(W66/W64,0)</f>
        <v>0</v>
      </c>
      <c r="X67" s="1229">
        <f>IFERROR(X66/X64,0)</f>
        <v>0.19801083311615841</v>
      </c>
      <c r="Y67" s="1225">
        <f t="shared" ref="Y67:AC67" si="59">IFERROR(Y66/Y64,0)</f>
        <v>0</v>
      </c>
      <c r="Z67" s="1232">
        <f t="shared" si="59"/>
        <v>0</v>
      </c>
      <c r="AA67" s="1229">
        <f t="shared" si="59"/>
        <v>0</v>
      </c>
      <c r="AB67" s="1233">
        <f t="shared" si="59"/>
        <v>0.19937202257224843</v>
      </c>
      <c r="AC67" s="1234">
        <f t="shared" si="59"/>
        <v>0.20483385109870947</v>
      </c>
    </row>
    <row r="68" spans="2:29" x14ac:dyDescent="0.3">
      <c r="B68" s="1235" t="s">
        <v>3692</v>
      </c>
      <c r="C68" s="1236">
        <f t="shared" ref="C68:K68" si="60">SUM(C69:C73)</f>
        <v>2579374164.4838181</v>
      </c>
      <c r="D68" s="1237">
        <f t="shared" si="60"/>
        <v>1529482372.1365798</v>
      </c>
      <c r="E68" s="1238">
        <f t="shared" si="60"/>
        <v>285557352.63580477</v>
      </c>
      <c r="F68" s="1237">
        <f t="shared" si="60"/>
        <v>6172230112.6700039</v>
      </c>
      <c r="G68" s="1237">
        <f t="shared" si="60"/>
        <v>589012154</v>
      </c>
      <c r="H68" s="1239">
        <f t="shared" si="60"/>
        <v>0</v>
      </c>
      <c r="I68" s="1240">
        <f t="shared" si="60"/>
        <v>11155656155.926207</v>
      </c>
      <c r="J68" s="1241">
        <f t="shared" si="60"/>
        <v>506399199.9061355</v>
      </c>
      <c r="K68" s="1236">
        <f t="shared" si="60"/>
        <v>5798703356.914505</v>
      </c>
      <c r="L68" s="1242">
        <f>SUM(L69:L73)</f>
        <v>0</v>
      </c>
      <c r="M68" s="1242">
        <f t="shared" ref="M68:Q68" si="61">SUM(M69:M73)</f>
        <v>351093361.50209224</v>
      </c>
      <c r="N68" s="1237">
        <f t="shared" si="61"/>
        <v>1579548151</v>
      </c>
      <c r="O68" s="1239">
        <f t="shared" si="61"/>
        <v>719869189</v>
      </c>
      <c r="P68" s="1240">
        <f t="shared" si="61"/>
        <v>8449214058.4165964</v>
      </c>
      <c r="Q68" s="1236">
        <f t="shared" si="61"/>
        <v>11937739994.316158</v>
      </c>
      <c r="R68" s="1243">
        <f>SUM(R69:R73)</f>
        <v>0</v>
      </c>
      <c r="S68" s="1242">
        <f>SUM(S69:S73)</f>
        <v>970479567.19500768</v>
      </c>
      <c r="T68" s="1243">
        <f t="shared" ref="T68:U68" si="62">SUM(T69:T73)</f>
        <v>7073150680.4303427</v>
      </c>
      <c r="U68" s="1243">
        <f t="shared" si="62"/>
        <v>9755203078.3191986</v>
      </c>
      <c r="V68" s="1243">
        <f>SUM(V69:V73)</f>
        <v>0</v>
      </c>
      <c r="W68" s="1243">
        <f>SUM(W69:W73)</f>
        <v>0</v>
      </c>
      <c r="X68" s="1240">
        <f>SUM(X69:X73)</f>
        <v>29736573320.260712</v>
      </c>
      <c r="Y68" s="1236">
        <f t="shared" ref="Y68:AC68" si="63">SUM(Y69:Y73)</f>
        <v>136394197.32879636</v>
      </c>
      <c r="Z68" s="1243">
        <f t="shared" si="63"/>
        <v>7028369953.1615562</v>
      </c>
      <c r="AA68" s="1240">
        <f t="shared" si="63"/>
        <v>7164764150.4903526</v>
      </c>
      <c r="AB68" s="1244">
        <f t="shared" si="63"/>
        <v>57012606885</v>
      </c>
      <c r="AC68" s="1245">
        <f t="shared" si="63"/>
        <v>54124177391</v>
      </c>
    </row>
    <row r="69" spans="2:29" x14ac:dyDescent="0.3">
      <c r="B69" s="1246" t="s">
        <v>3326</v>
      </c>
      <c r="C69" s="1247">
        <f t="shared" ref="C69:H69" si="64">SUM(C74:C76,C78:C80,C93,C97)</f>
        <v>544704323.15485716</v>
      </c>
      <c r="D69" s="1248">
        <f t="shared" si="64"/>
        <v>683797673.95784879</v>
      </c>
      <c r="E69" s="1249">
        <f t="shared" si="64"/>
        <v>188365925.94160557</v>
      </c>
      <c r="F69" s="1248">
        <f t="shared" si="64"/>
        <v>4481059724.9634533</v>
      </c>
      <c r="G69" s="1248">
        <f t="shared" si="64"/>
        <v>393905634</v>
      </c>
      <c r="H69" s="1250">
        <f t="shared" si="64"/>
        <v>0</v>
      </c>
      <c r="I69" s="1251">
        <f>SUM(C69:H69)</f>
        <v>6291833282.017765</v>
      </c>
      <c r="J69" s="1252">
        <f t="shared" ref="J69:O69" si="65">SUM(J74:J76,J78:J80,J93,J97)</f>
        <v>433201418.45882338</v>
      </c>
      <c r="K69" s="1247">
        <f t="shared" si="65"/>
        <v>971057325.2484566</v>
      </c>
      <c r="L69" s="1253">
        <f t="shared" si="65"/>
        <v>0</v>
      </c>
      <c r="M69" s="1253">
        <f t="shared" si="65"/>
        <v>149563999</v>
      </c>
      <c r="N69" s="1248">
        <f t="shared" si="65"/>
        <v>624309176</v>
      </c>
      <c r="O69" s="1250">
        <f t="shared" si="65"/>
        <v>0</v>
      </c>
      <c r="P69" s="1251">
        <f t="shared" ref="P69:P108" si="66">SUM(K69:O69)</f>
        <v>1744930500.2484565</v>
      </c>
      <c r="Q69" s="1247">
        <f t="shared" ref="Q69:W69" si="67">SUM(Q74:Q76,Q78:Q80,Q93,Q97)</f>
        <v>1826855718.2588859</v>
      </c>
      <c r="R69" s="1254">
        <f t="shared" si="67"/>
        <v>0</v>
      </c>
      <c r="S69" s="1253">
        <f t="shared" si="67"/>
        <v>500189743.1450069</v>
      </c>
      <c r="T69" s="1254">
        <f t="shared" si="67"/>
        <v>4023130183.1334901</v>
      </c>
      <c r="U69" s="1254">
        <f t="shared" si="67"/>
        <v>5120379415.2642498</v>
      </c>
      <c r="V69" s="1254">
        <f t="shared" si="67"/>
        <v>0</v>
      </c>
      <c r="W69" s="1254">
        <f t="shared" si="67"/>
        <v>0</v>
      </c>
      <c r="X69" s="1251">
        <f>SUM(Q69:W69)</f>
        <v>11470555059.801632</v>
      </c>
      <c r="Y69" s="1247">
        <f>SUM(Y74:Y76,Y78:Y80,Y93,Y97)</f>
        <v>136085997.32879636</v>
      </c>
      <c r="Z69" s="1254">
        <f>SUM(Z74:Z76,Z78:Z80,Z93,Z97)</f>
        <v>4435952416.1445255</v>
      </c>
      <c r="AA69" s="1251">
        <f>SUM(Y69:Z69)</f>
        <v>4572038413.4733219</v>
      </c>
      <c r="AB69" s="1255">
        <f t="shared" ref="AB69:AB71" si="68">SUM(I69,J69,P69,X69,AA69)</f>
        <v>24512558674</v>
      </c>
      <c r="AC69" s="1256">
        <f t="shared" ref="AC69:AC71" si="69">SUM(C69:F69,J69:M69,Q69:U69,AA69)</f>
        <v>23494343864</v>
      </c>
    </row>
    <row r="70" spans="2:29" x14ac:dyDescent="0.3">
      <c r="B70" s="1246" t="s">
        <v>1988</v>
      </c>
      <c r="C70" s="1247">
        <f t="shared" ref="C70:H70" si="70">SUM(C86:C88)</f>
        <v>846376500.84857774</v>
      </c>
      <c r="D70" s="1248">
        <f t="shared" si="70"/>
        <v>56292914.245680772</v>
      </c>
      <c r="E70" s="1249">
        <f t="shared" si="70"/>
        <v>11053263.671109045</v>
      </c>
      <c r="F70" s="1248">
        <f t="shared" si="70"/>
        <v>707435127.63314974</v>
      </c>
      <c r="G70" s="1248">
        <f t="shared" si="70"/>
        <v>18101503</v>
      </c>
      <c r="H70" s="1250">
        <f t="shared" si="70"/>
        <v>0</v>
      </c>
      <c r="I70" s="1251">
        <f>SUM(C70:H70)</f>
        <v>1639259309.3985174</v>
      </c>
      <c r="J70" s="1252">
        <f>SUM(J86:J88)</f>
        <v>58477553.540412664</v>
      </c>
      <c r="K70" s="1247">
        <f t="shared" ref="K70" si="71">SUM(K86:K88)</f>
        <v>4019308285.4779577</v>
      </c>
      <c r="L70" s="1253">
        <f>SUM(L86:L88)</f>
        <v>0</v>
      </c>
      <c r="M70" s="1253">
        <f t="shared" ref="M70:O70" si="72">SUM(M86:M88)</f>
        <v>8515595.5020922422</v>
      </c>
      <c r="N70" s="1248">
        <f t="shared" si="72"/>
        <v>310662509</v>
      </c>
      <c r="O70" s="1250">
        <f t="shared" si="72"/>
        <v>719869189</v>
      </c>
      <c r="P70" s="1251">
        <f t="shared" si="66"/>
        <v>5058355578.9800501</v>
      </c>
      <c r="Q70" s="1247">
        <f t="shared" ref="Q70:R70" si="73">SUM(Q86:Q88)</f>
        <v>1078357783.2991397</v>
      </c>
      <c r="R70" s="1254">
        <f t="shared" si="73"/>
        <v>0</v>
      </c>
      <c r="S70" s="1253">
        <f>SUM(S86:S88)</f>
        <v>35887889.778734438</v>
      </c>
      <c r="T70" s="1254">
        <f t="shared" ref="T70:W70" si="74">SUM(T86:T88)</f>
        <v>357576289.43482637</v>
      </c>
      <c r="U70" s="1254">
        <f t="shared" si="74"/>
        <v>446872324.39453554</v>
      </c>
      <c r="V70" s="1254">
        <f t="shared" si="74"/>
        <v>0</v>
      </c>
      <c r="W70" s="1254">
        <f t="shared" si="74"/>
        <v>0</v>
      </c>
      <c r="X70" s="1251">
        <f>SUM(Q70:W70)</f>
        <v>1918694286.9072361</v>
      </c>
      <c r="Y70" s="1247">
        <f>SUM(Y86:Y88)</f>
        <v>279200</v>
      </c>
      <c r="Z70" s="1254">
        <f>SUM(Z86:Z88)</f>
        <v>723779695.17378426</v>
      </c>
      <c r="AA70" s="1251">
        <f>SUM(Y70:Z70)</f>
        <v>724058895.17378426</v>
      </c>
      <c r="AB70" s="1255">
        <f t="shared" si="68"/>
        <v>9398845624</v>
      </c>
      <c r="AC70" s="1256">
        <f t="shared" si="69"/>
        <v>8350212423</v>
      </c>
    </row>
    <row r="71" spans="2:29" x14ac:dyDescent="0.3">
      <c r="B71" s="1246" t="s">
        <v>3327</v>
      </c>
      <c r="C71" s="1247">
        <f t="shared" ref="C71:H71" si="75">SUM(C98:C99)</f>
        <v>197281929</v>
      </c>
      <c r="D71" s="1248">
        <f t="shared" si="75"/>
        <v>143328997</v>
      </c>
      <c r="E71" s="1249">
        <f t="shared" si="75"/>
        <v>-1539424</v>
      </c>
      <c r="F71" s="1248">
        <f t="shared" si="75"/>
        <v>0</v>
      </c>
      <c r="G71" s="1248">
        <f t="shared" si="75"/>
        <v>0</v>
      </c>
      <c r="H71" s="1250">
        <f t="shared" si="75"/>
        <v>0</v>
      </c>
      <c r="I71" s="1251">
        <f>SUM(C71:H71)</f>
        <v>339071502</v>
      </c>
      <c r="J71" s="1252">
        <f>SUM(J98:J99)</f>
        <v>0</v>
      </c>
      <c r="K71" s="1247">
        <f t="shared" ref="K71" si="76">SUM(K98:K99)</f>
        <v>150942500</v>
      </c>
      <c r="L71" s="1253">
        <f>SUM(L98:L99)</f>
        <v>0</v>
      </c>
      <c r="M71" s="1253">
        <f t="shared" ref="M71:O71" si="77">SUM(M98:M99)</f>
        <v>23337461</v>
      </c>
      <c r="N71" s="1248">
        <f t="shared" si="77"/>
        <v>135891110</v>
      </c>
      <c r="O71" s="1250">
        <f t="shared" si="77"/>
        <v>0</v>
      </c>
      <c r="P71" s="1251">
        <f t="shared" si="66"/>
        <v>310171071</v>
      </c>
      <c r="Q71" s="1247">
        <f t="shared" ref="Q71:R71" si="78">SUM(Q98:Q99)</f>
        <v>6484736684</v>
      </c>
      <c r="R71" s="1254">
        <f t="shared" si="78"/>
        <v>0</v>
      </c>
      <c r="S71" s="1253">
        <f>SUM(S98:S99)</f>
        <v>426027546</v>
      </c>
      <c r="T71" s="1254">
        <f t="shared" ref="T71:W71" si="79">SUM(T98:T99)</f>
        <v>0</v>
      </c>
      <c r="U71" s="1254">
        <f t="shared" si="79"/>
        <v>0</v>
      </c>
      <c r="V71" s="1254">
        <f t="shared" si="79"/>
        <v>0</v>
      </c>
      <c r="W71" s="1254">
        <f t="shared" si="79"/>
        <v>0</v>
      </c>
      <c r="X71" s="1251">
        <f>SUM(Q71:W71)</f>
        <v>6910764230</v>
      </c>
      <c r="Y71" s="1247">
        <f>SUM(Y98:Y99)</f>
        <v>0</v>
      </c>
      <c r="Z71" s="1254">
        <f>SUM(Z98:Z99)</f>
        <v>112827702</v>
      </c>
      <c r="AA71" s="1251">
        <f>SUM(Y71:Z71)</f>
        <v>112827702</v>
      </c>
      <c r="AB71" s="1255">
        <f t="shared" si="68"/>
        <v>7672834505</v>
      </c>
      <c r="AC71" s="1256">
        <f t="shared" si="69"/>
        <v>7536943395</v>
      </c>
    </row>
    <row r="72" spans="2:29" x14ac:dyDescent="0.3">
      <c r="B72" s="1246" t="s">
        <v>1995</v>
      </c>
      <c r="C72" s="1247">
        <f t="shared" ref="C72:H72" si="80">SUM(C89,C106)</f>
        <v>38465281</v>
      </c>
      <c r="D72" s="1248">
        <f t="shared" si="80"/>
        <v>105291988</v>
      </c>
      <c r="E72" s="1249">
        <f t="shared" si="80"/>
        <v>14215250</v>
      </c>
      <c r="F72" s="1248">
        <f t="shared" si="80"/>
        <v>349898148</v>
      </c>
      <c r="G72" s="1248">
        <f t="shared" si="80"/>
        <v>32281733</v>
      </c>
      <c r="H72" s="1250">
        <f t="shared" si="80"/>
        <v>0</v>
      </c>
      <c r="I72" s="1251">
        <f>SUM(C72:H72)</f>
        <v>540152400</v>
      </c>
      <c r="J72" s="1252">
        <f t="shared" ref="J72:O72" si="81">SUM(J89,J106)</f>
        <v>7665869</v>
      </c>
      <c r="K72" s="1247">
        <f t="shared" si="81"/>
        <v>620803418</v>
      </c>
      <c r="L72" s="1253">
        <f t="shared" si="81"/>
        <v>0</v>
      </c>
      <c r="M72" s="1253">
        <f t="shared" si="81"/>
        <v>165360752</v>
      </c>
      <c r="N72" s="1248">
        <f t="shared" si="81"/>
        <v>331974477</v>
      </c>
      <c r="O72" s="1250">
        <f t="shared" si="81"/>
        <v>0</v>
      </c>
      <c r="P72" s="1251">
        <f t="shared" si="66"/>
        <v>1118138647</v>
      </c>
      <c r="Q72" s="1247">
        <f t="shared" ref="Q72:W72" si="82">SUM(Q89,Q106)</f>
        <v>2534582381</v>
      </c>
      <c r="R72" s="1254">
        <f t="shared" si="82"/>
        <v>0</v>
      </c>
      <c r="S72" s="1253">
        <f t="shared" si="82"/>
        <v>3460629</v>
      </c>
      <c r="T72" s="1254">
        <f t="shared" si="82"/>
        <v>2675556107</v>
      </c>
      <c r="U72" s="1254">
        <f t="shared" si="82"/>
        <v>4099795557</v>
      </c>
      <c r="V72" s="1254">
        <f t="shared" si="82"/>
        <v>0</v>
      </c>
      <c r="W72" s="1254">
        <f t="shared" si="82"/>
        <v>0</v>
      </c>
      <c r="X72" s="1251">
        <f>SUM(Q72:W72)</f>
        <v>9313394674</v>
      </c>
      <c r="Y72" s="1247">
        <f>SUM(Y89,Y106)</f>
        <v>0</v>
      </c>
      <c r="Z72" s="1254">
        <f>SUM(Z89,Z106)</f>
        <v>1100049351</v>
      </c>
      <c r="AA72" s="1251">
        <f>SUM(Y72:Z72)</f>
        <v>1100049351</v>
      </c>
      <c r="AB72" s="1255">
        <f>SUM(AB89:AB89,AB106)</f>
        <v>12079400941</v>
      </c>
      <c r="AC72" s="1256">
        <f>SUM(AC89:AC89,AC106)</f>
        <v>11715144731</v>
      </c>
    </row>
    <row r="73" spans="2:29" ht="17.25" thickBot="1" x14ac:dyDescent="0.35">
      <c r="B73" s="1257" t="s">
        <v>3696</v>
      </c>
      <c r="C73" s="1258">
        <f t="shared" ref="C73:H73" si="83">SUM(C77,C81:C85,C90:C92,C94:C96,C100:C105,C107:C108)</f>
        <v>952546130.48038316</v>
      </c>
      <c r="D73" s="1259">
        <f t="shared" si="83"/>
        <v>540770798.93305016</v>
      </c>
      <c r="E73" s="1260">
        <f t="shared" si="83"/>
        <v>73462337.023090124</v>
      </c>
      <c r="F73" s="1259">
        <f t="shared" si="83"/>
        <v>633837112.07340038</v>
      </c>
      <c r="G73" s="1259">
        <f t="shared" si="83"/>
        <v>144723284</v>
      </c>
      <c r="H73" s="1261">
        <f t="shared" si="83"/>
        <v>0</v>
      </c>
      <c r="I73" s="1262">
        <f>SUM(C73:H73)</f>
        <v>2345339662.5099239</v>
      </c>
      <c r="J73" s="1263">
        <f t="shared" ref="J73:O73" si="84">SUM(J77,J81:J85,J90:J92,J94:J96,J100:J105,J107:J108)</f>
        <v>7054358.906899428</v>
      </c>
      <c r="K73" s="1258">
        <f t="shared" si="84"/>
        <v>36591828.188090354</v>
      </c>
      <c r="L73" s="1264">
        <f t="shared" si="84"/>
        <v>0</v>
      </c>
      <c r="M73" s="1264">
        <f t="shared" si="84"/>
        <v>4315554</v>
      </c>
      <c r="N73" s="1259">
        <f t="shared" si="84"/>
        <v>176710879</v>
      </c>
      <c r="O73" s="1261">
        <f t="shared" si="84"/>
        <v>0</v>
      </c>
      <c r="P73" s="1262">
        <f t="shared" si="66"/>
        <v>217618261.18809035</v>
      </c>
      <c r="Q73" s="1258">
        <f t="shared" ref="Q73:W73" si="85">SUM(Q77,Q81:Q85,Q90:Q92,Q94:Q96,Q100:Q105,Q107:Q108)</f>
        <v>13207427.758132963</v>
      </c>
      <c r="R73" s="1265">
        <f t="shared" si="85"/>
        <v>0</v>
      </c>
      <c r="S73" s="1264">
        <f t="shared" si="85"/>
        <v>4913759.2712662844</v>
      </c>
      <c r="T73" s="1265">
        <f t="shared" si="85"/>
        <v>16888100.862026449</v>
      </c>
      <c r="U73" s="1265">
        <f t="shared" si="85"/>
        <v>88155781.660414353</v>
      </c>
      <c r="V73" s="1265">
        <f t="shared" si="85"/>
        <v>0</v>
      </c>
      <c r="W73" s="1265">
        <f t="shared" si="85"/>
        <v>0</v>
      </c>
      <c r="X73" s="1262">
        <f>SUM(Q73:W73)</f>
        <v>123165069.55184005</v>
      </c>
      <c r="Y73" s="1258">
        <f>SUM(Y77,Y81:Y85,Y90:Y92,Y94:Y96,Y100:Y105,Y107:Y108)</f>
        <v>29000</v>
      </c>
      <c r="Z73" s="1265">
        <f>SUM(Z77,Z81:Z85,Z90:Z92,Z94:Z96,Z100:Z105,Z107:Z108)</f>
        <v>655760788.84324646</v>
      </c>
      <c r="AA73" s="1262">
        <f>SUM(Y73:Z73)</f>
        <v>655789788.84324646</v>
      </c>
      <c r="AB73" s="1266">
        <f t="shared" ref="AB73:AB108" si="86">SUM(I73,J73,P73,X73,AA73)</f>
        <v>3348967141</v>
      </c>
      <c r="AC73" s="1267">
        <f t="shared" ref="AC73:AC108" si="87">SUM(C73:F73,J73:M73,Q73:U73,AA73)</f>
        <v>3027532978</v>
      </c>
    </row>
    <row r="74" spans="2:29" ht="17.25" hidden="1" outlineLevel="1" thickTop="1" x14ac:dyDescent="0.25">
      <c r="B74" s="1268" t="s">
        <v>1647</v>
      </c>
      <c r="C74" s="1269">
        <v>473674750</v>
      </c>
      <c r="D74" s="1270">
        <v>537246030</v>
      </c>
      <c r="E74" s="1271">
        <v>149282360</v>
      </c>
      <c r="F74" s="1270">
        <v>1832732453.3169491</v>
      </c>
      <c r="G74" s="1270">
        <v>302659272</v>
      </c>
      <c r="H74" s="1272">
        <v>0</v>
      </c>
      <c r="I74" s="1273">
        <f t="shared" ref="I74:I108" si="88">SUM(C74:H74)</f>
        <v>3295594865.3169489</v>
      </c>
      <c r="J74" s="1274">
        <v>313871088.83033717</v>
      </c>
      <c r="K74" s="1269">
        <v>771494854.89342332</v>
      </c>
      <c r="L74" s="1275">
        <v>0</v>
      </c>
      <c r="M74" s="1275">
        <v>126816320</v>
      </c>
      <c r="N74" s="1270">
        <v>409475776</v>
      </c>
      <c r="O74" s="1272">
        <v>0</v>
      </c>
      <c r="P74" s="1273">
        <f t="shared" si="66"/>
        <v>1307786950.8934233</v>
      </c>
      <c r="Q74" s="1269">
        <v>1322535235.1801915</v>
      </c>
      <c r="R74" s="1276">
        <v>0</v>
      </c>
      <c r="S74" s="1275">
        <v>377347572</v>
      </c>
      <c r="T74" s="1276">
        <v>2652815813.1995783</v>
      </c>
      <c r="U74" s="1276">
        <v>3903762268.0977936</v>
      </c>
      <c r="V74" s="1276">
        <v>0</v>
      </c>
      <c r="W74" s="1276">
        <v>0</v>
      </c>
      <c r="X74" s="1273">
        <f t="shared" ref="X74:X108" si="89">SUM(Q74:W74)</f>
        <v>8256460888.4775639</v>
      </c>
      <c r="Y74" s="1269">
        <v>114509635.99267249</v>
      </c>
      <c r="Z74" s="1276">
        <v>2673971212.4890537</v>
      </c>
      <c r="AA74" s="1273">
        <f t="shared" ref="AA74:AA108" si="90">SUM(Y74:Z74)</f>
        <v>2788480848.4817262</v>
      </c>
      <c r="AB74" s="1277">
        <f t="shared" si="86"/>
        <v>15962194641.999998</v>
      </c>
      <c r="AC74" s="1278">
        <f t="shared" si="87"/>
        <v>15250059593.999998</v>
      </c>
    </row>
    <row r="75" spans="2:29" hidden="1" outlineLevel="1" x14ac:dyDescent="0.25">
      <c r="B75" s="1268" t="s">
        <v>3699</v>
      </c>
      <c r="C75" s="1269">
        <v>-60796284</v>
      </c>
      <c r="D75" s="1270">
        <v>0</v>
      </c>
      <c r="E75" s="1271">
        <v>0</v>
      </c>
      <c r="F75" s="1270">
        <v>1624435611</v>
      </c>
      <c r="G75" s="1270">
        <v>0</v>
      </c>
      <c r="H75" s="1272">
        <v>0</v>
      </c>
      <c r="I75" s="1273">
        <f t="shared" si="88"/>
        <v>1563639327</v>
      </c>
      <c r="J75" s="1274">
        <v>0</v>
      </c>
      <c r="K75" s="1269">
        <v>0</v>
      </c>
      <c r="L75" s="1275">
        <v>0</v>
      </c>
      <c r="M75" s="1275">
        <v>0</v>
      </c>
      <c r="N75" s="1270">
        <v>0</v>
      </c>
      <c r="O75" s="1272">
        <v>0</v>
      </c>
      <c r="P75" s="1273">
        <f t="shared" si="66"/>
        <v>0</v>
      </c>
      <c r="Q75" s="1269">
        <v>0</v>
      </c>
      <c r="R75" s="1276">
        <v>0</v>
      </c>
      <c r="S75" s="1275">
        <v>0</v>
      </c>
      <c r="T75" s="1276">
        <v>0</v>
      </c>
      <c r="U75" s="1276">
        <v>0</v>
      </c>
      <c r="V75" s="1276">
        <v>0</v>
      </c>
      <c r="W75" s="1276">
        <v>0</v>
      </c>
      <c r="X75" s="1273">
        <f t="shared" si="89"/>
        <v>0</v>
      </c>
      <c r="Y75" s="1269">
        <v>0</v>
      </c>
      <c r="Z75" s="1276">
        <v>0</v>
      </c>
      <c r="AA75" s="1273">
        <f t="shared" si="90"/>
        <v>0</v>
      </c>
      <c r="AB75" s="1277">
        <f t="shared" si="86"/>
        <v>1563639327</v>
      </c>
      <c r="AC75" s="1278">
        <f t="shared" si="87"/>
        <v>1563639327</v>
      </c>
    </row>
    <row r="76" spans="2:29" hidden="1" outlineLevel="1" x14ac:dyDescent="0.25">
      <c r="B76" s="1268" t="s">
        <v>1984</v>
      </c>
      <c r="C76" s="1269">
        <v>52989829.747553267</v>
      </c>
      <c r="D76" s="1270">
        <v>60447360.970240369</v>
      </c>
      <c r="E76" s="1271">
        <v>16580911.746801598</v>
      </c>
      <c r="F76" s="1270">
        <v>351821249.85489488</v>
      </c>
      <c r="G76" s="1270">
        <v>35495175</v>
      </c>
      <c r="H76" s="1272">
        <v>0</v>
      </c>
      <c r="I76" s="1273">
        <f t="shared" si="88"/>
        <v>517334527.31949013</v>
      </c>
      <c r="J76" s="1274">
        <v>36346671.230813473</v>
      </c>
      <c r="K76" s="1269">
        <v>91726068.949924618</v>
      </c>
      <c r="L76" s="1275">
        <v>0</v>
      </c>
      <c r="M76" s="1275">
        <v>0</v>
      </c>
      <c r="N76" s="1270">
        <v>19963101</v>
      </c>
      <c r="O76" s="1272">
        <v>0</v>
      </c>
      <c r="P76" s="1273">
        <f t="shared" si="66"/>
        <v>111689169.94992462</v>
      </c>
      <c r="Q76" s="1269">
        <v>130768911.56043757</v>
      </c>
      <c r="R76" s="1276">
        <v>0</v>
      </c>
      <c r="S76" s="1275">
        <v>41914836.49266687</v>
      </c>
      <c r="T76" s="1276">
        <v>278813523.53172058</v>
      </c>
      <c r="U76" s="1276">
        <v>397304110.72619355</v>
      </c>
      <c r="V76" s="1276">
        <v>0</v>
      </c>
      <c r="W76" s="1276">
        <v>0</v>
      </c>
      <c r="X76" s="1273">
        <f t="shared" si="89"/>
        <v>848801382.31101859</v>
      </c>
      <c r="Y76" s="1269">
        <v>12330619.321428595</v>
      </c>
      <c r="Z76" s="1276">
        <v>190395433.86732465</v>
      </c>
      <c r="AA76" s="1273">
        <f t="shared" si="90"/>
        <v>202726053.18875325</v>
      </c>
      <c r="AB76" s="1277">
        <f t="shared" si="86"/>
        <v>1716897804</v>
      </c>
      <c r="AC76" s="1278">
        <f t="shared" si="87"/>
        <v>1661439528</v>
      </c>
    </row>
    <row r="77" spans="2:29" hidden="1" outlineLevel="1" x14ac:dyDescent="0.25">
      <c r="B77" s="1279" t="s">
        <v>1987</v>
      </c>
      <c r="C77" s="1280">
        <v>12838302.480383143</v>
      </c>
      <c r="D77" s="1281">
        <v>15969540.933050085</v>
      </c>
      <c r="E77" s="1282">
        <v>3774334.0230901213</v>
      </c>
      <c r="F77" s="1281">
        <v>128356116.07340041</v>
      </c>
      <c r="G77" s="1281">
        <v>22251011</v>
      </c>
      <c r="H77" s="1283">
        <v>0</v>
      </c>
      <c r="I77" s="1284">
        <f t="shared" si="88"/>
        <v>183189304.50992376</v>
      </c>
      <c r="J77" s="1285">
        <v>308122.906899428</v>
      </c>
      <c r="K77" s="1280">
        <v>23042.188090358628</v>
      </c>
      <c r="L77" s="1286">
        <v>0</v>
      </c>
      <c r="M77" s="1286">
        <v>325000</v>
      </c>
      <c r="N77" s="1281">
        <v>61396802</v>
      </c>
      <c r="O77" s="1283">
        <v>0</v>
      </c>
      <c r="P77" s="1284">
        <f t="shared" si="66"/>
        <v>61744844.188090362</v>
      </c>
      <c r="Q77" s="1280">
        <v>32454.758132962743</v>
      </c>
      <c r="R77" s="1287">
        <v>0</v>
      </c>
      <c r="S77" s="1286">
        <v>5415.2712662843987</v>
      </c>
      <c r="T77" s="1287">
        <v>73145.862026450224</v>
      </c>
      <c r="U77" s="1287">
        <v>2862456.6604143474</v>
      </c>
      <c r="V77" s="1287">
        <v>0</v>
      </c>
      <c r="W77" s="1287">
        <v>0</v>
      </c>
      <c r="X77" s="1284">
        <f t="shared" si="89"/>
        <v>2973472.5518400446</v>
      </c>
      <c r="Y77" s="1280">
        <v>0</v>
      </c>
      <c r="Z77" s="1287">
        <v>82266061.84324643</v>
      </c>
      <c r="AA77" s="1284">
        <f t="shared" si="90"/>
        <v>82266061.84324643</v>
      </c>
      <c r="AB77" s="1288">
        <f t="shared" si="86"/>
        <v>330481806</v>
      </c>
      <c r="AC77" s="1289">
        <f t="shared" si="87"/>
        <v>246833993</v>
      </c>
    </row>
    <row r="78" spans="2:29" hidden="1" outlineLevel="1" x14ac:dyDescent="0.25">
      <c r="B78" s="1268" t="s">
        <v>3704</v>
      </c>
      <c r="C78" s="1269">
        <v>48359290</v>
      </c>
      <c r="D78" s="1270">
        <v>53209140</v>
      </c>
      <c r="E78" s="1271">
        <v>14386910</v>
      </c>
      <c r="F78" s="1270">
        <v>320196750</v>
      </c>
      <c r="G78" s="1270">
        <v>53462277</v>
      </c>
      <c r="H78" s="1272">
        <v>0</v>
      </c>
      <c r="I78" s="1273">
        <f t="shared" si="88"/>
        <v>489614367</v>
      </c>
      <c r="J78" s="1274">
        <v>29560310</v>
      </c>
      <c r="K78" s="1269">
        <v>68774820</v>
      </c>
      <c r="L78" s="1275">
        <v>0</v>
      </c>
      <c r="M78" s="1275">
        <v>14044880</v>
      </c>
      <c r="N78" s="1270">
        <v>112349771</v>
      </c>
      <c r="O78" s="1272">
        <v>0</v>
      </c>
      <c r="P78" s="1273">
        <f t="shared" si="66"/>
        <v>195169471</v>
      </c>
      <c r="Q78" s="1269">
        <v>111225740</v>
      </c>
      <c r="R78" s="1276">
        <v>0</v>
      </c>
      <c r="S78" s="1275">
        <v>33241960</v>
      </c>
      <c r="T78" s="1276">
        <v>236340460</v>
      </c>
      <c r="U78" s="1276">
        <v>331284060</v>
      </c>
      <c r="V78" s="1276">
        <v>0</v>
      </c>
      <c r="W78" s="1276">
        <v>0</v>
      </c>
      <c r="X78" s="1273">
        <f t="shared" si="89"/>
        <v>712092220</v>
      </c>
      <c r="Y78" s="1269">
        <v>5281900</v>
      </c>
      <c r="Z78" s="1276">
        <v>189289150</v>
      </c>
      <c r="AA78" s="1273">
        <f t="shared" si="90"/>
        <v>194571050</v>
      </c>
      <c r="AB78" s="1277">
        <f t="shared" si="86"/>
        <v>1621007418</v>
      </c>
      <c r="AC78" s="1278">
        <f t="shared" si="87"/>
        <v>1455195370</v>
      </c>
    </row>
    <row r="79" spans="2:29" hidden="1" outlineLevel="1" x14ac:dyDescent="0.25">
      <c r="B79" s="1268" t="s">
        <v>3706</v>
      </c>
      <c r="C79" s="1269">
        <v>30476737.407303881</v>
      </c>
      <c r="D79" s="1270">
        <v>32495142.98760844</v>
      </c>
      <c r="E79" s="1271">
        <v>7939044.1948039737</v>
      </c>
      <c r="F79" s="1270">
        <v>248892522.79160941</v>
      </c>
      <c r="G79" s="1270">
        <v>0</v>
      </c>
      <c r="H79" s="1272">
        <v>0</v>
      </c>
      <c r="I79" s="1273">
        <f t="shared" si="88"/>
        <v>319803447.38132572</v>
      </c>
      <c r="J79" s="1274">
        <v>18843691.397672735</v>
      </c>
      <c r="K79" s="1269">
        <v>52788384.405108705</v>
      </c>
      <c r="L79" s="1275">
        <v>0</v>
      </c>
      <c r="M79" s="1275">
        <v>8702799</v>
      </c>
      <c r="N79" s="1270">
        <v>0</v>
      </c>
      <c r="O79" s="1272">
        <v>0</v>
      </c>
      <c r="P79" s="1273">
        <f t="shared" si="66"/>
        <v>61491183.405108705</v>
      </c>
      <c r="Q79" s="1269">
        <v>81049814.518256605</v>
      </c>
      <c r="R79" s="1276">
        <v>0</v>
      </c>
      <c r="S79" s="1275">
        <v>14150090.652340081</v>
      </c>
      <c r="T79" s="1276">
        <v>204085501.40219116</v>
      </c>
      <c r="U79" s="1276">
        <v>204902329.44026232</v>
      </c>
      <c r="V79" s="1276">
        <v>0</v>
      </c>
      <c r="W79" s="1276">
        <v>0</v>
      </c>
      <c r="X79" s="1273">
        <f t="shared" si="89"/>
        <v>504187736.0130502</v>
      </c>
      <c r="Y79" s="1269">
        <v>3963842.0146952765</v>
      </c>
      <c r="Z79" s="1276">
        <v>850760182.78814733</v>
      </c>
      <c r="AA79" s="1273">
        <f t="shared" si="90"/>
        <v>854724024.80284262</v>
      </c>
      <c r="AB79" s="1277">
        <f t="shared" si="86"/>
        <v>1759050083</v>
      </c>
      <c r="AC79" s="1278">
        <f t="shared" si="87"/>
        <v>1759050083</v>
      </c>
    </row>
    <row r="80" spans="2:29" hidden="1" outlineLevel="1" x14ac:dyDescent="0.25">
      <c r="B80" s="1268" t="s">
        <v>527</v>
      </c>
      <c r="C80" s="1269">
        <v>0</v>
      </c>
      <c r="D80" s="1270">
        <v>0</v>
      </c>
      <c r="E80" s="1271">
        <v>0</v>
      </c>
      <c r="F80" s="1270">
        <v>0</v>
      </c>
      <c r="G80" s="1270">
        <v>0</v>
      </c>
      <c r="H80" s="1272">
        <v>0</v>
      </c>
      <c r="I80" s="1273">
        <f t="shared" si="88"/>
        <v>0</v>
      </c>
      <c r="J80" s="1274">
        <v>0</v>
      </c>
      <c r="K80" s="1269">
        <v>-22489453</v>
      </c>
      <c r="L80" s="1275">
        <v>0</v>
      </c>
      <c r="M80" s="1275">
        <v>0</v>
      </c>
      <c r="N80" s="1270">
        <v>0</v>
      </c>
      <c r="O80" s="1272">
        <v>0</v>
      </c>
      <c r="P80" s="1273">
        <f t="shared" si="66"/>
        <v>-22489453</v>
      </c>
      <c r="Q80" s="1269">
        <v>123723978</v>
      </c>
      <c r="R80" s="1276">
        <v>0</v>
      </c>
      <c r="S80" s="1275">
        <v>24744878</v>
      </c>
      <c r="T80" s="1276">
        <v>123723978</v>
      </c>
      <c r="U80" s="1276">
        <v>275577407</v>
      </c>
      <c r="V80" s="1276">
        <v>0</v>
      </c>
      <c r="W80" s="1276">
        <v>0</v>
      </c>
      <c r="X80" s="1273">
        <f t="shared" si="89"/>
        <v>547770241</v>
      </c>
      <c r="Y80" s="1269">
        <v>0</v>
      </c>
      <c r="Z80" s="1276">
        <v>98979399</v>
      </c>
      <c r="AA80" s="1273">
        <f t="shared" si="90"/>
        <v>98979399</v>
      </c>
      <c r="AB80" s="1277">
        <f t="shared" si="86"/>
        <v>624260187</v>
      </c>
      <c r="AC80" s="1278">
        <f t="shared" si="87"/>
        <v>624260187</v>
      </c>
    </row>
    <row r="81" spans="2:29" hidden="1" outlineLevel="1" x14ac:dyDescent="0.25">
      <c r="B81" s="1268" t="s">
        <v>3199</v>
      </c>
      <c r="C81" s="1269">
        <v>2547193</v>
      </c>
      <c r="D81" s="1270">
        <v>672975</v>
      </c>
      <c r="E81" s="1271">
        <v>30000</v>
      </c>
      <c r="F81" s="1270">
        <v>6287174</v>
      </c>
      <c r="G81" s="1270">
        <v>0</v>
      </c>
      <c r="H81" s="1272">
        <v>0</v>
      </c>
      <c r="I81" s="1273">
        <f t="shared" si="88"/>
        <v>9537342</v>
      </c>
      <c r="J81" s="1274">
        <v>70000</v>
      </c>
      <c r="K81" s="1269">
        <v>1213700</v>
      </c>
      <c r="L81" s="1275">
        <v>0</v>
      </c>
      <c r="M81" s="1275">
        <v>0</v>
      </c>
      <c r="N81" s="1270">
        <v>7016399</v>
      </c>
      <c r="O81" s="1272">
        <v>0</v>
      </c>
      <c r="P81" s="1273">
        <f t="shared" si="66"/>
        <v>8230099</v>
      </c>
      <c r="Q81" s="1269">
        <v>538400</v>
      </c>
      <c r="R81" s="1276">
        <v>0</v>
      </c>
      <c r="S81" s="1275">
        <v>99200</v>
      </c>
      <c r="T81" s="1276">
        <v>4288108</v>
      </c>
      <c r="U81" s="1276">
        <v>6465363</v>
      </c>
      <c r="V81" s="1276">
        <v>0</v>
      </c>
      <c r="W81" s="1276">
        <v>0</v>
      </c>
      <c r="X81" s="1273">
        <f t="shared" si="89"/>
        <v>11391071</v>
      </c>
      <c r="Y81" s="1269">
        <v>20000</v>
      </c>
      <c r="Z81" s="1276">
        <v>19975097</v>
      </c>
      <c r="AA81" s="1273">
        <f t="shared" si="90"/>
        <v>19995097</v>
      </c>
      <c r="AB81" s="1277">
        <f t="shared" si="86"/>
        <v>49223609</v>
      </c>
      <c r="AC81" s="1278">
        <f t="shared" si="87"/>
        <v>42207210</v>
      </c>
    </row>
    <row r="82" spans="2:29" hidden="1" outlineLevel="1" x14ac:dyDescent="0.25">
      <c r="B82" s="1268" t="s">
        <v>3710</v>
      </c>
      <c r="C82" s="1269">
        <v>0</v>
      </c>
      <c r="D82" s="1270">
        <v>1553202</v>
      </c>
      <c r="E82" s="1271">
        <v>0</v>
      </c>
      <c r="F82" s="1270">
        <v>-461500</v>
      </c>
      <c r="G82" s="1270">
        <v>1316930</v>
      </c>
      <c r="H82" s="1272">
        <v>0</v>
      </c>
      <c r="I82" s="1273">
        <f t="shared" si="88"/>
        <v>2408632</v>
      </c>
      <c r="J82" s="1274">
        <v>390680</v>
      </c>
      <c r="K82" s="1269">
        <v>4800000</v>
      </c>
      <c r="L82" s="1275">
        <v>0</v>
      </c>
      <c r="M82" s="1275">
        <v>0</v>
      </c>
      <c r="N82" s="1270">
        <v>2171463</v>
      </c>
      <c r="O82" s="1272">
        <v>0</v>
      </c>
      <c r="P82" s="1273">
        <f t="shared" si="66"/>
        <v>6971463</v>
      </c>
      <c r="Q82" s="1269">
        <v>40500</v>
      </c>
      <c r="R82" s="1276">
        <v>0</v>
      </c>
      <c r="S82" s="1275">
        <v>0</v>
      </c>
      <c r="T82" s="1276">
        <v>0</v>
      </c>
      <c r="U82" s="1276">
        <v>0</v>
      </c>
      <c r="V82" s="1276">
        <v>0</v>
      </c>
      <c r="W82" s="1276">
        <v>0</v>
      </c>
      <c r="X82" s="1273">
        <f t="shared" si="89"/>
        <v>40500</v>
      </c>
      <c r="Y82" s="1269">
        <v>0</v>
      </c>
      <c r="Z82" s="1276">
        <v>59141104</v>
      </c>
      <c r="AA82" s="1273">
        <f t="shared" si="90"/>
        <v>59141104</v>
      </c>
      <c r="AB82" s="1277">
        <f t="shared" si="86"/>
        <v>68952379</v>
      </c>
      <c r="AC82" s="1278">
        <f t="shared" si="87"/>
        <v>65463986</v>
      </c>
    </row>
    <row r="83" spans="2:29" hidden="1" outlineLevel="1" x14ac:dyDescent="0.25">
      <c r="B83" s="1268" t="s">
        <v>3711</v>
      </c>
      <c r="C83" s="1269">
        <v>4852555</v>
      </c>
      <c r="D83" s="1270">
        <v>6073457</v>
      </c>
      <c r="E83" s="1271">
        <v>1555457</v>
      </c>
      <c r="F83" s="1270">
        <v>44142428</v>
      </c>
      <c r="G83" s="1270">
        <v>1445126</v>
      </c>
      <c r="H83" s="1272">
        <v>0</v>
      </c>
      <c r="I83" s="1273">
        <f t="shared" si="88"/>
        <v>58069023</v>
      </c>
      <c r="J83" s="1274">
        <v>0</v>
      </c>
      <c r="K83" s="1269">
        <v>0</v>
      </c>
      <c r="L83" s="1275">
        <v>0</v>
      </c>
      <c r="M83" s="1275">
        <v>0</v>
      </c>
      <c r="N83" s="1270">
        <v>1620629</v>
      </c>
      <c r="O83" s="1272">
        <v>0</v>
      </c>
      <c r="P83" s="1273">
        <f t="shared" si="66"/>
        <v>1620629</v>
      </c>
      <c r="Q83" s="1269">
        <v>0</v>
      </c>
      <c r="R83" s="1276">
        <v>0</v>
      </c>
      <c r="S83" s="1275">
        <v>0</v>
      </c>
      <c r="T83" s="1276">
        <v>0</v>
      </c>
      <c r="U83" s="1276">
        <v>821819</v>
      </c>
      <c r="V83" s="1276">
        <v>0</v>
      </c>
      <c r="W83" s="1276">
        <v>0</v>
      </c>
      <c r="X83" s="1273">
        <f t="shared" si="89"/>
        <v>821819</v>
      </c>
      <c r="Y83" s="1269">
        <v>0</v>
      </c>
      <c r="Z83" s="1276">
        <v>11115328</v>
      </c>
      <c r="AA83" s="1273">
        <f t="shared" si="90"/>
        <v>11115328</v>
      </c>
      <c r="AB83" s="1277">
        <f t="shared" si="86"/>
        <v>71626799</v>
      </c>
      <c r="AC83" s="1278">
        <f t="shared" si="87"/>
        <v>68561044</v>
      </c>
    </row>
    <row r="84" spans="2:29" hidden="1" outlineLevel="1" x14ac:dyDescent="0.25">
      <c r="B84" s="1268" t="s">
        <v>3712</v>
      </c>
      <c r="C84" s="1269">
        <v>9496660</v>
      </c>
      <c r="D84" s="1270">
        <v>439140</v>
      </c>
      <c r="E84" s="1271">
        <v>1087710</v>
      </c>
      <c r="F84" s="1270">
        <v>2590103</v>
      </c>
      <c r="G84" s="1270">
        <v>273434</v>
      </c>
      <c r="H84" s="1272">
        <v>0</v>
      </c>
      <c r="I84" s="1273">
        <f t="shared" si="88"/>
        <v>13887047</v>
      </c>
      <c r="J84" s="1274">
        <v>0</v>
      </c>
      <c r="K84" s="1269">
        <v>141340</v>
      </c>
      <c r="L84" s="1275">
        <v>0</v>
      </c>
      <c r="M84" s="1275">
        <v>0</v>
      </c>
      <c r="N84" s="1270">
        <v>0</v>
      </c>
      <c r="O84" s="1272">
        <v>0</v>
      </c>
      <c r="P84" s="1273">
        <f t="shared" si="66"/>
        <v>141340</v>
      </c>
      <c r="Q84" s="1269">
        <v>0</v>
      </c>
      <c r="R84" s="1276">
        <v>0</v>
      </c>
      <c r="S84" s="1275">
        <v>0</v>
      </c>
      <c r="T84" s="1276">
        <v>0</v>
      </c>
      <c r="U84" s="1276">
        <v>0</v>
      </c>
      <c r="V84" s="1276">
        <v>0</v>
      </c>
      <c r="W84" s="1276">
        <v>0</v>
      </c>
      <c r="X84" s="1273">
        <f t="shared" si="89"/>
        <v>0</v>
      </c>
      <c r="Y84" s="1269">
        <v>0</v>
      </c>
      <c r="Z84" s="1276">
        <v>24047936</v>
      </c>
      <c r="AA84" s="1273">
        <f t="shared" si="90"/>
        <v>24047936</v>
      </c>
      <c r="AB84" s="1277">
        <f t="shared" si="86"/>
        <v>38076323</v>
      </c>
      <c r="AC84" s="1278">
        <f t="shared" si="87"/>
        <v>37802889</v>
      </c>
    </row>
    <row r="85" spans="2:29" hidden="1" outlineLevel="1" x14ac:dyDescent="0.25">
      <c r="B85" s="1290" t="s">
        <v>3713</v>
      </c>
      <c r="C85" s="1291">
        <v>0</v>
      </c>
      <c r="D85" s="1292">
        <v>0</v>
      </c>
      <c r="E85" s="1293">
        <v>0</v>
      </c>
      <c r="F85" s="1292">
        <v>0</v>
      </c>
      <c r="G85" s="1292">
        <v>0</v>
      </c>
      <c r="H85" s="1294">
        <v>0</v>
      </c>
      <c r="I85" s="1295">
        <f t="shared" si="88"/>
        <v>0</v>
      </c>
      <c r="J85" s="1296">
        <v>0</v>
      </c>
      <c r="K85" s="1291">
        <v>0</v>
      </c>
      <c r="L85" s="1297">
        <v>0</v>
      </c>
      <c r="M85" s="1297">
        <v>0</v>
      </c>
      <c r="N85" s="1292">
        <v>0</v>
      </c>
      <c r="O85" s="1294">
        <v>0</v>
      </c>
      <c r="P85" s="1295">
        <f t="shared" si="66"/>
        <v>0</v>
      </c>
      <c r="Q85" s="1291">
        <v>0</v>
      </c>
      <c r="R85" s="1298">
        <v>0</v>
      </c>
      <c r="S85" s="1297">
        <v>0</v>
      </c>
      <c r="T85" s="1298">
        <v>0</v>
      </c>
      <c r="U85" s="1298">
        <v>0</v>
      </c>
      <c r="V85" s="1298">
        <v>0</v>
      </c>
      <c r="W85" s="1298">
        <v>0</v>
      </c>
      <c r="X85" s="1295">
        <f t="shared" si="89"/>
        <v>0</v>
      </c>
      <c r="Y85" s="1291">
        <v>0</v>
      </c>
      <c r="Z85" s="1298">
        <v>15816486</v>
      </c>
      <c r="AA85" s="1295">
        <f t="shared" si="90"/>
        <v>15816486</v>
      </c>
      <c r="AB85" s="1299">
        <f t="shared" si="86"/>
        <v>15816486</v>
      </c>
      <c r="AC85" s="1300">
        <f t="shared" si="87"/>
        <v>15816486</v>
      </c>
    </row>
    <row r="86" spans="2:29" hidden="1" outlineLevel="1" x14ac:dyDescent="0.25">
      <c r="B86" s="1279" t="s">
        <v>1989</v>
      </c>
      <c r="C86" s="1280">
        <v>792479776</v>
      </c>
      <c r="D86" s="1281">
        <v>11566393</v>
      </c>
      <c r="E86" s="1282">
        <v>0</v>
      </c>
      <c r="F86" s="1281">
        <v>31772862</v>
      </c>
      <c r="G86" s="1281">
        <v>1433463</v>
      </c>
      <c r="H86" s="1283">
        <v>0</v>
      </c>
      <c r="I86" s="1284">
        <f t="shared" si="88"/>
        <v>837252494</v>
      </c>
      <c r="J86" s="1285">
        <v>0</v>
      </c>
      <c r="K86" s="1280">
        <v>3890808714</v>
      </c>
      <c r="L86" s="1286">
        <v>0</v>
      </c>
      <c r="M86" s="1286">
        <v>0</v>
      </c>
      <c r="N86" s="1281">
        <v>16368739</v>
      </c>
      <c r="O86" s="1283">
        <v>719869189</v>
      </c>
      <c r="P86" s="1284">
        <f t="shared" si="66"/>
        <v>4627046642</v>
      </c>
      <c r="Q86" s="1280">
        <v>809637746</v>
      </c>
      <c r="R86" s="1287">
        <v>0</v>
      </c>
      <c r="S86" s="1286">
        <v>0</v>
      </c>
      <c r="T86" s="1287">
        <v>2332262</v>
      </c>
      <c r="U86" s="1287">
        <v>77762500</v>
      </c>
      <c r="V86" s="1287">
        <v>0</v>
      </c>
      <c r="W86" s="1287">
        <v>0</v>
      </c>
      <c r="X86" s="1284">
        <f t="shared" si="89"/>
        <v>889732508</v>
      </c>
      <c r="Y86" s="1280">
        <v>0</v>
      </c>
      <c r="Z86" s="1287">
        <v>211481802</v>
      </c>
      <c r="AA86" s="1284">
        <f t="shared" si="90"/>
        <v>211481802</v>
      </c>
      <c r="AB86" s="1288">
        <f t="shared" si="86"/>
        <v>6565513446</v>
      </c>
      <c r="AC86" s="1289">
        <f t="shared" si="87"/>
        <v>5827842055</v>
      </c>
    </row>
    <row r="87" spans="2:29" hidden="1" outlineLevel="1" x14ac:dyDescent="0.25">
      <c r="B87" s="1268" t="s">
        <v>3714</v>
      </c>
      <c r="C87" s="1269">
        <v>34631054.848577715</v>
      </c>
      <c r="D87" s="1270">
        <v>42760208.245680772</v>
      </c>
      <c r="E87" s="1271">
        <v>10265763.671109045</v>
      </c>
      <c r="F87" s="1270">
        <v>630459673.63314974</v>
      </c>
      <c r="G87" s="1270">
        <v>16322732</v>
      </c>
      <c r="H87" s="1272">
        <v>0</v>
      </c>
      <c r="I87" s="1273">
        <f t="shared" si="88"/>
        <v>734439432.39851725</v>
      </c>
      <c r="J87" s="1274">
        <v>37301356.540412664</v>
      </c>
      <c r="K87" s="1269">
        <v>99994616.477957577</v>
      </c>
      <c r="L87" s="1275">
        <v>0</v>
      </c>
      <c r="M87" s="1275">
        <v>8515595.5020922422</v>
      </c>
      <c r="N87" s="1270">
        <v>285801661</v>
      </c>
      <c r="O87" s="1272">
        <v>0</v>
      </c>
      <c r="P87" s="1273">
        <f t="shared" si="66"/>
        <v>394311872.98004985</v>
      </c>
      <c r="Q87" s="1269">
        <v>132578186.29913969</v>
      </c>
      <c r="R87" s="1276">
        <v>0</v>
      </c>
      <c r="S87" s="1275">
        <v>23986484.778734438</v>
      </c>
      <c r="T87" s="1276">
        <v>326600677.43482637</v>
      </c>
      <c r="U87" s="1276">
        <v>318704959.39453554</v>
      </c>
      <c r="V87" s="1276">
        <v>0</v>
      </c>
      <c r="W87" s="1276">
        <v>0</v>
      </c>
      <c r="X87" s="1273">
        <f t="shared" si="89"/>
        <v>801870307.9072361</v>
      </c>
      <c r="Y87" s="1269">
        <v>0</v>
      </c>
      <c r="Z87" s="1276">
        <v>370754886.1737842</v>
      </c>
      <c r="AA87" s="1273">
        <f t="shared" si="90"/>
        <v>370754886.1737842</v>
      </c>
      <c r="AB87" s="1277">
        <f t="shared" si="86"/>
        <v>2338677856</v>
      </c>
      <c r="AC87" s="1278">
        <f t="shared" si="87"/>
        <v>2036553463</v>
      </c>
    </row>
    <row r="88" spans="2:29" hidden="1" outlineLevel="1" x14ac:dyDescent="0.25">
      <c r="B88" s="1290" t="s">
        <v>3715</v>
      </c>
      <c r="C88" s="1291">
        <v>19265670</v>
      </c>
      <c r="D88" s="1292">
        <v>1966313</v>
      </c>
      <c r="E88" s="1293">
        <v>787500</v>
      </c>
      <c r="F88" s="1292">
        <v>45202592</v>
      </c>
      <c r="G88" s="1292">
        <v>345308</v>
      </c>
      <c r="H88" s="1294">
        <v>0</v>
      </c>
      <c r="I88" s="1295">
        <f t="shared" si="88"/>
        <v>67567383</v>
      </c>
      <c r="J88" s="1296">
        <v>21176197</v>
      </c>
      <c r="K88" s="1291">
        <v>28504955</v>
      </c>
      <c r="L88" s="1297">
        <v>0</v>
      </c>
      <c r="M88" s="1297">
        <v>0</v>
      </c>
      <c r="N88" s="1292">
        <v>8492109</v>
      </c>
      <c r="O88" s="1294">
        <v>0</v>
      </c>
      <c r="P88" s="1295">
        <f t="shared" si="66"/>
        <v>36997064</v>
      </c>
      <c r="Q88" s="1291">
        <v>136141851</v>
      </c>
      <c r="R88" s="1298">
        <v>0</v>
      </c>
      <c r="S88" s="1297">
        <v>11901405</v>
      </c>
      <c r="T88" s="1298">
        <v>28643350</v>
      </c>
      <c r="U88" s="1298">
        <v>50404865</v>
      </c>
      <c r="V88" s="1298">
        <v>0</v>
      </c>
      <c r="W88" s="1298">
        <v>0</v>
      </c>
      <c r="X88" s="1295">
        <f t="shared" si="89"/>
        <v>227091471</v>
      </c>
      <c r="Y88" s="1291">
        <v>279200</v>
      </c>
      <c r="Z88" s="1298">
        <v>141543007</v>
      </c>
      <c r="AA88" s="1295">
        <f t="shared" si="90"/>
        <v>141822207</v>
      </c>
      <c r="AB88" s="1299">
        <f t="shared" si="86"/>
        <v>494654322</v>
      </c>
      <c r="AC88" s="1300">
        <f t="shared" si="87"/>
        <v>485816905</v>
      </c>
    </row>
    <row r="89" spans="2:29" hidden="1" outlineLevel="1" x14ac:dyDescent="0.25">
      <c r="B89" s="1279" t="s">
        <v>3716</v>
      </c>
      <c r="C89" s="1280">
        <v>36167008</v>
      </c>
      <c r="D89" s="1281">
        <v>64860880</v>
      </c>
      <c r="E89" s="1282">
        <v>14215250</v>
      </c>
      <c r="F89" s="1281">
        <v>349793646</v>
      </c>
      <c r="G89" s="1281">
        <v>32281733</v>
      </c>
      <c r="H89" s="1283">
        <v>0</v>
      </c>
      <c r="I89" s="1284">
        <f t="shared" si="88"/>
        <v>497318517</v>
      </c>
      <c r="J89" s="1285">
        <v>7665869</v>
      </c>
      <c r="K89" s="1280">
        <v>583120023</v>
      </c>
      <c r="L89" s="1286">
        <v>0</v>
      </c>
      <c r="M89" s="1286">
        <v>74041906</v>
      </c>
      <c r="N89" s="1281">
        <v>331974477</v>
      </c>
      <c r="O89" s="1283">
        <v>0</v>
      </c>
      <c r="P89" s="1284">
        <f t="shared" si="66"/>
        <v>989136406</v>
      </c>
      <c r="Q89" s="1280">
        <v>722367886</v>
      </c>
      <c r="R89" s="1287">
        <v>0</v>
      </c>
      <c r="S89" s="1286">
        <v>3460629</v>
      </c>
      <c r="T89" s="1287">
        <v>2675556107</v>
      </c>
      <c r="U89" s="1287">
        <v>4099795557</v>
      </c>
      <c r="V89" s="1287">
        <v>0</v>
      </c>
      <c r="W89" s="1287">
        <v>0</v>
      </c>
      <c r="X89" s="1284">
        <f t="shared" si="89"/>
        <v>7501180179</v>
      </c>
      <c r="Y89" s="1280">
        <v>0</v>
      </c>
      <c r="Z89" s="1287">
        <v>1100539951</v>
      </c>
      <c r="AA89" s="1284">
        <f t="shared" si="90"/>
        <v>1100539951</v>
      </c>
      <c r="AB89" s="1288">
        <f t="shared" si="86"/>
        <v>10095840922</v>
      </c>
      <c r="AC89" s="1289">
        <f t="shared" si="87"/>
        <v>9731584712</v>
      </c>
    </row>
    <row r="90" spans="2:29" hidden="1" outlineLevel="1" x14ac:dyDescent="0.25">
      <c r="B90" s="1268" t="s">
        <v>1986</v>
      </c>
      <c r="C90" s="1269">
        <v>3935250</v>
      </c>
      <c r="D90" s="1270">
        <v>6499552</v>
      </c>
      <c r="E90" s="1271">
        <v>19200</v>
      </c>
      <c r="F90" s="1270">
        <v>52775286</v>
      </c>
      <c r="G90" s="1270">
        <v>23653840</v>
      </c>
      <c r="H90" s="1272">
        <v>0</v>
      </c>
      <c r="I90" s="1273">
        <f t="shared" si="88"/>
        <v>86883128</v>
      </c>
      <c r="J90" s="1274">
        <v>3196915</v>
      </c>
      <c r="K90" s="1269">
        <v>8248754</v>
      </c>
      <c r="L90" s="1275">
        <v>0</v>
      </c>
      <c r="M90" s="1275">
        <v>3109900</v>
      </c>
      <c r="N90" s="1270">
        <v>28831243</v>
      </c>
      <c r="O90" s="1272">
        <v>0</v>
      </c>
      <c r="P90" s="1273">
        <f t="shared" si="66"/>
        <v>40189897</v>
      </c>
      <c r="Q90" s="1269">
        <v>3755970</v>
      </c>
      <c r="R90" s="1276">
        <v>0</v>
      </c>
      <c r="S90" s="1275">
        <v>4790771</v>
      </c>
      <c r="T90" s="1276">
        <v>6155728</v>
      </c>
      <c r="U90" s="1276">
        <v>3409350</v>
      </c>
      <c r="V90" s="1276">
        <v>0</v>
      </c>
      <c r="W90" s="1276">
        <v>0</v>
      </c>
      <c r="X90" s="1273">
        <f t="shared" si="89"/>
        <v>18111819</v>
      </c>
      <c r="Y90" s="1269">
        <v>9000</v>
      </c>
      <c r="Z90" s="1276">
        <v>12410139</v>
      </c>
      <c r="AA90" s="1273">
        <f t="shared" si="90"/>
        <v>12419139</v>
      </c>
      <c r="AB90" s="1277">
        <f t="shared" si="86"/>
        <v>160800898</v>
      </c>
      <c r="AC90" s="1278">
        <f t="shared" si="87"/>
        <v>108315815</v>
      </c>
    </row>
    <row r="91" spans="2:29" hidden="1" outlineLevel="1" x14ac:dyDescent="0.25">
      <c r="B91" s="1268" t="s">
        <v>1998</v>
      </c>
      <c r="C91" s="1269">
        <v>0</v>
      </c>
      <c r="D91" s="1270">
        <v>0</v>
      </c>
      <c r="E91" s="1271">
        <v>0</v>
      </c>
      <c r="F91" s="1270">
        <v>61441164</v>
      </c>
      <c r="G91" s="1270">
        <v>0</v>
      </c>
      <c r="H91" s="1272">
        <v>0</v>
      </c>
      <c r="I91" s="1273">
        <f t="shared" si="88"/>
        <v>61441164</v>
      </c>
      <c r="J91" s="1274">
        <v>0</v>
      </c>
      <c r="K91" s="1269">
        <v>0</v>
      </c>
      <c r="L91" s="1275">
        <v>0</v>
      </c>
      <c r="M91" s="1275">
        <v>0</v>
      </c>
      <c r="N91" s="1270">
        <v>0</v>
      </c>
      <c r="O91" s="1272">
        <v>0</v>
      </c>
      <c r="P91" s="1273">
        <f t="shared" si="66"/>
        <v>0</v>
      </c>
      <c r="Q91" s="1269">
        <v>0</v>
      </c>
      <c r="R91" s="1276">
        <v>0</v>
      </c>
      <c r="S91" s="1275">
        <v>0</v>
      </c>
      <c r="T91" s="1276">
        <v>476100</v>
      </c>
      <c r="U91" s="1276">
        <v>64571737</v>
      </c>
      <c r="V91" s="1276">
        <v>0</v>
      </c>
      <c r="W91" s="1276">
        <v>0</v>
      </c>
      <c r="X91" s="1273">
        <f t="shared" si="89"/>
        <v>65047837</v>
      </c>
      <c r="Y91" s="1269">
        <v>0</v>
      </c>
      <c r="Z91" s="1276">
        <v>94987499</v>
      </c>
      <c r="AA91" s="1273">
        <f t="shared" si="90"/>
        <v>94987499</v>
      </c>
      <c r="AB91" s="1277">
        <f t="shared" si="86"/>
        <v>221476500</v>
      </c>
      <c r="AC91" s="1278">
        <f t="shared" si="87"/>
        <v>221476500</v>
      </c>
    </row>
    <row r="92" spans="2:29" hidden="1" outlineLevel="1" x14ac:dyDescent="0.25">
      <c r="B92" s="1268" t="s">
        <v>2002</v>
      </c>
      <c r="C92" s="1269">
        <v>50000</v>
      </c>
      <c r="D92" s="1270">
        <v>0</v>
      </c>
      <c r="E92" s="1271">
        <v>0</v>
      </c>
      <c r="F92" s="1270">
        <v>313790</v>
      </c>
      <c r="G92" s="1270">
        <v>17058512</v>
      </c>
      <c r="H92" s="1272">
        <v>0</v>
      </c>
      <c r="I92" s="1273">
        <f t="shared" si="88"/>
        <v>17422302</v>
      </c>
      <c r="J92" s="1274">
        <v>297671</v>
      </c>
      <c r="K92" s="1269">
        <v>943554</v>
      </c>
      <c r="L92" s="1275">
        <v>0</v>
      </c>
      <c r="M92" s="1275">
        <v>387740</v>
      </c>
      <c r="N92" s="1270">
        <v>17639094</v>
      </c>
      <c r="O92" s="1272">
        <v>0</v>
      </c>
      <c r="P92" s="1273">
        <f t="shared" si="66"/>
        <v>18970388</v>
      </c>
      <c r="Q92" s="1269">
        <v>338460</v>
      </c>
      <c r="R92" s="1276">
        <v>0</v>
      </c>
      <c r="S92" s="1275">
        <v>0</v>
      </c>
      <c r="T92" s="1276">
        <v>2709567</v>
      </c>
      <c r="U92" s="1276">
        <v>609285</v>
      </c>
      <c r="V92" s="1276">
        <v>0</v>
      </c>
      <c r="W92" s="1276">
        <v>0</v>
      </c>
      <c r="X92" s="1273">
        <f t="shared" si="89"/>
        <v>3657312</v>
      </c>
      <c r="Y92" s="1269">
        <v>0</v>
      </c>
      <c r="Z92" s="1276">
        <v>264452552</v>
      </c>
      <c r="AA92" s="1273">
        <f t="shared" si="90"/>
        <v>264452552</v>
      </c>
      <c r="AB92" s="1277">
        <f t="shared" si="86"/>
        <v>304800225</v>
      </c>
      <c r="AC92" s="1278">
        <f t="shared" si="87"/>
        <v>270102619</v>
      </c>
    </row>
    <row r="93" spans="2:29" hidden="1" outlineLevel="1" x14ac:dyDescent="0.25">
      <c r="B93" s="1268" t="s">
        <v>3720</v>
      </c>
      <c r="C93" s="1269">
        <v>0</v>
      </c>
      <c r="D93" s="1270">
        <v>400000</v>
      </c>
      <c r="E93" s="1271">
        <v>176700</v>
      </c>
      <c r="F93" s="1270">
        <v>203000</v>
      </c>
      <c r="G93" s="1270">
        <v>0</v>
      </c>
      <c r="H93" s="1272">
        <v>0</v>
      </c>
      <c r="I93" s="1273">
        <f t="shared" si="88"/>
        <v>779700</v>
      </c>
      <c r="J93" s="1274">
        <v>7804991</v>
      </c>
      <c r="K93" s="1269">
        <v>8762650</v>
      </c>
      <c r="L93" s="1275">
        <v>0</v>
      </c>
      <c r="M93" s="1275">
        <v>0</v>
      </c>
      <c r="N93" s="1270">
        <v>30275835</v>
      </c>
      <c r="O93" s="1272">
        <v>0</v>
      </c>
      <c r="P93" s="1273">
        <f t="shared" si="66"/>
        <v>39038485</v>
      </c>
      <c r="Q93" s="1269">
        <v>1976567</v>
      </c>
      <c r="R93" s="1276">
        <v>0</v>
      </c>
      <c r="S93" s="1275">
        <v>0</v>
      </c>
      <c r="T93" s="1276">
        <v>717243</v>
      </c>
      <c r="U93" s="1276">
        <v>0</v>
      </c>
      <c r="V93" s="1276">
        <v>0</v>
      </c>
      <c r="W93" s="1276">
        <v>0</v>
      </c>
      <c r="X93" s="1273">
        <f t="shared" si="89"/>
        <v>2693810</v>
      </c>
      <c r="Y93" s="1269">
        <v>0</v>
      </c>
      <c r="Z93" s="1276">
        <v>24425720</v>
      </c>
      <c r="AA93" s="1273">
        <f t="shared" si="90"/>
        <v>24425720</v>
      </c>
      <c r="AB93" s="1277">
        <f t="shared" si="86"/>
        <v>74742706</v>
      </c>
      <c r="AC93" s="1278">
        <f t="shared" si="87"/>
        <v>44466871</v>
      </c>
    </row>
    <row r="94" spans="2:29" hidden="1" outlineLevel="1" x14ac:dyDescent="0.25">
      <c r="B94" s="1268" t="s">
        <v>3721</v>
      </c>
      <c r="C94" s="1269">
        <v>1273195</v>
      </c>
      <c r="D94" s="1270">
        <v>29727</v>
      </c>
      <c r="E94" s="1271">
        <v>0</v>
      </c>
      <c r="F94" s="1270">
        <v>10282909</v>
      </c>
      <c r="G94" s="1270">
        <v>1704945</v>
      </c>
      <c r="H94" s="1272">
        <v>0</v>
      </c>
      <c r="I94" s="1273">
        <f t="shared" si="88"/>
        <v>13290776</v>
      </c>
      <c r="J94" s="1274">
        <v>377129</v>
      </c>
      <c r="K94" s="1269">
        <v>1073003</v>
      </c>
      <c r="L94" s="1275">
        <v>0</v>
      </c>
      <c r="M94" s="1275">
        <v>205384</v>
      </c>
      <c r="N94" s="1270">
        <v>16208625</v>
      </c>
      <c r="O94" s="1272">
        <v>0</v>
      </c>
      <c r="P94" s="1273">
        <f t="shared" si="66"/>
        <v>17487012</v>
      </c>
      <c r="Q94" s="1269">
        <v>332366</v>
      </c>
      <c r="R94" s="1276">
        <v>0</v>
      </c>
      <c r="S94" s="1275">
        <v>18373</v>
      </c>
      <c r="T94" s="1276">
        <v>1454725</v>
      </c>
      <c r="U94" s="1276">
        <v>8565021</v>
      </c>
      <c r="V94" s="1276">
        <v>0</v>
      </c>
      <c r="W94" s="1276">
        <v>0</v>
      </c>
      <c r="X94" s="1273">
        <f t="shared" si="89"/>
        <v>10370485</v>
      </c>
      <c r="Y94" s="1269">
        <v>0</v>
      </c>
      <c r="Z94" s="1276">
        <v>61306621</v>
      </c>
      <c r="AA94" s="1273">
        <f t="shared" si="90"/>
        <v>61306621</v>
      </c>
      <c r="AB94" s="1277">
        <f t="shared" si="86"/>
        <v>102832023</v>
      </c>
      <c r="AC94" s="1278">
        <f t="shared" si="87"/>
        <v>84918453</v>
      </c>
    </row>
    <row r="95" spans="2:29" hidden="1" outlineLevel="1" x14ac:dyDescent="0.25">
      <c r="B95" s="1268" t="s">
        <v>3722</v>
      </c>
      <c r="C95" s="1269">
        <v>0</v>
      </c>
      <c r="D95" s="1270">
        <v>0</v>
      </c>
      <c r="E95" s="1271">
        <v>0</v>
      </c>
      <c r="F95" s="1270">
        <v>6652680</v>
      </c>
      <c r="G95" s="1270">
        <v>0</v>
      </c>
      <c r="H95" s="1272">
        <v>0</v>
      </c>
      <c r="I95" s="1273">
        <f t="shared" si="88"/>
        <v>6652680</v>
      </c>
      <c r="J95" s="1274">
        <v>0</v>
      </c>
      <c r="K95" s="1269">
        <v>97860</v>
      </c>
      <c r="L95" s="1275">
        <v>0</v>
      </c>
      <c r="M95" s="1275">
        <v>73800</v>
      </c>
      <c r="N95" s="1270">
        <v>1872420</v>
      </c>
      <c r="O95" s="1272">
        <v>0</v>
      </c>
      <c r="P95" s="1273">
        <f t="shared" si="66"/>
        <v>2044080</v>
      </c>
      <c r="Q95" s="1269">
        <v>423819</v>
      </c>
      <c r="R95" s="1276">
        <v>0</v>
      </c>
      <c r="S95" s="1275">
        <v>0</v>
      </c>
      <c r="T95" s="1276">
        <v>412170</v>
      </c>
      <c r="U95" s="1276">
        <v>805750</v>
      </c>
      <c r="V95" s="1276">
        <v>0</v>
      </c>
      <c r="W95" s="1276">
        <v>0</v>
      </c>
      <c r="X95" s="1273">
        <f t="shared" si="89"/>
        <v>1641739</v>
      </c>
      <c r="Y95" s="1269">
        <v>0</v>
      </c>
      <c r="Z95" s="1276">
        <v>702582</v>
      </c>
      <c r="AA95" s="1273">
        <f t="shared" si="90"/>
        <v>702582</v>
      </c>
      <c r="AB95" s="1277">
        <f t="shared" si="86"/>
        <v>11041081</v>
      </c>
      <c r="AC95" s="1278">
        <f t="shared" si="87"/>
        <v>9168661</v>
      </c>
    </row>
    <row r="96" spans="2:29" hidden="1" outlineLevel="1" x14ac:dyDescent="0.25">
      <c r="B96" s="1268" t="s">
        <v>3723</v>
      </c>
      <c r="C96" s="1269">
        <v>0</v>
      </c>
      <c r="D96" s="1270">
        <v>332500</v>
      </c>
      <c r="E96" s="1271">
        <v>0</v>
      </c>
      <c r="F96" s="1270">
        <v>4893188</v>
      </c>
      <c r="G96" s="1270">
        <v>12147889</v>
      </c>
      <c r="H96" s="1272">
        <v>0</v>
      </c>
      <c r="I96" s="1273">
        <f t="shared" si="88"/>
        <v>17373577</v>
      </c>
      <c r="J96" s="1274">
        <v>2413841</v>
      </c>
      <c r="K96" s="1269">
        <v>1612310</v>
      </c>
      <c r="L96" s="1275">
        <v>0</v>
      </c>
      <c r="M96" s="1275">
        <v>0</v>
      </c>
      <c r="N96" s="1270">
        <v>0</v>
      </c>
      <c r="O96" s="1272">
        <v>0</v>
      </c>
      <c r="P96" s="1273">
        <f t="shared" si="66"/>
        <v>1612310</v>
      </c>
      <c r="Q96" s="1269">
        <v>2000</v>
      </c>
      <c r="R96" s="1276">
        <v>0</v>
      </c>
      <c r="S96" s="1275">
        <v>0</v>
      </c>
      <c r="T96" s="1276">
        <v>0</v>
      </c>
      <c r="U96" s="1276">
        <v>45000</v>
      </c>
      <c r="V96" s="1276">
        <v>0</v>
      </c>
      <c r="W96" s="1276">
        <v>0</v>
      </c>
      <c r="X96" s="1273">
        <f t="shared" si="89"/>
        <v>47000</v>
      </c>
      <c r="Y96" s="1269">
        <v>0</v>
      </c>
      <c r="Z96" s="1276">
        <v>11217718</v>
      </c>
      <c r="AA96" s="1273">
        <f t="shared" si="90"/>
        <v>11217718</v>
      </c>
      <c r="AB96" s="1277">
        <f t="shared" si="86"/>
        <v>32664446</v>
      </c>
      <c r="AC96" s="1278">
        <f t="shared" si="87"/>
        <v>20516557</v>
      </c>
    </row>
    <row r="97" spans="2:29" hidden="1" outlineLevel="1" x14ac:dyDescent="0.25">
      <c r="B97" s="1290" t="s">
        <v>3724</v>
      </c>
      <c r="C97" s="1291">
        <v>0</v>
      </c>
      <c r="D97" s="1292">
        <v>0</v>
      </c>
      <c r="E97" s="1293">
        <v>0</v>
      </c>
      <c r="F97" s="1292">
        <v>102778138</v>
      </c>
      <c r="G97" s="1292">
        <v>2288910</v>
      </c>
      <c r="H97" s="1294">
        <v>0</v>
      </c>
      <c r="I97" s="1295">
        <f t="shared" si="88"/>
        <v>105067048</v>
      </c>
      <c r="J97" s="1296">
        <v>26774666</v>
      </c>
      <c r="K97" s="1291">
        <v>0</v>
      </c>
      <c r="L97" s="1297">
        <v>0</v>
      </c>
      <c r="M97" s="1297">
        <v>0</v>
      </c>
      <c r="N97" s="1292">
        <v>52244693</v>
      </c>
      <c r="O97" s="1294">
        <v>0</v>
      </c>
      <c r="P97" s="1295">
        <f t="shared" si="66"/>
        <v>52244693</v>
      </c>
      <c r="Q97" s="1291">
        <v>55575472</v>
      </c>
      <c r="R97" s="1298">
        <v>0</v>
      </c>
      <c r="S97" s="1297">
        <v>8790406</v>
      </c>
      <c r="T97" s="1298">
        <v>526633664</v>
      </c>
      <c r="U97" s="1298">
        <v>7549240</v>
      </c>
      <c r="V97" s="1298">
        <v>0</v>
      </c>
      <c r="W97" s="1298">
        <v>0</v>
      </c>
      <c r="X97" s="1295">
        <f t="shared" si="89"/>
        <v>598548782</v>
      </c>
      <c r="Y97" s="1291">
        <v>0</v>
      </c>
      <c r="Z97" s="1298">
        <v>408131318</v>
      </c>
      <c r="AA97" s="1295">
        <f t="shared" si="90"/>
        <v>408131318</v>
      </c>
      <c r="AB97" s="1299">
        <f t="shared" si="86"/>
        <v>1190766507</v>
      </c>
      <c r="AC97" s="1300">
        <f t="shared" si="87"/>
        <v>1136232904</v>
      </c>
    </row>
    <row r="98" spans="2:29" hidden="1" outlineLevel="1" x14ac:dyDescent="0.25">
      <c r="B98" s="1268" t="s">
        <v>3725</v>
      </c>
      <c r="C98" s="1269">
        <v>140396725</v>
      </c>
      <c r="D98" s="1270">
        <v>1571527</v>
      </c>
      <c r="E98" s="1271">
        <v>440531</v>
      </c>
      <c r="F98" s="1270">
        <v>0</v>
      </c>
      <c r="G98" s="1270">
        <v>0</v>
      </c>
      <c r="H98" s="1272">
        <v>0</v>
      </c>
      <c r="I98" s="1273">
        <f t="shared" si="88"/>
        <v>142408783</v>
      </c>
      <c r="J98" s="1274">
        <v>0</v>
      </c>
      <c r="K98" s="1269">
        <v>0</v>
      </c>
      <c r="L98" s="1275">
        <v>0</v>
      </c>
      <c r="M98" s="1275">
        <v>23337461</v>
      </c>
      <c r="N98" s="1270">
        <v>0</v>
      </c>
      <c r="O98" s="1272">
        <v>0</v>
      </c>
      <c r="P98" s="1273">
        <f t="shared" si="66"/>
        <v>23337461</v>
      </c>
      <c r="Q98" s="1269">
        <v>0</v>
      </c>
      <c r="R98" s="1276">
        <v>0</v>
      </c>
      <c r="S98" s="1275">
        <v>0</v>
      </c>
      <c r="T98" s="1276">
        <v>0</v>
      </c>
      <c r="U98" s="1276">
        <v>0</v>
      </c>
      <c r="V98" s="1276">
        <v>0</v>
      </c>
      <c r="W98" s="1276">
        <v>0</v>
      </c>
      <c r="X98" s="1273">
        <f t="shared" si="89"/>
        <v>0</v>
      </c>
      <c r="Y98" s="1269">
        <v>0</v>
      </c>
      <c r="Z98" s="1276">
        <v>0</v>
      </c>
      <c r="AA98" s="1273">
        <f t="shared" si="90"/>
        <v>0</v>
      </c>
      <c r="AB98" s="1277">
        <f t="shared" si="86"/>
        <v>165746244</v>
      </c>
      <c r="AC98" s="1278">
        <f t="shared" si="87"/>
        <v>165746244</v>
      </c>
    </row>
    <row r="99" spans="2:29" hidden="1" outlineLevel="1" x14ac:dyDescent="0.25">
      <c r="B99" s="1268" t="s">
        <v>1991</v>
      </c>
      <c r="C99" s="1269">
        <v>56885204</v>
      </c>
      <c r="D99" s="1270">
        <v>141757470</v>
      </c>
      <c r="E99" s="1271">
        <v>-1979955</v>
      </c>
      <c r="F99" s="1270">
        <v>0</v>
      </c>
      <c r="G99" s="1270">
        <v>0</v>
      </c>
      <c r="H99" s="1272">
        <v>0</v>
      </c>
      <c r="I99" s="1273">
        <f t="shared" si="88"/>
        <v>196662719</v>
      </c>
      <c r="J99" s="1274">
        <v>0</v>
      </c>
      <c r="K99" s="1269">
        <v>150942500</v>
      </c>
      <c r="L99" s="1275">
        <v>0</v>
      </c>
      <c r="M99" s="1275">
        <v>0</v>
      </c>
      <c r="N99" s="1270">
        <v>135891110</v>
      </c>
      <c r="O99" s="1272">
        <v>0</v>
      </c>
      <c r="P99" s="1273">
        <f t="shared" si="66"/>
        <v>286833610</v>
      </c>
      <c r="Q99" s="1269">
        <v>6484736684</v>
      </c>
      <c r="R99" s="1276">
        <v>0</v>
      </c>
      <c r="S99" s="1275">
        <v>426027546</v>
      </c>
      <c r="T99" s="1276">
        <v>0</v>
      </c>
      <c r="U99" s="1276">
        <v>0</v>
      </c>
      <c r="V99" s="1276">
        <v>0</v>
      </c>
      <c r="W99" s="1276">
        <v>0</v>
      </c>
      <c r="X99" s="1273">
        <f t="shared" si="89"/>
        <v>6910764230</v>
      </c>
      <c r="Y99" s="1269">
        <v>0</v>
      </c>
      <c r="Z99" s="1276">
        <v>112827702</v>
      </c>
      <c r="AA99" s="1273">
        <f t="shared" si="90"/>
        <v>112827702</v>
      </c>
      <c r="AB99" s="1277">
        <f t="shared" si="86"/>
        <v>7507088261</v>
      </c>
      <c r="AC99" s="1278">
        <f t="shared" si="87"/>
        <v>7371197151</v>
      </c>
    </row>
    <row r="100" spans="2:29" hidden="1" outlineLevel="1" x14ac:dyDescent="0.25">
      <c r="B100" s="1290" t="s">
        <v>3727</v>
      </c>
      <c r="C100" s="1291">
        <v>189821588</v>
      </c>
      <c r="D100" s="1292">
        <v>36813235</v>
      </c>
      <c r="E100" s="1293">
        <v>889229</v>
      </c>
      <c r="F100" s="1292">
        <v>7468770</v>
      </c>
      <c r="G100" s="1292">
        <v>0</v>
      </c>
      <c r="H100" s="1294">
        <v>0</v>
      </c>
      <c r="I100" s="1295">
        <f t="shared" si="88"/>
        <v>234992822</v>
      </c>
      <c r="J100" s="1296">
        <v>0</v>
      </c>
      <c r="K100" s="1291">
        <v>576390</v>
      </c>
      <c r="L100" s="1297">
        <v>0</v>
      </c>
      <c r="M100" s="1297">
        <v>192730</v>
      </c>
      <c r="N100" s="1292">
        <v>2912125</v>
      </c>
      <c r="O100" s="1294">
        <v>0</v>
      </c>
      <c r="P100" s="1295">
        <f t="shared" si="66"/>
        <v>3681245</v>
      </c>
      <c r="Q100" s="1291">
        <v>-442035</v>
      </c>
      <c r="R100" s="1298">
        <v>0</v>
      </c>
      <c r="S100" s="1297">
        <v>0</v>
      </c>
      <c r="T100" s="1298">
        <v>1318557</v>
      </c>
      <c r="U100" s="1298">
        <v>0</v>
      </c>
      <c r="V100" s="1298">
        <v>0</v>
      </c>
      <c r="W100" s="1298">
        <v>0</v>
      </c>
      <c r="X100" s="1295">
        <f t="shared" si="89"/>
        <v>876522</v>
      </c>
      <c r="Y100" s="1291">
        <v>0</v>
      </c>
      <c r="Z100" s="1298">
        <v>5669122</v>
      </c>
      <c r="AA100" s="1295">
        <f t="shared" si="90"/>
        <v>5669122</v>
      </c>
      <c r="AB100" s="1299">
        <f t="shared" si="86"/>
        <v>245219711</v>
      </c>
      <c r="AC100" s="1300">
        <f t="shared" si="87"/>
        <v>242307586</v>
      </c>
    </row>
    <row r="101" spans="2:29" hidden="1" outlineLevel="1" x14ac:dyDescent="0.25">
      <c r="B101" s="1279" t="s">
        <v>3729</v>
      </c>
      <c r="C101" s="1280">
        <v>545728537</v>
      </c>
      <c r="D101" s="1281">
        <v>37265077</v>
      </c>
      <c r="E101" s="1282">
        <v>210413</v>
      </c>
      <c r="F101" s="1281">
        <v>17156824</v>
      </c>
      <c r="G101" s="1281">
        <v>0</v>
      </c>
      <c r="H101" s="1283">
        <v>0</v>
      </c>
      <c r="I101" s="1284">
        <f t="shared" si="88"/>
        <v>600360851</v>
      </c>
      <c r="J101" s="1285">
        <v>0</v>
      </c>
      <c r="K101" s="1280">
        <v>0</v>
      </c>
      <c r="L101" s="1286">
        <v>0</v>
      </c>
      <c r="M101" s="1286">
        <v>0</v>
      </c>
      <c r="N101" s="1281">
        <v>1487060</v>
      </c>
      <c r="O101" s="1283">
        <v>0</v>
      </c>
      <c r="P101" s="1284">
        <f t="shared" si="66"/>
        <v>1487060</v>
      </c>
      <c r="Q101" s="1280">
        <v>0</v>
      </c>
      <c r="R101" s="1287">
        <v>0</v>
      </c>
      <c r="S101" s="1286">
        <v>0</v>
      </c>
      <c r="T101" s="1287">
        <v>0</v>
      </c>
      <c r="U101" s="1287">
        <v>0</v>
      </c>
      <c r="V101" s="1287">
        <v>0</v>
      </c>
      <c r="W101" s="1287">
        <v>0</v>
      </c>
      <c r="X101" s="1284">
        <f t="shared" si="89"/>
        <v>0</v>
      </c>
      <c r="Y101" s="1280">
        <v>0</v>
      </c>
      <c r="Z101" s="1287">
        <v>-41664330</v>
      </c>
      <c r="AA101" s="1284">
        <f t="shared" si="90"/>
        <v>-41664330</v>
      </c>
      <c r="AB101" s="1288">
        <f t="shared" si="86"/>
        <v>560183581</v>
      </c>
      <c r="AC101" s="1289">
        <f t="shared" si="87"/>
        <v>558696521</v>
      </c>
    </row>
    <row r="102" spans="2:29" hidden="1" outlineLevel="1" x14ac:dyDescent="0.25">
      <c r="B102" s="1268" t="s">
        <v>1992</v>
      </c>
      <c r="C102" s="1269">
        <v>66233156</v>
      </c>
      <c r="D102" s="1270">
        <v>35287372</v>
      </c>
      <c r="E102" s="1271">
        <v>4332502</v>
      </c>
      <c r="F102" s="1270">
        <v>84068134</v>
      </c>
      <c r="G102" s="1270">
        <v>106385</v>
      </c>
      <c r="H102" s="1272">
        <v>0</v>
      </c>
      <c r="I102" s="1273">
        <f t="shared" si="88"/>
        <v>190027549</v>
      </c>
      <c r="J102" s="1274">
        <v>0</v>
      </c>
      <c r="K102" s="1269">
        <v>410000</v>
      </c>
      <c r="L102" s="1275">
        <v>0</v>
      </c>
      <c r="M102" s="1275">
        <v>21000</v>
      </c>
      <c r="N102" s="1270">
        <v>35555019</v>
      </c>
      <c r="O102" s="1272">
        <v>0</v>
      </c>
      <c r="P102" s="1273">
        <f t="shared" si="66"/>
        <v>35986019</v>
      </c>
      <c r="Q102" s="1269">
        <v>8185493</v>
      </c>
      <c r="R102" s="1276">
        <v>0</v>
      </c>
      <c r="S102" s="1275">
        <v>0</v>
      </c>
      <c r="T102" s="1276">
        <v>0</v>
      </c>
      <c r="U102" s="1276">
        <v>0</v>
      </c>
      <c r="V102" s="1276">
        <v>0</v>
      </c>
      <c r="W102" s="1276">
        <v>0</v>
      </c>
      <c r="X102" s="1273">
        <f t="shared" si="89"/>
        <v>8185493</v>
      </c>
      <c r="Y102" s="1269">
        <v>0</v>
      </c>
      <c r="Z102" s="1276">
        <v>35316873</v>
      </c>
      <c r="AA102" s="1273">
        <f t="shared" si="90"/>
        <v>35316873</v>
      </c>
      <c r="AB102" s="1277">
        <f t="shared" si="86"/>
        <v>269515934</v>
      </c>
      <c r="AC102" s="1278">
        <f t="shared" si="87"/>
        <v>233854530</v>
      </c>
    </row>
    <row r="103" spans="2:29" hidden="1" outlineLevel="1" x14ac:dyDescent="0.25">
      <c r="B103" s="1268" t="s">
        <v>3730</v>
      </c>
      <c r="C103" s="1269">
        <v>0</v>
      </c>
      <c r="D103" s="1270">
        <v>0</v>
      </c>
      <c r="E103" s="1271">
        <v>0</v>
      </c>
      <c r="F103" s="1270">
        <v>0</v>
      </c>
      <c r="G103" s="1270">
        <v>0</v>
      </c>
      <c r="H103" s="1272">
        <v>0</v>
      </c>
      <c r="I103" s="1273">
        <f t="shared" si="88"/>
        <v>0</v>
      </c>
      <c r="J103" s="1274">
        <v>0</v>
      </c>
      <c r="K103" s="1269">
        <v>0</v>
      </c>
      <c r="L103" s="1275">
        <v>0</v>
      </c>
      <c r="M103" s="1275">
        <v>0</v>
      </c>
      <c r="N103" s="1270">
        <v>0</v>
      </c>
      <c r="O103" s="1272">
        <v>0</v>
      </c>
      <c r="P103" s="1273">
        <f t="shared" si="66"/>
        <v>0</v>
      </c>
      <c r="Q103" s="1269">
        <v>0</v>
      </c>
      <c r="R103" s="1276">
        <v>0</v>
      </c>
      <c r="S103" s="1275">
        <v>0</v>
      </c>
      <c r="T103" s="1276">
        <v>0</v>
      </c>
      <c r="U103" s="1276">
        <v>0</v>
      </c>
      <c r="V103" s="1276">
        <v>0</v>
      </c>
      <c r="W103" s="1276">
        <v>0</v>
      </c>
      <c r="X103" s="1273">
        <f t="shared" si="89"/>
        <v>0</v>
      </c>
      <c r="Y103" s="1269">
        <v>0</v>
      </c>
      <c r="Z103" s="1276">
        <v>0</v>
      </c>
      <c r="AA103" s="1273">
        <f t="shared" si="90"/>
        <v>0</v>
      </c>
      <c r="AB103" s="1277">
        <f t="shared" si="86"/>
        <v>0</v>
      </c>
      <c r="AC103" s="1278">
        <f t="shared" si="87"/>
        <v>0</v>
      </c>
    </row>
    <row r="104" spans="2:29" hidden="1" outlineLevel="1" x14ac:dyDescent="0.25">
      <c r="B104" s="1268" t="s">
        <v>1999</v>
      </c>
      <c r="C104" s="1269">
        <v>161204727</v>
      </c>
      <c r="D104" s="1270">
        <v>27657359</v>
      </c>
      <c r="E104" s="1271">
        <v>1645911</v>
      </c>
      <c r="F104" s="1270">
        <v>2936729</v>
      </c>
      <c r="G104" s="1270">
        <v>110699</v>
      </c>
      <c r="H104" s="1272">
        <v>0</v>
      </c>
      <c r="I104" s="1273">
        <f t="shared" si="88"/>
        <v>193555425</v>
      </c>
      <c r="J104" s="1274">
        <v>0</v>
      </c>
      <c r="K104" s="1269">
        <v>17451875</v>
      </c>
      <c r="L104" s="1275">
        <v>0</v>
      </c>
      <c r="M104" s="1275">
        <v>0</v>
      </c>
      <c r="N104" s="1270">
        <v>0</v>
      </c>
      <c r="O104" s="1272">
        <v>0</v>
      </c>
      <c r="P104" s="1273">
        <f t="shared" si="66"/>
        <v>17451875</v>
      </c>
      <c r="Q104" s="1269">
        <v>0</v>
      </c>
      <c r="R104" s="1276">
        <v>0</v>
      </c>
      <c r="S104" s="1275">
        <v>0</v>
      </c>
      <c r="T104" s="1276">
        <v>0</v>
      </c>
      <c r="U104" s="1276">
        <v>0</v>
      </c>
      <c r="V104" s="1276">
        <v>0</v>
      </c>
      <c r="W104" s="1276">
        <v>0</v>
      </c>
      <c r="X104" s="1273">
        <f t="shared" si="89"/>
        <v>0</v>
      </c>
      <c r="Y104" s="1269">
        <v>0</v>
      </c>
      <c r="Z104" s="1276">
        <v>0</v>
      </c>
      <c r="AA104" s="1273">
        <f t="shared" si="90"/>
        <v>0</v>
      </c>
      <c r="AB104" s="1277">
        <f t="shared" si="86"/>
        <v>211007300</v>
      </c>
      <c r="AC104" s="1278">
        <f t="shared" si="87"/>
        <v>210896601</v>
      </c>
    </row>
    <row r="105" spans="2:29" hidden="1" outlineLevel="1" x14ac:dyDescent="0.25">
      <c r="B105" s="1268" t="s">
        <v>132</v>
      </c>
      <c r="C105" s="1269">
        <v>-204637657</v>
      </c>
      <c r="D105" s="1270">
        <v>110999923</v>
      </c>
      <c r="E105" s="1271">
        <v>0</v>
      </c>
      <c r="F105" s="1270">
        <v>0</v>
      </c>
      <c r="G105" s="1270">
        <v>64654513</v>
      </c>
      <c r="H105" s="1272">
        <v>0</v>
      </c>
      <c r="I105" s="1273">
        <f t="shared" si="88"/>
        <v>-28983221</v>
      </c>
      <c r="J105" s="1274">
        <v>0</v>
      </c>
      <c r="K105" s="1269">
        <v>0</v>
      </c>
      <c r="L105" s="1275">
        <v>0</v>
      </c>
      <c r="M105" s="1275">
        <v>0</v>
      </c>
      <c r="N105" s="1270">
        <v>0</v>
      </c>
      <c r="O105" s="1272">
        <v>0</v>
      </c>
      <c r="P105" s="1273">
        <f t="shared" si="66"/>
        <v>0</v>
      </c>
      <c r="Q105" s="1269">
        <v>0</v>
      </c>
      <c r="R105" s="1276">
        <v>0</v>
      </c>
      <c r="S105" s="1275">
        <v>0</v>
      </c>
      <c r="T105" s="1276">
        <v>0</v>
      </c>
      <c r="U105" s="1276">
        <v>0</v>
      </c>
      <c r="V105" s="1276">
        <v>0</v>
      </c>
      <c r="W105" s="1276">
        <v>0</v>
      </c>
      <c r="X105" s="1273">
        <f t="shared" si="89"/>
        <v>0</v>
      </c>
      <c r="Y105" s="1269">
        <v>0</v>
      </c>
      <c r="Z105" s="1276">
        <v>0</v>
      </c>
      <c r="AA105" s="1273">
        <f t="shared" si="90"/>
        <v>0</v>
      </c>
      <c r="AB105" s="1277">
        <f t="shared" si="86"/>
        <v>-28983221</v>
      </c>
      <c r="AC105" s="1278">
        <f t="shared" si="87"/>
        <v>-93637734</v>
      </c>
    </row>
    <row r="106" spans="2:29" hidden="1" outlineLevel="1" x14ac:dyDescent="0.25">
      <c r="B106" s="1268" t="s">
        <v>3205</v>
      </c>
      <c r="C106" s="1269">
        <v>2298273</v>
      </c>
      <c r="D106" s="1270">
        <v>40431108</v>
      </c>
      <c r="E106" s="1271">
        <v>0</v>
      </c>
      <c r="F106" s="1270">
        <v>104502</v>
      </c>
      <c r="G106" s="1270">
        <v>0</v>
      </c>
      <c r="H106" s="1272">
        <v>0</v>
      </c>
      <c r="I106" s="1273">
        <f t="shared" si="88"/>
        <v>42833883</v>
      </c>
      <c r="J106" s="1274">
        <v>0</v>
      </c>
      <c r="K106" s="1269">
        <v>37683395</v>
      </c>
      <c r="L106" s="1275">
        <v>0</v>
      </c>
      <c r="M106" s="1275">
        <v>91318846</v>
      </c>
      <c r="N106" s="1270">
        <v>0</v>
      </c>
      <c r="O106" s="1272">
        <v>0</v>
      </c>
      <c r="P106" s="1273">
        <f t="shared" si="66"/>
        <v>129002241</v>
      </c>
      <c r="Q106" s="1269">
        <v>1812214495</v>
      </c>
      <c r="R106" s="1276">
        <v>0</v>
      </c>
      <c r="S106" s="1275">
        <v>0</v>
      </c>
      <c r="T106" s="1276">
        <v>0</v>
      </c>
      <c r="U106" s="1276">
        <v>0</v>
      </c>
      <c r="V106" s="1276">
        <v>0</v>
      </c>
      <c r="W106" s="1276">
        <v>0</v>
      </c>
      <c r="X106" s="1273">
        <f t="shared" si="89"/>
        <v>1812214495</v>
      </c>
      <c r="Y106" s="1269">
        <v>0</v>
      </c>
      <c r="Z106" s="1276">
        <v>-490600</v>
      </c>
      <c r="AA106" s="1273">
        <f t="shared" si="90"/>
        <v>-490600</v>
      </c>
      <c r="AB106" s="1277">
        <f t="shared" si="86"/>
        <v>1983560019</v>
      </c>
      <c r="AC106" s="1278">
        <f t="shared" si="87"/>
        <v>1983560019</v>
      </c>
    </row>
    <row r="107" spans="2:29" hidden="1" outlineLevel="1" x14ac:dyDescent="0.25">
      <c r="B107" s="1290" t="s">
        <v>3731</v>
      </c>
      <c r="C107" s="1291">
        <v>1408218</v>
      </c>
      <c r="D107" s="1292">
        <v>84938141</v>
      </c>
      <c r="E107" s="1293">
        <v>-5948000</v>
      </c>
      <c r="F107" s="1292">
        <v>19651150</v>
      </c>
      <c r="G107" s="1292">
        <v>0</v>
      </c>
      <c r="H107" s="1294">
        <v>0</v>
      </c>
      <c r="I107" s="1295">
        <f t="shared" si="88"/>
        <v>100049509</v>
      </c>
      <c r="J107" s="1296">
        <v>0</v>
      </c>
      <c r="K107" s="1291">
        <v>0</v>
      </c>
      <c r="L107" s="1297">
        <v>0</v>
      </c>
      <c r="M107" s="1297">
        <v>0</v>
      </c>
      <c r="N107" s="1292">
        <v>0</v>
      </c>
      <c r="O107" s="1294">
        <v>0</v>
      </c>
      <c r="P107" s="1295">
        <f t="shared" si="66"/>
        <v>0</v>
      </c>
      <c r="Q107" s="1291">
        <v>0</v>
      </c>
      <c r="R107" s="1298">
        <v>0</v>
      </c>
      <c r="S107" s="1297">
        <v>0</v>
      </c>
      <c r="T107" s="1298">
        <v>0</v>
      </c>
      <c r="U107" s="1298">
        <v>0</v>
      </c>
      <c r="V107" s="1298">
        <v>0</v>
      </c>
      <c r="W107" s="1298">
        <v>0</v>
      </c>
      <c r="X107" s="1295">
        <f t="shared" si="89"/>
        <v>0</v>
      </c>
      <c r="Y107" s="1291">
        <v>0</v>
      </c>
      <c r="Z107" s="1298">
        <v>-5000000</v>
      </c>
      <c r="AA107" s="1295">
        <f t="shared" si="90"/>
        <v>-5000000</v>
      </c>
      <c r="AB107" s="1299">
        <f t="shared" si="86"/>
        <v>95049509</v>
      </c>
      <c r="AC107" s="1300">
        <f t="shared" si="87"/>
        <v>95049509</v>
      </c>
    </row>
    <row r="108" spans="2:29" hidden="1" outlineLevel="1" x14ac:dyDescent="0.25">
      <c r="B108" s="1301" t="s">
        <v>3732</v>
      </c>
      <c r="C108" s="1302">
        <v>157794406</v>
      </c>
      <c r="D108" s="1303">
        <v>176239598</v>
      </c>
      <c r="E108" s="1304">
        <v>65865581</v>
      </c>
      <c r="F108" s="1303">
        <v>185282167</v>
      </c>
      <c r="G108" s="1303">
        <v>0</v>
      </c>
      <c r="H108" s="1305">
        <v>0</v>
      </c>
      <c r="I108" s="1306">
        <f t="shared" si="88"/>
        <v>585181752</v>
      </c>
      <c r="J108" s="1307">
        <v>0</v>
      </c>
      <c r="K108" s="1302">
        <v>0</v>
      </c>
      <c r="L108" s="1308">
        <v>0</v>
      </c>
      <c r="M108" s="1308">
        <v>0</v>
      </c>
      <c r="N108" s="1303">
        <v>0</v>
      </c>
      <c r="O108" s="1305">
        <v>0</v>
      </c>
      <c r="P108" s="1306">
        <f t="shared" si="66"/>
        <v>0</v>
      </c>
      <c r="Q108" s="1302">
        <v>0</v>
      </c>
      <c r="R108" s="1309">
        <v>0</v>
      </c>
      <c r="S108" s="1308">
        <v>0</v>
      </c>
      <c r="T108" s="1309">
        <v>0</v>
      </c>
      <c r="U108" s="1309">
        <v>0</v>
      </c>
      <c r="V108" s="1309">
        <v>0</v>
      </c>
      <c r="W108" s="1309">
        <v>0</v>
      </c>
      <c r="X108" s="1306">
        <f t="shared" si="89"/>
        <v>0</v>
      </c>
      <c r="Y108" s="1302">
        <v>0</v>
      </c>
      <c r="Z108" s="1309">
        <v>4000000</v>
      </c>
      <c r="AA108" s="1306">
        <f t="shared" si="90"/>
        <v>4000000</v>
      </c>
      <c r="AB108" s="1310">
        <f t="shared" si="86"/>
        <v>589181752</v>
      </c>
      <c r="AC108" s="1311">
        <f t="shared" si="87"/>
        <v>589181752</v>
      </c>
    </row>
    <row r="109" spans="2:29" ht="17.25" collapsed="1" thickTop="1" x14ac:dyDescent="0.3">
      <c r="B109" s="1191" t="s">
        <v>3764</v>
      </c>
      <c r="C109" s="1192">
        <f t="shared" ref="C109:AC109" si="91">C66-C68</f>
        <v>4581606780.5161819</v>
      </c>
      <c r="D109" s="1193">
        <f t="shared" si="91"/>
        <v>3126444783.8634205</v>
      </c>
      <c r="E109" s="1194">
        <f t="shared" si="91"/>
        <v>103418910.36419523</v>
      </c>
      <c r="F109" s="1193">
        <f t="shared" si="91"/>
        <v>-6172230112.6700039</v>
      </c>
      <c r="G109" s="1193">
        <f t="shared" si="91"/>
        <v>-1412556972</v>
      </c>
      <c r="H109" s="1195">
        <f t="shared" si="91"/>
        <v>0</v>
      </c>
      <c r="I109" s="1196">
        <f t="shared" si="91"/>
        <v>226683390.07379341</v>
      </c>
      <c r="J109" s="1197">
        <f t="shared" si="91"/>
        <v>-244533470.9061355</v>
      </c>
      <c r="K109" s="1192">
        <f t="shared" si="91"/>
        <v>-754747726.914505</v>
      </c>
      <c r="L109" s="1198">
        <f t="shared" si="91"/>
        <v>7091325215</v>
      </c>
      <c r="M109" s="1198">
        <f t="shared" si="91"/>
        <v>-65080159.502092242</v>
      </c>
      <c r="N109" s="1193">
        <f t="shared" si="91"/>
        <v>-1039056524</v>
      </c>
      <c r="O109" s="1195">
        <f t="shared" si="91"/>
        <v>-748415250</v>
      </c>
      <c r="P109" s="1196">
        <f t="shared" si="91"/>
        <v>4484025554.5834036</v>
      </c>
      <c r="Q109" s="1192">
        <f t="shared" si="91"/>
        <v>8599542369.6838417</v>
      </c>
      <c r="R109" s="1199">
        <f t="shared" si="91"/>
        <v>0</v>
      </c>
      <c r="S109" s="1198">
        <f t="shared" si="91"/>
        <v>-961521923.19500768</v>
      </c>
      <c r="T109" s="1199">
        <f t="shared" si="91"/>
        <v>-7073150680.4303427</v>
      </c>
      <c r="U109" s="1199">
        <f t="shared" si="91"/>
        <v>-9755203078.3191986</v>
      </c>
      <c r="V109" s="1199">
        <f t="shared" si="91"/>
        <v>0</v>
      </c>
      <c r="W109" s="1199">
        <f t="shared" si="91"/>
        <v>0</v>
      </c>
      <c r="X109" s="1196">
        <f t="shared" si="91"/>
        <v>-9190333312.2607117</v>
      </c>
      <c r="Y109" s="1192">
        <f t="shared" si="91"/>
        <v>-136394197.32879636</v>
      </c>
      <c r="Z109" s="1199">
        <f t="shared" si="91"/>
        <v>-7028369953.1615562</v>
      </c>
      <c r="AA109" s="1196">
        <f t="shared" si="91"/>
        <v>-7164764150.4903526</v>
      </c>
      <c r="AB109" s="1312">
        <f t="shared" si="91"/>
        <v>-11888921989</v>
      </c>
      <c r="AC109" s="1313">
        <f t="shared" si="91"/>
        <v>-8688893243</v>
      </c>
    </row>
    <row r="110" spans="2:29" x14ac:dyDescent="0.3">
      <c r="B110" s="1314" t="s">
        <v>3765</v>
      </c>
      <c r="C110" s="1315">
        <f t="shared" ref="C110:AC110" si="92">IFERROR(C109/C64,0)</f>
        <v>0.26150894225874388</v>
      </c>
      <c r="D110" s="1316">
        <f t="shared" si="92"/>
        <v>0.14639868496894665</v>
      </c>
      <c r="E110" s="1317">
        <f t="shared" si="92"/>
        <v>3.3736337572840593E-2</v>
      </c>
      <c r="F110" s="1316">
        <f t="shared" si="92"/>
        <v>0</v>
      </c>
      <c r="G110" s="1316">
        <f t="shared" si="92"/>
        <v>-8.0220000768377222</v>
      </c>
      <c r="H110" s="1318">
        <f t="shared" si="92"/>
        <v>0</v>
      </c>
      <c r="I110" s="1319">
        <f t="shared" si="92"/>
        <v>5.3822091261744231E-3</v>
      </c>
      <c r="J110" s="1320">
        <f t="shared" si="92"/>
        <v>-5.8673687901599145E-2</v>
      </c>
      <c r="K110" s="1315">
        <f t="shared" si="92"/>
        <v>-1.3681880125240718E-2</v>
      </c>
      <c r="L110" s="1321">
        <f t="shared" si="92"/>
        <v>0.67103486529024159</v>
      </c>
      <c r="M110" s="1321">
        <f t="shared" si="92"/>
        <v>-1.0477277878203206E-2</v>
      </c>
      <c r="N110" s="1316">
        <f t="shared" si="92"/>
        <v>-0.22289746569526037</v>
      </c>
      <c r="O110" s="1318">
        <f t="shared" si="92"/>
        <v>2.3105463318728141</v>
      </c>
      <c r="P110" s="1319">
        <f t="shared" si="92"/>
        <v>5.8782986121621895E-2</v>
      </c>
      <c r="Q110" s="1315">
        <f t="shared" si="92"/>
        <v>8.2883756841629588E-2</v>
      </c>
      <c r="R110" s="1322">
        <f t="shared" si="92"/>
        <v>0</v>
      </c>
      <c r="S110" s="1321">
        <f t="shared" si="92"/>
        <v>-107.34093955899651</v>
      </c>
      <c r="T110" s="1322">
        <f t="shared" si="92"/>
        <v>0</v>
      </c>
      <c r="U110" s="1322">
        <f t="shared" si="92"/>
        <v>0</v>
      </c>
      <c r="V110" s="1322">
        <f t="shared" si="92"/>
        <v>0</v>
      </c>
      <c r="W110" s="1322">
        <f t="shared" si="92"/>
        <v>0</v>
      </c>
      <c r="X110" s="1319">
        <f t="shared" si="92"/>
        <v>-8.857024716285633E-2</v>
      </c>
      <c r="Y110" s="1315">
        <f t="shared" si="92"/>
        <v>0</v>
      </c>
      <c r="Z110" s="1322">
        <f t="shared" si="92"/>
        <v>0</v>
      </c>
      <c r="AA110" s="1319">
        <f t="shared" si="92"/>
        <v>0</v>
      </c>
      <c r="AB110" s="1323">
        <f t="shared" si="92"/>
        <v>-5.2529362985617473E-2</v>
      </c>
      <c r="AC110" s="1324">
        <f t="shared" si="92"/>
        <v>-3.9171747203161009E-2</v>
      </c>
    </row>
    <row r="111" spans="2:29" x14ac:dyDescent="0.3">
      <c r="B111" s="1325" t="s">
        <v>3766</v>
      </c>
      <c r="C111" s="1326">
        <f t="shared" ref="C111:H111" si="93">SUM(C112:C114)</f>
        <v>504608514.66463017</v>
      </c>
      <c r="D111" s="1327">
        <f t="shared" si="93"/>
        <v>720305454.81055617</v>
      </c>
      <c r="E111" s="1328">
        <f t="shared" si="93"/>
        <v>88350015.077815592</v>
      </c>
      <c r="F111" s="1327">
        <f t="shared" si="93"/>
        <v>145314314.46323115</v>
      </c>
      <c r="G111" s="1327">
        <f t="shared" si="93"/>
        <v>0</v>
      </c>
      <c r="H111" s="1329">
        <f t="shared" si="93"/>
        <v>0</v>
      </c>
      <c r="I111" s="1330">
        <f t="shared" ref="I111:I114" si="94">SUM(C111:H111)</f>
        <v>1458578299.016233</v>
      </c>
      <c r="J111" s="1331">
        <f t="shared" ref="J111:O111" si="95">SUM(J112:J114)</f>
        <v>115267283.58551189</v>
      </c>
      <c r="K111" s="1326">
        <f t="shared" si="95"/>
        <v>1611785362.5717239</v>
      </c>
      <c r="L111" s="1332">
        <f t="shared" si="95"/>
        <v>293451770.56646448</v>
      </c>
      <c r="M111" s="1332">
        <f t="shared" si="95"/>
        <v>164646930.8091605</v>
      </c>
      <c r="N111" s="1327">
        <f t="shared" si="95"/>
        <v>0</v>
      </c>
      <c r="O111" s="1329">
        <f t="shared" si="95"/>
        <v>0</v>
      </c>
      <c r="P111" s="1330">
        <f>SUM(K111:O111)</f>
        <v>2069884063.9473488</v>
      </c>
      <c r="Q111" s="1326">
        <f t="shared" ref="Q111:R111" si="96">SUM(Q112:Q114)</f>
        <v>3227754429.5696034</v>
      </c>
      <c r="R111" s="1333">
        <f t="shared" si="96"/>
        <v>0</v>
      </c>
      <c r="S111" s="1332">
        <f>SUM(S112:S114)</f>
        <v>14675153.213354113</v>
      </c>
      <c r="T111" s="1333">
        <f t="shared" ref="T111:W111" si="97">SUM(T112:T114)</f>
        <v>113697445.36606759</v>
      </c>
      <c r="U111" s="1333">
        <f t="shared" si="97"/>
        <v>164907475.79223406</v>
      </c>
      <c r="V111" s="1333">
        <f t="shared" si="97"/>
        <v>0</v>
      </c>
      <c r="W111" s="1333">
        <f t="shared" si="97"/>
        <v>0</v>
      </c>
      <c r="X111" s="1330">
        <f>SUM(Q111:W111)</f>
        <v>3521034503.9412589</v>
      </c>
      <c r="Y111" s="1326">
        <f>SUM(Y112:Y114)</f>
        <v>-136394197.32879636</v>
      </c>
      <c r="Z111" s="1333">
        <f>SUM(Z112:Z114)</f>
        <v>-7028369953.1615562</v>
      </c>
      <c r="AA111" s="1330">
        <f t="shared" ref="AA111:AA114" si="98">SUM(Y111:Z111)</f>
        <v>-7164764150.4903526</v>
      </c>
      <c r="AB111" s="1334">
        <f>SUM(AB112:AB114)</f>
        <v>0</v>
      </c>
      <c r="AC111" s="1335">
        <f>SUM(C111:F111,J111:M111,Q111:U111,AA111)</f>
        <v>0</v>
      </c>
    </row>
    <row r="112" spans="2:29" hidden="1" outlineLevel="1" x14ac:dyDescent="0.3">
      <c r="B112" s="1336" t="s">
        <v>3767</v>
      </c>
      <c r="C112" s="1337">
        <v>504608514.66463017</v>
      </c>
      <c r="D112" s="1338">
        <v>720305454.81055617</v>
      </c>
      <c r="E112" s="1339">
        <v>88350015.077815592</v>
      </c>
      <c r="F112" s="1338">
        <v>145314314.46323115</v>
      </c>
      <c r="G112" s="1338">
        <v>0</v>
      </c>
      <c r="H112" s="1340">
        <v>0</v>
      </c>
      <c r="I112" s="1341">
        <f t="shared" si="94"/>
        <v>1458578299.016233</v>
      </c>
      <c r="J112" s="1342">
        <v>115267283.58551189</v>
      </c>
      <c r="K112" s="1337">
        <v>1611785362.5717239</v>
      </c>
      <c r="L112" s="1343">
        <v>293451770.56646448</v>
      </c>
      <c r="M112" s="1343">
        <v>164646930.8091605</v>
      </c>
      <c r="N112" s="1338">
        <v>0</v>
      </c>
      <c r="O112" s="1340">
        <v>0</v>
      </c>
      <c r="P112" s="1341">
        <f>SUM(K112:O112)</f>
        <v>2069884063.9473488</v>
      </c>
      <c r="Q112" s="1337">
        <v>3227754429.5696034</v>
      </c>
      <c r="R112" s="1344">
        <v>0</v>
      </c>
      <c r="S112" s="1343">
        <v>14675153.213354113</v>
      </c>
      <c r="T112" s="1344">
        <v>113697445.36606759</v>
      </c>
      <c r="U112" s="1344">
        <v>164907475.79223406</v>
      </c>
      <c r="V112" s="1344">
        <v>0</v>
      </c>
      <c r="W112" s="1344">
        <v>0</v>
      </c>
      <c r="X112" s="1341">
        <f>SUM(Q112:W112)</f>
        <v>3521034503.9412589</v>
      </c>
      <c r="Y112" s="1337">
        <v>-136394197.32879636</v>
      </c>
      <c r="Z112" s="1344">
        <v>-7028369953.1615562</v>
      </c>
      <c r="AA112" s="1341">
        <f t="shared" si="98"/>
        <v>-7164764150.4903526</v>
      </c>
      <c r="AB112" s="1345">
        <f>SUM(AB175,AB239,AB303)</f>
        <v>0</v>
      </c>
      <c r="AC112" s="1346">
        <f>SUM(C112:F112,J112:M112,Q112:U112,AA112)</f>
        <v>0</v>
      </c>
    </row>
    <row r="113" spans="2:29" hidden="1" outlineLevel="1" x14ac:dyDescent="0.3">
      <c r="B113" s="1336" t="s">
        <v>3768</v>
      </c>
      <c r="C113" s="1337">
        <v>0</v>
      </c>
      <c r="D113" s="1338">
        <v>0</v>
      </c>
      <c r="E113" s="1339">
        <v>0</v>
      </c>
      <c r="F113" s="1338">
        <v>0</v>
      </c>
      <c r="G113" s="1338">
        <v>0</v>
      </c>
      <c r="H113" s="1340">
        <v>0</v>
      </c>
      <c r="I113" s="1341">
        <f t="shared" si="94"/>
        <v>0</v>
      </c>
      <c r="J113" s="1342">
        <v>0</v>
      </c>
      <c r="K113" s="1337">
        <v>0</v>
      </c>
      <c r="L113" s="1343">
        <v>0</v>
      </c>
      <c r="M113" s="1343">
        <v>0</v>
      </c>
      <c r="N113" s="1338">
        <v>0</v>
      </c>
      <c r="O113" s="1340">
        <v>0</v>
      </c>
      <c r="P113" s="1341">
        <f>SUM(K113:O113)</f>
        <v>0</v>
      </c>
      <c r="Q113" s="1337">
        <v>0</v>
      </c>
      <c r="R113" s="1344">
        <v>0</v>
      </c>
      <c r="S113" s="1343">
        <v>0</v>
      </c>
      <c r="T113" s="1344">
        <v>0</v>
      </c>
      <c r="U113" s="1344">
        <v>0</v>
      </c>
      <c r="V113" s="1344">
        <v>0</v>
      </c>
      <c r="W113" s="1344">
        <v>0</v>
      </c>
      <c r="X113" s="1341">
        <f>SUM(Q113:W113)</f>
        <v>0</v>
      </c>
      <c r="Y113" s="1337">
        <v>0</v>
      </c>
      <c r="Z113" s="1344">
        <v>0</v>
      </c>
      <c r="AA113" s="1341">
        <f t="shared" si="98"/>
        <v>0</v>
      </c>
      <c r="AB113" s="1345">
        <f>SUM(AB176,AB240,AB304)</f>
        <v>0</v>
      </c>
      <c r="AC113" s="1346">
        <f>SUM(C113:F113,J113:M113,Q113:U113,AA113)</f>
        <v>0</v>
      </c>
    </row>
    <row r="114" spans="2:29" hidden="1" outlineLevel="1" x14ac:dyDescent="0.3">
      <c r="B114" s="1347"/>
      <c r="C114" s="1348">
        <v>0</v>
      </c>
      <c r="D114" s="1349">
        <v>0</v>
      </c>
      <c r="E114" s="1350">
        <v>0</v>
      </c>
      <c r="F114" s="1349">
        <v>0</v>
      </c>
      <c r="G114" s="1349">
        <v>0</v>
      </c>
      <c r="H114" s="1351">
        <v>0</v>
      </c>
      <c r="I114" s="1352">
        <f t="shared" si="94"/>
        <v>0</v>
      </c>
      <c r="J114" s="1353">
        <v>0</v>
      </c>
      <c r="K114" s="1348">
        <v>0</v>
      </c>
      <c r="L114" s="1354">
        <v>0</v>
      </c>
      <c r="M114" s="1354">
        <v>0</v>
      </c>
      <c r="N114" s="1349">
        <v>0</v>
      </c>
      <c r="O114" s="1351">
        <v>0</v>
      </c>
      <c r="P114" s="1352">
        <f>SUM(K114:O114)</f>
        <v>0</v>
      </c>
      <c r="Q114" s="1348">
        <v>0</v>
      </c>
      <c r="R114" s="1355">
        <v>0</v>
      </c>
      <c r="S114" s="1354">
        <v>0</v>
      </c>
      <c r="T114" s="1355">
        <v>0</v>
      </c>
      <c r="U114" s="1355">
        <v>0</v>
      </c>
      <c r="V114" s="1355">
        <v>0</v>
      </c>
      <c r="W114" s="1355">
        <v>0</v>
      </c>
      <c r="X114" s="1352">
        <f>SUM(Q114:W114)</f>
        <v>0</v>
      </c>
      <c r="Y114" s="1348">
        <v>0</v>
      </c>
      <c r="Z114" s="1355">
        <v>0</v>
      </c>
      <c r="AA114" s="1352">
        <f t="shared" si="98"/>
        <v>0</v>
      </c>
      <c r="AB114" s="1356">
        <f>SUM(AB177,AB241,AB305)</f>
        <v>0</v>
      </c>
      <c r="AC114" s="1357">
        <f>SUM(C114:F114,J114:M114,Q114:U114,AA114)</f>
        <v>0</v>
      </c>
    </row>
    <row r="115" spans="2:29" collapsed="1" x14ac:dyDescent="0.3">
      <c r="B115" s="1191" t="s">
        <v>3769</v>
      </c>
      <c r="C115" s="1192">
        <f t="shared" ref="C115:K115" si="99">C109-C111</f>
        <v>4076998265.851552</v>
      </c>
      <c r="D115" s="1193">
        <f t="shared" si="99"/>
        <v>2406139329.0528641</v>
      </c>
      <c r="E115" s="1194">
        <f t="shared" si="99"/>
        <v>15068895.286379635</v>
      </c>
      <c r="F115" s="1193">
        <f t="shared" si="99"/>
        <v>-6317544427.133235</v>
      </c>
      <c r="G115" s="1193">
        <f t="shared" si="99"/>
        <v>-1412556972</v>
      </c>
      <c r="H115" s="1195">
        <f t="shared" si="99"/>
        <v>0</v>
      </c>
      <c r="I115" s="1196">
        <f t="shared" si="99"/>
        <v>-1231894908.9424396</v>
      </c>
      <c r="J115" s="1197">
        <f t="shared" si="99"/>
        <v>-359800754.49164736</v>
      </c>
      <c r="K115" s="1192">
        <f t="shared" si="99"/>
        <v>-2366533089.4862289</v>
      </c>
      <c r="L115" s="1198">
        <f>L109-L111</f>
        <v>6797873444.4335356</v>
      </c>
      <c r="M115" s="1198">
        <f t="shared" ref="M115:Q115" si="100">M109-M111</f>
        <v>-229727090.31125274</v>
      </c>
      <c r="N115" s="1193">
        <f t="shared" si="100"/>
        <v>-1039056524</v>
      </c>
      <c r="O115" s="1195">
        <f t="shared" si="100"/>
        <v>-748415250</v>
      </c>
      <c r="P115" s="1196">
        <f t="shared" si="100"/>
        <v>2414141490.636055</v>
      </c>
      <c r="Q115" s="1192">
        <f t="shared" si="100"/>
        <v>5371787940.1142387</v>
      </c>
      <c r="R115" s="1199">
        <f>R109-R111</f>
        <v>0</v>
      </c>
      <c r="S115" s="1198">
        <f>S109-S111</f>
        <v>-976197076.40836179</v>
      </c>
      <c r="T115" s="1199">
        <f t="shared" ref="T115:U115" si="101">T109-T111</f>
        <v>-7186848125.7964106</v>
      </c>
      <c r="U115" s="1199">
        <f t="shared" si="101"/>
        <v>-9920110554.111433</v>
      </c>
      <c r="V115" s="1199">
        <f>V109-V111</f>
        <v>0</v>
      </c>
      <c r="W115" s="1199">
        <f>W109-W111</f>
        <v>0</v>
      </c>
      <c r="X115" s="1196">
        <f>X109-X111</f>
        <v>-12711367816.201971</v>
      </c>
      <c r="Y115" s="1192">
        <f t="shared" ref="Y115:AC115" si="102">Y109-Y111</f>
        <v>0</v>
      </c>
      <c r="Z115" s="1199">
        <f t="shared" si="102"/>
        <v>0</v>
      </c>
      <c r="AA115" s="1196">
        <f t="shared" si="102"/>
        <v>0</v>
      </c>
      <c r="AB115" s="1312">
        <f t="shared" si="102"/>
        <v>-11888921989</v>
      </c>
      <c r="AC115" s="1313">
        <f t="shared" si="102"/>
        <v>-8688893243</v>
      </c>
    </row>
    <row r="116" spans="2:29" x14ac:dyDescent="0.3">
      <c r="B116" s="1314" t="s">
        <v>3770</v>
      </c>
      <c r="C116" s="1315">
        <f t="shared" ref="C116:AC116" si="103">IFERROR(C115/C64,0)</f>
        <v>0.23270689851158577</v>
      </c>
      <c r="D116" s="1316">
        <f t="shared" si="103"/>
        <v>0.11266971207791888</v>
      </c>
      <c r="E116" s="1317">
        <f t="shared" si="103"/>
        <v>4.9156323194746495E-3</v>
      </c>
      <c r="F116" s="1316">
        <f t="shared" si="103"/>
        <v>0</v>
      </c>
      <c r="G116" s="1316">
        <f t="shared" si="103"/>
        <v>-8.0220000768377222</v>
      </c>
      <c r="H116" s="1318">
        <f t="shared" si="103"/>
        <v>0</v>
      </c>
      <c r="I116" s="1319">
        <f t="shared" si="103"/>
        <v>-2.9249236211084575E-2</v>
      </c>
      <c r="J116" s="1320">
        <f t="shared" si="103"/>
        <v>-8.6331074014429035E-2</v>
      </c>
      <c r="K116" s="1315">
        <f t="shared" si="103"/>
        <v>-4.2899926542519916E-2</v>
      </c>
      <c r="L116" s="1321">
        <f t="shared" si="103"/>
        <v>0.6432662376556324</v>
      </c>
      <c r="M116" s="1321">
        <f t="shared" si="103"/>
        <v>-3.6983845456996754E-2</v>
      </c>
      <c r="N116" s="1316">
        <f t="shared" si="103"/>
        <v>-0.22289746569526037</v>
      </c>
      <c r="O116" s="1318">
        <f t="shared" si="103"/>
        <v>2.3105463318728141</v>
      </c>
      <c r="P116" s="1319">
        <f t="shared" si="103"/>
        <v>3.164800111244577E-2</v>
      </c>
      <c r="Q116" s="1315">
        <f t="shared" si="103"/>
        <v>5.1774146378163112E-2</v>
      </c>
      <c r="R116" s="1322">
        <f t="shared" si="103"/>
        <v>0</v>
      </c>
      <c r="S116" s="1321">
        <f t="shared" si="103"/>
        <v>-108.97922226071518</v>
      </c>
      <c r="T116" s="1322">
        <f t="shared" si="103"/>
        <v>0</v>
      </c>
      <c r="U116" s="1322">
        <f t="shared" si="103"/>
        <v>0</v>
      </c>
      <c r="V116" s="1322">
        <f t="shared" si="103"/>
        <v>0</v>
      </c>
      <c r="W116" s="1322">
        <f t="shared" si="103"/>
        <v>0</v>
      </c>
      <c r="X116" s="1319">
        <f t="shared" si="103"/>
        <v>-0.12250360797654689</v>
      </c>
      <c r="Y116" s="1315">
        <f t="shared" si="103"/>
        <v>0</v>
      </c>
      <c r="Z116" s="1322">
        <f t="shared" si="103"/>
        <v>0</v>
      </c>
      <c r="AA116" s="1319">
        <f t="shared" si="103"/>
        <v>0</v>
      </c>
      <c r="AB116" s="1323">
        <f t="shared" si="103"/>
        <v>-5.2529362985617473E-2</v>
      </c>
      <c r="AC116" s="1324">
        <f t="shared" si="103"/>
        <v>-3.9171747203161009E-2</v>
      </c>
    </row>
    <row r="118" spans="2:29" x14ac:dyDescent="0.3">
      <c r="B118" s="1176" t="s">
        <v>3293</v>
      </c>
      <c r="AC118" s="1177" t="s">
        <v>3737</v>
      </c>
    </row>
    <row r="119" spans="2:29" x14ac:dyDescent="0.3">
      <c r="B119" s="1795" t="s">
        <v>3738</v>
      </c>
      <c r="C119" s="1796" t="s">
        <v>3739</v>
      </c>
      <c r="D119" s="1797"/>
      <c r="E119" s="1797"/>
      <c r="F119" s="1797"/>
      <c r="G119" s="1797"/>
      <c r="H119" s="1797"/>
      <c r="I119" s="1798"/>
      <c r="J119" s="1799" t="s">
        <v>3740</v>
      </c>
      <c r="K119" s="1796" t="s">
        <v>3741</v>
      </c>
      <c r="L119" s="1797"/>
      <c r="M119" s="1797"/>
      <c r="N119" s="1797"/>
      <c r="O119" s="1797"/>
      <c r="P119" s="1798"/>
      <c r="Q119" s="1796" t="s">
        <v>3742</v>
      </c>
      <c r="R119" s="1797"/>
      <c r="S119" s="1797"/>
      <c r="T119" s="1797"/>
      <c r="U119" s="1797"/>
      <c r="V119" s="1797"/>
      <c r="W119" s="1797"/>
      <c r="X119" s="1798"/>
      <c r="Y119" s="1794" t="s">
        <v>3772</v>
      </c>
      <c r="Z119" s="1794"/>
      <c r="AA119" s="1794"/>
      <c r="AB119" s="1178" t="s">
        <v>3744</v>
      </c>
      <c r="AC119" s="1178"/>
    </row>
    <row r="120" spans="2:29" ht="27" x14ac:dyDescent="0.3">
      <c r="B120" s="1795"/>
      <c r="C120" s="1179" t="s">
        <v>3745</v>
      </c>
      <c r="D120" s="1180" t="s">
        <v>3746</v>
      </c>
      <c r="E120" s="1181" t="s">
        <v>3747</v>
      </c>
      <c r="F120" s="1180" t="s">
        <v>3416</v>
      </c>
      <c r="G120" s="1180" t="s">
        <v>103</v>
      </c>
      <c r="H120" s="1182" t="s">
        <v>3495</v>
      </c>
      <c r="I120" s="1183" t="s">
        <v>3748</v>
      </c>
      <c r="J120" s="1800"/>
      <c r="K120" s="1184" t="s">
        <v>3749</v>
      </c>
      <c r="L120" s="1185" t="s">
        <v>3750</v>
      </c>
      <c r="M120" s="1186" t="s">
        <v>83</v>
      </c>
      <c r="N120" s="1187" t="s">
        <v>3751</v>
      </c>
      <c r="O120" s="1182" t="s">
        <v>3495</v>
      </c>
      <c r="P120" s="1183" t="s">
        <v>3748</v>
      </c>
      <c r="Q120" s="1184" t="s">
        <v>3752</v>
      </c>
      <c r="R120" s="1185" t="s">
        <v>3403</v>
      </c>
      <c r="S120" s="1181" t="s">
        <v>3753</v>
      </c>
      <c r="T120" s="1185" t="s">
        <v>3754</v>
      </c>
      <c r="U120" s="1185" t="s">
        <v>3755</v>
      </c>
      <c r="V120" s="1185" t="s">
        <v>3756</v>
      </c>
      <c r="W120" s="1185" t="s">
        <v>3346</v>
      </c>
      <c r="X120" s="1188" t="s">
        <v>3748</v>
      </c>
      <c r="Y120" s="1184" t="s">
        <v>3757</v>
      </c>
      <c r="Z120" s="1185" t="s">
        <v>3758</v>
      </c>
      <c r="AA120" s="1188" t="s">
        <v>3748</v>
      </c>
      <c r="AB120" s="1189" t="s">
        <v>3759</v>
      </c>
      <c r="AC120" s="1190" t="s">
        <v>3760</v>
      </c>
    </row>
    <row r="121" spans="2:29" x14ac:dyDescent="0.3">
      <c r="B121" s="1191" t="s">
        <v>3761</v>
      </c>
      <c r="C121" s="1192">
        <v>18193526825.094208</v>
      </c>
      <c r="D121" s="1193">
        <v>17414993767.757423</v>
      </c>
      <c r="E121" s="1194">
        <v>8916340014</v>
      </c>
      <c r="F121" s="1193">
        <v>0</v>
      </c>
      <c r="G121" s="1193">
        <v>255755823</v>
      </c>
      <c r="H121" s="1195">
        <v>-45142025</v>
      </c>
      <c r="I121" s="1196">
        <f>SUM(C121:H121)</f>
        <v>44735474404.851631</v>
      </c>
      <c r="J121" s="1197">
        <v>8804320884</v>
      </c>
      <c r="K121" s="1192">
        <v>40515438475</v>
      </c>
      <c r="L121" s="1198">
        <v>12629981629</v>
      </c>
      <c r="M121" s="1198">
        <v>3528234295.1483688</v>
      </c>
      <c r="N121" s="1193">
        <v>4216534820</v>
      </c>
      <c r="O121" s="1195">
        <v>-136213714</v>
      </c>
      <c r="P121" s="1196">
        <f>SUM(K121:O121)</f>
        <v>60753975505.148369</v>
      </c>
      <c r="Q121" s="1192">
        <v>126659316409</v>
      </c>
      <c r="R121" s="1199">
        <v>2947494000</v>
      </c>
      <c r="S121" s="1198">
        <v>6963299</v>
      </c>
      <c r="T121" s="1199">
        <v>0</v>
      </c>
      <c r="U121" s="1199">
        <v>0</v>
      </c>
      <c r="V121" s="1199">
        <v>858424865</v>
      </c>
      <c r="W121" s="1199">
        <v>-576704865</v>
      </c>
      <c r="X121" s="1196">
        <f>SUM(Q121:W121)</f>
        <v>129895493708</v>
      </c>
      <c r="Y121" s="1192">
        <v>0</v>
      </c>
      <c r="Z121" s="1199">
        <v>0</v>
      </c>
      <c r="AA121" s="1196">
        <f>SUM(Y121:Z121)</f>
        <v>0</v>
      </c>
      <c r="AB121" s="1200">
        <f>SUM(I121,J121,P121,X121,AA121)</f>
        <v>244189264502</v>
      </c>
      <c r="AC121" s="1201">
        <f>SUM(C121:F121,J121:M121,Q121:U121,AA121)</f>
        <v>239616609598</v>
      </c>
    </row>
    <row r="122" spans="2:29" x14ac:dyDescent="0.3">
      <c r="B122" s="1202" t="s">
        <v>3690</v>
      </c>
      <c r="C122" s="1203">
        <v>11792227381</v>
      </c>
      <c r="D122" s="1204">
        <v>14135823577</v>
      </c>
      <c r="E122" s="1205">
        <v>6732760867</v>
      </c>
      <c r="F122" s="1204">
        <v>0</v>
      </c>
      <c r="G122" s="1204">
        <v>167824369</v>
      </c>
      <c r="H122" s="1206">
        <v>-1527662</v>
      </c>
      <c r="I122" s="1207">
        <f>SUM(C122:H122)</f>
        <v>32827108532</v>
      </c>
      <c r="J122" s="1208">
        <v>7702145897</v>
      </c>
      <c r="K122" s="1203">
        <v>36630242351</v>
      </c>
      <c r="L122" s="1209">
        <v>3585936577</v>
      </c>
      <c r="M122" s="1209">
        <v>2931040599</v>
      </c>
      <c r="N122" s="1204">
        <v>3125170788</v>
      </c>
      <c r="O122" s="1206">
        <v>-113948115</v>
      </c>
      <c r="P122" s="1207">
        <f>SUM(K122:O122)</f>
        <v>46158442200</v>
      </c>
      <c r="Q122" s="1203">
        <v>97411593395</v>
      </c>
      <c r="R122" s="1210">
        <v>0</v>
      </c>
      <c r="S122" s="1209">
        <v>0</v>
      </c>
      <c r="T122" s="1210">
        <v>0</v>
      </c>
      <c r="U122" s="1210">
        <v>0</v>
      </c>
      <c r="V122" s="1210">
        <v>841820330</v>
      </c>
      <c r="W122" s="1210">
        <v>-252800000</v>
      </c>
      <c r="X122" s="1207">
        <f>SUM(Q122:W122)</f>
        <v>98000613725</v>
      </c>
      <c r="Y122" s="1203">
        <v>0</v>
      </c>
      <c r="Z122" s="1210">
        <v>0</v>
      </c>
      <c r="AA122" s="1207">
        <f>SUM(Y122:Z122)</f>
        <v>0</v>
      </c>
      <c r="AB122" s="1211">
        <f>SUM(I122,J122,P122,X122,AA122)</f>
        <v>184688310354</v>
      </c>
      <c r="AC122" s="1212">
        <f>SUM(C122:F122,J122:M122,Q122:U122,AA122)</f>
        <v>180921770644</v>
      </c>
    </row>
    <row r="123" spans="2:29" x14ac:dyDescent="0.3">
      <c r="B123" s="1213" t="s">
        <v>3762</v>
      </c>
      <c r="C123" s="1214">
        <f>C121-C122</f>
        <v>6401299444.0942078</v>
      </c>
      <c r="D123" s="1215">
        <f t="shared" ref="D123:K123" si="104">D121-D122</f>
        <v>3279170190.7574234</v>
      </c>
      <c r="E123" s="1216">
        <f t="shared" si="104"/>
        <v>2183579147</v>
      </c>
      <c r="F123" s="1215">
        <f t="shared" si="104"/>
        <v>0</v>
      </c>
      <c r="G123" s="1215">
        <f t="shared" si="104"/>
        <v>87931454</v>
      </c>
      <c r="H123" s="1217">
        <f t="shared" si="104"/>
        <v>-43614363</v>
      </c>
      <c r="I123" s="1218">
        <f t="shared" si="104"/>
        <v>11908365872.851631</v>
      </c>
      <c r="J123" s="1219">
        <f t="shared" si="104"/>
        <v>1102174987</v>
      </c>
      <c r="K123" s="1214">
        <f t="shared" si="104"/>
        <v>3885196124</v>
      </c>
      <c r="L123" s="1220">
        <f>L121-L122</f>
        <v>9044045052</v>
      </c>
      <c r="M123" s="1220">
        <f t="shared" ref="M123:Q123" si="105">M121-M122</f>
        <v>597193696.14836884</v>
      </c>
      <c r="N123" s="1215">
        <f t="shared" si="105"/>
        <v>1091364032</v>
      </c>
      <c r="O123" s="1217">
        <f t="shared" si="105"/>
        <v>-22265599</v>
      </c>
      <c r="P123" s="1218">
        <f t="shared" si="105"/>
        <v>14595533305.148369</v>
      </c>
      <c r="Q123" s="1214">
        <f t="shared" si="105"/>
        <v>29247723014</v>
      </c>
      <c r="R123" s="1221">
        <f>R121-R122</f>
        <v>2947494000</v>
      </c>
      <c r="S123" s="1220">
        <f>S121-S122</f>
        <v>6963299</v>
      </c>
      <c r="T123" s="1221">
        <f t="shared" ref="T123:U123" si="106">T121-T122</f>
        <v>0</v>
      </c>
      <c r="U123" s="1221">
        <f t="shared" si="106"/>
        <v>0</v>
      </c>
      <c r="V123" s="1221">
        <f>V121-V122</f>
        <v>16604535</v>
      </c>
      <c r="W123" s="1221">
        <f>W121-W122</f>
        <v>-323904865</v>
      </c>
      <c r="X123" s="1218">
        <f>X121-X122</f>
        <v>31894879983</v>
      </c>
      <c r="Y123" s="1214">
        <f t="shared" ref="Y123:AC123" si="107">Y121-Y122</f>
        <v>0</v>
      </c>
      <c r="Z123" s="1221">
        <f t="shared" si="107"/>
        <v>0</v>
      </c>
      <c r="AA123" s="1218">
        <f t="shared" si="107"/>
        <v>0</v>
      </c>
      <c r="AB123" s="1222">
        <f t="shared" si="107"/>
        <v>59500954148</v>
      </c>
      <c r="AC123" s="1223">
        <f t="shared" si="107"/>
        <v>58694838954</v>
      </c>
    </row>
    <row r="124" spans="2:29" x14ac:dyDescent="0.3">
      <c r="B124" s="1224" t="s">
        <v>3763</v>
      </c>
      <c r="C124" s="1225">
        <f>IFERROR(C123/C121,0)</f>
        <v>0.35184488997839269</v>
      </c>
      <c r="D124" s="1226">
        <f t="shared" ref="D124:K124" si="108">IFERROR(D123/D121,0)</f>
        <v>0.18829580041702715</v>
      </c>
      <c r="E124" s="1227">
        <f t="shared" si="108"/>
        <v>0.24489635249120728</v>
      </c>
      <c r="F124" s="1226">
        <f t="shared" si="108"/>
        <v>0</v>
      </c>
      <c r="G124" s="1226">
        <f t="shared" si="108"/>
        <v>0.34381017397207025</v>
      </c>
      <c r="H124" s="1228">
        <f t="shared" si="108"/>
        <v>0.96615876226199426</v>
      </c>
      <c r="I124" s="1229">
        <f t="shared" si="108"/>
        <v>0.26619514001532868</v>
      </c>
      <c r="J124" s="1230">
        <f t="shared" si="108"/>
        <v>0.12518569024477186</v>
      </c>
      <c r="K124" s="1225">
        <f t="shared" si="108"/>
        <v>9.5894213915452386E-2</v>
      </c>
      <c r="L124" s="1231">
        <f>IFERROR(L123/L121,0)</f>
        <v>0.71607745107354348</v>
      </c>
      <c r="M124" s="1231">
        <f t="shared" ref="M124:Q124" si="109">IFERROR(M123/M121,0)</f>
        <v>0.16926134893296696</v>
      </c>
      <c r="N124" s="1226">
        <f t="shared" si="109"/>
        <v>0.25882960264514071</v>
      </c>
      <c r="O124" s="1228">
        <f t="shared" si="109"/>
        <v>0.1634607731200986</v>
      </c>
      <c r="P124" s="1229">
        <f t="shared" si="109"/>
        <v>0.2402399708626726</v>
      </c>
      <c r="Q124" s="1225">
        <f t="shared" si="109"/>
        <v>0.23091647612841334</v>
      </c>
      <c r="R124" s="1232">
        <f>IFERROR(R123/R121,0)</f>
        <v>1</v>
      </c>
      <c r="S124" s="1231">
        <f>IFERROR(S123/S121,0)</f>
        <v>1</v>
      </c>
      <c r="T124" s="1232">
        <f t="shared" ref="T124:U124" si="110">IFERROR(T123/T121,0)</f>
        <v>0</v>
      </c>
      <c r="U124" s="1232">
        <f t="shared" si="110"/>
        <v>0</v>
      </c>
      <c r="V124" s="1232">
        <f>IFERROR(V123/V121,0)</f>
        <v>1.9343026602567016E-2</v>
      </c>
      <c r="W124" s="1232">
        <f>IFERROR(W123/W121,0)</f>
        <v>0.56164753352652919</v>
      </c>
      <c r="X124" s="1229">
        <f>IFERROR(X123/X121,0)</f>
        <v>0.24554262101423199</v>
      </c>
      <c r="Y124" s="1225">
        <f t="shared" ref="Y124:AC124" si="111">IFERROR(Y123/Y121,0)</f>
        <v>0</v>
      </c>
      <c r="Z124" s="1232">
        <f t="shared" si="111"/>
        <v>0</v>
      </c>
      <c r="AA124" s="1229">
        <f t="shared" si="111"/>
        <v>0</v>
      </c>
      <c r="AB124" s="1233">
        <f t="shared" si="111"/>
        <v>0.24366736297497085</v>
      </c>
      <c r="AC124" s="1234">
        <f t="shared" si="111"/>
        <v>0.24495313180697764</v>
      </c>
    </row>
    <row r="125" spans="2:29" x14ac:dyDescent="0.3">
      <c r="B125" s="1235" t="s">
        <v>3692</v>
      </c>
      <c r="C125" s="1236">
        <f t="shared" ref="C125:K125" si="112">SUM(C126:C130)</f>
        <v>2568438371.2256866</v>
      </c>
      <c r="D125" s="1237">
        <f t="shared" si="112"/>
        <v>1206960945.000248</v>
      </c>
      <c r="E125" s="1238">
        <f t="shared" si="112"/>
        <v>0</v>
      </c>
      <c r="F125" s="1237">
        <f t="shared" si="112"/>
        <v>7205036728.3936796</v>
      </c>
      <c r="G125" s="1237">
        <f t="shared" si="112"/>
        <v>399814727</v>
      </c>
      <c r="H125" s="1239">
        <f t="shared" si="112"/>
        <v>-22409163</v>
      </c>
      <c r="I125" s="1240">
        <f t="shared" si="112"/>
        <v>11357841608.619614</v>
      </c>
      <c r="J125" s="1241">
        <f t="shared" si="112"/>
        <v>589403240.28397167</v>
      </c>
      <c r="K125" s="1236">
        <f t="shared" si="112"/>
        <v>4395517045.7404099</v>
      </c>
      <c r="L125" s="1242">
        <f>SUM(L126:L130)</f>
        <v>0</v>
      </c>
      <c r="M125" s="1242">
        <f t="shared" ref="M125:Q125" si="113">SUM(M126:M130)</f>
        <v>0</v>
      </c>
      <c r="N125" s="1237">
        <f t="shared" si="113"/>
        <v>1617409478</v>
      </c>
      <c r="O125" s="1239">
        <f t="shared" si="113"/>
        <v>-2412284</v>
      </c>
      <c r="P125" s="1240">
        <f t="shared" si="113"/>
        <v>6010514239.7404099</v>
      </c>
      <c r="Q125" s="1236">
        <f t="shared" si="113"/>
        <v>9339163064.8460979</v>
      </c>
      <c r="R125" s="1243">
        <f>SUM(R126:R130)</f>
        <v>375720501.08460283</v>
      </c>
      <c r="S125" s="1242">
        <f>SUM(S126:S130)</f>
        <v>1462807520.2428331</v>
      </c>
      <c r="T125" s="1243">
        <f t="shared" ref="T125:U125" si="114">SUM(T126:T130)</f>
        <v>7888433413.4341555</v>
      </c>
      <c r="U125" s="1243">
        <f t="shared" si="114"/>
        <v>9364887859.9382915</v>
      </c>
      <c r="V125" s="1243">
        <f>SUM(V126:V130)</f>
        <v>1006512841</v>
      </c>
      <c r="W125" s="1243">
        <f>SUM(W126:W130)</f>
        <v>-514682643</v>
      </c>
      <c r="X125" s="1240">
        <f>SUM(X126:X130)</f>
        <v>28922842557.545979</v>
      </c>
      <c r="Y125" s="1236">
        <f t="shared" ref="Y125:AC125" si="115">SUM(Y126:Y130)</f>
        <v>134045796.31007753</v>
      </c>
      <c r="Z125" s="1243">
        <f t="shared" si="115"/>
        <v>7637797866.4999456</v>
      </c>
      <c r="AA125" s="1240">
        <f t="shared" si="115"/>
        <v>7771843662.8100233</v>
      </c>
      <c r="AB125" s="1244">
        <f t="shared" si="115"/>
        <v>54652445309</v>
      </c>
      <c r="AC125" s="1245">
        <f t="shared" si="115"/>
        <v>52168212353</v>
      </c>
    </row>
    <row r="126" spans="2:29" x14ac:dyDescent="0.3">
      <c r="B126" s="1246" t="s">
        <v>3326</v>
      </c>
      <c r="C126" s="1247">
        <f t="shared" ref="C126:H126" si="116">SUM(C131:C133,C135:C137,C150,C154)</f>
        <v>557733243.14858556</v>
      </c>
      <c r="D126" s="1248">
        <f t="shared" si="116"/>
        <v>634048630.6530422</v>
      </c>
      <c r="E126" s="1249">
        <f t="shared" si="116"/>
        <v>0</v>
      </c>
      <c r="F126" s="1248">
        <f t="shared" si="116"/>
        <v>5009852559.946353</v>
      </c>
      <c r="G126" s="1248">
        <f t="shared" si="116"/>
        <v>285655774</v>
      </c>
      <c r="H126" s="1250">
        <f t="shared" si="116"/>
        <v>0</v>
      </c>
      <c r="I126" s="1251">
        <f>SUM(C126:H126)</f>
        <v>6487290207.7479801</v>
      </c>
      <c r="J126" s="1252">
        <f t="shared" ref="J126:O126" si="117">SUM(J131:J133,J135:J137,J150,J154)</f>
        <v>522514449.5926097</v>
      </c>
      <c r="K126" s="1247">
        <f t="shared" si="117"/>
        <v>1225637846.845</v>
      </c>
      <c r="L126" s="1253">
        <f t="shared" si="117"/>
        <v>0</v>
      </c>
      <c r="M126" s="1253">
        <f t="shared" si="117"/>
        <v>0</v>
      </c>
      <c r="N126" s="1248">
        <f t="shared" si="117"/>
        <v>754385639</v>
      </c>
      <c r="O126" s="1250">
        <f t="shared" si="117"/>
        <v>0</v>
      </c>
      <c r="P126" s="1251">
        <f t="shared" ref="P126:P165" si="118">SUM(K126:O126)</f>
        <v>1980023485.845</v>
      </c>
      <c r="Q126" s="1247">
        <f t="shared" ref="Q126:W126" si="119">SUM(Q131:Q133,Q135:Q137,Q150,Q154)</f>
        <v>2384200176.2171125</v>
      </c>
      <c r="R126" s="1254">
        <f t="shared" si="119"/>
        <v>360896072.34082586</v>
      </c>
      <c r="S126" s="1253">
        <f t="shared" si="119"/>
        <v>559901545.39581394</v>
      </c>
      <c r="T126" s="1254">
        <f t="shared" si="119"/>
        <v>4075106321.3959384</v>
      </c>
      <c r="U126" s="1254">
        <f t="shared" si="119"/>
        <v>5440346460.3863449</v>
      </c>
      <c r="V126" s="1254">
        <f t="shared" si="119"/>
        <v>469473659</v>
      </c>
      <c r="W126" s="1254">
        <f t="shared" si="119"/>
        <v>0</v>
      </c>
      <c r="X126" s="1251">
        <f>SUM(Q126:W126)</f>
        <v>13289924234.736036</v>
      </c>
      <c r="Y126" s="1247">
        <f>SUM(Y131:Y133,Y135:Y137,Y150,Y154)</f>
        <v>133440346.31007753</v>
      </c>
      <c r="Z126" s="1254">
        <f>SUM(Z131:Z133,Z135:Z137,Z150,Z154)</f>
        <v>4477518133.7682953</v>
      </c>
      <c r="AA126" s="1251">
        <f>SUM(Y126:Z126)</f>
        <v>4610958480.078373</v>
      </c>
      <c r="AB126" s="1255">
        <f t="shared" ref="AB126:AB128" si="120">SUM(I126,J126,P126,X126,AA126)</f>
        <v>26890710857.999996</v>
      </c>
      <c r="AC126" s="1256">
        <f t="shared" ref="AC126:AC128" si="121">SUM(C126:F126,J126:M126,Q126:U126,AA126)</f>
        <v>25381195786</v>
      </c>
    </row>
    <row r="127" spans="2:29" x14ac:dyDescent="0.3">
      <c r="B127" s="1246" t="s">
        <v>1988</v>
      </c>
      <c r="C127" s="1247">
        <f t="shared" ref="C127:H127" si="122">SUM(C143:C145)</f>
        <v>733091571.27282655</v>
      </c>
      <c r="D127" s="1248">
        <f t="shared" si="122"/>
        <v>57916906.517642342</v>
      </c>
      <c r="E127" s="1249">
        <f t="shared" si="122"/>
        <v>0</v>
      </c>
      <c r="F127" s="1248">
        <f t="shared" si="122"/>
        <v>864983687.21528375</v>
      </c>
      <c r="G127" s="1248">
        <f t="shared" si="122"/>
        <v>15317766</v>
      </c>
      <c r="H127" s="1250">
        <f t="shared" si="122"/>
        <v>0</v>
      </c>
      <c r="I127" s="1251">
        <f>SUM(C127:H127)</f>
        <v>1671309931.0057526</v>
      </c>
      <c r="J127" s="1252">
        <f>SUM(J143:J145)</f>
        <v>57165085.535770953</v>
      </c>
      <c r="K127" s="1247">
        <f t="shared" ref="K127" si="123">SUM(K143:K145)</f>
        <v>2260418751.1481237</v>
      </c>
      <c r="L127" s="1253">
        <f>SUM(L143:L145)</f>
        <v>0</v>
      </c>
      <c r="M127" s="1253">
        <f t="shared" ref="M127:O127" si="124">SUM(M143:M145)</f>
        <v>0</v>
      </c>
      <c r="N127" s="1248">
        <f t="shared" si="124"/>
        <v>382180657</v>
      </c>
      <c r="O127" s="1250">
        <f t="shared" si="124"/>
        <v>0</v>
      </c>
      <c r="P127" s="1251">
        <f t="shared" si="118"/>
        <v>2642599408.1481237</v>
      </c>
      <c r="Q127" s="1247">
        <f t="shared" ref="Q127:R127" si="125">SUM(Q143:Q145)</f>
        <v>978708830.51578176</v>
      </c>
      <c r="R127" s="1254">
        <f t="shared" si="125"/>
        <v>14409521.691913312</v>
      </c>
      <c r="S127" s="1253">
        <f>SUM(S143:S145)</f>
        <v>72841611.691428125</v>
      </c>
      <c r="T127" s="1254">
        <f t="shared" ref="T127:W127" si="126">SUM(T143:T145)</f>
        <v>380671304.5601027</v>
      </c>
      <c r="U127" s="1254">
        <f t="shared" si="126"/>
        <v>503192330.77399236</v>
      </c>
      <c r="V127" s="1254">
        <f t="shared" si="126"/>
        <v>65124522</v>
      </c>
      <c r="W127" s="1254">
        <f t="shared" si="126"/>
        <v>0</v>
      </c>
      <c r="X127" s="1251">
        <f>SUM(Q127:W127)</f>
        <v>2014948121.2332182</v>
      </c>
      <c r="Y127" s="1247">
        <f>SUM(Y143:Y145)</f>
        <v>587450</v>
      </c>
      <c r="Z127" s="1254">
        <f>SUM(Z143:Z145)</f>
        <v>939790376.07713425</v>
      </c>
      <c r="AA127" s="1251">
        <f>SUM(Y127:Z127)</f>
        <v>940377826.07713425</v>
      </c>
      <c r="AB127" s="1255">
        <f t="shared" si="120"/>
        <v>7326400372</v>
      </c>
      <c r="AC127" s="1256">
        <f t="shared" si="121"/>
        <v>6863777427</v>
      </c>
    </row>
    <row r="128" spans="2:29" x14ac:dyDescent="0.3">
      <c r="B128" s="1246" t="s">
        <v>3327</v>
      </c>
      <c r="C128" s="1247">
        <f t="shared" ref="C128:H128" si="127">SUM(C155:C156)</f>
        <v>374792106</v>
      </c>
      <c r="D128" s="1248">
        <f t="shared" si="127"/>
        <v>153863914</v>
      </c>
      <c r="E128" s="1249">
        <f t="shared" si="127"/>
        <v>0</v>
      </c>
      <c r="F128" s="1248">
        <f t="shared" si="127"/>
        <v>0</v>
      </c>
      <c r="G128" s="1248">
        <f t="shared" si="127"/>
        <v>0</v>
      </c>
      <c r="H128" s="1250">
        <f t="shared" si="127"/>
        <v>0</v>
      </c>
      <c r="I128" s="1251">
        <f>SUM(C128:H128)</f>
        <v>528656020</v>
      </c>
      <c r="J128" s="1252">
        <f>SUM(J155:J156)</f>
        <v>0</v>
      </c>
      <c r="K128" s="1247">
        <f t="shared" ref="K128" si="128">SUM(K155:K156)</f>
        <v>185220546</v>
      </c>
      <c r="L128" s="1253">
        <f>SUM(L155:L156)</f>
        <v>0</v>
      </c>
      <c r="M128" s="1253">
        <f t="shared" ref="M128:O128" si="129">SUM(M155:M156)</f>
        <v>0</v>
      </c>
      <c r="N128" s="1248">
        <f t="shared" si="129"/>
        <v>49133809</v>
      </c>
      <c r="O128" s="1250">
        <f t="shared" si="129"/>
        <v>0</v>
      </c>
      <c r="P128" s="1251">
        <f t="shared" si="118"/>
        <v>234354355</v>
      </c>
      <c r="Q128" s="1247">
        <f t="shared" ref="Q128:R128" si="130">SUM(Q155:Q156)</f>
        <v>3904728055</v>
      </c>
      <c r="R128" s="1254">
        <f t="shared" si="130"/>
        <v>0</v>
      </c>
      <c r="S128" s="1253">
        <f>SUM(S155:S156)</f>
        <v>496158792</v>
      </c>
      <c r="T128" s="1254">
        <f t="shared" ref="T128:W128" si="131">SUM(T155:T156)</f>
        <v>0</v>
      </c>
      <c r="U128" s="1254">
        <f t="shared" si="131"/>
        <v>0</v>
      </c>
      <c r="V128" s="1254">
        <f t="shared" si="131"/>
        <v>0</v>
      </c>
      <c r="W128" s="1254">
        <f t="shared" si="131"/>
        <v>-464500000</v>
      </c>
      <c r="X128" s="1251">
        <f>SUM(Q128:W128)</f>
        <v>3936386847</v>
      </c>
      <c r="Y128" s="1247">
        <f>SUM(Y155:Y156)</f>
        <v>0</v>
      </c>
      <c r="Z128" s="1254">
        <f>SUM(Z155:Z156)</f>
        <v>117702879</v>
      </c>
      <c r="AA128" s="1251">
        <f>SUM(Y128:Z128)</f>
        <v>117702879</v>
      </c>
      <c r="AB128" s="1255">
        <f t="shared" si="120"/>
        <v>4817100101</v>
      </c>
      <c r="AC128" s="1256">
        <f t="shared" si="121"/>
        <v>5232466292</v>
      </c>
    </row>
    <row r="129" spans="2:29" x14ac:dyDescent="0.3">
      <c r="B129" s="1246" t="s">
        <v>1995</v>
      </c>
      <c r="C129" s="1247">
        <f t="shared" ref="C129:H129" si="132">SUM(C146,C163)</f>
        <v>247600399</v>
      </c>
      <c r="D129" s="1248">
        <f t="shared" si="132"/>
        <v>234178426</v>
      </c>
      <c r="E129" s="1249">
        <f t="shared" si="132"/>
        <v>0</v>
      </c>
      <c r="F129" s="1248">
        <f t="shared" si="132"/>
        <v>439236001</v>
      </c>
      <c r="G129" s="1248">
        <f t="shared" si="132"/>
        <v>18376669</v>
      </c>
      <c r="H129" s="1250">
        <f t="shared" si="132"/>
        <v>-512267</v>
      </c>
      <c r="I129" s="1251">
        <f>SUM(C129:H129)</f>
        <v>938879228</v>
      </c>
      <c r="J129" s="1252">
        <f t="shared" ref="J129:O129" si="133">SUM(J146,J163)</f>
        <v>4081924</v>
      </c>
      <c r="K129" s="1247">
        <f t="shared" si="133"/>
        <v>700587209</v>
      </c>
      <c r="L129" s="1253">
        <f t="shared" si="133"/>
        <v>0</v>
      </c>
      <c r="M129" s="1253">
        <f t="shared" si="133"/>
        <v>0</v>
      </c>
      <c r="N129" s="1248">
        <f t="shared" si="133"/>
        <v>247365402</v>
      </c>
      <c r="O129" s="1250">
        <f t="shared" si="133"/>
        <v>20000000</v>
      </c>
      <c r="P129" s="1251">
        <f t="shared" si="118"/>
        <v>967952611</v>
      </c>
      <c r="Q129" s="1247">
        <f t="shared" ref="Q129:W129" si="134">SUM(Q146,Q163)</f>
        <v>2029712124</v>
      </c>
      <c r="R129" s="1254">
        <f t="shared" si="134"/>
        <v>267650</v>
      </c>
      <c r="S129" s="1253">
        <f t="shared" si="134"/>
        <v>325584245</v>
      </c>
      <c r="T129" s="1254">
        <f t="shared" si="134"/>
        <v>3373535755</v>
      </c>
      <c r="U129" s="1254">
        <f t="shared" si="134"/>
        <v>3404026025</v>
      </c>
      <c r="V129" s="1254">
        <f t="shared" si="134"/>
        <v>420694855</v>
      </c>
      <c r="W129" s="1254">
        <f t="shared" si="134"/>
        <v>-50182643</v>
      </c>
      <c r="X129" s="1251">
        <f>SUM(Q129:W129)</f>
        <v>9503638011</v>
      </c>
      <c r="Y129" s="1247">
        <f>SUM(Y146,Y163)</f>
        <v>0</v>
      </c>
      <c r="Z129" s="1254">
        <f>SUM(Z146,Z163)</f>
        <v>1373158163</v>
      </c>
      <c r="AA129" s="1251">
        <f>SUM(Y129:Z129)</f>
        <v>1373158163</v>
      </c>
      <c r="AB129" s="1255">
        <f>SUM(AB146:AB146,AB163)</f>
        <v>12787709937</v>
      </c>
      <c r="AC129" s="1256">
        <f>SUM(AC146:AC146,AC163)</f>
        <v>12131967921</v>
      </c>
    </row>
    <row r="130" spans="2:29" ht="17.25" thickBot="1" x14ac:dyDescent="0.35">
      <c r="B130" s="1257" t="s">
        <v>3696</v>
      </c>
      <c r="C130" s="1258">
        <f t="shared" ref="C130:H130" si="135">SUM(C134,C138:C142,C147:C149,C151:C153,C157:C162,C164:C165)</f>
        <v>655221051.80427468</v>
      </c>
      <c r="D130" s="1259">
        <f t="shared" si="135"/>
        <v>126953067.82956335</v>
      </c>
      <c r="E130" s="1260">
        <f t="shared" si="135"/>
        <v>0</v>
      </c>
      <c r="F130" s="1259">
        <f t="shared" si="135"/>
        <v>890964480.23204339</v>
      </c>
      <c r="G130" s="1259">
        <f t="shared" si="135"/>
        <v>80464518</v>
      </c>
      <c r="H130" s="1261">
        <f t="shared" si="135"/>
        <v>-21896896</v>
      </c>
      <c r="I130" s="1262">
        <f>SUM(C130:H130)</f>
        <v>1731706221.8658814</v>
      </c>
      <c r="J130" s="1263">
        <f t="shared" ref="J130:O130" si="136">SUM(J134,J138:J142,J147:J149,J151:J153,J157:J162,J164:J165)</f>
        <v>5641781.1555909924</v>
      </c>
      <c r="K130" s="1258">
        <f t="shared" si="136"/>
        <v>23652692.747285645</v>
      </c>
      <c r="L130" s="1264">
        <f t="shared" si="136"/>
        <v>0</v>
      </c>
      <c r="M130" s="1264">
        <f t="shared" si="136"/>
        <v>0</v>
      </c>
      <c r="N130" s="1259">
        <f t="shared" si="136"/>
        <v>184343971</v>
      </c>
      <c r="O130" s="1261">
        <f t="shared" si="136"/>
        <v>-22412284</v>
      </c>
      <c r="P130" s="1262">
        <f t="shared" si="118"/>
        <v>185584379.74728563</v>
      </c>
      <c r="Q130" s="1258">
        <f t="shared" ref="Q130:W130" si="137">SUM(Q134,Q138:Q142,Q147:Q149,Q151:Q153,Q157:Q162,Q164:Q165)</f>
        <v>41813879.113202289</v>
      </c>
      <c r="R130" s="1265">
        <f t="shared" si="137"/>
        <v>147257.05186366406</v>
      </c>
      <c r="S130" s="1264">
        <f t="shared" si="137"/>
        <v>8321326.1555909924</v>
      </c>
      <c r="T130" s="1265">
        <f t="shared" si="137"/>
        <v>59120032.478114426</v>
      </c>
      <c r="U130" s="1265">
        <f t="shared" si="137"/>
        <v>17323043.777954325</v>
      </c>
      <c r="V130" s="1265">
        <f t="shared" si="137"/>
        <v>51219805</v>
      </c>
      <c r="W130" s="1265">
        <f t="shared" si="137"/>
        <v>0</v>
      </c>
      <c r="X130" s="1262">
        <f>SUM(Q130:W130)</f>
        <v>177945343.57672569</v>
      </c>
      <c r="Y130" s="1258">
        <f>SUM(Y134,Y138:Y142,Y147:Y149,Y151:Y153,Y157:Y162,Y164:Y165)</f>
        <v>18000</v>
      </c>
      <c r="Z130" s="1265">
        <f>SUM(Z134,Z138:Z142,Z147:Z149,Z151:Z153,Z157:Z162,Z164:Z165)</f>
        <v>729628314.65451622</v>
      </c>
      <c r="AA130" s="1262">
        <f>SUM(Y130:Z130)</f>
        <v>729646314.65451622</v>
      </c>
      <c r="AB130" s="1266">
        <f t="shared" ref="AB130:AB165" si="138">SUM(I130,J130,P130,X130,AA130)</f>
        <v>2830524041</v>
      </c>
      <c r="AC130" s="1267">
        <f t="shared" ref="AC130:AC165" si="139">SUM(C130:F130,J130:M130,Q130:U130,AA130)</f>
        <v>2558804927</v>
      </c>
    </row>
    <row r="131" spans="2:29" ht="17.25" hidden="1" outlineLevel="1" thickTop="1" x14ac:dyDescent="0.25">
      <c r="B131" s="1268" t="s">
        <v>1647</v>
      </c>
      <c r="C131" s="1269">
        <v>449646711</v>
      </c>
      <c r="D131" s="1270">
        <v>504381164</v>
      </c>
      <c r="E131" s="1271">
        <v>0</v>
      </c>
      <c r="F131" s="1270">
        <v>2014625409</v>
      </c>
      <c r="G131" s="1270">
        <v>255028982</v>
      </c>
      <c r="H131" s="1272">
        <v>0</v>
      </c>
      <c r="I131" s="1273">
        <f t="shared" ref="I131:I165" si="140">SUM(C131:H131)</f>
        <v>3223682266</v>
      </c>
      <c r="J131" s="1274">
        <v>395868853</v>
      </c>
      <c r="K131" s="1269">
        <v>969270095</v>
      </c>
      <c r="L131" s="1275">
        <v>0</v>
      </c>
      <c r="M131" s="1275">
        <v>0</v>
      </c>
      <c r="N131" s="1270">
        <v>486706275</v>
      </c>
      <c r="O131" s="1272">
        <v>0</v>
      </c>
      <c r="P131" s="1273">
        <f t="shared" si="118"/>
        <v>1455976370</v>
      </c>
      <c r="Q131" s="1269">
        <v>1839953732</v>
      </c>
      <c r="R131" s="1276">
        <v>265513565</v>
      </c>
      <c r="S131" s="1275">
        <v>428354073</v>
      </c>
      <c r="T131" s="1276">
        <v>2780708202</v>
      </c>
      <c r="U131" s="1276">
        <v>4222186030</v>
      </c>
      <c r="V131" s="1276">
        <v>434049032</v>
      </c>
      <c r="W131" s="1276">
        <v>0</v>
      </c>
      <c r="X131" s="1273">
        <f t="shared" ref="X131:X165" si="141">SUM(Q131:W131)</f>
        <v>9970764634</v>
      </c>
      <c r="Y131" s="1269">
        <v>111867730</v>
      </c>
      <c r="Z131" s="1276">
        <v>2364693191</v>
      </c>
      <c r="AA131" s="1273">
        <f t="shared" ref="AA131:AA165" si="142">SUM(Y131:Z131)</f>
        <v>2476560921</v>
      </c>
      <c r="AB131" s="1277">
        <f t="shared" si="138"/>
        <v>17522853044</v>
      </c>
      <c r="AC131" s="1278">
        <f t="shared" si="139"/>
        <v>16347068755</v>
      </c>
    </row>
    <row r="132" spans="2:29" hidden="1" outlineLevel="1" x14ac:dyDescent="0.25">
      <c r="B132" s="1268" t="s">
        <v>3699</v>
      </c>
      <c r="C132" s="1269">
        <v>0</v>
      </c>
      <c r="D132" s="1270">
        <v>0</v>
      </c>
      <c r="E132" s="1271">
        <v>0</v>
      </c>
      <c r="F132" s="1270">
        <v>1891204278</v>
      </c>
      <c r="G132" s="1270">
        <v>0</v>
      </c>
      <c r="H132" s="1272">
        <v>0</v>
      </c>
      <c r="I132" s="1273">
        <f t="shared" si="140"/>
        <v>1891204278</v>
      </c>
      <c r="J132" s="1274">
        <v>0</v>
      </c>
      <c r="K132" s="1269">
        <v>0</v>
      </c>
      <c r="L132" s="1275">
        <v>0</v>
      </c>
      <c r="M132" s="1275">
        <v>0</v>
      </c>
      <c r="N132" s="1270">
        <v>0</v>
      </c>
      <c r="O132" s="1272">
        <v>0</v>
      </c>
      <c r="P132" s="1273">
        <f t="shared" si="118"/>
        <v>0</v>
      </c>
      <c r="Q132" s="1269">
        <v>0</v>
      </c>
      <c r="R132" s="1276">
        <v>0</v>
      </c>
      <c r="S132" s="1275">
        <v>0</v>
      </c>
      <c r="T132" s="1276">
        <v>0</v>
      </c>
      <c r="U132" s="1276">
        <v>0</v>
      </c>
      <c r="V132" s="1276">
        <v>0</v>
      </c>
      <c r="W132" s="1276">
        <v>0</v>
      </c>
      <c r="X132" s="1273">
        <f t="shared" si="141"/>
        <v>0</v>
      </c>
      <c r="Y132" s="1269">
        <v>0</v>
      </c>
      <c r="Z132" s="1276">
        <v>0</v>
      </c>
      <c r="AA132" s="1273">
        <f t="shared" si="142"/>
        <v>0</v>
      </c>
      <c r="AB132" s="1277">
        <f t="shared" si="138"/>
        <v>1891204278</v>
      </c>
      <c r="AC132" s="1278">
        <f t="shared" si="139"/>
        <v>1891204278</v>
      </c>
    </row>
    <row r="133" spans="2:29" hidden="1" outlineLevel="1" x14ac:dyDescent="0.25">
      <c r="B133" s="1268" t="s">
        <v>1984</v>
      </c>
      <c r="C133" s="1269">
        <v>43727729</v>
      </c>
      <c r="D133" s="1270">
        <v>49985776</v>
      </c>
      <c r="E133" s="1271">
        <v>0</v>
      </c>
      <c r="F133" s="1270">
        <v>373234070</v>
      </c>
      <c r="G133" s="1270">
        <v>0</v>
      </c>
      <c r="H133" s="1272">
        <v>0</v>
      </c>
      <c r="I133" s="1273">
        <f t="shared" si="140"/>
        <v>466947575</v>
      </c>
      <c r="J133" s="1274">
        <v>34330874</v>
      </c>
      <c r="K133" s="1269">
        <v>89285543</v>
      </c>
      <c r="L133" s="1275">
        <v>0</v>
      </c>
      <c r="M133" s="1275">
        <v>0</v>
      </c>
      <c r="N133" s="1270">
        <v>26749081</v>
      </c>
      <c r="O133" s="1272">
        <v>0</v>
      </c>
      <c r="P133" s="1273">
        <f t="shared" si="118"/>
        <v>116034624</v>
      </c>
      <c r="Q133" s="1269">
        <v>170023408</v>
      </c>
      <c r="R133" s="1276">
        <v>24820476</v>
      </c>
      <c r="S133" s="1275">
        <v>41022238</v>
      </c>
      <c r="T133" s="1276">
        <v>273255258</v>
      </c>
      <c r="U133" s="1276">
        <v>405445058</v>
      </c>
      <c r="V133" s="1276">
        <v>26655902</v>
      </c>
      <c r="W133" s="1276">
        <v>0</v>
      </c>
      <c r="X133" s="1273">
        <f t="shared" si="141"/>
        <v>941222340</v>
      </c>
      <c r="Y133" s="1269">
        <v>11111682</v>
      </c>
      <c r="Z133" s="1276">
        <v>224222258</v>
      </c>
      <c r="AA133" s="1273">
        <f t="shared" si="142"/>
        <v>235333940</v>
      </c>
      <c r="AB133" s="1277">
        <f t="shared" si="138"/>
        <v>1793869353</v>
      </c>
      <c r="AC133" s="1278">
        <f t="shared" si="139"/>
        <v>1740464370</v>
      </c>
    </row>
    <row r="134" spans="2:29" hidden="1" outlineLevel="1" x14ac:dyDescent="0.25">
      <c r="B134" s="1279" t="s">
        <v>1987</v>
      </c>
      <c r="C134" s="1280">
        <v>13453043.804274675</v>
      </c>
      <c r="D134" s="1281">
        <v>15129439.829563349</v>
      </c>
      <c r="E134" s="1282">
        <v>0</v>
      </c>
      <c r="F134" s="1281">
        <v>122101509.36616197</v>
      </c>
      <c r="G134" s="1281">
        <v>27595151</v>
      </c>
      <c r="H134" s="1283">
        <v>0</v>
      </c>
      <c r="I134" s="1284">
        <f t="shared" si="140"/>
        <v>178279144</v>
      </c>
      <c r="J134" s="1285">
        <v>-35.844409008044749</v>
      </c>
      <c r="K134" s="1280">
        <v>-1356.2527143536136</v>
      </c>
      <c r="L134" s="1286">
        <v>0</v>
      </c>
      <c r="M134" s="1286">
        <v>0</v>
      </c>
      <c r="N134" s="1281">
        <v>82510178</v>
      </c>
      <c r="O134" s="1283">
        <v>0</v>
      </c>
      <c r="P134" s="1284">
        <f t="shared" si="118"/>
        <v>82508821.747285649</v>
      </c>
      <c r="Q134" s="1280">
        <v>2342.1132022930542</v>
      </c>
      <c r="R134" s="1287">
        <v>-11.948136335937306</v>
      </c>
      <c r="S134" s="1286">
        <v>-35.844409008044749</v>
      </c>
      <c r="T134" s="1287">
        <v>-340.52188557724003</v>
      </c>
      <c r="U134" s="1287">
        <v>-340.52188557747286</v>
      </c>
      <c r="V134" s="1287">
        <v>9341818</v>
      </c>
      <c r="W134" s="1287">
        <v>0</v>
      </c>
      <c r="X134" s="1284">
        <f t="shared" si="141"/>
        <v>9343431.2768857945</v>
      </c>
      <c r="Y134" s="1280">
        <v>0</v>
      </c>
      <c r="Z134" s="1287">
        <v>38638368.820237577</v>
      </c>
      <c r="AA134" s="1284">
        <f t="shared" si="142"/>
        <v>38638368.820237577</v>
      </c>
      <c r="AB134" s="1288">
        <f t="shared" si="138"/>
        <v>308769730</v>
      </c>
      <c r="AC134" s="1289">
        <f t="shared" si="139"/>
        <v>189322583</v>
      </c>
    </row>
    <row r="135" spans="2:29" hidden="1" outlineLevel="1" x14ac:dyDescent="0.25">
      <c r="B135" s="1268" t="s">
        <v>3704</v>
      </c>
      <c r="C135" s="1269">
        <v>34244010</v>
      </c>
      <c r="D135" s="1270">
        <v>46728270</v>
      </c>
      <c r="E135" s="1271">
        <v>0</v>
      </c>
      <c r="F135" s="1270">
        <v>380960090</v>
      </c>
      <c r="G135" s="1270">
        <v>30025088</v>
      </c>
      <c r="H135" s="1272">
        <v>0</v>
      </c>
      <c r="I135" s="1273">
        <f t="shared" si="140"/>
        <v>491957458</v>
      </c>
      <c r="J135" s="1274">
        <v>36395550</v>
      </c>
      <c r="K135" s="1269">
        <v>106324450</v>
      </c>
      <c r="L135" s="1275">
        <v>0</v>
      </c>
      <c r="M135" s="1275">
        <v>0</v>
      </c>
      <c r="N135" s="1270">
        <v>123707701</v>
      </c>
      <c r="O135" s="1272">
        <v>0</v>
      </c>
      <c r="P135" s="1273">
        <f t="shared" si="118"/>
        <v>230032151</v>
      </c>
      <c r="Q135" s="1269">
        <v>146887895</v>
      </c>
      <c r="R135" s="1276">
        <v>30634780</v>
      </c>
      <c r="S135" s="1275">
        <v>33032780</v>
      </c>
      <c r="T135" s="1276">
        <v>264188980</v>
      </c>
      <c r="U135" s="1276">
        <v>370464790</v>
      </c>
      <c r="V135" s="1276">
        <v>5917748</v>
      </c>
      <c r="W135" s="1276">
        <v>0</v>
      </c>
      <c r="X135" s="1273">
        <f t="shared" si="141"/>
        <v>851126973</v>
      </c>
      <c r="Y135" s="1269">
        <v>4651410</v>
      </c>
      <c r="Z135" s="1276">
        <v>202946150</v>
      </c>
      <c r="AA135" s="1273">
        <f t="shared" si="142"/>
        <v>207597560</v>
      </c>
      <c r="AB135" s="1277">
        <f t="shared" si="138"/>
        <v>1817109692</v>
      </c>
      <c r="AC135" s="1278">
        <f t="shared" si="139"/>
        <v>1657459155</v>
      </c>
    </row>
    <row r="136" spans="2:29" hidden="1" outlineLevel="1" x14ac:dyDescent="0.25">
      <c r="B136" s="1268" t="s">
        <v>3706</v>
      </c>
      <c r="C136" s="1269">
        <v>30114793.14858558</v>
      </c>
      <c r="D136" s="1270">
        <v>32393420.653042205</v>
      </c>
      <c r="E136" s="1271">
        <v>0</v>
      </c>
      <c r="F136" s="1270">
        <v>246904401.94635284</v>
      </c>
      <c r="G136" s="1270">
        <v>0</v>
      </c>
      <c r="H136" s="1272">
        <v>0</v>
      </c>
      <c r="I136" s="1273">
        <f t="shared" si="140"/>
        <v>309412615.74798059</v>
      </c>
      <c r="J136" s="1274">
        <v>17920721.592609681</v>
      </c>
      <c r="K136" s="1269">
        <v>54588058.845000103</v>
      </c>
      <c r="L136" s="1275">
        <v>0</v>
      </c>
      <c r="M136" s="1275">
        <v>0</v>
      </c>
      <c r="N136" s="1270">
        <v>0</v>
      </c>
      <c r="O136" s="1272">
        <v>0</v>
      </c>
      <c r="P136" s="1273">
        <f t="shared" si="118"/>
        <v>54588058.845000103</v>
      </c>
      <c r="Q136" s="1269">
        <v>85157038.21711272</v>
      </c>
      <c r="R136" s="1276">
        <v>14001061.340825871</v>
      </c>
      <c r="S136" s="1275">
        <v>18668366.395813994</v>
      </c>
      <c r="T136" s="1276">
        <v>178476781.39593855</v>
      </c>
      <c r="U136" s="1276">
        <v>192983095.38634521</v>
      </c>
      <c r="V136" s="1276">
        <v>0</v>
      </c>
      <c r="W136" s="1276">
        <v>0</v>
      </c>
      <c r="X136" s="1273">
        <f t="shared" si="141"/>
        <v>489286342.73603636</v>
      </c>
      <c r="Y136" s="1269">
        <v>5809524.3100775378</v>
      </c>
      <c r="Z136" s="1276">
        <v>1509382389.7682958</v>
      </c>
      <c r="AA136" s="1273">
        <f t="shared" si="142"/>
        <v>1515191914.0783732</v>
      </c>
      <c r="AB136" s="1277">
        <f t="shared" si="138"/>
        <v>2386399653</v>
      </c>
      <c r="AC136" s="1278">
        <f t="shared" si="139"/>
        <v>2386399653</v>
      </c>
    </row>
    <row r="137" spans="2:29" hidden="1" outlineLevel="1" x14ac:dyDescent="0.25">
      <c r="B137" s="1268" t="s">
        <v>527</v>
      </c>
      <c r="C137" s="1269">
        <v>0</v>
      </c>
      <c r="D137" s="1270">
        <v>0</v>
      </c>
      <c r="E137" s="1271">
        <v>0</v>
      </c>
      <c r="F137" s="1270">
        <v>0</v>
      </c>
      <c r="G137" s="1270">
        <v>0</v>
      </c>
      <c r="H137" s="1272">
        <v>0</v>
      </c>
      <c r="I137" s="1273">
        <f t="shared" si="140"/>
        <v>0</v>
      </c>
      <c r="J137" s="1274">
        <v>0</v>
      </c>
      <c r="K137" s="1269">
        <v>0</v>
      </c>
      <c r="L137" s="1275">
        <v>0</v>
      </c>
      <c r="M137" s="1275">
        <v>0</v>
      </c>
      <c r="N137" s="1270">
        <v>0</v>
      </c>
      <c r="O137" s="1272">
        <v>0</v>
      </c>
      <c r="P137" s="1273">
        <f t="shared" si="118"/>
        <v>0</v>
      </c>
      <c r="Q137" s="1269">
        <v>73363614</v>
      </c>
      <c r="R137" s="1276">
        <v>21568088</v>
      </c>
      <c r="S137" s="1275">
        <v>24978080</v>
      </c>
      <c r="T137" s="1276">
        <v>-11346288</v>
      </c>
      <c r="U137" s="1276">
        <v>197559944</v>
      </c>
      <c r="V137" s="1276">
        <v>0</v>
      </c>
      <c r="W137" s="1276">
        <v>0</v>
      </c>
      <c r="X137" s="1273">
        <f t="shared" si="141"/>
        <v>306123438</v>
      </c>
      <c r="Y137" s="1269">
        <v>0</v>
      </c>
      <c r="Z137" s="1276">
        <v>23599486</v>
      </c>
      <c r="AA137" s="1273">
        <f t="shared" si="142"/>
        <v>23599486</v>
      </c>
      <c r="AB137" s="1277">
        <f t="shared" si="138"/>
        <v>329722924</v>
      </c>
      <c r="AC137" s="1278">
        <f t="shared" si="139"/>
        <v>329722924</v>
      </c>
    </row>
    <row r="138" spans="2:29" hidden="1" outlineLevel="1" x14ac:dyDescent="0.25">
      <c r="B138" s="1268" t="s">
        <v>3199</v>
      </c>
      <c r="C138" s="1269">
        <v>573800</v>
      </c>
      <c r="D138" s="1270">
        <v>211455</v>
      </c>
      <c r="E138" s="1271">
        <v>0</v>
      </c>
      <c r="F138" s="1270">
        <v>1579736</v>
      </c>
      <c r="G138" s="1270">
        <v>0</v>
      </c>
      <c r="H138" s="1272">
        <v>0</v>
      </c>
      <c r="I138" s="1273">
        <f t="shared" si="140"/>
        <v>2364991</v>
      </c>
      <c r="J138" s="1274">
        <v>142000</v>
      </c>
      <c r="K138" s="1269">
        <v>353455</v>
      </c>
      <c r="L138" s="1275">
        <v>0</v>
      </c>
      <c r="M138" s="1275">
        <v>0</v>
      </c>
      <c r="N138" s="1270">
        <v>2594012</v>
      </c>
      <c r="O138" s="1272">
        <v>0</v>
      </c>
      <c r="P138" s="1273">
        <f t="shared" si="118"/>
        <v>2947467</v>
      </c>
      <c r="Q138" s="1269">
        <v>1319206</v>
      </c>
      <c r="R138" s="1276">
        <v>47909</v>
      </c>
      <c r="S138" s="1275">
        <v>122545</v>
      </c>
      <c r="T138" s="1276">
        <v>604038</v>
      </c>
      <c r="U138" s="1276">
        <v>4459885</v>
      </c>
      <c r="V138" s="1276">
        <v>0</v>
      </c>
      <c r="W138" s="1276">
        <v>0</v>
      </c>
      <c r="X138" s="1273">
        <f t="shared" si="141"/>
        <v>6553583</v>
      </c>
      <c r="Y138" s="1269">
        <v>18000</v>
      </c>
      <c r="Z138" s="1276">
        <v>12072819</v>
      </c>
      <c r="AA138" s="1273">
        <f t="shared" si="142"/>
        <v>12090819</v>
      </c>
      <c r="AB138" s="1277">
        <f t="shared" si="138"/>
        <v>24098860</v>
      </c>
      <c r="AC138" s="1278">
        <f t="shared" si="139"/>
        <v>21504848</v>
      </c>
    </row>
    <row r="139" spans="2:29" hidden="1" outlineLevel="1" x14ac:dyDescent="0.25">
      <c r="B139" s="1268" t="s">
        <v>3710</v>
      </c>
      <c r="C139" s="1269">
        <v>0</v>
      </c>
      <c r="D139" s="1270">
        <v>4691629</v>
      </c>
      <c r="E139" s="1271">
        <v>0</v>
      </c>
      <c r="F139" s="1270">
        <v>1197950</v>
      </c>
      <c r="G139" s="1270">
        <v>205629</v>
      </c>
      <c r="H139" s="1272">
        <v>0</v>
      </c>
      <c r="I139" s="1273">
        <f t="shared" si="140"/>
        <v>6095208</v>
      </c>
      <c r="J139" s="1274">
        <v>982620</v>
      </c>
      <c r="K139" s="1269">
        <v>3800000</v>
      </c>
      <c r="L139" s="1275">
        <v>0</v>
      </c>
      <c r="M139" s="1275">
        <v>0</v>
      </c>
      <c r="N139" s="1270">
        <v>693085</v>
      </c>
      <c r="O139" s="1272">
        <v>0</v>
      </c>
      <c r="P139" s="1273">
        <f t="shared" si="118"/>
        <v>4493085</v>
      </c>
      <c r="Q139" s="1269">
        <v>0</v>
      </c>
      <c r="R139" s="1276">
        <v>0</v>
      </c>
      <c r="S139" s="1275">
        <v>0</v>
      </c>
      <c r="T139" s="1276">
        <v>0</v>
      </c>
      <c r="U139" s="1276">
        <v>0</v>
      </c>
      <c r="V139" s="1276">
        <v>294960</v>
      </c>
      <c r="W139" s="1276">
        <v>0</v>
      </c>
      <c r="X139" s="1273">
        <f t="shared" si="141"/>
        <v>294960</v>
      </c>
      <c r="Y139" s="1269">
        <v>0</v>
      </c>
      <c r="Z139" s="1276">
        <v>112084091</v>
      </c>
      <c r="AA139" s="1273">
        <f t="shared" si="142"/>
        <v>112084091</v>
      </c>
      <c r="AB139" s="1277">
        <f t="shared" si="138"/>
        <v>123949964</v>
      </c>
      <c r="AC139" s="1278">
        <f t="shared" si="139"/>
        <v>122756290</v>
      </c>
    </row>
    <row r="140" spans="2:29" hidden="1" outlineLevel="1" x14ac:dyDescent="0.25">
      <c r="B140" s="1268" t="s">
        <v>3711</v>
      </c>
      <c r="C140" s="1269">
        <v>3321835</v>
      </c>
      <c r="D140" s="1270">
        <v>3789777</v>
      </c>
      <c r="E140" s="1271">
        <v>0</v>
      </c>
      <c r="F140" s="1270">
        <v>27667847</v>
      </c>
      <c r="G140" s="1270">
        <v>1173905</v>
      </c>
      <c r="H140" s="1272">
        <v>0</v>
      </c>
      <c r="I140" s="1273">
        <f t="shared" si="140"/>
        <v>35953364</v>
      </c>
      <c r="J140" s="1274">
        <v>0</v>
      </c>
      <c r="K140" s="1269">
        <v>0</v>
      </c>
      <c r="L140" s="1275">
        <v>0</v>
      </c>
      <c r="M140" s="1275">
        <v>0</v>
      </c>
      <c r="N140" s="1270">
        <v>2970684</v>
      </c>
      <c r="O140" s="1272">
        <v>0</v>
      </c>
      <c r="P140" s="1273">
        <f t="shared" si="118"/>
        <v>2970684</v>
      </c>
      <c r="Q140" s="1269">
        <v>0</v>
      </c>
      <c r="R140" s="1276">
        <v>0</v>
      </c>
      <c r="S140" s="1275">
        <v>0</v>
      </c>
      <c r="T140" s="1276">
        <v>0</v>
      </c>
      <c r="U140" s="1276">
        <v>0</v>
      </c>
      <c r="V140" s="1276">
        <v>1772813</v>
      </c>
      <c r="W140" s="1276">
        <v>0</v>
      </c>
      <c r="X140" s="1273">
        <f t="shared" si="141"/>
        <v>1772813</v>
      </c>
      <c r="Y140" s="1269">
        <v>0</v>
      </c>
      <c r="Z140" s="1276">
        <v>7484580</v>
      </c>
      <c r="AA140" s="1273">
        <f t="shared" si="142"/>
        <v>7484580</v>
      </c>
      <c r="AB140" s="1277">
        <f t="shared" si="138"/>
        <v>48181441</v>
      </c>
      <c r="AC140" s="1278">
        <f t="shared" si="139"/>
        <v>42264039</v>
      </c>
    </row>
    <row r="141" spans="2:29" hidden="1" outlineLevel="1" x14ac:dyDescent="0.25">
      <c r="B141" s="1268" t="s">
        <v>3712</v>
      </c>
      <c r="C141" s="1269">
        <v>8863560</v>
      </c>
      <c r="D141" s="1270">
        <v>899840</v>
      </c>
      <c r="E141" s="1271">
        <v>0</v>
      </c>
      <c r="F141" s="1270">
        <v>305100</v>
      </c>
      <c r="G141" s="1270">
        <v>6078364</v>
      </c>
      <c r="H141" s="1272">
        <v>0</v>
      </c>
      <c r="I141" s="1273">
        <f t="shared" si="140"/>
        <v>16146864</v>
      </c>
      <c r="J141" s="1274">
        <v>0</v>
      </c>
      <c r="K141" s="1269">
        <v>0</v>
      </c>
      <c r="L141" s="1275">
        <v>0</v>
      </c>
      <c r="M141" s="1275">
        <v>0</v>
      </c>
      <c r="N141" s="1270">
        <v>0</v>
      </c>
      <c r="O141" s="1272">
        <v>0</v>
      </c>
      <c r="P141" s="1273">
        <f t="shared" si="118"/>
        <v>0</v>
      </c>
      <c r="Q141" s="1269">
        <v>0</v>
      </c>
      <c r="R141" s="1276">
        <v>0</v>
      </c>
      <c r="S141" s="1275">
        <v>0</v>
      </c>
      <c r="T141" s="1276">
        <v>0</v>
      </c>
      <c r="U141" s="1276">
        <v>0</v>
      </c>
      <c r="V141" s="1276">
        <v>13079500</v>
      </c>
      <c r="W141" s="1276">
        <v>0</v>
      </c>
      <c r="X141" s="1273">
        <f t="shared" si="141"/>
        <v>13079500</v>
      </c>
      <c r="Y141" s="1269">
        <v>0</v>
      </c>
      <c r="Z141" s="1276">
        <v>32273319</v>
      </c>
      <c r="AA141" s="1273">
        <f t="shared" si="142"/>
        <v>32273319</v>
      </c>
      <c r="AB141" s="1277">
        <f t="shared" si="138"/>
        <v>61499683</v>
      </c>
      <c r="AC141" s="1278">
        <f t="shared" si="139"/>
        <v>42341819</v>
      </c>
    </row>
    <row r="142" spans="2:29" hidden="1" outlineLevel="1" x14ac:dyDescent="0.25">
      <c r="B142" s="1290" t="s">
        <v>3713</v>
      </c>
      <c r="C142" s="1291">
        <v>0</v>
      </c>
      <c r="D142" s="1292">
        <v>0</v>
      </c>
      <c r="E142" s="1293">
        <v>0</v>
      </c>
      <c r="F142" s="1292">
        <v>0</v>
      </c>
      <c r="G142" s="1292">
        <v>0</v>
      </c>
      <c r="H142" s="1294">
        <v>0</v>
      </c>
      <c r="I142" s="1295">
        <f t="shared" si="140"/>
        <v>0</v>
      </c>
      <c r="J142" s="1296">
        <v>0</v>
      </c>
      <c r="K142" s="1291">
        <v>0</v>
      </c>
      <c r="L142" s="1297">
        <v>0</v>
      </c>
      <c r="M142" s="1297">
        <v>0</v>
      </c>
      <c r="N142" s="1292">
        <v>0</v>
      </c>
      <c r="O142" s="1294">
        <v>0</v>
      </c>
      <c r="P142" s="1295">
        <f t="shared" si="118"/>
        <v>0</v>
      </c>
      <c r="Q142" s="1291">
        <v>0</v>
      </c>
      <c r="R142" s="1298">
        <v>0</v>
      </c>
      <c r="S142" s="1297">
        <v>0</v>
      </c>
      <c r="T142" s="1298">
        <v>0</v>
      </c>
      <c r="U142" s="1298">
        <v>0</v>
      </c>
      <c r="V142" s="1298">
        <v>0</v>
      </c>
      <c r="W142" s="1298">
        <v>0</v>
      </c>
      <c r="X142" s="1295">
        <f t="shared" si="141"/>
        <v>0</v>
      </c>
      <c r="Y142" s="1291">
        <v>0</v>
      </c>
      <c r="Z142" s="1298">
        <v>3908529</v>
      </c>
      <c r="AA142" s="1295">
        <f t="shared" si="142"/>
        <v>3908529</v>
      </c>
      <c r="AB142" s="1299">
        <f t="shared" si="138"/>
        <v>3908529</v>
      </c>
      <c r="AC142" s="1300">
        <f t="shared" si="139"/>
        <v>3908529</v>
      </c>
    </row>
    <row r="143" spans="2:29" hidden="1" outlineLevel="1" x14ac:dyDescent="0.25">
      <c r="B143" s="1279" t="s">
        <v>1989</v>
      </c>
      <c r="C143" s="1280">
        <v>684997327</v>
      </c>
      <c r="D143" s="1281">
        <v>2793837</v>
      </c>
      <c r="E143" s="1282">
        <v>0</v>
      </c>
      <c r="F143" s="1281">
        <v>44497109</v>
      </c>
      <c r="G143" s="1281">
        <v>2104168</v>
      </c>
      <c r="H143" s="1283">
        <v>0</v>
      </c>
      <c r="I143" s="1284">
        <f t="shared" si="140"/>
        <v>734392441</v>
      </c>
      <c r="J143" s="1285">
        <v>0</v>
      </c>
      <c r="K143" s="1280">
        <v>2139291399</v>
      </c>
      <c r="L143" s="1286">
        <v>0</v>
      </c>
      <c r="M143" s="1286">
        <v>0</v>
      </c>
      <c r="N143" s="1281">
        <v>15578634</v>
      </c>
      <c r="O143" s="1283">
        <v>0</v>
      </c>
      <c r="P143" s="1284">
        <f t="shared" si="118"/>
        <v>2154870033</v>
      </c>
      <c r="Q143" s="1280">
        <v>667252141</v>
      </c>
      <c r="R143" s="1287">
        <v>0</v>
      </c>
      <c r="S143" s="1286">
        <v>0</v>
      </c>
      <c r="T143" s="1287">
        <v>3640301</v>
      </c>
      <c r="U143" s="1287">
        <v>91291666</v>
      </c>
      <c r="V143" s="1287">
        <v>247666</v>
      </c>
      <c r="W143" s="1287">
        <v>0</v>
      </c>
      <c r="X143" s="1284">
        <f t="shared" si="141"/>
        <v>762431774</v>
      </c>
      <c r="Y143" s="1280">
        <v>0</v>
      </c>
      <c r="Z143" s="1287">
        <v>223378343</v>
      </c>
      <c r="AA143" s="1284">
        <f t="shared" si="142"/>
        <v>223378343</v>
      </c>
      <c r="AB143" s="1288">
        <f t="shared" si="138"/>
        <v>3875072591</v>
      </c>
      <c r="AC143" s="1289">
        <f t="shared" si="139"/>
        <v>3857142123</v>
      </c>
    </row>
    <row r="144" spans="2:29" hidden="1" outlineLevel="1" x14ac:dyDescent="0.25">
      <c r="B144" s="1268" t="s">
        <v>3714</v>
      </c>
      <c r="C144" s="1269">
        <v>43282417.272826597</v>
      </c>
      <c r="D144" s="1270">
        <v>48804460.517642342</v>
      </c>
      <c r="E144" s="1271">
        <v>0</v>
      </c>
      <c r="F144" s="1270">
        <v>746860816.21528375</v>
      </c>
      <c r="G144" s="1270">
        <v>13213598</v>
      </c>
      <c r="H144" s="1272">
        <v>0</v>
      </c>
      <c r="I144" s="1273">
        <f t="shared" si="140"/>
        <v>852161292.00575268</v>
      </c>
      <c r="J144" s="1274">
        <v>32657096.535770953</v>
      </c>
      <c r="K144" s="1269">
        <v>93273925.14812392</v>
      </c>
      <c r="L144" s="1275">
        <v>0</v>
      </c>
      <c r="M144" s="1275">
        <v>0</v>
      </c>
      <c r="N144" s="1270">
        <v>357952947</v>
      </c>
      <c r="O144" s="1272">
        <v>0</v>
      </c>
      <c r="P144" s="1273">
        <f t="shared" si="118"/>
        <v>451226872.14812392</v>
      </c>
      <c r="Q144" s="1269">
        <v>163212330.51578176</v>
      </c>
      <c r="R144" s="1276">
        <v>13178466.691913312</v>
      </c>
      <c r="S144" s="1275">
        <v>37917607.691428117</v>
      </c>
      <c r="T144" s="1276">
        <v>311215628.5601027</v>
      </c>
      <c r="U144" s="1276">
        <v>313296703.77399236</v>
      </c>
      <c r="V144" s="1276">
        <v>64624584</v>
      </c>
      <c r="W144" s="1276">
        <v>0</v>
      </c>
      <c r="X144" s="1273">
        <f t="shared" si="141"/>
        <v>903445321.23321819</v>
      </c>
      <c r="Y144" s="1269">
        <v>0</v>
      </c>
      <c r="Z144" s="1276">
        <v>433728395.07713425</v>
      </c>
      <c r="AA144" s="1273">
        <f t="shared" si="142"/>
        <v>433728395.07713425</v>
      </c>
      <c r="AB144" s="1277">
        <f t="shared" si="138"/>
        <v>2673218977</v>
      </c>
      <c r="AC144" s="1278">
        <f t="shared" si="139"/>
        <v>2237427848.0000005</v>
      </c>
    </row>
    <row r="145" spans="2:29" hidden="1" outlineLevel="1" x14ac:dyDescent="0.25">
      <c r="B145" s="1290" t="s">
        <v>3715</v>
      </c>
      <c r="C145" s="1291">
        <v>4811827</v>
      </c>
      <c r="D145" s="1292">
        <v>6318609</v>
      </c>
      <c r="E145" s="1293">
        <v>0</v>
      </c>
      <c r="F145" s="1292">
        <v>73625762</v>
      </c>
      <c r="G145" s="1292">
        <v>0</v>
      </c>
      <c r="H145" s="1294">
        <v>0</v>
      </c>
      <c r="I145" s="1295">
        <f t="shared" si="140"/>
        <v>84756198</v>
      </c>
      <c r="J145" s="1296">
        <v>24507989</v>
      </c>
      <c r="K145" s="1291">
        <v>27853427</v>
      </c>
      <c r="L145" s="1297">
        <v>0</v>
      </c>
      <c r="M145" s="1297">
        <v>0</v>
      </c>
      <c r="N145" s="1292">
        <v>8649076</v>
      </c>
      <c r="O145" s="1294">
        <v>0</v>
      </c>
      <c r="P145" s="1295">
        <f t="shared" si="118"/>
        <v>36502503</v>
      </c>
      <c r="Q145" s="1291">
        <v>148244359</v>
      </c>
      <c r="R145" s="1298">
        <v>1231055</v>
      </c>
      <c r="S145" s="1297">
        <v>34924004</v>
      </c>
      <c r="T145" s="1298">
        <v>65815375</v>
      </c>
      <c r="U145" s="1298">
        <v>98603961</v>
      </c>
      <c r="V145" s="1298">
        <v>252272</v>
      </c>
      <c r="W145" s="1298">
        <v>0</v>
      </c>
      <c r="X145" s="1295">
        <f t="shared" si="141"/>
        <v>349071026</v>
      </c>
      <c r="Y145" s="1291">
        <v>587450</v>
      </c>
      <c r="Z145" s="1298">
        <v>282683638</v>
      </c>
      <c r="AA145" s="1295">
        <f t="shared" si="142"/>
        <v>283271088</v>
      </c>
      <c r="AB145" s="1299">
        <f t="shared" si="138"/>
        <v>778108804</v>
      </c>
      <c r="AC145" s="1300">
        <f t="shared" si="139"/>
        <v>769207456</v>
      </c>
    </row>
    <row r="146" spans="2:29" hidden="1" outlineLevel="1" x14ac:dyDescent="0.25">
      <c r="B146" s="1279" t="s">
        <v>3716</v>
      </c>
      <c r="C146" s="1280">
        <v>238606610</v>
      </c>
      <c r="D146" s="1281">
        <v>210043436</v>
      </c>
      <c r="E146" s="1282">
        <v>0</v>
      </c>
      <c r="F146" s="1281">
        <v>439064869</v>
      </c>
      <c r="G146" s="1281">
        <v>18376669</v>
      </c>
      <c r="H146" s="1283">
        <v>-512267</v>
      </c>
      <c r="I146" s="1284">
        <f t="shared" si="140"/>
        <v>905579317</v>
      </c>
      <c r="J146" s="1285">
        <v>4081924</v>
      </c>
      <c r="K146" s="1280">
        <v>673174165</v>
      </c>
      <c r="L146" s="1286">
        <v>0</v>
      </c>
      <c r="M146" s="1286">
        <v>0</v>
      </c>
      <c r="N146" s="1281">
        <v>247365402</v>
      </c>
      <c r="O146" s="1283">
        <v>20000000</v>
      </c>
      <c r="P146" s="1284">
        <f t="shared" si="118"/>
        <v>940539567</v>
      </c>
      <c r="Q146" s="1280">
        <v>197358953</v>
      </c>
      <c r="R146" s="1287">
        <v>267650</v>
      </c>
      <c r="S146" s="1286">
        <v>325584245</v>
      </c>
      <c r="T146" s="1287">
        <v>3373535755</v>
      </c>
      <c r="U146" s="1287">
        <v>3404026025</v>
      </c>
      <c r="V146" s="1287">
        <v>420694855</v>
      </c>
      <c r="W146" s="1287">
        <v>-50182643</v>
      </c>
      <c r="X146" s="1284">
        <f t="shared" si="141"/>
        <v>7671284840</v>
      </c>
      <c r="Y146" s="1280">
        <v>0</v>
      </c>
      <c r="Z146" s="1287">
        <v>1373158163</v>
      </c>
      <c r="AA146" s="1284">
        <f t="shared" si="142"/>
        <v>1373158163</v>
      </c>
      <c r="AB146" s="1288">
        <f t="shared" si="138"/>
        <v>10894643811</v>
      </c>
      <c r="AC146" s="1289">
        <f t="shared" si="139"/>
        <v>10238901795</v>
      </c>
    </row>
    <row r="147" spans="2:29" hidden="1" outlineLevel="1" x14ac:dyDescent="0.25">
      <c r="B147" s="1268" t="s">
        <v>1986</v>
      </c>
      <c r="C147" s="1269">
        <v>765498</v>
      </c>
      <c r="D147" s="1270">
        <v>3502544</v>
      </c>
      <c r="E147" s="1271">
        <v>0</v>
      </c>
      <c r="F147" s="1270">
        <v>41683020</v>
      </c>
      <c r="G147" s="1270">
        <v>14536324</v>
      </c>
      <c r="H147" s="1272">
        <v>0</v>
      </c>
      <c r="I147" s="1273">
        <f t="shared" si="140"/>
        <v>60487386</v>
      </c>
      <c r="J147" s="1274">
        <v>1295140</v>
      </c>
      <c r="K147" s="1269">
        <v>3369861</v>
      </c>
      <c r="L147" s="1275">
        <v>0</v>
      </c>
      <c r="M147" s="1275">
        <v>0</v>
      </c>
      <c r="N147" s="1270">
        <v>22752350</v>
      </c>
      <c r="O147" s="1272">
        <v>0</v>
      </c>
      <c r="P147" s="1273">
        <f t="shared" si="118"/>
        <v>26122211</v>
      </c>
      <c r="Q147" s="1269">
        <v>1486591</v>
      </c>
      <c r="R147" s="1276">
        <v>8400</v>
      </c>
      <c r="S147" s="1275">
        <v>7908470</v>
      </c>
      <c r="T147" s="1276">
        <v>1381300</v>
      </c>
      <c r="U147" s="1276">
        <v>276800</v>
      </c>
      <c r="V147" s="1276">
        <v>1124482</v>
      </c>
      <c r="W147" s="1276">
        <v>0</v>
      </c>
      <c r="X147" s="1273">
        <f t="shared" si="141"/>
        <v>12186043</v>
      </c>
      <c r="Y147" s="1269">
        <v>0</v>
      </c>
      <c r="Z147" s="1276">
        <v>11268265</v>
      </c>
      <c r="AA147" s="1273">
        <f t="shared" si="142"/>
        <v>11268265</v>
      </c>
      <c r="AB147" s="1277">
        <f t="shared" si="138"/>
        <v>111359045</v>
      </c>
      <c r="AC147" s="1278">
        <f t="shared" si="139"/>
        <v>72945889</v>
      </c>
    </row>
    <row r="148" spans="2:29" hidden="1" outlineLevel="1" x14ac:dyDescent="0.25">
      <c r="B148" s="1268" t="s">
        <v>1998</v>
      </c>
      <c r="C148" s="1269">
        <v>194546</v>
      </c>
      <c r="D148" s="1270">
        <v>0</v>
      </c>
      <c r="E148" s="1271">
        <v>0</v>
      </c>
      <c r="F148" s="1270">
        <v>66278000</v>
      </c>
      <c r="G148" s="1270">
        <v>0</v>
      </c>
      <c r="H148" s="1272">
        <v>0</v>
      </c>
      <c r="I148" s="1273">
        <f t="shared" si="140"/>
        <v>66472546</v>
      </c>
      <c r="J148" s="1274">
        <v>0</v>
      </c>
      <c r="K148" s="1269">
        <v>0</v>
      </c>
      <c r="L148" s="1275">
        <v>0</v>
      </c>
      <c r="M148" s="1275">
        <v>0</v>
      </c>
      <c r="N148" s="1270">
        <v>0</v>
      </c>
      <c r="O148" s="1272">
        <v>0</v>
      </c>
      <c r="P148" s="1273">
        <f t="shared" si="118"/>
        <v>0</v>
      </c>
      <c r="Q148" s="1269">
        <v>0</v>
      </c>
      <c r="R148" s="1276">
        <v>0</v>
      </c>
      <c r="S148" s="1275">
        <v>0</v>
      </c>
      <c r="T148" s="1276">
        <v>0</v>
      </c>
      <c r="U148" s="1276">
        <v>0</v>
      </c>
      <c r="V148" s="1276">
        <v>139200</v>
      </c>
      <c r="W148" s="1276">
        <v>0</v>
      </c>
      <c r="X148" s="1273">
        <f t="shared" si="141"/>
        <v>139200</v>
      </c>
      <c r="Y148" s="1269">
        <v>0</v>
      </c>
      <c r="Z148" s="1276">
        <v>196709315</v>
      </c>
      <c r="AA148" s="1273">
        <f t="shared" si="142"/>
        <v>196709315</v>
      </c>
      <c r="AB148" s="1277">
        <f t="shared" si="138"/>
        <v>263321061</v>
      </c>
      <c r="AC148" s="1278">
        <f t="shared" si="139"/>
        <v>263181861</v>
      </c>
    </row>
    <row r="149" spans="2:29" hidden="1" outlineLevel="1" x14ac:dyDescent="0.25">
      <c r="B149" s="1268" t="s">
        <v>2002</v>
      </c>
      <c r="C149" s="1269">
        <v>0</v>
      </c>
      <c r="D149" s="1270">
        <v>0</v>
      </c>
      <c r="E149" s="1271">
        <v>0</v>
      </c>
      <c r="F149" s="1270">
        <v>1361628.8658814321</v>
      </c>
      <c r="G149" s="1270">
        <v>16466978</v>
      </c>
      <c r="H149" s="1272">
        <v>0</v>
      </c>
      <c r="I149" s="1273">
        <f t="shared" si="140"/>
        <v>17828606.865881432</v>
      </c>
      <c r="J149" s="1274">
        <v>172307</v>
      </c>
      <c r="K149" s="1269">
        <v>1468080</v>
      </c>
      <c r="L149" s="1275">
        <v>0</v>
      </c>
      <c r="M149" s="1275">
        <v>0</v>
      </c>
      <c r="N149" s="1270">
        <v>11907231</v>
      </c>
      <c r="O149" s="1272">
        <v>0</v>
      </c>
      <c r="P149" s="1273">
        <f t="shared" si="118"/>
        <v>13375311</v>
      </c>
      <c r="Q149" s="1269">
        <v>715697</v>
      </c>
      <c r="R149" s="1276">
        <v>90960</v>
      </c>
      <c r="S149" s="1275">
        <v>247727</v>
      </c>
      <c r="T149" s="1276">
        <v>2577544</v>
      </c>
      <c r="U149" s="1276">
        <v>4986304.2998399045</v>
      </c>
      <c r="V149" s="1276">
        <v>385300</v>
      </c>
      <c r="W149" s="1276">
        <v>0</v>
      </c>
      <c r="X149" s="1273">
        <f t="shared" si="141"/>
        <v>9003532.2998399045</v>
      </c>
      <c r="Y149" s="1269">
        <v>0</v>
      </c>
      <c r="Z149" s="1276">
        <v>220296123.83427867</v>
      </c>
      <c r="AA149" s="1273">
        <f t="shared" si="142"/>
        <v>220296123.83427867</v>
      </c>
      <c r="AB149" s="1277">
        <f t="shared" si="138"/>
        <v>260675881</v>
      </c>
      <c r="AC149" s="1278">
        <f t="shared" si="139"/>
        <v>231916372</v>
      </c>
    </row>
    <row r="150" spans="2:29" hidden="1" outlineLevel="1" x14ac:dyDescent="0.25">
      <c r="B150" s="1268" t="s">
        <v>3720</v>
      </c>
      <c r="C150" s="1269">
        <v>0</v>
      </c>
      <c r="D150" s="1270">
        <v>560000</v>
      </c>
      <c r="E150" s="1271">
        <v>0</v>
      </c>
      <c r="F150" s="1270">
        <v>1295400</v>
      </c>
      <c r="G150" s="1270">
        <v>0</v>
      </c>
      <c r="H150" s="1272">
        <v>0</v>
      </c>
      <c r="I150" s="1273">
        <f t="shared" si="140"/>
        <v>1855400</v>
      </c>
      <c r="J150" s="1274">
        <v>10630110</v>
      </c>
      <c r="K150" s="1269">
        <v>6169700</v>
      </c>
      <c r="L150" s="1275">
        <v>0</v>
      </c>
      <c r="M150" s="1275">
        <v>0</v>
      </c>
      <c r="N150" s="1270">
        <v>21709088</v>
      </c>
      <c r="O150" s="1272">
        <v>0</v>
      </c>
      <c r="P150" s="1273">
        <f t="shared" si="118"/>
        <v>27878788</v>
      </c>
      <c r="Q150" s="1269">
        <v>4819409</v>
      </c>
      <c r="R150" s="1276">
        <v>0</v>
      </c>
      <c r="S150" s="1275">
        <v>0</v>
      </c>
      <c r="T150" s="1276">
        <v>7227800</v>
      </c>
      <c r="U150" s="1276">
        <v>168000</v>
      </c>
      <c r="V150" s="1276">
        <v>2850977</v>
      </c>
      <c r="W150" s="1276">
        <v>0</v>
      </c>
      <c r="X150" s="1273">
        <f t="shared" si="141"/>
        <v>15066186</v>
      </c>
      <c r="Y150" s="1269">
        <v>0</v>
      </c>
      <c r="Z150" s="1276">
        <v>25260466</v>
      </c>
      <c r="AA150" s="1273">
        <f t="shared" si="142"/>
        <v>25260466</v>
      </c>
      <c r="AB150" s="1277">
        <f t="shared" si="138"/>
        <v>80690950</v>
      </c>
      <c r="AC150" s="1278">
        <f t="shared" si="139"/>
        <v>56130885</v>
      </c>
    </row>
    <row r="151" spans="2:29" hidden="1" outlineLevel="1" x14ac:dyDescent="0.25">
      <c r="B151" s="1268" t="s">
        <v>3721</v>
      </c>
      <c r="C151" s="1269">
        <v>1639816</v>
      </c>
      <c r="D151" s="1270">
        <v>2650</v>
      </c>
      <c r="E151" s="1271">
        <v>0</v>
      </c>
      <c r="F151" s="1270">
        <v>13498325</v>
      </c>
      <c r="G151" s="1270">
        <v>1457894</v>
      </c>
      <c r="H151" s="1272">
        <v>0</v>
      </c>
      <c r="I151" s="1273">
        <f t="shared" si="140"/>
        <v>16598685</v>
      </c>
      <c r="J151" s="1274">
        <v>6500</v>
      </c>
      <c r="K151" s="1269">
        <v>814625</v>
      </c>
      <c r="L151" s="1275">
        <v>0</v>
      </c>
      <c r="M151" s="1275">
        <v>0</v>
      </c>
      <c r="N151" s="1270">
        <v>17028718</v>
      </c>
      <c r="O151" s="1272">
        <v>0</v>
      </c>
      <c r="P151" s="1273">
        <f t="shared" si="118"/>
        <v>17843343</v>
      </c>
      <c r="Q151" s="1269">
        <v>972500</v>
      </c>
      <c r="R151" s="1276">
        <v>0</v>
      </c>
      <c r="S151" s="1275">
        <v>13000</v>
      </c>
      <c r="T151" s="1276">
        <v>51564923</v>
      </c>
      <c r="U151" s="1276">
        <v>6176549</v>
      </c>
      <c r="V151" s="1276">
        <v>24602939</v>
      </c>
      <c r="W151" s="1276">
        <v>0</v>
      </c>
      <c r="X151" s="1273">
        <f t="shared" si="141"/>
        <v>83329911</v>
      </c>
      <c r="Y151" s="1269">
        <v>0</v>
      </c>
      <c r="Z151" s="1276">
        <v>39097837</v>
      </c>
      <c r="AA151" s="1273">
        <f t="shared" si="142"/>
        <v>39097837</v>
      </c>
      <c r="AB151" s="1277">
        <f t="shared" si="138"/>
        <v>156876276</v>
      </c>
      <c r="AC151" s="1278">
        <f t="shared" si="139"/>
        <v>113786725</v>
      </c>
    </row>
    <row r="152" spans="2:29" hidden="1" outlineLevel="1" x14ac:dyDescent="0.25">
      <c r="B152" s="1268" t="s">
        <v>3722</v>
      </c>
      <c r="C152" s="1269">
        <v>0</v>
      </c>
      <c r="D152" s="1270">
        <v>0</v>
      </c>
      <c r="E152" s="1271">
        <v>0</v>
      </c>
      <c r="F152" s="1270">
        <v>1869200</v>
      </c>
      <c r="G152" s="1270">
        <v>0</v>
      </c>
      <c r="H152" s="1272">
        <v>0</v>
      </c>
      <c r="I152" s="1273">
        <f t="shared" si="140"/>
        <v>1869200</v>
      </c>
      <c r="J152" s="1274">
        <v>0</v>
      </c>
      <c r="K152" s="1269">
        <v>84600</v>
      </c>
      <c r="L152" s="1275">
        <v>0</v>
      </c>
      <c r="M152" s="1275">
        <v>0</v>
      </c>
      <c r="N152" s="1270">
        <v>1374402</v>
      </c>
      <c r="O152" s="1272">
        <v>0</v>
      </c>
      <c r="P152" s="1273">
        <f t="shared" si="118"/>
        <v>1459002</v>
      </c>
      <c r="Q152" s="1269">
        <v>124470</v>
      </c>
      <c r="R152" s="1276">
        <v>0</v>
      </c>
      <c r="S152" s="1275">
        <v>0</v>
      </c>
      <c r="T152" s="1276">
        <v>326370</v>
      </c>
      <c r="U152" s="1276">
        <v>1277846</v>
      </c>
      <c r="V152" s="1276">
        <v>137720</v>
      </c>
      <c r="W152" s="1276">
        <v>0</v>
      </c>
      <c r="X152" s="1273">
        <f t="shared" si="141"/>
        <v>1866406</v>
      </c>
      <c r="Y152" s="1269">
        <v>0</v>
      </c>
      <c r="Z152" s="1276">
        <v>139600</v>
      </c>
      <c r="AA152" s="1273">
        <f t="shared" si="142"/>
        <v>139600</v>
      </c>
      <c r="AB152" s="1277">
        <f t="shared" si="138"/>
        <v>5334208</v>
      </c>
      <c r="AC152" s="1278">
        <f t="shared" si="139"/>
        <v>3822086</v>
      </c>
    </row>
    <row r="153" spans="2:29" hidden="1" outlineLevel="1" x14ac:dyDescent="0.25">
      <c r="B153" s="1268" t="s">
        <v>3723</v>
      </c>
      <c r="C153" s="1269">
        <v>50000</v>
      </c>
      <c r="D153" s="1270">
        <v>585000</v>
      </c>
      <c r="E153" s="1271">
        <v>0</v>
      </c>
      <c r="F153" s="1270">
        <v>5720007</v>
      </c>
      <c r="G153" s="1270">
        <v>9469847</v>
      </c>
      <c r="H153" s="1272">
        <v>0</v>
      </c>
      <c r="I153" s="1273">
        <f t="shared" si="140"/>
        <v>15824854</v>
      </c>
      <c r="J153" s="1274">
        <v>3043250</v>
      </c>
      <c r="K153" s="1269">
        <v>1748500</v>
      </c>
      <c r="L153" s="1275">
        <v>0</v>
      </c>
      <c r="M153" s="1275">
        <v>0</v>
      </c>
      <c r="N153" s="1270">
        <v>0</v>
      </c>
      <c r="O153" s="1272">
        <v>0</v>
      </c>
      <c r="P153" s="1273">
        <f t="shared" si="118"/>
        <v>1748500</v>
      </c>
      <c r="Q153" s="1269">
        <v>2000</v>
      </c>
      <c r="R153" s="1276">
        <v>0</v>
      </c>
      <c r="S153" s="1275">
        <v>0</v>
      </c>
      <c r="T153" s="1276">
        <v>0</v>
      </c>
      <c r="U153" s="1276">
        <v>146000</v>
      </c>
      <c r="V153" s="1276">
        <v>0</v>
      </c>
      <c r="W153" s="1276">
        <v>0</v>
      </c>
      <c r="X153" s="1273">
        <f t="shared" si="141"/>
        <v>148000</v>
      </c>
      <c r="Y153" s="1269">
        <v>0</v>
      </c>
      <c r="Z153" s="1276">
        <v>12376595</v>
      </c>
      <c r="AA153" s="1273">
        <f t="shared" si="142"/>
        <v>12376595</v>
      </c>
      <c r="AB153" s="1277">
        <f t="shared" si="138"/>
        <v>33141199</v>
      </c>
      <c r="AC153" s="1278">
        <f t="shared" si="139"/>
        <v>23671352</v>
      </c>
    </row>
    <row r="154" spans="2:29" hidden="1" outlineLevel="1" x14ac:dyDescent="0.25">
      <c r="B154" s="1290" t="s">
        <v>3724</v>
      </c>
      <c r="C154" s="1291">
        <v>0</v>
      </c>
      <c r="D154" s="1292">
        <v>0</v>
      </c>
      <c r="E154" s="1293">
        <v>0</v>
      </c>
      <c r="F154" s="1292">
        <v>101628911</v>
      </c>
      <c r="G154" s="1292">
        <v>601704</v>
      </c>
      <c r="H154" s="1294">
        <v>0</v>
      </c>
      <c r="I154" s="1295">
        <f t="shared" si="140"/>
        <v>102230615</v>
      </c>
      <c r="J154" s="1296">
        <v>27368341</v>
      </c>
      <c r="K154" s="1291">
        <v>0</v>
      </c>
      <c r="L154" s="1297">
        <v>0</v>
      </c>
      <c r="M154" s="1297">
        <v>0</v>
      </c>
      <c r="N154" s="1292">
        <v>95513494</v>
      </c>
      <c r="O154" s="1294">
        <v>0</v>
      </c>
      <c r="P154" s="1295">
        <f t="shared" si="118"/>
        <v>95513494</v>
      </c>
      <c r="Q154" s="1291">
        <v>63995080</v>
      </c>
      <c r="R154" s="1298">
        <v>4358102</v>
      </c>
      <c r="S154" s="1297">
        <v>13846008</v>
      </c>
      <c r="T154" s="1298">
        <v>582595588</v>
      </c>
      <c r="U154" s="1298">
        <v>51539543</v>
      </c>
      <c r="V154" s="1298">
        <v>0</v>
      </c>
      <c r="W154" s="1298">
        <v>0</v>
      </c>
      <c r="X154" s="1295">
        <f t="shared" si="141"/>
        <v>716334321</v>
      </c>
      <c r="Y154" s="1291">
        <v>0</v>
      </c>
      <c r="Z154" s="1298">
        <v>127414193</v>
      </c>
      <c r="AA154" s="1295">
        <f t="shared" si="142"/>
        <v>127414193</v>
      </c>
      <c r="AB154" s="1299">
        <f t="shared" si="138"/>
        <v>1068860964</v>
      </c>
      <c r="AC154" s="1300">
        <f t="shared" si="139"/>
        <v>972745766</v>
      </c>
    </row>
    <row r="155" spans="2:29" hidden="1" outlineLevel="1" x14ac:dyDescent="0.25">
      <c r="B155" s="1268" t="s">
        <v>3725</v>
      </c>
      <c r="C155" s="1269">
        <v>207580597</v>
      </c>
      <c r="D155" s="1270">
        <v>0</v>
      </c>
      <c r="E155" s="1271">
        <v>0</v>
      </c>
      <c r="F155" s="1270">
        <v>0</v>
      </c>
      <c r="G155" s="1270">
        <v>0</v>
      </c>
      <c r="H155" s="1272">
        <v>0</v>
      </c>
      <c r="I155" s="1273">
        <f t="shared" si="140"/>
        <v>207580597</v>
      </c>
      <c r="J155" s="1274">
        <v>0</v>
      </c>
      <c r="K155" s="1269">
        <v>0</v>
      </c>
      <c r="L155" s="1275">
        <v>0</v>
      </c>
      <c r="M155" s="1275">
        <v>0</v>
      </c>
      <c r="N155" s="1270">
        <v>0</v>
      </c>
      <c r="O155" s="1272">
        <v>0</v>
      </c>
      <c r="P155" s="1273">
        <f t="shared" si="118"/>
        <v>0</v>
      </c>
      <c r="Q155" s="1269">
        <v>0</v>
      </c>
      <c r="R155" s="1276">
        <v>0</v>
      </c>
      <c r="S155" s="1275">
        <v>0</v>
      </c>
      <c r="T155" s="1276">
        <v>0</v>
      </c>
      <c r="U155" s="1276">
        <v>0</v>
      </c>
      <c r="V155" s="1276">
        <v>0</v>
      </c>
      <c r="W155" s="1276">
        <v>0</v>
      </c>
      <c r="X155" s="1273">
        <f t="shared" si="141"/>
        <v>0</v>
      </c>
      <c r="Y155" s="1269">
        <v>0</v>
      </c>
      <c r="Z155" s="1276">
        <v>0</v>
      </c>
      <c r="AA155" s="1273">
        <f t="shared" si="142"/>
        <v>0</v>
      </c>
      <c r="AB155" s="1277">
        <f t="shared" si="138"/>
        <v>207580597</v>
      </c>
      <c r="AC155" s="1278">
        <f t="shared" si="139"/>
        <v>207580597</v>
      </c>
    </row>
    <row r="156" spans="2:29" hidden="1" outlineLevel="1" x14ac:dyDescent="0.25">
      <c r="B156" s="1268" t="s">
        <v>1991</v>
      </c>
      <c r="C156" s="1269">
        <v>167211509</v>
      </c>
      <c r="D156" s="1270">
        <v>153863914</v>
      </c>
      <c r="E156" s="1271">
        <v>0</v>
      </c>
      <c r="F156" s="1270">
        <v>0</v>
      </c>
      <c r="G156" s="1270">
        <v>0</v>
      </c>
      <c r="H156" s="1272">
        <v>0</v>
      </c>
      <c r="I156" s="1273">
        <f t="shared" si="140"/>
        <v>321075423</v>
      </c>
      <c r="J156" s="1274">
        <v>0</v>
      </c>
      <c r="K156" s="1269">
        <v>185220546</v>
      </c>
      <c r="L156" s="1275">
        <v>0</v>
      </c>
      <c r="M156" s="1275">
        <v>0</v>
      </c>
      <c r="N156" s="1270">
        <v>49133809</v>
      </c>
      <c r="O156" s="1272">
        <v>0</v>
      </c>
      <c r="P156" s="1273">
        <f t="shared" si="118"/>
        <v>234354355</v>
      </c>
      <c r="Q156" s="1269">
        <v>3904728055</v>
      </c>
      <c r="R156" s="1276">
        <v>0</v>
      </c>
      <c r="S156" s="1275">
        <v>496158792</v>
      </c>
      <c r="T156" s="1276">
        <v>0</v>
      </c>
      <c r="U156" s="1276">
        <v>0</v>
      </c>
      <c r="V156" s="1276">
        <v>0</v>
      </c>
      <c r="W156" s="1276">
        <v>-464500000</v>
      </c>
      <c r="X156" s="1273">
        <f t="shared" si="141"/>
        <v>3936386847</v>
      </c>
      <c r="Y156" s="1269">
        <v>0</v>
      </c>
      <c r="Z156" s="1276">
        <v>117702879</v>
      </c>
      <c r="AA156" s="1273">
        <f t="shared" si="142"/>
        <v>117702879</v>
      </c>
      <c r="AB156" s="1277">
        <f t="shared" si="138"/>
        <v>4609519504</v>
      </c>
      <c r="AC156" s="1278">
        <f t="shared" si="139"/>
        <v>5024885695</v>
      </c>
    </row>
    <row r="157" spans="2:29" hidden="1" outlineLevel="1" x14ac:dyDescent="0.25">
      <c r="B157" s="1290" t="s">
        <v>3727</v>
      </c>
      <c r="C157" s="1291">
        <v>12138631</v>
      </c>
      <c r="D157" s="1292">
        <v>50429503</v>
      </c>
      <c r="E157" s="1293">
        <v>0</v>
      </c>
      <c r="F157" s="1292">
        <v>7268325</v>
      </c>
      <c r="G157" s="1292">
        <v>0</v>
      </c>
      <c r="H157" s="1294">
        <v>-859696</v>
      </c>
      <c r="I157" s="1295">
        <f t="shared" si="140"/>
        <v>68976763</v>
      </c>
      <c r="J157" s="1296">
        <v>0</v>
      </c>
      <c r="K157" s="1291">
        <v>757429</v>
      </c>
      <c r="L157" s="1297">
        <v>0</v>
      </c>
      <c r="M157" s="1297">
        <v>0</v>
      </c>
      <c r="N157" s="1292">
        <v>3982380</v>
      </c>
      <c r="O157" s="1294">
        <v>-1207084</v>
      </c>
      <c r="P157" s="1295">
        <f t="shared" si="118"/>
        <v>3532725</v>
      </c>
      <c r="Q157" s="1291">
        <v>0</v>
      </c>
      <c r="R157" s="1298">
        <v>0</v>
      </c>
      <c r="S157" s="1297">
        <v>0</v>
      </c>
      <c r="T157" s="1298">
        <v>1885108</v>
      </c>
      <c r="U157" s="1298">
        <v>0</v>
      </c>
      <c r="V157" s="1298">
        <v>0</v>
      </c>
      <c r="W157" s="1298">
        <v>0</v>
      </c>
      <c r="X157" s="1295">
        <f t="shared" si="141"/>
        <v>1885108</v>
      </c>
      <c r="Y157" s="1291">
        <v>0</v>
      </c>
      <c r="Z157" s="1298">
        <v>150000</v>
      </c>
      <c r="AA157" s="1295">
        <f t="shared" si="142"/>
        <v>150000</v>
      </c>
      <c r="AB157" s="1299">
        <f t="shared" si="138"/>
        <v>74544596</v>
      </c>
      <c r="AC157" s="1300">
        <f t="shared" si="139"/>
        <v>72628996</v>
      </c>
    </row>
    <row r="158" spans="2:29" hidden="1" outlineLevel="1" x14ac:dyDescent="0.25">
      <c r="B158" s="1279" t="s">
        <v>3729</v>
      </c>
      <c r="C158" s="1280">
        <v>612650480</v>
      </c>
      <c r="D158" s="1281">
        <v>20968875</v>
      </c>
      <c r="E158" s="1282">
        <v>0</v>
      </c>
      <c r="F158" s="1281">
        <v>9111390</v>
      </c>
      <c r="G158" s="1281">
        <v>0</v>
      </c>
      <c r="H158" s="1283">
        <v>-21037200</v>
      </c>
      <c r="I158" s="1284">
        <f t="shared" si="140"/>
        <v>621693545</v>
      </c>
      <c r="J158" s="1285">
        <v>0</v>
      </c>
      <c r="K158" s="1280">
        <v>0</v>
      </c>
      <c r="L158" s="1286">
        <v>0</v>
      </c>
      <c r="M158" s="1286">
        <v>0</v>
      </c>
      <c r="N158" s="1281">
        <v>1848490</v>
      </c>
      <c r="O158" s="1283">
        <v>-21205200</v>
      </c>
      <c r="P158" s="1284">
        <f t="shared" si="118"/>
        <v>-19356710</v>
      </c>
      <c r="Q158" s="1280">
        <v>0</v>
      </c>
      <c r="R158" s="1287">
        <v>0</v>
      </c>
      <c r="S158" s="1286">
        <v>0</v>
      </c>
      <c r="T158" s="1287">
        <v>0</v>
      </c>
      <c r="U158" s="1287">
        <v>0</v>
      </c>
      <c r="V158" s="1287">
        <v>0</v>
      </c>
      <c r="W158" s="1287">
        <v>0</v>
      </c>
      <c r="X158" s="1284">
        <f t="shared" si="141"/>
        <v>0</v>
      </c>
      <c r="Y158" s="1280">
        <v>0</v>
      </c>
      <c r="Z158" s="1287">
        <v>1759198</v>
      </c>
      <c r="AA158" s="1284">
        <f t="shared" si="142"/>
        <v>1759198</v>
      </c>
      <c r="AB158" s="1288">
        <f t="shared" si="138"/>
        <v>604096033</v>
      </c>
      <c r="AC158" s="1289">
        <f t="shared" si="139"/>
        <v>644489943</v>
      </c>
    </row>
    <row r="159" spans="2:29" hidden="1" outlineLevel="1" x14ac:dyDescent="0.25">
      <c r="B159" s="1268" t="s">
        <v>1992</v>
      </c>
      <c r="C159" s="1269">
        <v>22075796</v>
      </c>
      <c r="D159" s="1270">
        <v>15496180</v>
      </c>
      <c r="E159" s="1271">
        <v>0</v>
      </c>
      <c r="F159" s="1270">
        <v>220146735</v>
      </c>
      <c r="G159" s="1270">
        <v>3260176</v>
      </c>
      <c r="H159" s="1272">
        <v>0</v>
      </c>
      <c r="I159" s="1273">
        <f t="shared" si="140"/>
        <v>260978887</v>
      </c>
      <c r="J159" s="1274">
        <v>0</v>
      </c>
      <c r="K159" s="1269">
        <v>1257499</v>
      </c>
      <c r="L159" s="1275">
        <v>0</v>
      </c>
      <c r="M159" s="1275">
        <v>0</v>
      </c>
      <c r="N159" s="1270">
        <v>36682441</v>
      </c>
      <c r="O159" s="1272">
        <v>0</v>
      </c>
      <c r="P159" s="1273">
        <f t="shared" si="118"/>
        <v>37939940</v>
      </c>
      <c r="Q159" s="1269">
        <v>400000</v>
      </c>
      <c r="R159" s="1276">
        <v>0</v>
      </c>
      <c r="S159" s="1275">
        <v>29620</v>
      </c>
      <c r="T159" s="1276">
        <v>781090</v>
      </c>
      <c r="U159" s="1276">
        <v>0</v>
      </c>
      <c r="V159" s="1276">
        <v>341073</v>
      </c>
      <c r="W159" s="1276">
        <v>0</v>
      </c>
      <c r="X159" s="1273">
        <f t="shared" si="141"/>
        <v>1551783</v>
      </c>
      <c r="Y159" s="1269">
        <v>0</v>
      </c>
      <c r="Z159" s="1276">
        <v>35395600</v>
      </c>
      <c r="AA159" s="1273">
        <f t="shared" si="142"/>
        <v>35395600</v>
      </c>
      <c r="AB159" s="1277">
        <f t="shared" si="138"/>
        <v>335866210</v>
      </c>
      <c r="AC159" s="1278">
        <f t="shared" si="139"/>
        <v>295582520</v>
      </c>
    </row>
    <row r="160" spans="2:29" hidden="1" outlineLevel="1" x14ac:dyDescent="0.25">
      <c r="B160" s="1268" t="s">
        <v>3730</v>
      </c>
      <c r="C160" s="1269">
        <v>0</v>
      </c>
      <c r="D160" s="1270">
        <v>0</v>
      </c>
      <c r="E160" s="1271">
        <v>0</v>
      </c>
      <c r="F160" s="1270">
        <v>0</v>
      </c>
      <c r="G160" s="1270">
        <v>0</v>
      </c>
      <c r="H160" s="1272">
        <v>0</v>
      </c>
      <c r="I160" s="1273">
        <f t="shared" si="140"/>
        <v>0</v>
      </c>
      <c r="J160" s="1274">
        <v>0</v>
      </c>
      <c r="K160" s="1269">
        <v>0</v>
      </c>
      <c r="L160" s="1275">
        <v>0</v>
      </c>
      <c r="M160" s="1275">
        <v>0</v>
      </c>
      <c r="N160" s="1270">
        <v>0</v>
      </c>
      <c r="O160" s="1272">
        <v>0</v>
      </c>
      <c r="P160" s="1273">
        <f t="shared" si="118"/>
        <v>0</v>
      </c>
      <c r="Q160" s="1269">
        <v>0</v>
      </c>
      <c r="R160" s="1276">
        <v>0</v>
      </c>
      <c r="S160" s="1275">
        <v>0</v>
      </c>
      <c r="T160" s="1276">
        <v>0</v>
      </c>
      <c r="U160" s="1276">
        <v>0</v>
      </c>
      <c r="V160" s="1276">
        <v>0</v>
      </c>
      <c r="W160" s="1276">
        <v>0</v>
      </c>
      <c r="X160" s="1273">
        <f t="shared" si="141"/>
        <v>0</v>
      </c>
      <c r="Y160" s="1269">
        <v>0</v>
      </c>
      <c r="Z160" s="1276">
        <v>5974074</v>
      </c>
      <c r="AA160" s="1273">
        <f t="shared" si="142"/>
        <v>5974074</v>
      </c>
      <c r="AB160" s="1277">
        <f t="shared" si="138"/>
        <v>5974074</v>
      </c>
      <c r="AC160" s="1278">
        <f t="shared" si="139"/>
        <v>5974074</v>
      </c>
    </row>
    <row r="161" spans="2:29" hidden="1" outlineLevel="1" x14ac:dyDescent="0.25">
      <c r="B161" s="1268" t="s">
        <v>1999</v>
      </c>
      <c r="C161" s="1269">
        <v>128598814</v>
      </c>
      <c r="D161" s="1270">
        <v>35864923</v>
      </c>
      <c r="E161" s="1271">
        <v>0</v>
      </c>
      <c r="F161" s="1270">
        <v>2128960</v>
      </c>
      <c r="G161" s="1270">
        <v>220250</v>
      </c>
      <c r="H161" s="1272">
        <v>0</v>
      </c>
      <c r="I161" s="1273">
        <f t="shared" si="140"/>
        <v>166812947</v>
      </c>
      <c r="J161" s="1274">
        <v>0</v>
      </c>
      <c r="K161" s="1269">
        <v>0</v>
      </c>
      <c r="L161" s="1275">
        <v>0</v>
      </c>
      <c r="M161" s="1275">
        <v>0</v>
      </c>
      <c r="N161" s="1270">
        <v>0</v>
      </c>
      <c r="O161" s="1272">
        <v>0</v>
      </c>
      <c r="P161" s="1273">
        <f t="shared" si="118"/>
        <v>0</v>
      </c>
      <c r="Q161" s="1269">
        <v>0</v>
      </c>
      <c r="R161" s="1276">
        <v>0</v>
      </c>
      <c r="S161" s="1275">
        <v>0</v>
      </c>
      <c r="T161" s="1276">
        <v>0</v>
      </c>
      <c r="U161" s="1276">
        <v>0</v>
      </c>
      <c r="V161" s="1276">
        <v>0</v>
      </c>
      <c r="W161" s="1276">
        <v>0</v>
      </c>
      <c r="X161" s="1273">
        <f t="shared" si="141"/>
        <v>0</v>
      </c>
      <c r="Y161" s="1269">
        <v>0</v>
      </c>
      <c r="Z161" s="1276">
        <v>0</v>
      </c>
      <c r="AA161" s="1273">
        <f t="shared" si="142"/>
        <v>0</v>
      </c>
      <c r="AB161" s="1277">
        <f t="shared" si="138"/>
        <v>166812947</v>
      </c>
      <c r="AC161" s="1278">
        <f t="shared" si="139"/>
        <v>166592697</v>
      </c>
    </row>
    <row r="162" spans="2:29" hidden="1" outlineLevel="1" x14ac:dyDescent="0.25">
      <c r="B162" s="1268" t="s">
        <v>132</v>
      </c>
      <c r="C162" s="1269">
        <v>-289841688</v>
      </c>
      <c r="D162" s="1270">
        <v>-154999334</v>
      </c>
      <c r="E162" s="1271">
        <v>0</v>
      </c>
      <c r="F162" s="1270">
        <v>-2110276</v>
      </c>
      <c r="G162" s="1270">
        <v>0</v>
      </c>
      <c r="H162" s="1272">
        <v>0</v>
      </c>
      <c r="I162" s="1273">
        <f t="shared" si="140"/>
        <v>-446951298</v>
      </c>
      <c r="J162" s="1274">
        <v>0</v>
      </c>
      <c r="K162" s="1269">
        <v>0</v>
      </c>
      <c r="L162" s="1275">
        <v>0</v>
      </c>
      <c r="M162" s="1275">
        <v>0</v>
      </c>
      <c r="N162" s="1270">
        <v>0</v>
      </c>
      <c r="O162" s="1272">
        <v>0</v>
      </c>
      <c r="P162" s="1273">
        <f t="shared" si="118"/>
        <v>0</v>
      </c>
      <c r="Q162" s="1269">
        <v>36788891</v>
      </c>
      <c r="R162" s="1276">
        <v>0</v>
      </c>
      <c r="S162" s="1275">
        <v>0</v>
      </c>
      <c r="T162" s="1276">
        <v>0</v>
      </c>
      <c r="U162" s="1276">
        <v>0</v>
      </c>
      <c r="V162" s="1276">
        <v>0</v>
      </c>
      <c r="W162" s="1276">
        <v>0</v>
      </c>
      <c r="X162" s="1273">
        <f t="shared" si="141"/>
        <v>36788891</v>
      </c>
      <c r="Y162" s="1269">
        <v>0</v>
      </c>
      <c r="Z162" s="1276">
        <v>0</v>
      </c>
      <c r="AA162" s="1273">
        <f t="shared" si="142"/>
        <v>0</v>
      </c>
      <c r="AB162" s="1277">
        <f t="shared" si="138"/>
        <v>-410162407</v>
      </c>
      <c r="AC162" s="1278">
        <f t="shared" si="139"/>
        <v>-410162407</v>
      </c>
    </row>
    <row r="163" spans="2:29" hidden="1" outlineLevel="1" x14ac:dyDescent="0.25">
      <c r="B163" s="1268" t="s">
        <v>3205</v>
      </c>
      <c r="C163" s="1269">
        <v>8993789</v>
      </c>
      <c r="D163" s="1270">
        <v>24134990</v>
      </c>
      <c r="E163" s="1271">
        <v>0</v>
      </c>
      <c r="F163" s="1270">
        <v>171132</v>
      </c>
      <c r="G163" s="1270">
        <v>0</v>
      </c>
      <c r="H163" s="1272">
        <v>0</v>
      </c>
      <c r="I163" s="1273">
        <f t="shared" si="140"/>
        <v>33299911</v>
      </c>
      <c r="J163" s="1274">
        <v>0</v>
      </c>
      <c r="K163" s="1269">
        <v>27413044</v>
      </c>
      <c r="L163" s="1275">
        <v>0</v>
      </c>
      <c r="M163" s="1275">
        <v>0</v>
      </c>
      <c r="N163" s="1270">
        <v>0</v>
      </c>
      <c r="O163" s="1272">
        <v>0</v>
      </c>
      <c r="P163" s="1273">
        <f t="shared" si="118"/>
        <v>27413044</v>
      </c>
      <c r="Q163" s="1269">
        <v>1832353171</v>
      </c>
      <c r="R163" s="1276">
        <v>0</v>
      </c>
      <c r="S163" s="1275">
        <v>0</v>
      </c>
      <c r="T163" s="1276">
        <v>0</v>
      </c>
      <c r="U163" s="1276">
        <v>0</v>
      </c>
      <c r="V163" s="1276">
        <v>0</v>
      </c>
      <c r="W163" s="1276">
        <v>0</v>
      </c>
      <c r="X163" s="1273">
        <f t="shared" si="141"/>
        <v>1832353171</v>
      </c>
      <c r="Y163" s="1269">
        <v>0</v>
      </c>
      <c r="Z163" s="1276">
        <v>0</v>
      </c>
      <c r="AA163" s="1273">
        <f t="shared" si="142"/>
        <v>0</v>
      </c>
      <c r="AB163" s="1277">
        <f t="shared" si="138"/>
        <v>1893066126</v>
      </c>
      <c r="AC163" s="1278">
        <f t="shared" si="139"/>
        <v>1893066126</v>
      </c>
    </row>
    <row r="164" spans="2:29" hidden="1" outlineLevel="1" x14ac:dyDescent="0.25">
      <c r="B164" s="1290" t="s">
        <v>3731</v>
      </c>
      <c r="C164" s="1291">
        <v>14144100</v>
      </c>
      <c r="D164" s="1292">
        <v>30490000</v>
      </c>
      <c r="E164" s="1293">
        <v>0</v>
      </c>
      <c r="F164" s="1292">
        <v>43294736</v>
      </c>
      <c r="G164" s="1292">
        <v>0</v>
      </c>
      <c r="H164" s="1294">
        <v>0</v>
      </c>
      <c r="I164" s="1295">
        <f t="shared" si="140"/>
        <v>87928836</v>
      </c>
      <c r="J164" s="1296">
        <v>0</v>
      </c>
      <c r="K164" s="1291">
        <v>0</v>
      </c>
      <c r="L164" s="1297">
        <v>0</v>
      </c>
      <c r="M164" s="1297">
        <v>0</v>
      </c>
      <c r="N164" s="1292">
        <v>0</v>
      </c>
      <c r="O164" s="1294">
        <v>0</v>
      </c>
      <c r="P164" s="1295">
        <f t="shared" si="118"/>
        <v>0</v>
      </c>
      <c r="Q164" s="1291">
        <v>2182</v>
      </c>
      <c r="R164" s="1298">
        <v>0</v>
      </c>
      <c r="S164" s="1297">
        <v>0</v>
      </c>
      <c r="T164" s="1298">
        <v>0</v>
      </c>
      <c r="U164" s="1298">
        <v>0</v>
      </c>
      <c r="V164" s="1298">
        <v>0</v>
      </c>
      <c r="W164" s="1298">
        <v>0</v>
      </c>
      <c r="X164" s="1295">
        <f t="shared" si="141"/>
        <v>2182</v>
      </c>
      <c r="Y164" s="1291">
        <v>0</v>
      </c>
      <c r="Z164" s="1298">
        <v>0</v>
      </c>
      <c r="AA164" s="1295">
        <f t="shared" si="142"/>
        <v>0</v>
      </c>
      <c r="AB164" s="1299">
        <f t="shared" si="138"/>
        <v>87931018</v>
      </c>
      <c r="AC164" s="1300">
        <f t="shared" si="139"/>
        <v>87931018</v>
      </c>
    </row>
    <row r="165" spans="2:29" hidden="1" outlineLevel="1" x14ac:dyDescent="0.25">
      <c r="B165" s="1301" t="s">
        <v>3732</v>
      </c>
      <c r="C165" s="1302">
        <v>126592820</v>
      </c>
      <c r="D165" s="1303">
        <v>99890586</v>
      </c>
      <c r="E165" s="1304">
        <v>0</v>
      </c>
      <c r="F165" s="1303">
        <v>327862287</v>
      </c>
      <c r="G165" s="1303">
        <v>0</v>
      </c>
      <c r="H165" s="1305">
        <v>0</v>
      </c>
      <c r="I165" s="1306">
        <f t="shared" si="140"/>
        <v>554345693</v>
      </c>
      <c r="J165" s="1307">
        <v>0</v>
      </c>
      <c r="K165" s="1302">
        <v>10000000</v>
      </c>
      <c r="L165" s="1308">
        <v>0</v>
      </c>
      <c r="M165" s="1308">
        <v>0</v>
      </c>
      <c r="N165" s="1303">
        <v>0</v>
      </c>
      <c r="O165" s="1305">
        <v>0</v>
      </c>
      <c r="P165" s="1306">
        <f t="shared" si="118"/>
        <v>10000000</v>
      </c>
      <c r="Q165" s="1302">
        <v>0</v>
      </c>
      <c r="R165" s="1309">
        <v>0</v>
      </c>
      <c r="S165" s="1308">
        <v>0</v>
      </c>
      <c r="T165" s="1309">
        <v>0</v>
      </c>
      <c r="U165" s="1309">
        <v>0</v>
      </c>
      <c r="V165" s="1309">
        <v>0</v>
      </c>
      <c r="W165" s="1309">
        <v>0</v>
      </c>
      <c r="X165" s="1306">
        <f t="shared" si="141"/>
        <v>0</v>
      </c>
      <c r="Y165" s="1302">
        <v>0</v>
      </c>
      <c r="Z165" s="1309">
        <v>0</v>
      </c>
      <c r="AA165" s="1306">
        <f t="shared" si="142"/>
        <v>0</v>
      </c>
      <c r="AB165" s="1310">
        <f t="shared" si="138"/>
        <v>564345693</v>
      </c>
      <c r="AC165" s="1311">
        <f t="shared" si="139"/>
        <v>564345693</v>
      </c>
    </row>
    <row r="166" spans="2:29" ht="17.25" collapsed="1" thickTop="1" x14ac:dyDescent="0.3">
      <c r="B166" s="1191" t="s">
        <v>3764</v>
      </c>
      <c r="C166" s="1192">
        <f t="shared" ref="C166:AC166" si="143">C123-C125</f>
        <v>3832861072.8685212</v>
      </c>
      <c r="D166" s="1193">
        <f t="shared" si="143"/>
        <v>2072209245.7571754</v>
      </c>
      <c r="E166" s="1194">
        <f t="shared" si="143"/>
        <v>2183579147</v>
      </c>
      <c r="F166" s="1193">
        <f t="shared" si="143"/>
        <v>-7205036728.3936796</v>
      </c>
      <c r="G166" s="1193">
        <f t="shared" si="143"/>
        <v>-311883273</v>
      </c>
      <c r="H166" s="1195">
        <f t="shared" si="143"/>
        <v>-21205200</v>
      </c>
      <c r="I166" s="1196">
        <f t="shared" si="143"/>
        <v>550524264.23201752</v>
      </c>
      <c r="J166" s="1197">
        <f t="shared" si="143"/>
        <v>512771746.71602833</v>
      </c>
      <c r="K166" s="1192">
        <f t="shared" si="143"/>
        <v>-510320921.74040985</v>
      </c>
      <c r="L166" s="1198">
        <f t="shared" si="143"/>
        <v>9044045052</v>
      </c>
      <c r="M166" s="1198">
        <f t="shared" si="143"/>
        <v>597193696.14836884</v>
      </c>
      <c r="N166" s="1193">
        <f t="shared" si="143"/>
        <v>-526045446</v>
      </c>
      <c r="O166" s="1195">
        <f t="shared" si="143"/>
        <v>-19853315</v>
      </c>
      <c r="P166" s="1196">
        <f t="shared" si="143"/>
        <v>8585019065.407959</v>
      </c>
      <c r="Q166" s="1192">
        <f t="shared" si="143"/>
        <v>19908559949.1539</v>
      </c>
      <c r="R166" s="1199">
        <f t="shared" si="143"/>
        <v>2571773498.9153972</v>
      </c>
      <c r="S166" s="1198">
        <f t="shared" si="143"/>
        <v>-1455844221.2428331</v>
      </c>
      <c r="T166" s="1199">
        <f t="shared" si="143"/>
        <v>-7888433413.4341555</v>
      </c>
      <c r="U166" s="1199">
        <f t="shared" si="143"/>
        <v>-9364887859.9382915</v>
      </c>
      <c r="V166" s="1199">
        <f t="shared" si="143"/>
        <v>-989908306</v>
      </c>
      <c r="W166" s="1199">
        <f t="shared" si="143"/>
        <v>190777778</v>
      </c>
      <c r="X166" s="1196">
        <f t="shared" si="143"/>
        <v>2972037425.4540215</v>
      </c>
      <c r="Y166" s="1192">
        <f t="shared" si="143"/>
        <v>-134045796.31007753</v>
      </c>
      <c r="Z166" s="1199">
        <f t="shared" si="143"/>
        <v>-7637797866.4999456</v>
      </c>
      <c r="AA166" s="1196">
        <f t="shared" si="143"/>
        <v>-7771843662.8100233</v>
      </c>
      <c r="AB166" s="1312">
        <f t="shared" si="143"/>
        <v>4848508839</v>
      </c>
      <c r="AC166" s="1313">
        <f t="shared" si="143"/>
        <v>6526626601</v>
      </c>
    </row>
    <row r="167" spans="2:29" x14ac:dyDescent="0.3">
      <c r="B167" s="1314" t="s">
        <v>3765</v>
      </c>
      <c r="C167" s="1315">
        <f t="shared" ref="C167:AC167" si="144">IFERROR(C166/C121,0)</f>
        <v>0.21067169162506094</v>
      </c>
      <c r="D167" s="1316">
        <f t="shared" si="144"/>
        <v>0.11898995046404887</v>
      </c>
      <c r="E167" s="1317">
        <f t="shared" si="144"/>
        <v>0.24489635249120728</v>
      </c>
      <c r="F167" s="1316">
        <f t="shared" si="144"/>
        <v>0</v>
      </c>
      <c r="G167" s="1316">
        <f t="shared" si="144"/>
        <v>-1.2194571734149724</v>
      </c>
      <c r="H167" s="1318">
        <f t="shared" si="144"/>
        <v>0.46974410208669193</v>
      </c>
      <c r="I167" s="1319">
        <f t="shared" si="144"/>
        <v>1.2306212721694359E-2</v>
      </c>
      <c r="J167" s="1320">
        <f t="shared" si="144"/>
        <v>5.8240919824705965E-2</v>
      </c>
      <c r="K167" s="1315">
        <f t="shared" si="144"/>
        <v>-1.2595715138447847E-2</v>
      </c>
      <c r="L167" s="1321">
        <f t="shared" si="144"/>
        <v>0.71607745107354348</v>
      </c>
      <c r="M167" s="1321">
        <f t="shared" si="144"/>
        <v>0.16926134893296696</v>
      </c>
      <c r="N167" s="1316">
        <f t="shared" si="144"/>
        <v>-0.12475776163518081</v>
      </c>
      <c r="O167" s="1318">
        <f t="shared" si="144"/>
        <v>0.14575122002766916</v>
      </c>
      <c r="P167" s="1319">
        <f t="shared" si="144"/>
        <v>0.14130793901183394</v>
      </c>
      <c r="Q167" s="1315">
        <f t="shared" si="144"/>
        <v>0.15718196271379262</v>
      </c>
      <c r="R167" s="1322">
        <f t="shared" si="144"/>
        <v>0.87252883259996361</v>
      </c>
      <c r="S167" s="1321">
        <f t="shared" si="144"/>
        <v>-209.07392045678824</v>
      </c>
      <c r="T167" s="1322">
        <f t="shared" si="144"/>
        <v>0</v>
      </c>
      <c r="U167" s="1322">
        <f t="shared" si="144"/>
        <v>0</v>
      </c>
      <c r="V167" s="1322">
        <f t="shared" si="144"/>
        <v>-1.1531682577717504</v>
      </c>
      <c r="W167" s="1322">
        <f t="shared" si="144"/>
        <v>-0.33080660417178898</v>
      </c>
      <c r="X167" s="1319">
        <f t="shared" si="144"/>
        <v>2.2880219633600575E-2</v>
      </c>
      <c r="Y167" s="1315">
        <f t="shared" si="144"/>
        <v>0</v>
      </c>
      <c r="Z167" s="1322">
        <f t="shared" si="144"/>
        <v>0</v>
      </c>
      <c r="AA167" s="1319">
        <f t="shared" si="144"/>
        <v>0</v>
      </c>
      <c r="AB167" s="1323">
        <f t="shared" si="144"/>
        <v>1.9855536437640112E-2</v>
      </c>
      <c r="AC167" s="1324">
        <f t="shared" si="144"/>
        <v>2.723778878246208E-2</v>
      </c>
    </row>
    <row r="168" spans="2:29" x14ac:dyDescent="0.3">
      <c r="B168" s="1325" t="s">
        <v>3766</v>
      </c>
      <c r="C168" s="1326">
        <f t="shared" ref="C168:H168" si="145">SUM(C169:C171)</f>
        <v>569274930.67903304</v>
      </c>
      <c r="D168" s="1327">
        <f t="shared" si="145"/>
        <v>559342322.82749164</v>
      </c>
      <c r="E168" s="1328">
        <f t="shared" si="145"/>
        <v>254279301.73915246</v>
      </c>
      <c r="F168" s="1327">
        <f t="shared" si="145"/>
        <v>158119352.19103038</v>
      </c>
      <c r="G168" s="1327">
        <f t="shared" si="145"/>
        <v>0</v>
      </c>
      <c r="H168" s="1329">
        <f t="shared" si="145"/>
        <v>0</v>
      </c>
      <c r="I168" s="1330">
        <f t="shared" ref="I168:I171" si="146">SUM(C168:H168)</f>
        <v>1541015907.4367075</v>
      </c>
      <c r="J168" s="1331">
        <f t="shared" ref="J168:O168" si="147">SUM(J169:J171)</f>
        <v>274834422.06717896</v>
      </c>
      <c r="K168" s="1326">
        <f t="shared" si="147"/>
        <v>1162496499.2259951</v>
      </c>
      <c r="L168" s="1332">
        <f t="shared" si="147"/>
        <v>324709045.8087002</v>
      </c>
      <c r="M168" s="1332">
        <f t="shared" si="147"/>
        <v>167075745.73272949</v>
      </c>
      <c r="N168" s="1327">
        <f t="shared" si="147"/>
        <v>0</v>
      </c>
      <c r="O168" s="1329">
        <f t="shared" si="147"/>
        <v>0</v>
      </c>
      <c r="P168" s="1330">
        <f>SUM(K168:O168)</f>
        <v>1654281290.7674246</v>
      </c>
      <c r="Q168" s="1326">
        <f t="shared" ref="Q168:R168" si="148">SUM(Q169:Q171)</f>
        <v>3900087933.8340507</v>
      </c>
      <c r="R168" s="1333">
        <f t="shared" si="148"/>
        <v>103061770.99073783</v>
      </c>
      <c r="S168" s="1332">
        <f>SUM(S169:S171)</f>
        <v>17798549.976358507</v>
      </c>
      <c r="T168" s="1333">
        <f t="shared" ref="T168:W168" si="149">SUM(T169:T171)</f>
        <v>105230718.94578458</v>
      </c>
      <c r="U168" s="1333">
        <f t="shared" si="149"/>
        <v>175533068.79178053</v>
      </c>
      <c r="V168" s="1333">
        <f t="shared" si="149"/>
        <v>0</v>
      </c>
      <c r="W168" s="1333">
        <f t="shared" si="149"/>
        <v>0</v>
      </c>
      <c r="X168" s="1330">
        <f>SUM(Q168:W168)</f>
        <v>4301712042.5387125</v>
      </c>
      <c r="Y168" s="1326">
        <f>SUM(Y169:Y171)</f>
        <v>-134045796.31007755</v>
      </c>
      <c r="Z168" s="1333">
        <f>SUM(Z169:Z171)</f>
        <v>-7637797866.4999466</v>
      </c>
      <c r="AA168" s="1330">
        <f t="shared" ref="AA168:AA171" si="150">SUM(Y168:Z168)</f>
        <v>-7771843662.8100243</v>
      </c>
      <c r="AB168" s="1334">
        <f>SUM(AB169:AB171)</f>
        <v>0</v>
      </c>
      <c r="AC168" s="1335">
        <f>SUM(C168:F168,J168:M168,Q168:U168,AA168)</f>
        <v>0</v>
      </c>
    </row>
    <row r="169" spans="2:29" hidden="1" outlineLevel="1" x14ac:dyDescent="0.3">
      <c r="B169" s="1336" t="s">
        <v>3767</v>
      </c>
      <c r="C169" s="1337">
        <v>569274930.67903304</v>
      </c>
      <c r="D169" s="1338">
        <v>559342322.82749164</v>
      </c>
      <c r="E169" s="1339">
        <v>254279301.73915246</v>
      </c>
      <c r="F169" s="1338">
        <v>158119352.19103038</v>
      </c>
      <c r="G169" s="1338">
        <v>0</v>
      </c>
      <c r="H169" s="1340">
        <v>0</v>
      </c>
      <c r="I169" s="1341">
        <f t="shared" si="146"/>
        <v>1541015907.4367075</v>
      </c>
      <c r="J169" s="1342">
        <v>274834422.06717896</v>
      </c>
      <c r="K169" s="1337">
        <v>1162496499.2259951</v>
      </c>
      <c r="L169" s="1343">
        <v>324709045.8087002</v>
      </c>
      <c r="M169" s="1343">
        <v>167075745.73272949</v>
      </c>
      <c r="N169" s="1338">
        <v>0</v>
      </c>
      <c r="O169" s="1340">
        <v>0</v>
      </c>
      <c r="P169" s="1341">
        <f>SUM(K169:O169)</f>
        <v>1654281290.7674246</v>
      </c>
      <c r="Q169" s="1337">
        <v>3900087933.8340507</v>
      </c>
      <c r="R169" s="1344">
        <v>103061770.99073783</v>
      </c>
      <c r="S169" s="1343">
        <v>17798549.976358507</v>
      </c>
      <c r="T169" s="1344">
        <v>105230718.94578458</v>
      </c>
      <c r="U169" s="1344">
        <v>175533068.79178053</v>
      </c>
      <c r="V169" s="1344">
        <v>0</v>
      </c>
      <c r="W169" s="1344">
        <v>0</v>
      </c>
      <c r="X169" s="1341">
        <f>SUM(Q169:W169)</f>
        <v>4301712042.5387125</v>
      </c>
      <c r="Y169" s="1337">
        <v>-134045796.31007755</v>
      </c>
      <c r="Z169" s="1344">
        <v>-7637797866.4999466</v>
      </c>
      <c r="AA169" s="1341">
        <f t="shared" si="150"/>
        <v>-7771843662.8100243</v>
      </c>
      <c r="AB169" s="1345">
        <f>SUM(AB233,AB295,AB359)</f>
        <v>0</v>
      </c>
      <c r="AC169" s="1346">
        <f>SUM(C169:F169,J169:M169,Q169:U169,AA169)</f>
        <v>0</v>
      </c>
    </row>
    <row r="170" spans="2:29" hidden="1" outlineLevel="1" x14ac:dyDescent="0.3">
      <c r="B170" s="1336" t="s">
        <v>3768</v>
      </c>
      <c r="C170" s="1337">
        <v>0</v>
      </c>
      <c r="D170" s="1338">
        <v>0</v>
      </c>
      <c r="E170" s="1339">
        <v>0</v>
      </c>
      <c r="F170" s="1338">
        <v>0</v>
      </c>
      <c r="G170" s="1338">
        <v>0</v>
      </c>
      <c r="H170" s="1340">
        <v>0</v>
      </c>
      <c r="I170" s="1341">
        <f t="shared" si="146"/>
        <v>0</v>
      </c>
      <c r="J170" s="1342">
        <v>0</v>
      </c>
      <c r="K170" s="1337">
        <v>0</v>
      </c>
      <c r="L170" s="1343">
        <v>0</v>
      </c>
      <c r="M170" s="1343">
        <v>0</v>
      </c>
      <c r="N170" s="1338">
        <v>0</v>
      </c>
      <c r="O170" s="1340">
        <v>0</v>
      </c>
      <c r="P170" s="1341">
        <f>SUM(K170:O170)</f>
        <v>0</v>
      </c>
      <c r="Q170" s="1337">
        <v>0</v>
      </c>
      <c r="R170" s="1344">
        <v>0</v>
      </c>
      <c r="S170" s="1343">
        <v>0</v>
      </c>
      <c r="T170" s="1344">
        <v>0</v>
      </c>
      <c r="U170" s="1344">
        <v>0</v>
      </c>
      <c r="V170" s="1344">
        <v>0</v>
      </c>
      <c r="W170" s="1344">
        <v>0</v>
      </c>
      <c r="X170" s="1341">
        <f>SUM(Q170:W170)</f>
        <v>0</v>
      </c>
      <c r="Y170" s="1337">
        <v>0</v>
      </c>
      <c r="Z170" s="1344">
        <v>0</v>
      </c>
      <c r="AA170" s="1341">
        <f t="shared" si="150"/>
        <v>0</v>
      </c>
      <c r="AB170" s="1345">
        <f>SUM(AB234,AB296,AB360)</f>
        <v>0</v>
      </c>
      <c r="AC170" s="1346">
        <f>SUM(C170:F170,J170:M170,Q170:U170,AA170)</f>
        <v>0</v>
      </c>
    </row>
    <row r="171" spans="2:29" hidden="1" outlineLevel="1" x14ac:dyDescent="0.3">
      <c r="B171" s="1347"/>
      <c r="C171" s="1348">
        <v>0</v>
      </c>
      <c r="D171" s="1349">
        <v>0</v>
      </c>
      <c r="E171" s="1350">
        <v>0</v>
      </c>
      <c r="F171" s="1349">
        <v>0</v>
      </c>
      <c r="G171" s="1349">
        <v>0</v>
      </c>
      <c r="H171" s="1351">
        <v>0</v>
      </c>
      <c r="I171" s="1352">
        <f t="shared" si="146"/>
        <v>0</v>
      </c>
      <c r="J171" s="1353">
        <v>0</v>
      </c>
      <c r="K171" s="1348">
        <v>0</v>
      </c>
      <c r="L171" s="1354">
        <v>0</v>
      </c>
      <c r="M171" s="1354">
        <v>0</v>
      </c>
      <c r="N171" s="1349">
        <v>0</v>
      </c>
      <c r="O171" s="1351">
        <v>0</v>
      </c>
      <c r="P171" s="1352">
        <f>SUM(K171:O171)</f>
        <v>0</v>
      </c>
      <c r="Q171" s="1348">
        <v>0</v>
      </c>
      <c r="R171" s="1355">
        <v>0</v>
      </c>
      <c r="S171" s="1354">
        <v>0</v>
      </c>
      <c r="T171" s="1355">
        <v>0</v>
      </c>
      <c r="U171" s="1355">
        <v>0</v>
      </c>
      <c r="V171" s="1355">
        <v>0</v>
      </c>
      <c r="W171" s="1355">
        <v>0</v>
      </c>
      <c r="X171" s="1352">
        <f>SUM(Q171:W171)</f>
        <v>0</v>
      </c>
      <c r="Y171" s="1348">
        <v>0</v>
      </c>
      <c r="Z171" s="1355">
        <v>0</v>
      </c>
      <c r="AA171" s="1352">
        <f t="shared" si="150"/>
        <v>0</v>
      </c>
      <c r="AB171" s="1356">
        <f>SUM(AB235,AB297,AB361)</f>
        <v>0</v>
      </c>
      <c r="AC171" s="1357">
        <f>SUM(C171:F171,J171:M171,Q171:U171,AA171)</f>
        <v>0</v>
      </c>
    </row>
    <row r="172" spans="2:29" collapsed="1" x14ac:dyDescent="0.3">
      <c r="B172" s="1191" t="s">
        <v>3769</v>
      </c>
      <c r="C172" s="1192">
        <f t="shared" ref="C172:K172" si="151">C166-C168</f>
        <v>3263586142.1894884</v>
      </c>
      <c r="D172" s="1193">
        <f t="shared" si="151"/>
        <v>1512866922.9296837</v>
      </c>
      <c r="E172" s="1194">
        <f t="shared" si="151"/>
        <v>1929299845.2608476</v>
      </c>
      <c r="F172" s="1193">
        <f t="shared" si="151"/>
        <v>-7363156080.5847101</v>
      </c>
      <c r="G172" s="1193">
        <f t="shared" si="151"/>
        <v>-311883273</v>
      </c>
      <c r="H172" s="1195">
        <f t="shared" si="151"/>
        <v>-21205200</v>
      </c>
      <c r="I172" s="1196">
        <f t="shared" si="151"/>
        <v>-990491643.20468998</v>
      </c>
      <c r="J172" s="1197">
        <f t="shared" si="151"/>
        <v>237937324.64884937</v>
      </c>
      <c r="K172" s="1192">
        <f t="shared" si="151"/>
        <v>-1672817420.9664049</v>
      </c>
      <c r="L172" s="1198">
        <f>L166-L168</f>
        <v>8719336006.1912994</v>
      </c>
      <c r="M172" s="1198">
        <f t="shared" ref="M172:Q172" si="152">M166-M168</f>
        <v>430117950.41563934</v>
      </c>
      <c r="N172" s="1193">
        <f t="shared" si="152"/>
        <v>-526045446</v>
      </c>
      <c r="O172" s="1195">
        <f t="shared" si="152"/>
        <v>-19853315</v>
      </c>
      <c r="P172" s="1196">
        <f t="shared" si="152"/>
        <v>6930737774.6405344</v>
      </c>
      <c r="Q172" s="1192">
        <f t="shared" si="152"/>
        <v>16008472015.319849</v>
      </c>
      <c r="R172" s="1199">
        <f>R166-R168</f>
        <v>2468711727.9246593</v>
      </c>
      <c r="S172" s="1198">
        <f>S166-S168</f>
        <v>-1473642771.2191916</v>
      </c>
      <c r="T172" s="1199">
        <f t="shared" ref="T172:U172" si="153">T166-T168</f>
        <v>-7993664132.37994</v>
      </c>
      <c r="U172" s="1199">
        <f t="shared" si="153"/>
        <v>-9540420928.730072</v>
      </c>
      <c r="V172" s="1199">
        <f>V166-V168</f>
        <v>-989908306</v>
      </c>
      <c r="W172" s="1199">
        <f>W166-W168</f>
        <v>190777778</v>
      </c>
      <c r="X172" s="1196">
        <f>X166-X168</f>
        <v>-1329674617.084691</v>
      </c>
      <c r="Y172" s="1192">
        <f t="shared" ref="Y172:AC172" si="154">Y166-Y168</f>
        <v>0</v>
      </c>
      <c r="Z172" s="1199">
        <f t="shared" si="154"/>
        <v>0</v>
      </c>
      <c r="AA172" s="1196">
        <f t="shared" si="154"/>
        <v>0</v>
      </c>
      <c r="AB172" s="1312">
        <f t="shared" si="154"/>
        <v>4848508839</v>
      </c>
      <c r="AC172" s="1313">
        <f t="shared" si="154"/>
        <v>6526626601</v>
      </c>
    </row>
    <row r="173" spans="2:29" x14ac:dyDescent="0.3">
      <c r="B173" s="1314" t="s">
        <v>3770</v>
      </c>
      <c r="C173" s="1315">
        <f t="shared" ref="C173:AC173" si="155">IFERROR(C172/C121,0)</f>
        <v>0.179381720408824</v>
      </c>
      <c r="D173" s="1316">
        <f t="shared" si="155"/>
        <v>8.6871516757625555E-2</v>
      </c>
      <c r="E173" s="1317">
        <f t="shared" si="155"/>
        <v>0.21637800288364459</v>
      </c>
      <c r="F173" s="1316">
        <f t="shared" si="155"/>
        <v>0</v>
      </c>
      <c r="G173" s="1316">
        <f t="shared" si="155"/>
        <v>-1.2194571734149724</v>
      </c>
      <c r="H173" s="1318">
        <f t="shared" si="155"/>
        <v>0.46974410208669193</v>
      </c>
      <c r="I173" s="1319">
        <f t="shared" si="155"/>
        <v>-2.2141078336195528E-2</v>
      </c>
      <c r="J173" s="1320">
        <f t="shared" si="155"/>
        <v>2.7025062782667357E-2</v>
      </c>
      <c r="K173" s="1315">
        <f t="shared" si="155"/>
        <v>-4.1288394842341758E-2</v>
      </c>
      <c r="L173" s="1321">
        <f t="shared" si="155"/>
        <v>0.69036806721639443</v>
      </c>
      <c r="M173" s="1321">
        <f t="shared" si="155"/>
        <v>0.12190742293024281</v>
      </c>
      <c r="N173" s="1316">
        <f t="shared" si="155"/>
        <v>-0.12475776163518081</v>
      </c>
      <c r="O173" s="1318">
        <f t="shared" si="155"/>
        <v>0.14575122002766916</v>
      </c>
      <c r="P173" s="1319">
        <f t="shared" si="155"/>
        <v>0.11407875315177053</v>
      </c>
      <c r="Q173" s="1315">
        <f t="shared" si="155"/>
        <v>0.12639000800877795</v>
      </c>
      <c r="R173" s="1322">
        <f t="shared" si="155"/>
        <v>0.83756293581078001</v>
      </c>
      <c r="S173" s="1321">
        <f t="shared" si="155"/>
        <v>-211.62997183076465</v>
      </c>
      <c r="T173" s="1322">
        <f t="shared" si="155"/>
        <v>0</v>
      </c>
      <c r="U173" s="1322">
        <f t="shared" si="155"/>
        <v>0</v>
      </c>
      <c r="V173" s="1322">
        <f t="shared" si="155"/>
        <v>-1.1531682577717504</v>
      </c>
      <c r="W173" s="1322">
        <f t="shared" si="155"/>
        <v>-0.33080660417178898</v>
      </c>
      <c r="X173" s="1319">
        <f t="shared" si="155"/>
        <v>-1.0236495348127686E-2</v>
      </c>
      <c r="Y173" s="1315">
        <f t="shared" si="155"/>
        <v>0</v>
      </c>
      <c r="Z173" s="1322">
        <f t="shared" si="155"/>
        <v>0</v>
      </c>
      <c r="AA173" s="1319">
        <f t="shared" si="155"/>
        <v>0</v>
      </c>
      <c r="AB173" s="1323">
        <f t="shared" si="155"/>
        <v>1.9855536437640112E-2</v>
      </c>
      <c r="AC173" s="1324">
        <f t="shared" si="155"/>
        <v>2.723778878246208E-2</v>
      </c>
    </row>
  </sheetData>
  <mergeCells count="18">
    <mergeCell ref="Y119:AA119"/>
    <mergeCell ref="B62:B63"/>
    <mergeCell ref="C62:I62"/>
    <mergeCell ref="J62:J63"/>
    <mergeCell ref="K62:P62"/>
    <mergeCell ref="Q62:X62"/>
    <mergeCell ref="Y62:AA62"/>
    <mergeCell ref="B119:B120"/>
    <mergeCell ref="C119:I119"/>
    <mergeCell ref="J119:J120"/>
    <mergeCell ref="K119:P119"/>
    <mergeCell ref="Q119:X119"/>
    <mergeCell ref="Y5:AA5"/>
    <mergeCell ref="B5:B6"/>
    <mergeCell ref="C5:I5"/>
    <mergeCell ref="J5:J6"/>
    <mergeCell ref="K5:P5"/>
    <mergeCell ref="Q5:X5"/>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30</vt:i4>
      </vt:variant>
    </vt:vector>
  </HeadingPairs>
  <TitlesOfParts>
    <vt:vector size="30" baseType="lpstr">
      <vt:lpstr>메모</vt:lpstr>
      <vt:lpstr>Des</vt:lpstr>
      <vt:lpstr>DCF</vt:lpstr>
      <vt:lpstr>Pro-Forma</vt:lpstr>
      <vt:lpstr>플랫폼사업</vt:lpstr>
      <vt:lpstr>콘텐츠사업</vt:lpstr>
      <vt:lpstr>엔터사업</vt:lpstr>
      <vt:lpstr>디바이스사업</vt:lpstr>
      <vt:lpstr>판관비</vt:lpstr>
      <vt:lpstr>CAPEX</vt:lpstr>
      <vt:lpstr>NWC</vt:lpstr>
      <vt:lpstr>보고서_요약</vt:lpstr>
      <vt:lpstr>보고서</vt:lpstr>
      <vt:lpstr>KRX</vt:lpstr>
      <vt:lpstr>dart</vt:lpstr>
      <vt:lpstr>&gt;&gt;질의답변</vt:lpstr>
      <vt:lpstr>#20</vt:lpstr>
      <vt:lpstr>#21</vt:lpstr>
      <vt:lpstr>#22</vt:lpstr>
      <vt:lpstr>&gt;&gt;사업계획</vt:lpstr>
      <vt:lpstr>요약</vt:lpstr>
      <vt:lpstr>사업계획_메모</vt:lpstr>
      <vt:lpstr>플랫폼</vt:lpstr>
      <vt:lpstr>콘텐츠</vt:lpstr>
      <vt:lpstr>엔터</vt:lpstr>
      <vt:lpstr>IRIVER</vt:lpstr>
      <vt:lpstr>LDC</vt:lpstr>
      <vt:lpstr>돌핀</vt:lpstr>
      <vt:lpstr>STAFF</vt:lpstr>
      <vt:lpstr>과거실적(백만원)</vt:lpstr>
    </vt:vector>
  </TitlesOfParts>
  <Manager/>
  <Company>KPMG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 Jae-Won (KR/Deal Adv2)</dc:creator>
  <cp:keywords/>
  <dc:description/>
  <cp:lastModifiedBy>Yu, Jae-Won (KR/Deal Adv2)</cp:lastModifiedBy>
  <cp:revision/>
  <dcterms:created xsi:type="dcterms:W3CDTF">2023-01-02T08:40:21Z</dcterms:created>
  <dcterms:modified xsi:type="dcterms:W3CDTF">2023-02-03T01:41:38Z</dcterms:modified>
  <cp:category/>
  <cp:contentStatus/>
</cp:coreProperties>
</file>